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nie\OneDrive\Documentos\Projetos\dash-apostas\data\"/>
    </mc:Choice>
  </mc:AlternateContent>
  <bookViews>
    <workbookView xWindow="0" yWindow="0" windowWidth="23040" windowHeight="9084" tabRatio="854"/>
  </bookViews>
  <sheets>
    <sheet name="Extrato" sheetId="13" r:id="rId1"/>
    <sheet name="Base" sheetId="11" r:id="rId2"/>
    <sheet name="Copia Site" sheetId="10" r:id="rId3"/>
    <sheet name="BetFlow" sheetId="36" r:id="rId4"/>
  </sheets>
  <definedNames>
    <definedName name="_xlnm._FilterDatabase" localSheetId="3" hidden="1">BetFlow!$B$7:$P$7</definedName>
    <definedName name="_xlnm._FilterDatabase" localSheetId="2" hidden="1">'Copia Site'!$B$2:$G$2</definedName>
    <definedName name="_xlcn.LinkedTable_base1" hidden="1">base[]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se" name="base" connection="LinkedTable_base"/>
          <x15:modelTable id="Calendário" name="Calendário" connection="Conexão"/>
        </x15:modelTables>
        <x15:modelRelationships>
          <x15:modelRelationship fromTable="base" fromColumn="Data_sem_Hora" toTable="Calendário" toColumn="Date"/>
        </x15:modelRelationships>
      </x15:dataModel>
    </ext>
  </extLst>
</workbook>
</file>

<file path=xl/calcChain.xml><?xml version="1.0" encoding="utf-8"?>
<calcChain xmlns="http://schemas.openxmlformats.org/spreadsheetml/2006/main">
  <c r="S3547" i="11" l="1"/>
  <c r="R3547" i="11"/>
  <c r="Q3547" i="11"/>
  <c r="O3547" i="11"/>
  <c r="N3547" i="11"/>
  <c r="M3547" i="11"/>
  <c r="L3547" i="11"/>
  <c r="G3547" i="11"/>
  <c r="S3546" i="11"/>
  <c r="R3546" i="11"/>
  <c r="Q3546" i="11"/>
  <c r="O3546" i="11"/>
  <c r="N3546" i="11"/>
  <c r="M3546" i="11"/>
  <c r="L3546" i="11"/>
  <c r="G3546" i="11"/>
  <c r="S3545" i="11"/>
  <c r="R3545" i="11"/>
  <c r="Q3545" i="11"/>
  <c r="O3545" i="11"/>
  <c r="N3545" i="11"/>
  <c r="L3545" i="11"/>
  <c r="G3545" i="11"/>
  <c r="M3545" i="11" s="1"/>
  <c r="S3544" i="11"/>
  <c r="R3544" i="11"/>
  <c r="Q3544" i="11"/>
  <c r="O3544" i="11"/>
  <c r="N3544" i="11"/>
  <c r="M3544" i="11"/>
  <c r="L3544" i="11"/>
  <c r="G3544" i="11"/>
  <c r="S3543" i="11"/>
  <c r="R3543" i="11"/>
  <c r="Q3543" i="11"/>
  <c r="O3543" i="11"/>
  <c r="N3543" i="11"/>
  <c r="M3543" i="11"/>
  <c r="L3543" i="11"/>
  <c r="G3543" i="11"/>
  <c r="S3542" i="11"/>
  <c r="R3542" i="11"/>
  <c r="Q3542" i="11"/>
  <c r="O3542" i="11"/>
  <c r="N3542" i="11"/>
  <c r="L3542" i="11"/>
  <c r="G3542" i="11"/>
  <c r="M3542" i="11" s="1"/>
  <c r="S3541" i="11"/>
  <c r="R3541" i="11"/>
  <c r="Q3541" i="11"/>
  <c r="O3541" i="11"/>
  <c r="N3541" i="11"/>
  <c r="M3541" i="11"/>
  <c r="L3541" i="11"/>
  <c r="G3541" i="11"/>
  <c r="S3540" i="11"/>
  <c r="R3540" i="11"/>
  <c r="Q3540" i="11"/>
  <c r="O3540" i="11"/>
  <c r="N3540" i="11"/>
  <c r="M3540" i="11"/>
  <c r="L3540" i="11"/>
  <c r="G3540" i="11"/>
  <c r="S3539" i="11"/>
  <c r="R3539" i="11"/>
  <c r="Q3539" i="11"/>
  <c r="O3539" i="11"/>
  <c r="N3539" i="11"/>
  <c r="L3539" i="11"/>
  <c r="G3539" i="11"/>
  <c r="M3539" i="11" s="1"/>
  <c r="S3538" i="11"/>
  <c r="R3538" i="11"/>
  <c r="Q3538" i="11"/>
  <c r="O3538" i="11"/>
  <c r="N3538" i="11"/>
  <c r="M3538" i="11"/>
  <c r="L3538" i="11"/>
  <c r="G3538" i="11"/>
  <c r="S3537" i="11"/>
  <c r="R3537" i="11"/>
  <c r="Q3537" i="11"/>
  <c r="O3537" i="11"/>
  <c r="L3537" i="11"/>
  <c r="K3537" i="11"/>
  <c r="N3537" i="11" s="1"/>
  <c r="J3537" i="11"/>
  <c r="G3537" i="11"/>
  <c r="M3537" i="11" s="1"/>
  <c r="S3536" i="11"/>
  <c r="R3536" i="11"/>
  <c r="Q3536" i="11"/>
  <c r="O3536" i="11"/>
  <c r="N3536" i="11"/>
  <c r="M3536" i="11"/>
  <c r="L3536" i="11"/>
  <c r="G3536" i="11"/>
  <c r="S3535" i="11"/>
  <c r="R3535" i="11"/>
  <c r="Q3535" i="11"/>
  <c r="O3535" i="11"/>
  <c r="N3535" i="11"/>
  <c r="L3535" i="11"/>
  <c r="G3535" i="11"/>
  <c r="M3535" i="11" s="1"/>
  <c r="S3534" i="11"/>
  <c r="R3534" i="11"/>
  <c r="Q3534" i="11"/>
  <c r="O3534" i="11"/>
  <c r="N3534" i="11"/>
  <c r="L3534" i="11"/>
  <c r="G3534" i="11"/>
  <c r="M3534" i="11" s="1"/>
  <c r="S3533" i="11"/>
  <c r="R3533" i="11"/>
  <c r="Q3533" i="11"/>
  <c r="O3533" i="11"/>
  <c r="N3533" i="11"/>
  <c r="M3533" i="11"/>
  <c r="L3533" i="11"/>
  <c r="G3533" i="11"/>
  <c r="S3532" i="11"/>
  <c r="R3532" i="11"/>
  <c r="Q3532" i="11"/>
  <c r="O3532" i="11"/>
  <c r="N3532" i="11"/>
  <c r="L3532" i="11"/>
  <c r="G3532" i="11"/>
  <c r="M3532" i="11" s="1"/>
  <c r="S3531" i="11"/>
  <c r="R3531" i="11"/>
  <c r="Q3531" i="11"/>
  <c r="O3531" i="11"/>
  <c r="N3531" i="11"/>
  <c r="L3531" i="11"/>
  <c r="G3531" i="11"/>
  <c r="M3531" i="11" s="1"/>
  <c r="S3530" i="11"/>
  <c r="R3530" i="11"/>
  <c r="Q3530" i="11"/>
  <c r="O3530" i="11"/>
  <c r="N3530" i="11"/>
  <c r="M3530" i="11"/>
  <c r="L3530" i="11"/>
  <c r="G3530" i="11"/>
  <c r="S3529" i="11"/>
  <c r="R3529" i="11"/>
  <c r="Q3529" i="11"/>
  <c r="O3529" i="11"/>
  <c r="N3529" i="11"/>
  <c r="L3529" i="11"/>
  <c r="G3529" i="11"/>
  <c r="M3529" i="11" s="1"/>
  <c r="S3528" i="11"/>
  <c r="R3528" i="11"/>
  <c r="Q3528" i="11"/>
  <c r="O3528" i="11"/>
  <c r="N3528" i="11"/>
  <c r="L3528" i="11"/>
  <c r="G3528" i="11"/>
  <c r="M3528" i="11" s="1"/>
  <c r="S3527" i="11"/>
  <c r="R3527" i="11"/>
  <c r="Q3527" i="11"/>
  <c r="O3527" i="11"/>
  <c r="N3527" i="11"/>
  <c r="M3527" i="11"/>
  <c r="L3527" i="11"/>
  <c r="G3527" i="11"/>
  <c r="S3526" i="11"/>
  <c r="R3526" i="11"/>
  <c r="Q3526" i="11"/>
  <c r="O3526" i="11"/>
  <c r="N3526" i="11"/>
  <c r="L3526" i="11"/>
  <c r="G3526" i="11"/>
  <c r="M3526" i="11" s="1"/>
  <c r="S3525" i="11"/>
  <c r="R3525" i="11"/>
  <c r="Q3525" i="11"/>
  <c r="O3525" i="11"/>
  <c r="N3525" i="11"/>
  <c r="L3525" i="11"/>
  <c r="G3525" i="11"/>
  <c r="M3525" i="11" s="1"/>
  <c r="S3524" i="11"/>
  <c r="R3524" i="11"/>
  <c r="Q3524" i="11"/>
  <c r="O3524" i="11"/>
  <c r="N3524" i="11"/>
  <c r="M3524" i="11"/>
  <c r="L3524" i="11"/>
  <c r="G3524" i="11"/>
  <c r="S3523" i="11"/>
  <c r="R3523" i="11"/>
  <c r="Q3523" i="11"/>
  <c r="O3523" i="11"/>
  <c r="N3523" i="11"/>
  <c r="L3523" i="11"/>
  <c r="G3523" i="11"/>
  <c r="M3523" i="11" s="1"/>
  <c r="S3522" i="11"/>
  <c r="R3522" i="11"/>
  <c r="Q3522" i="11"/>
  <c r="O3522" i="11"/>
  <c r="N3522" i="11"/>
  <c r="M3522" i="11"/>
  <c r="L3522" i="11"/>
  <c r="J3522" i="11"/>
  <c r="G3522" i="11"/>
  <c r="S3521" i="11"/>
  <c r="R3521" i="11"/>
  <c r="Q3521" i="11"/>
  <c r="O3521" i="11"/>
  <c r="N3521" i="11"/>
  <c r="M3521" i="11"/>
  <c r="L3521" i="11"/>
  <c r="G3521" i="11"/>
  <c r="S3520" i="11"/>
  <c r="R3520" i="11"/>
  <c r="Q3520" i="11"/>
  <c r="O3520" i="11"/>
  <c r="N3520" i="11"/>
  <c r="L3520" i="11"/>
  <c r="G3520" i="11"/>
  <c r="M3520" i="11" s="1"/>
  <c r="S3519" i="11"/>
  <c r="R3519" i="11"/>
  <c r="Q3519" i="11"/>
  <c r="O3519" i="11"/>
  <c r="N3519" i="11"/>
  <c r="M3519" i="11"/>
  <c r="L3519" i="11"/>
  <c r="G3519" i="11"/>
  <c r="S3518" i="11"/>
  <c r="R3518" i="11"/>
  <c r="Q3518" i="11"/>
  <c r="O3518" i="11"/>
  <c r="N3518" i="11"/>
  <c r="L3518" i="11"/>
  <c r="J3518" i="11"/>
  <c r="G3518" i="11"/>
  <c r="M3518" i="11" s="1"/>
  <c r="S3517" i="11"/>
  <c r="R3517" i="11"/>
  <c r="Q3517" i="11"/>
  <c r="O3517" i="11"/>
  <c r="N3517" i="11"/>
  <c r="L3517" i="11"/>
  <c r="G3517" i="11"/>
  <c r="M3517" i="11" s="1"/>
  <c r="S3516" i="11"/>
  <c r="R3516" i="11"/>
  <c r="Q3516" i="11"/>
  <c r="O3516" i="11"/>
  <c r="N3516" i="11"/>
  <c r="M3516" i="11"/>
  <c r="L3516" i="11"/>
  <c r="K3516" i="11"/>
  <c r="J3516" i="11" s="1"/>
  <c r="G3516" i="11"/>
  <c r="S3515" i="11"/>
  <c r="R3515" i="11"/>
  <c r="Q3515" i="11"/>
  <c r="O3515" i="11"/>
  <c r="N3515" i="11"/>
  <c r="L3515" i="11"/>
  <c r="G3515" i="11"/>
  <c r="M3515" i="11" s="1"/>
  <c r="S3514" i="11"/>
  <c r="R3514" i="11"/>
  <c r="Q3514" i="11"/>
  <c r="O3514" i="11"/>
  <c r="N3514" i="11"/>
  <c r="M3514" i="11"/>
  <c r="L3514" i="11"/>
  <c r="G3514" i="11"/>
  <c r="S3513" i="11"/>
  <c r="R3513" i="11"/>
  <c r="Q3513" i="11"/>
  <c r="O3513" i="11"/>
  <c r="N3513" i="11"/>
  <c r="M3513" i="11"/>
  <c r="L3513" i="11"/>
  <c r="G3513" i="11"/>
  <c r="S3512" i="11"/>
  <c r="R3512" i="11"/>
  <c r="Q3512" i="11"/>
  <c r="O3512" i="11"/>
  <c r="N3512" i="11"/>
  <c r="L3512" i="11"/>
  <c r="G3512" i="11"/>
  <c r="M3512" i="11" s="1"/>
  <c r="S3511" i="11"/>
  <c r="R3511" i="11"/>
  <c r="Q3511" i="11"/>
  <c r="O3511" i="11"/>
  <c r="N3511" i="11"/>
  <c r="M3511" i="11"/>
  <c r="L3511" i="11"/>
  <c r="G3511" i="11"/>
  <c r="S3510" i="11"/>
  <c r="R3510" i="11"/>
  <c r="Q3510" i="11"/>
  <c r="O3510" i="11"/>
  <c r="N3510" i="11"/>
  <c r="M3510" i="11"/>
  <c r="L3510" i="11"/>
  <c r="G3510" i="11"/>
  <c r="S3509" i="11"/>
  <c r="R3509" i="11"/>
  <c r="Q3509" i="11"/>
  <c r="O3509" i="11"/>
  <c r="N3509" i="11"/>
  <c r="M3509" i="11"/>
  <c r="L3509" i="11"/>
  <c r="G3509" i="11"/>
  <c r="S3508" i="11"/>
  <c r="R3508" i="11"/>
  <c r="Q3508" i="11"/>
  <c r="O3508" i="11"/>
  <c r="N3508" i="11"/>
  <c r="M3508" i="11"/>
  <c r="L3508" i="11"/>
  <c r="G3508" i="11"/>
  <c r="S3507" i="11"/>
  <c r="R3507" i="11"/>
  <c r="Q3507" i="11"/>
  <c r="O3507" i="11"/>
  <c r="N3507" i="11"/>
  <c r="M3507" i="11"/>
  <c r="L3507" i="11"/>
  <c r="G3507" i="11"/>
  <c r="S3506" i="11"/>
  <c r="R3506" i="11"/>
  <c r="Q3506" i="11"/>
  <c r="O3506" i="11"/>
  <c r="N3506" i="11"/>
  <c r="M3506" i="11"/>
  <c r="L3506" i="11"/>
  <c r="G3506" i="11"/>
  <c r="S3505" i="11"/>
  <c r="R3505" i="11"/>
  <c r="Q3505" i="11"/>
  <c r="O3505" i="11"/>
  <c r="N3505" i="11"/>
  <c r="M3505" i="11"/>
  <c r="L3505" i="11"/>
  <c r="K3505" i="11"/>
  <c r="J3505" i="11" s="1"/>
  <c r="G3505" i="11"/>
  <c r="S3504" i="11"/>
  <c r="R3504" i="11"/>
  <c r="Q3504" i="11"/>
  <c r="O3504" i="11"/>
  <c r="N3504" i="11"/>
  <c r="L3504" i="11"/>
  <c r="G3504" i="11"/>
  <c r="M3504" i="11" s="1"/>
  <c r="S3503" i="11"/>
  <c r="R3503" i="11"/>
  <c r="Q3503" i="11"/>
  <c r="O3503" i="11"/>
  <c r="N3503" i="11"/>
  <c r="M3503" i="11"/>
  <c r="L3503" i="11"/>
  <c r="G3503" i="11"/>
  <c r="S3502" i="11"/>
  <c r="R3502" i="11"/>
  <c r="Q3502" i="11"/>
  <c r="O3502" i="11"/>
  <c r="N3502" i="11"/>
  <c r="L3502" i="11"/>
  <c r="G3502" i="11"/>
  <c r="M3502" i="11" s="1"/>
  <c r="S3501" i="11"/>
  <c r="R3501" i="11"/>
  <c r="Q3501" i="11"/>
  <c r="O3501" i="11"/>
  <c r="N3501" i="11"/>
  <c r="L3501" i="11"/>
  <c r="G3501" i="11"/>
  <c r="M3501" i="11" s="1"/>
  <c r="S3500" i="11"/>
  <c r="R3500" i="11"/>
  <c r="Q3500" i="11"/>
  <c r="O3500" i="11"/>
  <c r="N3500" i="11"/>
  <c r="M3500" i="11"/>
  <c r="L3500" i="11"/>
  <c r="G3500" i="11"/>
  <c r="S3499" i="11"/>
  <c r="R3499" i="11"/>
  <c r="Q3499" i="11"/>
  <c r="O3499" i="11"/>
  <c r="N3499" i="11"/>
  <c r="L3499" i="11"/>
  <c r="G3499" i="11"/>
  <c r="M3499" i="11" s="1"/>
  <c r="S3498" i="11"/>
  <c r="R3498" i="11"/>
  <c r="Q3498" i="11"/>
  <c r="O3498" i="11"/>
  <c r="N3498" i="11"/>
  <c r="L3498" i="11"/>
  <c r="G3498" i="11"/>
  <c r="M3498" i="11" s="1"/>
  <c r="S3497" i="11"/>
  <c r="R3497" i="11"/>
  <c r="Q3497" i="11"/>
  <c r="O3497" i="11"/>
  <c r="N3497" i="11"/>
  <c r="M3497" i="11"/>
  <c r="L3497" i="11"/>
  <c r="G3497" i="11"/>
  <c r="S3496" i="11"/>
  <c r="R3496" i="11"/>
  <c r="Q3496" i="11"/>
  <c r="O3496" i="11"/>
  <c r="N3496" i="11"/>
  <c r="L3496" i="11"/>
  <c r="G3496" i="11"/>
  <c r="M3496" i="11" s="1"/>
  <c r="S3495" i="11"/>
  <c r="R3495" i="11"/>
  <c r="Q3495" i="11"/>
  <c r="O3495" i="11"/>
  <c r="N3495" i="11"/>
  <c r="L3495" i="11"/>
  <c r="G3495" i="11"/>
  <c r="M3495" i="11" s="1"/>
  <c r="S3494" i="11"/>
  <c r="R3494" i="11"/>
  <c r="Q3494" i="11"/>
  <c r="O3494" i="11"/>
  <c r="N3494" i="11"/>
  <c r="M3494" i="11"/>
  <c r="L3494" i="11"/>
  <c r="G3494" i="11"/>
  <c r="S3493" i="11"/>
  <c r="R3493" i="11"/>
  <c r="Q3493" i="11"/>
  <c r="O3493" i="11"/>
  <c r="N3493" i="11"/>
  <c r="M3493" i="11"/>
  <c r="L3493" i="11"/>
  <c r="G3493" i="11"/>
  <c r="S3492" i="11"/>
  <c r="R3492" i="11"/>
  <c r="Q3492" i="11"/>
  <c r="O3492" i="11"/>
  <c r="N3492" i="11"/>
  <c r="L3492" i="11"/>
  <c r="G3492" i="11"/>
  <c r="M3492" i="11" s="1"/>
  <c r="S3491" i="11"/>
  <c r="R3491" i="11"/>
  <c r="Q3491" i="11"/>
  <c r="O3491" i="11"/>
  <c r="N3491" i="11"/>
  <c r="M3491" i="11"/>
  <c r="L3491" i="11"/>
  <c r="G3491" i="11"/>
  <c r="S3490" i="11"/>
  <c r="R3490" i="11"/>
  <c r="Q3490" i="11"/>
  <c r="O3490" i="11"/>
  <c r="N3490" i="11"/>
  <c r="M3490" i="11"/>
  <c r="L3490" i="11"/>
  <c r="G3490" i="11"/>
  <c r="S3489" i="11"/>
  <c r="R3489" i="11"/>
  <c r="Q3489" i="11"/>
  <c r="O3489" i="11"/>
  <c r="N3489" i="11"/>
  <c r="L3489" i="11"/>
  <c r="G3489" i="11"/>
  <c r="M3489" i="11" s="1"/>
  <c r="S3488" i="11"/>
  <c r="R3488" i="11"/>
  <c r="Q3488" i="11"/>
  <c r="O3488" i="11"/>
  <c r="N3488" i="11"/>
  <c r="M3488" i="11"/>
  <c r="L3488" i="11"/>
  <c r="G3488" i="11"/>
  <c r="S3487" i="11"/>
  <c r="R3487" i="11"/>
  <c r="Q3487" i="11"/>
  <c r="O3487" i="11"/>
  <c r="N3487" i="11"/>
  <c r="M3487" i="11"/>
  <c r="L3487" i="11"/>
  <c r="G3487" i="11"/>
  <c r="S3486" i="11"/>
  <c r="R3486" i="11"/>
  <c r="Q3486" i="11"/>
  <c r="O3486" i="11"/>
  <c r="N3486" i="11"/>
  <c r="L3486" i="11"/>
  <c r="G3486" i="11"/>
  <c r="M3486" i="11" s="1"/>
  <c r="S3485" i="11"/>
  <c r="R3485" i="11"/>
  <c r="Q3485" i="11"/>
  <c r="O3485" i="11"/>
  <c r="N3485" i="11"/>
  <c r="M3485" i="11"/>
  <c r="L3485" i="11"/>
  <c r="G3485" i="11"/>
  <c r="S3484" i="11"/>
  <c r="R3484" i="11"/>
  <c r="Q3484" i="11"/>
  <c r="O3484" i="11"/>
  <c r="N3484" i="11"/>
  <c r="M3484" i="11"/>
  <c r="L3484" i="11"/>
  <c r="G3484" i="11"/>
  <c r="S3483" i="11"/>
  <c r="R3483" i="11"/>
  <c r="Q3483" i="11"/>
  <c r="O3483" i="11"/>
  <c r="N3483" i="11"/>
  <c r="L3483" i="11"/>
  <c r="G3483" i="11"/>
  <c r="M3483" i="11" s="1"/>
  <c r="S3482" i="11"/>
  <c r="R3482" i="11"/>
  <c r="Q3482" i="11"/>
  <c r="O3482" i="11"/>
  <c r="N3482" i="11"/>
  <c r="M3482" i="11"/>
  <c r="L3482" i="11"/>
  <c r="G3482" i="11"/>
  <c r="S3481" i="11"/>
  <c r="R3481" i="11"/>
  <c r="Q3481" i="11"/>
  <c r="O3481" i="11"/>
  <c r="N3481" i="11"/>
  <c r="M3481" i="11"/>
  <c r="L3481" i="11"/>
  <c r="G3481" i="11"/>
  <c r="S3480" i="11"/>
  <c r="R3480" i="11"/>
  <c r="Q3480" i="11"/>
  <c r="O3480" i="11"/>
  <c r="N3480" i="11"/>
  <c r="L3480" i="11"/>
  <c r="G3480" i="11"/>
  <c r="M3480" i="11" s="1"/>
  <c r="S3479" i="11"/>
  <c r="R3479" i="11"/>
  <c r="Q3479" i="11"/>
  <c r="O3479" i="11"/>
  <c r="N3479" i="11"/>
  <c r="M3479" i="11"/>
  <c r="L3479" i="11"/>
  <c r="K3479" i="11"/>
  <c r="J3479" i="11" s="1"/>
  <c r="G3479" i="11"/>
  <c r="S3478" i="11"/>
  <c r="R3478" i="11"/>
  <c r="Q3478" i="11"/>
  <c r="O3478" i="11"/>
  <c r="N3478" i="11"/>
  <c r="L3478" i="11"/>
  <c r="G3478" i="11"/>
  <c r="M3478" i="11" s="1"/>
  <c r="S3477" i="11"/>
  <c r="R3477" i="11"/>
  <c r="Q3477" i="11"/>
  <c r="O3477" i="11"/>
  <c r="N3477" i="11"/>
  <c r="M3477" i="11"/>
  <c r="L3477" i="11"/>
  <c r="G3477" i="11"/>
  <c r="S3476" i="11"/>
  <c r="R3476" i="11"/>
  <c r="Q3476" i="11"/>
  <c r="O3476" i="11"/>
  <c r="N3476" i="11"/>
  <c r="L3476" i="11"/>
  <c r="G3476" i="11"/>
  <c r="M3476" i="11" s="1"/>
  <c r="S3475" i="11"/>
  <c r="R3475" i="11"/>
  <c r="Q3475" i="11"/>
  <c r="O3475" i="11"/>
  <c r="N3475" i="11"/>
  <c r="L3475" i="11"/>
  <c r="G3475" i="11"/>
  <c r="M3475" i="11" s="1"/>
  <c r="S3474" i="11"/>
  <c r="R3474" i="11"/>
  <c r="Q3474" i="11"/>
  <c r="O3474" i="11"/>
  <c r="N3474" i="11"/>
  <c r="M3474" i="11"/>
  <c r="L3474" i="11"/>
  <c r="K3474" i="11"/>
  <c r="J3474" i="11" s="1"/>
  <c r="G3474" i="11"/>
  <c r="S3473" i="11"/>
  <c r="R3473" i="11"/>
  <c r="Q3473" i="11"/>
  <c r="O3473" i="11"/>
  <c r="N3473" i="11"/>
  <c r="L3473" i="11"/>
  <c r="G3473" i="11"/>
  <c r="M3473" i="11" s="1"/>
  <c r="S3472" i="11"/>
  <c r="R3472" i="11"/>
  <c r="Q3472" i="11"/>
  <c r="O3472" i="11"/>
  <c r="N3472" i="11"/>
  <c r="M3472" i="11"/>
  <c r="L3472" i="11"/>
  <c r="G3472" i="11"/>
  <c r="S3471" i="11"/>
  <c r="R3471" i="11"/>
  <c r="Q3471" i="11"/>
  <c r="O3471" i="11"/>
  <c r="N3471" i="11"/>
  <c r="M3471" i="11"/>
  <c r="L3471" i="11"/>
  <c r="G3471" i="11"/>
  <c r="S3470" i="11"/>
  <c r="R3470" i="11"/>
  <c r="Q3470" i="11"/>
  <c r="O3470" i="11"/>
  <c r="N3470" i="11"/>
  <c r="L3470" i="11"/>
  <c r="G3470" i="11"/>
  <c r="M3470" i="11" s="1"/>
  <c r="S3469" i="11"/>
  <c r="R3469" i="11"/>
  <c r="Q3469" i="11"/>
  <c r="O3469" i="11"/>
  <c r="N3469" i="11"/>
  <c r="M3469" i="11"/>
  <c r="L3469" i="11"/>
  <c r="G3469" i="11"/>
  <c r="S3468" i="11"/>
  <c r="R3468" i="11"/>
  <c r="Q3468" i="11"/>
  <c r="O3468" i="11"/>
  <c r="N3468" i="11"/>
  <c r="M3468" i="11"/>
  <c r="L3468" i="11"/>
  <c r="G3468" i="11"/>
  <c r="S3467" i="11"/>
  <c r="R3467" i="11"/>
  <c r="Q3467" i="11"/>
  <c r="O3467" i="11"/>
  <c r="N3467" i="11"/>
  <c r="L3467" i="11"/>
  <c r="G3467" i="11"/>
  <c r="M3467" i="11" s="1"/>
  <c r="S3466" i="11"/>
  <c r="R3466" i="11"/>
  <c r="Q3466" i="11"/>
  <c r="O3466" i="11"/>
  <c r="N3466" i="11"/>
  <c r="M3466" i="11"/>
  <c r="L3466" i="11"/>
  <c r="G3466" i="11"/>
  <c r="S3465" i="11"/>
  <c r="R3465" i="11"/>
  <c r="Q3465" i="11"/>
  <c r="O3465" i="11"/>
  <c r="N3465" i="11"/>
  <c r="M3465" i="11"/>
  <c r="L3465" i="11"/>
  <c r="G3465" i="11"/>
  <c r="S3464" i="11"/>
  <c r="R3464" i="11"/>
  <c r="Q3464" i="11"/>
  <c r="O3464" i="11"/>
  <c r="N3464" i="11"/>
  <c r="L3464" i="11"/>
  <c r="G3464" i="11"/>
  <c r="M3464" i="11" s="1"/>
  <c r="S3463" i="11"/>
  <c r="R3463" i="11"/>
  <c r="Q3463" i="11"/>
  <c r="O3463" i="11"/>
  <c r="N3463" i="11"/>
  <c r="M3463" i="11"/>
  <c r="L3463" i="11"/>
  <c r="G3463" i="11"/>
  <c r="S3462" i="11"/>
  <c r="R3462" i="11"/>
  <c r="Q3462" i="11"/>
  <c r="O3462" i="11"/>
  <c r="N3462" i="11"/>
  <c r="M3462" i="11"/>
  <c r="L3462" i="11"/>
  <c r="G3462" i="11"/>
  <c r="S3461" i="11"/>
  <c r="R3461" i="11"/>
  <c r="Q3461" i="11"/>
  <c r="O3461" i="11"/>
  <c r="N3461" i="11"/>
  <c r="L3461" i="11"/>
  <c r="G3461" i="11"/>
  <c r="M3461" i="11" s="1"/>
  <c r="S3460" i="11"/>
  <c r="R3460" i="11"/>
  <c r="Q3460" i="11"/>
  <c r="O3460" i="11"/>
  <c r="N3460" i="11"/>
  <c r="M3460" i="11"/>
  <c r="L3460" i="11"/>
  <c r="G3460" i="11"/>
  <c r="S3459" i="11"/>
  <c r="R3459" i="11"/>
  <c r="Q3459" i="11"/>
  <c r="O3459" i="11"/>
  <c r="N3459" i="11"/>
  <c r="M3459" i="11"/>
  <c r="L3459" i="11"/>
  <c r="G3459" i="11"/>
  <c r="S3458" i="11"/>
  <c r="R3458" i="11"/>
  <c r="Q3458" i="11"/>
  <c r="O3458" i="11"/>
  <c r="N3458" i="11"/>
  <c r="L3458" i="11"/>
  <c r="G3458" i="11"/>
  <c r="M3458" i="11" s="1"/>
  <c r="S3457" i="11"/>
  <c r="R3457" i="11"/>
  <c r="Q3457" i="11"/>
  <c r="O3457" i="11"/>
  <c r="N3457" i="11"/>
  <c r="M3457" i="11"/>
  <c r="L3457" i="11"/>
  <c r="G3457" i="11"/>
  <c r="S3456" i="11"/>
  <c r="R3456" i="11"/>
  <c r="Q3456" i="11"/>
  <c r="O3456" i="11"/>
  <c r="N3456" i="11"/>
  <c r="M3456" i="11"/>
  <c r="L3456" i="11"/>
  <c r="G3456" i="11"/>
  <c r="S3455" i="11"/>
  <c r="R3455" i="11"/>
  <c r="Q3455" i="11"/>
  <c r="O3455" i="11"/>
  <c r="N3455" i="11"/>
  <c r="L3455" i="11"/>
  <c r="G3455" i="11"/>
  <c r="M3455" i="11" s="1"/>
  <c r="S3454" i="11"/>
  <c r="R3454" i="11"/>
  <c r="Q3454" i="11"/>
  <c r="O3454" i="11"/>
  <c r="N3454" i="11"/>
  <c r="M3454" i="11"/>
  <c r="L3454" i="11"/>
  <c r="G3454" i="11"/>
  <c r="S3453" i="11"/>
  <c r="R3453" i="11"/>
  <c r="Q3453" i="11"/>
  <c r="O3453" i="11"/>
  <c r="N3453" i="11"/>
  <c r="M3453" i="11"/>
  <c r="L3453" i="11"/>
  <c r="G3453" i="11"/>
  <c r="S3452" i="11"/>
  <c r="R3452" i="11"/>
  <c r="Q3452" i="11"/>
  <c r="O3452" i="11"/>
  <c r="N3452" i="11"/>
  <c r="L3452" i="11"/>
  <c r="G3452" i="11"/>
  <c r="M3452" i="11" s="1"/>
  <c r="S3451" i="11"/>
  <c r="R3451" i="11"/>
  <c r="Q3451" i="11"/>
  <c r="O3451" i="11"/>
  <c r="N3451" i="11"/>
  <c r="M3451" i="11"/>
  <c r="L3451" i="11"/>
  <c r="G3451" i="11"/>
  <c r="S3450" i="11"/>
  <c r="R3450" i="11"/>
  <c r="Q3450" i="11"/>
  <c r="O3450" i="11"/>
  <c r="N3450" i="11"/>
  <c r="M3450" i="11"/>
  <c r="L3450" i="11"/>
  <c r="G3450" i="11"/>
  <c r="S3449" i="11"/>
  <c r="R3449" i="11"/>
  <c r="Q3449" i="11"/>
  <c r="O3449" i="11"/>
  <c r="L3449" i="11"/>
  <c r="K3449" i="11"/>
  <c r="G3449" i="11"/>
  <c r="M3449" i="11" s="1"/>
  <c r="S3448" i="11"/>
  <c r="R3448" i="11"/>
  <c r="Q3448" i="11"/>
  <c r="O3448" i="11"/>
  <c r="N3448" i="11"/>
  <c r="L3448" i="11"/>
  <c r="G3448" i="11"/>
  <c r="M3448" i="11" s="1"/>
  <c r="S3447" i="11"/>
  <c r="R3447" i="11"/>
  <c r="Q3447" i="11"/>
  <c r="O3447" i="11"/>
  <c r="N3447" i="11"/>
  <c r="L3447" i="11"/>
  <c r="G3447" i="11"/>
  <c r="M3447" i="11" s="1"/>
  <c r="S3446" i="11"/>
  <c r="R3446" i="11"/>
  <c r="Q3446" i="11"/>
  <c r="O3446" i="11"/>
  <c r="N3446" i="11"/>
  <c r="M3446" i="11"/>
  <c r="L3446" i="11"/>
  <c r="G3446" i="11"/>
  <c r="S3445" i="11"/>
  <c r="R3445" i="11"/>
  <c r="Q3445" i="11"/>
  <c r="O3445" i="11"/>
  <c r="N3445" i="11"/>
  <c r="L3445" i="11"/>
  <c r="G3445" i="11"/>
  <c r="M3445" i="11" s="1"/>
  <c r="S3444" i="11"/>
  <c r="R3444" i="11"/>
  <c r="Q3444" i="11"/>
  <c r="O3444" i="11"/>
  <c r="N3444" i="11"/>
  <c r="L3444" i="11"/>
  <c r="G3444" i="11"/>
  <c r="M3444" i="11" s="1"/>
  <c r="S3443" i="11"/>
  <c r="R3443" i="11"/>
  <c r="Q3443" i="11"/>
  <c r="O3443" i="11"/>
  <c r="N3443" i="11"/>
  <c r="M3443" i="11"/>
  <c r="L3443" i="11"/>
  <c r="G3443" i="11"/>
  <c r="S3442" i="11"/>
  <c r="R3442" i="11"/>
  <c r="Q3442" i="11"/>
  <c r="O3442" i="11"/>
  <c r="N3442" i="11"/>
  <c r="M3442" i="11"/>
  <c r="L3442" i="11"/>
  <c r="G3442" i="11"/>
  <c r="S3441" i="11"/>
  <c r="R3441" i="11"/>
  <c r="Q3441" i="11"/>
  <c r="O3441" i="11"/>
  <c r="N3441" i="11"/>
  <c r="L3441" i="11"/>
  <c r="G3441" i="11"/>
  <c r="M3441" i="11" s="1"/>
  <c r="S3440" i="11"/>
  <c r="R3440" i="11"/>
  <c r="Q3440" i="11"/>
  <c r="O3440" i="11"/>
  <c r="N3440" i="11"/>
  <c r="M3440" i="11"/>
  <c r="L3440" i="11"/>
  <c r="G3440" i="11"/>
  <c r="S3439" i="11"/>
  <c r="R3439" i="11"/>
  <c r="Q3439" i="11"/>
  <c r="O3439" i="11"/>
  <c r="N3439" i="11"/>
  <c r="M3439" i="11"/>
  <c r="L3439" i="11"/>
  <c r="G3439" i="11"/>
  <c r="S3438" i="11"/>
  <c r="R3438" i="11"/>
  <c r="Q3438" i="11"/>
  <c r="O3438" i="11"/>
  <c r="N3438" i="11"/>
  <c r="L3438" i="11"/>
  <c r="G3438" i="11"/>
  <c r="M3438" i="11" s="1"/>
  <c r="S3437" i="11"/>
  <c r="R3437" i="11"/>
  <c r="Q3437" i="11"/>
  <c r="O3437" i="11"/>
  <c r="N3437" i="11"/>
  <c r="M3437" i="11"/>
  <c r="L3437" i="11"/>
  <c r="G3437" i="11"/>
  <c r="S3436" i="11"/>
  <c r="R3436" i="11"/>
  <c r="Q3436" i="11"/>
  <c r="O3436" i="11"/>
  <c r="N3436" i="11"/>
  <c r="M3436" i="11"/>
  <c r="L3436" i="11"/>
  <c r="G3436" i="11"/>
  <c r="S3435" i="11"/>
  <c r="R3435" i="11"/>
  <c r="Q3435" i="11"/>
  <c r="O3435" i="11"/>
  <c r="N3435" i="11"/>
  <c r="L3435" i="11"/>
  <c r="G3435" i="11"/>
  <c r="M3435" i="11" s="1"/>
  <c r="S3434" i="11"/>
  <c r="R3434" i="11"/>
  <c r="Q3434" i="11"/>
  <c r="O3434" i="11"/>
  <c r="N3434" i="11"/>
  <c r="M3434" i="11"/>
  <c r="L3434" i="11"/>
  <c r="G3434" i="11"/>
  <c r="S3433" i="11"/>
  <c r="R3433" i="11"/>
  <c r="Q3433" i="11"/>
  <c r="O3433" i="11"/>
  <c r="N3433" i="11"/>
  <c r="M3433" i="11"/>
  <c r="L3433" i="11"/>
  <c r="G3433" i="11"/>
  <c r="S3432" i="11"/>
  <c r="R3432" i="11"/>
  <c r="Q3432" i="11"/>
  <c r="O3432" i="11"/>
  <c r="N3432" i="11"/>
  <c r="L3432" i="11"/>
  <c r="G3432" i="11"/>
  <c r="M3432" i="11" s="1"/>
  <c r="S3431" i="11"/>
  <c r="R3431" i="11"/>
  <c r="Q3431" i="11"/>
  <c r="O3431" i="11"/>
  <c r="N3431" i="11"/>
  <c r="M3431" i="11"/>
  <c r="L3431" i="11"/>
  <c r="G3431" i="11"/>
  <c r="S3430" i="11"/>
  <c r="R3430" i="11"/>
  <c r="Q3430" i="11"/>
  <c r="O3430" i="11"/>
  <c r="N3430" i="11"/>
  <c r="M3430" i="11"/>
  <c r="L3430" i="11"/>
  <c r="G3430" i="11"/>
  <c r="S3429" i="11"/>
  <c r="R3429" i="11"/>
  <c r="Q3429" i="11"/>
  <c r="O3429" i="11"/>
  <c r="N3429" i="11"/>
  <c r="L3429" i="11"/>
  <c r="G3429" i="11"/>
  <c r="M3429" i="11" s="1"/>
  <c r="S3428" i="11"/>
  <c r="R3428" i="11"/>
  <c r="Q3428" i="11"/>
  <c r="O3428" i="11"/>
  <c r="N3428" i="11"/>
  <c r="M3428" i="11"/>
  <c r="L3428" i="11"/>
  <c r="G3428" i="11"/>
  <c r="S3427" i="11"/>
  <c r="R3427" i="11"/>
  <c r="Q3427" i="11"/>
  <c r="O3427" i="11"/>
  <c r="N3427" i="11"/>
  <c r="M3427" i="11"/>
  <c r="L3427" i="11"/>
  <c r="G3427" i="11"/>
  <c r="S3426" i="11"/>
  <c r="R3426" i="11"/>
  <c r="Q3426" i="11"/>
  <c r="O3426" i="11"/>
  <c r="L3426" i="11"/>
  <c r="K3426" i="11"/>
  <c r="N3426" i="11" s="1"/>
  <c r="J3426" i="11"/>
  <c r="G3426" i="11"/>
  <c r="M3426" i="11" s="1"/>
  <c r="S3425" i="11"/>
  <c r="R3425" i="11"/>
  <c r="Q3425" i="11"/>
  <c r="O3425" i="11"/>
  <c r="N3425" i="11"/>
  <c r="M3425" i="11"/>
  <c r="L3425" i="11"/>
  <c r="G3425" i="11"/>
  <c r="S3424" i="11"/>
  <c r="R3424" i="11"/>
  <c r="Q3424" i="11"/>
  <c r="O3424" i="11"/>
  <c r="N3424" i="11"/>
  <c r="L3424" i="11"/>
  <c r="G3424" i="11"/>
  <c r="M3424" i="11" s="1"/>
  <c r="S3423" i="11"/>
  <c r="R3423" i="11"/>
  <c r="Q3423" i="11"/>
  <c r="O3423" i="11"/>
  <c r="N3423" i="11"/>
  <c r="L3423" i="11"/>
  <c r="G3423" i="11"/>
  <c r="M3423" i="11" s="1"/>
  <c r="S3422" i="11"/>
  <c r="R3422" i="11"/>
  <c r="Q3422" i="11"/>
  <c r="O3422" i="11"/>
  <c r="N3422" i="11"/>
  <c r="M3422" i="11"/>
  <c r="L3422" i="11"/>
  <c r="G3422" i="11"/>
  <c r="S3421" i="11"/>
  <c r="R3421" i="11"/>
  <c r="Q3421" i="11"/>
  <c r="O3421" i="11"/>
  <c r="N3421" i="11"/>
  <c r="L3421" i="11"/>
  <c r="G3421" i="11"/>
  <c r="M3421" i="11" s="1"/>
  <c r="S3420" i="11"/>
  <c r="R3420" i="11"/>
  <c r="Q3420" i="11"/>
  <c r="O3420" i="11"/>
  <c r="N3420" i="11"/>
  <c r="L3420" i="11"/>
  <c r="G3420" i="11"/>
  <c r="M3420" i="11" s="1"/>
  <c r="S3419" i="11"/>
  <c r="R3419" i="11"/>
  <c r="Q3419" i="11"/>
  <c r="O3419" i="11"/>
  <c r="N3419" i="11"/>
  <c r="M3419" i="11"/>
  <c r="L3419" i="11"/>
  <c r="G3419" i="11"/>
  <c r="S3418" i="11"/>
  <c r="R3418" i="11"/>
  <c r="Q3418" i="11"/>
  <c r="O3418" i="11"/>
  <c r="N3418" i="11"/>
  <c r="L3418" i="11"/>
  <c r="G3418" i="11"/>
  <c r="M3418" i="11" s="1"/>
  <c r="S3417" i="11"/>
  <c r="R3417" i="11"/>
  <c r="Q3417" i="11"/>
  <c r="O3417" i="11"/>
  <c r="N3417" i="11"/>
  <c r="L3417" i="11"/>
  <c r="G3417" i="11"/>
  <c r="M3417" i="11" s="1"/>
  <c r="S3416" i="11"/>
  <c r="R3416" i="11"/>
  <c r="Q3416" i="11"/>
  <c r="O3416" i="11"/>
  <c r="N3416" i="11"/>
  <c r="M3416" i="11"/>
  <c r="L3416" i="11"/>
  <c r="G3416" i="11"/>
  <c r="S3415" i="11"/>
  <c r="R3415" i="11"/>
  <c r="Q3415" i="11"/>
  <c r="O3415" i="11"/>
  <c r="N3415" i="11"/>
  <c r="L3415" i="11"/>
  <c r="G3415" i="11"/>
  <c r="M3415" i="11" s="1"/>
  <c r="S3414" i="11"/>
  <c r="R3414" i="11"/>
  <c r="Q3414" i="11"/>
  <c r="O3414" i="11"/>
  <c r="N3414" i="11"/>
  <c r="L3414" i="11"/>
  <c r="G3414" i="11"/>
  <c r="M3414" i="11" s="1"/>
  <c r="S3413" i="11"/>
  <c r="R3413" i="11"/>
  <c r="Q3413" i="11"/>
  <c r="O3413" i="11"/>
  <c r="N3413" i="11"/>
  <c r="M3413" i="11"/>
  <c r="L3413" i="11"/>
  <c r="G3413" i="11"/>
  <c r="S3412" i="11"/>
  <c r="R3412" i="11"/>
  <c r="Q3412" i="11"/>
  <c r="O3412" i="11"/>
  <c r="N3412" i="11"/>
  <c r="L3412" i="11"/>
  <c r="G3412" i="11"/>
  <c r="M3412" i="11" s="1"/>
  <c r="S3411" i="11"/>
  <c r="R3411" i="11"/>
  <c r="Q3411" i="11"/>
  <c r="O3411" i="11"/>
  <c r="N3411" i="11"/>
  <c r="L3411" i="11"/>
  <c r="G3411" i="11"/>
  <c r="M3411" i="11" s="1"/>
  <c r="S3410" i="11"/>
  <c r="R3410" i="11"/>
  <c r="Q3410" i="11"/>
  <c r="O3410" i="11"/>
  <c r="N3410" i="11"/>
  <c r="M3410" i="11"/>
  <c r="L3410" i="11"/>
  <c r="G3410" i="11"/>
  <c r="S3409" i="11"/>
  <c r="R3409" i="11"/>
  <c r="Q3409" i="11"/>
  <c r="O3409" i="11"/>
  <c r="N3409" i="11"/>
  <c r="L3409" i="11"/>
  <c r="G3409" i="11"/>
  <c r="M3409" i="11" s="1"/>
  <c r="S3408" i="11"/>
  <c r="R3408" i="11"/>
  <c r="Q3408" i="11"/>
  <c r="O3408" i="11"/>
  <c r="N3408" i="11"/>
  <c r="L3408" i="11"/>
  <c r="G3408" i="11"/>
  <c r="M3408" i="11" s="1"/>
  <c r="S3407" i="11"/>
  <c r="R3407" i="11"/>
  <c r="Q3407" i="11"/>
  <c r="O3407" i="11"/>
  <c r="N3407" i="11"/>
  <c r="M3407" i="11"/>
  <c r="L3407" i="11"/>
  <c r="G3407" i="11"/>
  <c r="S3406" i="11"/>
  <c r="R3406" i="11"/>
  <c r="Q3406" i="11"/>
  <c r="O3406" i="11"/>
  <c r="N3406" i="11"/>
  <c r="L3406" i="11"/>
  <c r="G3406" i="11"/>
  <c r="M3406" i="11" s="1"/>
  <c r="S3405" i="11"/>
  <c r="R3405" i="11"/>
  <c r="Q3405" i="11"/>
  <c r="O3405" i="11"/>
  <c r="N3405" i="11"/>
  <c r="L3405" i="11"/>
  <c r="G3405" i="11"/>
  <c r="M3405" i="11" s="1"/>
  <c r="S3404" i="11"/>
  <c r="R3404" i="11"/>
  <c r="Q3404" i="11"/>
  <c r="O3404" i="11"/>
  <c r="N3404" i="11"/>
  <c r="M3404" i="11"/>
  <c r="L3404" i="11"/>
  <c r="G3404" i="11"/>
  <c r="S3403" i="11"/>
  <c r="R3403" i="11"/>
  <c r="Q3403" i="11"/>
  <c r="O3403" i="11"/>
  <c r="N3403" i="11"/>
  <c r="L3403" i="11"/>
  <c r="G3403" i="11"/>
  <c r="M3403" i="11" s="1"/>
  <c r="S3402" i="11"/>
  <c r="R3402" i="11"/>
  <c r="Q3402" i="11"/>
  <c r="O3402" i="11"/>
  <c r="N3402" i="11"/>
  <c r="L3402" i="11"/>
  <c r="G3402" i="11"/>
  <c r="M3402" i="11" s="1"/>
  <c r="S3401" i="11"/>
  <c r="R3401" i="11"/>
  <c r="Q3401" i="11"/>
  <c r="O3401" i="11"/>
  <c r="N3401" i="11"/>
  <c r="M3401" i="11"/>
  <c r="L3401" i="11"/>
  <c r="G3401" i="11"/>
  <c r="S3400" i="11"/>
  <c r="R3400" i="11"/>
  <c r="Q3400" i="11"/>
  <c r="O3400" i="11"/>
  <c r="N3400" i="11"/>
  <c r="L3400" i="11"/>
  <c r="G3400" i="11"/>
  <c r="M3400" i="11" s="1"/>
  <c r="S3399" i="11"/>
  <c r="R3399" i="11"/>
  <c r="Q3399" i="11"/>
  <c r="O3399" i="11"/>
  <c r="N3399" i="11"/>
  <c r="L3399" i="11"/>
  <c r="G3399" i="11"/>
  <c r="M3399" i="11" s="1"/>
  <c r="S3398" i="11"/>
  <c r="R3398" i="11"/>
  <c r="Q3398" i="11"/>
  <c r="O3398" i="11"/>
  <c r="N3398" i="11"/>
  <c r="M3398" i="11"/>
  <c r="L3398" i="11"/>
  <c r="G3398" i="11"/>
  <c r="S3397" i="11"/>
  <c r="R3397" i="11"/>
  <c r="Q3397" i="11"/>
  <c r="O3397" i="11"/>
  <c r="N3397" i="11"/>
  <c r="L3397" i="11"/>
  <c r="G3397" i="11"/>
  <c r="M3397" i="11" s="1"/>
  <c r="S3396" i="11"/>
  <c r="R3396" i="11"/>
  <c r="Q3396" i="11"/>
  <c r="O3396" i="11"/>
  <c r="N3396" i="11"/>
  <c r="L3396" i="11"/>
  <c r="G3396" i="11"/>
  <c r="M3396" i="11" s="1"/>
  <c r="S3395" i="11"/>
  <c r="R3395" i="11"/>
  <c r="Q3395" i="11"/>
  <c r="O3395" i="11"/>
  <c r="N3395" i="11"/>
  <c r="M3395" i="11"/>
  <c r="L3395" i="11"/>
  <c r="G3395" i="11"/>
  <c r="S3394" i="11"/>
  <c r="R3394" i="11"/>
  <c r="Q3394" i="11"/>
  <c r="O3394" i="11"/>
  <c r="N3394" i="11"/>
  <c r="L3394" i="11"/>
  <c r="G3394" i="11"/>
  <c r="M3394" i="11" s="1"/>
  <c r="S3393" i="11"/>
  <c r="R3393" i="11"/>
  <c r="Q3393" i="11"/>
  <c r="O3393" i="11"/>
  <c r="N3393" i="11"/>
  <c r="L3393" i="11"/>
  <c r="G3393" i="11"/>
  <c r="M3393" i="11" s="1"/>
  <c r="S3392" i="11"/>
  <c r="R3392" i="11"/>
  <c r="Q3392" i="11"/>
  <c r="O3392" i="11"/>
  <c r="N3392" i="11"/>
  <c r="M3392" i="11"/>
  <c r="L3392" i="11"/>
  <c r="G3392" i="11"/>
  <c r="S3391" i="11"/>
  <c r="R3391" i="11"/>
  <c r="Q3391" i="11"/>
  <c r="O3391" i="11"/>
  <c r="N3391" i="11"/>
  <c r="L3391" i="11"/>
  <c r="G3391" i="11"/>
  <c r="M3391" i="11" s="1"/>
  <c r="S3390" i="11"/>
  <c r="R3390" i="11"/>
  <c r="Q3390" i="11"/>
  <c r="O3390" i="11"/>
  <c r="N3390" i="11"/>
  <c r="L3390" i="11"/>
  <c r="G3390" i="11"/>
  <c r="M3390" i="11" s="1"/>
  <c r="S3389" i="11"/>
  <c r="R3389" i="11"/>
  <c r="Q3389" i="11"/>
  <c r="O3389" i="11"/>
  <c r="N3389" i="11"/>
  <c r="M3389" i="11"/>
  <c r="L3389" i="11"/>
  <c r="G3389" i="11"/>
  <c r="S3388" i="11"/>
  <c r="R3388" i="11"/>
  <c r="Q3388" i="11"/>
  <c r="O3388" i="11"/>
  <c r="N3388" i="11"/>
  <c r="L3388" i="11"/>
  <c r="G3388" i="11"/>
  <c r="M3388" i="11" s="1"/>
  <c r="S3387" i="11"/>
  <c r="R3387" i="11"/>
  <c r="Q3387" i="11"/>
  <c r="O3387" i="11"/>
  <c r="N3387" i="11"/>
  <c r="L3387" i="11"/>
  <c r="G3387" i="11"/>
  <c r="M3387" i="11" s="1"/>
  <c r="S3386" i="11"/>
  <c r="R3386" i="11"/>
  <c r="Q3386" i="11"/>
  <c r="O3386" i="11"/>
  <c r="N3386" i="11"/>
  <c r="M3386" i="11"/>
  <c r="L3386" i="11"/>
  <c r="G3386" i="11"/>
  <c r="S3385" i="11"/>
  <c r="R3385" i="11"/>
  <c r="Q3385" i="11"/>
  <c r="O3385" i="11"/>
  <c r="N3385" i="11"/>
  <c r="L3385" i="11"/>
  <c r="G3385" i="11"/>
  <c r="M3385" i="11" s="1"/>
  <c r="S3384" i="11"/>
  <c r="R3384" i="11"/>
  <c r="Q3384" i="11"/>
  <c r="O3384" i="11"/>
  <c r="N3384" i="11"/>
  <c r="L3384" i="11"/>
  <c r="G3384" i="11"/>
  <c r="M3384" i="11" s="1"/>
  <c r="S3383" i="11"/>
  <c r="R3383" i="11"/>
  <c r="Q3383" i="11"/>
  <c r="O3383" i="11"/>
  <c r="N3383" i="11"/>
  <c r="M3383" i="11"/>
  <c r="L3383" i="11"/>
  <c r="G3383" i="11"/>
  <c r="S3382" i="11"/>
  <c r="R3382" i="11"/>
  <c r="Q3382" i="11"/>
  <c r="O3382" i="11"/>
  <c r="N3382" i="11"/>
  <c r="L3382" i="11"/>
  <c r="G3382" i="11"/>
  <c r="M3382" i="11" s="1"/>
  <c r="S3381" i="11"/>
  <c r="R3381" i="11"/>
  <c r="Q3381" i="11"/>
  <c r="O3381" i="11"/>
  <c r="N3381" i="11"/>
  <c r="L3381" i="11"/>
  <c r="G3381" i="11"/>
  <c r="M3381" i="11" s="1"/>
  <c r="S3380" i="11"/>
  <c r="R3380" i="11"/>
  <c r="Q3380" i="11"/>
  <c r="O3380" i="11"/>
  <c r="N3380" i="11"/>
  <c r="M3380" i="11"/>
  <c r="L3380" i="11"/>
  <c r="G3380" i="11"/>
  <c r="S3379" i="11"/>
  <c r="R3379" i="11"/>
  <c r="Q3379" i="11"/>
  <c r="O3379" i="11"/>
  <c r="N3379" i="11"/>
  <c r="L3379" i="11"/>
  <c r="G3379" i="11"/>
  <c r="M3379" i="11" s="1"/>
  <c r="S3378" i="11"/>
  <c r="R3378" i="11"/>
  <c r="Q3378" i="11"/>
  <c r="O3378" i="11"/>
  <c r="N3378" i="11"/>
  <c r="L3378" i="11"/>
  <c r="G3378" i="11"/>
  <c r="M3378" i="11" s="1"/>
  <c r="S3377" i="11"/>
  <c r="R3377" i="11"/>
  <c r="Q3377" i="11"/>
  <c r="O3377" i="11"/>
  <c r="M3377" i="11"/>
  <c r="L3377" i="11"/>
  <c r="K3377" i="11"/>
  <c r="N3377" i="11" s="1"/>
  <c r="G3377" i="11"/>
  <c r="S3376" i="11"/>
  <c r="R3376" i="11"/>
  <c r="Q3376" i="11"/>
  <c r="O3376" i="11"/>
  <c r="N3376" i="11"/>
  <c r="M3376" i="11"/>
  <c r="L3376" i="11"/>
  <c r="G3376" i="11"/>
  <c r="S3375" i="11"/>
  <c r="R3375" i="11"/>
  <c r="Q3375" i="11"/>
  <c r="O3375" i="11"/>
  <c r="N3375" i="11"/>
  <c r="L3375" i="11"/>
  <c r="G3375" i="11"/>
  <c r="M3375" i="11" s="1"/>
  <c r="S3374" i="11"/>
  <c r="R3374" i="11"/>
  <c r="Q3374" i="11"/>
  <c r="O3374" i="11"/>
  <c r="N3374" i="11"/>
  <c r="L3374" i="11"/>
  <c r="G3374" i="11"/>
  <c r="M3374" i="11" s="1"/>
  <c r="S3373" i="11"/>
  <c r="R3373" i="11"/>
  <c r="Q3373" i="11"/>
  <c r="O3373" i="11"/>
  <c r="N3373" i="11"/>
  <c r="M3373" i="11"/>
  <c r="L3373" i="11"/>
  <c r="G3373" i="11"/>
  <c r="S3372" i="11"/>
  <c r="R3372" i="11"/>
  <c r="Q3372" i="11"/>
  <c r="O3372" i="11"/>
  <c r="N3372" i="11"/>
  <c r="L3372" i="11"/>
  <c r="G3372" i="11"/>
  <c r="M3372" i="11" s="1"/>
  <c r="S3371" i="11"/>
  <c r="R3371" i="11"/>
  <c r="Q3371" i="11"/>
  <c r="O3371" i="11"/>
  <c r="N3371" i="11"/>
  <c r="L3371" i="11"/>
  <c r="G3371" i="11"/>
  <c r="M3371" i="11" s="1"/>
  <c r="S3370" i="11"/>
  <c r="R3370" i="11"/>
  <c r="Q3370" i="11"/>
  <c r="O3370" i="11"/>
  <c r="N3370" i="11"/>
  <c r="M3370" i="11"/>
  <c r="L3370" i="11"/>
  <c r="G3370" i="11"/>
  <c r="S3369" i="11"/>
  <c r="R3369" i="11"/>
  <c r="Q3369" i="11"/>
  <c r="O3369" i="11"/>
  <c r="N3369" i="11"/>
  <c r="L3369" i="11"/>
  <c r="G3369" i="11"/>
  <c r="M3369" i="11" s="1"/>
  <c r="S3368" i="11"/>
  <c r="R3368" i="11"/>
  <c r="Q3368" i="11"/>
  <c r="O3368" i="11"/>
  <c r="N3368" i="11"/>
  <c r="L3368" i="11"/>
  <c r="G3368" i="11"/>
  <c r="M3368" i="11" s="1"/>
  <c r="S3367" i="11"/>
  <c r="R3367" i="11"/>
  <c r="Q3367" i="11"/>
  <c r="O3367" i="11"/>
  <c r="N3367" i="11"/>
  <c r="M3367" i="11"/>
  <c r="L3367" i="11"/>
  <c r="G3367" i="11"/>
  <c r="S3366" i="11"/>
  <c r="R3366" i="11"/>
  <c r="Q3366" i="11"/>
  <c r="O3366" i="11"/>
  <c r="N3366" i="11"/>
  <c r="L3366" i="11"/>
  <c r="G3366" i="11"/>
  <c r="M3366" i="11" s="1"/>
  <c r="S3365" i="11"/>
  <c r="R3365" i="11"/>
  <c r="Q3365" i="11"/>
  <c r="O3365" i="11"/>
  <c r="N3365" i="11"/>
  <c r="L3365" i="11"/>
  <c r="G3365" i="11"/>
  <c r="M3365" i="11" s="1"/>
  <c r="S3364" i="11"/>
  <c r="R3364" i="11"/>
  <c r="Q3364" i="11"/>
  <c r="O3364" i="11"/>
  <c r="N3364" i="11"/>
  <c r="M3364" i="11"/>
  <c r="L3364" i="11"/>
  <c r="G3364" i="11"/>
  <c r="S3363" i="11"/>
  <c r="R3363" i="11"/>
  <c r="Q3363" i="11"/>
  <c r="O3363" i="11"/>
  <c r="N3363" i="11"/>
  <c r="L3363" i="11"/>
  <c r="G3363" i="11"/>
  <c r="M3363" i="11" s="1"/>
  <c r="S3362" i="11"/>
  <c r="R3362" i="11"/>
  <c r="Q3362" i="11"/>
  <c r="O3362" i="11"/>
  <c r="N3362" i="11"/>
  <c r="L3362" i="11"/>
  <c r="J3362" i="11"/>
  <c r="G3362" i="11"/>
  <c r="M3362" i="11" s="1"/>
  <c r="S3361" i="11"/>
  <c r="R3361" i="11"/>
  <c r="Q3361" i="11"/>
  <c r="O3361" i="11"/>
  <c r="N3361" i="11"/>
  <c r="M3361" i="11"/>
  <c r="L3361" i="11"/>
  <c r="G3361" i="11"/>
  <c r="S3360" i="11"/>
  <c r="R3360" i="11"/>
  <c r="Q3360" i="11"/>
  <c r="O3360" i="11"/>
  <c r="N3360" i="11"/>
  <c r="M3360" i="11"/>
  <c r="L3360" i="11"/>
  <c r="G3360" i="11"/>
  <c r="S3359" i="11"/>
  <c r="R3359" i="11"/>
  <c r="Q3359" i="11"/>
  <c r="O3359" i="11"/>
  <c r="N3359" i="11"/>
  <c r="L3359" i="11"/>
  <c r="G3359" i="11"/>
  <c r="M3359" i="11" s="1"/>
  <c r="S3358" i="11"/>
  <c r="R3358" i="11"/>
  <c r="Q3358" i="11"/>
  <c r="O3358" i="11"/>
  <c r="N3358" i="11"/>
  <c r="M3358" i="11"/>
  <c r="L3358" i="11"/>
  <c r="G3358" i="11"/>
  <c r="S3357" i="11"/>
  <c r="R3357" i="11"/>
  <c r="Q3357" i="11"/>
  <c r="O3357" i="11"/>
  <c r="N3357" i="11"/>
  <c r="M3357" i="11"/>
  <c r="L3357" i="11"/>
  <c r="G3357" i="11"/>
  <c r="S3356" i="11"/>
  <c r="R3356" i="11"/>
  <c r="Q3356" i="11"/>
  <c r="O3356" i="11"/>
  <c r="N3356" i="11"/>
  <c r="L3356" i="11"/>
  <c r="G3356" i="11"/>
  <c r="M3356" i="11" s="1"/>
  <c r="S3355" i="11"/>
  <c r="R3355" i="11"/>
  <c r="Q3355" i="11"/>
  <c r="O3355" i="11"/>
  <c r="N3355" i="11"/>
  <c r="M3355" i="11"/>
  <c r="L3355" i="11"/>
  <c r="G3355" i="11"/>
  <c r="S3354" i="11"/>
  <c r="R3354" i="11"/>
  <c r="Q3354" i="11"/>
  <c r="O3354" i="11"/>
  <c r="N3354" i="11"/>
  <c r="M3354" i="11"/>
  <c r="L3354" i="11"/>
  <c r="G3354" i="11"/>
  <c r="S3353" i="11"/>
  <c r="R3353" i="11"/>
  <c r="Q3353" i="11"/>
  <c r="O3353" i="11"/>
  <c r="N3353" i="11"/>
  <c r="L3353" i="11"/>
  <c r="G3353" i="11"/>
  <c r="M3353" i="11" s="1"/>
  <c r="S3352" i="11"/>
  <c r="R3352" i="11"/>
  <c r="Q3352" i="11"/>
  <c r="O3352" i="11"/>
  <c r="N3352" i="11"/>
  <c r="M3352" i="11"/>
  <c r="L3352" i="11"/>
  <c r="G3352" i="11"/>
  <c r="S3351" i="11"/>
  <c r="R3351" i="11"/>
  <c r="Q3351" i="11"/>
  <c r="O3351" i="11"/>
  <c r="N3351" i="11"/>
  <c r="M3351" i="11"/>
  <c r="L3351" i="11"/>
  <c r="G3351" i="11"/>
  <c r="S3350" i="11"/>
  <c r="R3350" i="11"/>
  <c r="Q3350" i="11"/>
  <c r="O3350" i="11"/>
  <c r="N3350" i="11"/>
  <c r="L3350" i="11"/>
  <c r="G3350" i="11"/>
  <c r="M3350" i="11" s="1"/>
  <c r="S3349" i="11"/>
  <c r="R3349" i="11"/>
  <c r="Q3349" i="11"/>
  <c r="O3349" i="11"/>
  <c r="N3349" i="11"/>
  <c r="M3349" i="11"/>
  <c r="L3349" i="11"/>
  <c r="G3349" i="11"/>
  <c r="S3348" i="11"/>
  <c r="R3348" i="11"/>
  <c r="Q3348" i="11"/>
  <c r="O3348" i="11"/>
  <c r="N3348" i="11"/>
  <c r="M3348" i="11"/>
  <c r="L3348" i="11"/>
  <c r="G3348" i="11"/>
  <c r="S3347" i="11"/>
  <c r="R3347" i="11"/>
  <c r="Q3347" i="11"/>
  <c r="O3347" i="11"/>
  <c r="N3347" i="11"/>
  <c r="L3347" i="11"/>
  <c r="G3347" i="11"/>
  <c r="M3347" i="11" s="1"/>
  <c r="S3346" i="11"/>
  <c r="R3346" i="11"/>
  <c r="Q3346" i="11"/>
  <c r="O3346" i="11"/>
  <c r="N3346" i="11"/>
  <c r="M3346" i="11"/>
  <c r="L3346" i="11"/>
  <c r="G3346" i="11"/>
  <c r="S3345" i="11"/>
  <c r="R3345" i="11"/>
  <c r="Q3345" i="11"/>
  <c r="O3345" i="11"/>
  <c r="N3345" i="11"/>
  <c r="M3345" i="11"/>
  <c r="L3345" i="11"/>
  <c r="G3345" i="11"/>
  <c r="S3344" i="11"/>
  <c r="R3344" i="11"/>
  <c r="Q3344" i="11"/>
  <c r="O3344" i="11"/>
  <c r="N3344" i="11"/>
  <c r="L3344" i="11"/>
  <c r="G3344" i="11"/>
  <c r="M3344" i="11" s="1"/>
  <c r="S3343" i="11"/>
  <c r="R3343" i="11"/>
  <c r="Q3343" i="11"/>
  <c r="O3343" i="11"/>
  <c r="N3343" i="11"/>
  <c r="M3343" i="11"/>
  <c r="L3343" i="11"/>
  <c r="G3343" i="11"/>
  <c r="S3342" i="11"/>
  <c r="R3342" i="11"/>
  <c r="Q3342" i="11"/>
  <c r="O3342" i="11"/>
  <c r="N3342" i="11"/>
  <c r="M3342" i="11"/>
  <c r="L3342" i="11"/>
  <c r="G3342" i="11"/>
  <c r="S3341" i="11"/>
  <c r="R3341" i="11"/>
  <c r="Q3341" i="11"/>
  <c r="O3341" i="11"/>
  <c r="N3341" i="11"/>
  <c r="L3341" i="11"/>
  <c r="G3341" i="11"/>
  <c r="M3341" i="11" s="1"/>
  <c r="S3340" i="11"/>
  <c r="R3340" i="11"/>
  <c r="Q3340" i="11"/>
  <c r="O3340" i="11"/>
  <c r="N3340" i="11"/>
  <c r="M3340" i="11"/>
  <c r="L3340" i="11"/>
  <c r="G3340" i="11"/>
  <c r="S3339" i="11"/>
  <c r="R3339" i="11"/>
  <c r="Q3339" i="11"/>
  <c r="O3339" i="11"/>
  <c r="N3339" i="11"/>
  <c r="M3339" i="11"/>
  <c r="L3339" i="11"/>
  <c r="G3339" i="11"/>
  <c r="S3338" i="11"/>
  <c r="R3338" i="11"/>
  <c r="Q3338" i="11"/>
  <c r="O3338" i="11"/>
  <c r="L3338" i="11"/>
  <c r="K3338" i="11"/>
  <c r="N3338" i="11" s="1"/>
  <c r="G3338" i="11"/>
  <c r="M3338" i="11" s="1"/>
  <c r="S3337" i="11"/>
  <c r="R3337" i="11"/>
  <c r="Q3337" i="11"/>
  <c r="O3337" i="11"/>
  <c r="N3337" i="11"/>
  <c r="M3337" i="11"/>
  <c r="L3337" i="11"/>
  <c r="G3337" i="11"/>
  <c r="S3336" i="11"/>
  <c r="R3336" i="11"/>
  <c r="Q3336" i="11"/>
  <c r="O3336" i="11"/>
  <c r="N3336" i="11"/>
  <c r="L3336" i="11"/>
  <c r="G3336" i="11"/>
  <c r="M3336" i="11" s="1"/>
  <c r="S3335" i="11"/>
  <c r="R3335" i="11"/>
  <c r="Q3335" i="11"/>
  <c r="O3335" i="11"/>
  <c r="N3335" i="11"/>
  <c r="L3335" i="11"/>
  <c r="G3335" i="11"/>
  <c r="M3335" i="11" s="1"/>
  <c r="S3334" i="11"/>
  <c r="R3334" i="11"/>
  <c r="Q3334" i="11"/>
  <c r="O3334" i="11"/>
  <c r="N3334" i="11"/>
  <c r="M3334" i="11"/>
  <c r="L3334" i="11"/>
  <c r="G3334" i="11"/>
  <c r="S3333" i="11"/>
  <c r="R3333" i="11"/>
  <c r="Q3333" i="11"/>
  <c r="O3333" i="11"/>
  <c r="N3333" i="11"/>
  <c r="L3333" i="11"/>
  <c r="G3333" i="11"/>
  <c r="M3333" i="11" s="1"/>
  <c r="S3332" i="11"/>
  <c r="R3332" i="11"/>
  <c r="Q3332" i="11"/>
  <c r="O3332" i="11"/>
  <c r="M3332" i="11"/>
  <c r="L3332" i="11"/>
  <c r="K3332" i="11"/>
  <c r="N3332" i="11" s="1"/>
  <c r="G3332" i="11"/>
  <c r="S3331" i="11"/>
  <c r="R3331" i="11"/>
  <c r="Q3331" i="11"/>
  <c r="O3331" i="11"/>
  <c r="N3331" i="11"/>
  <c r="L3331" i="11"/>
  <c r="G3331" i="11"/>
  <c r="M3331" i="11" s="1"/>
  <c r="S3330" i="11"/>
  <c r="R3330" i="11"/>
  <c r="Q3330" i="11"/>
  <c r="O3330" i="11"/>
  <c r="N3330" i="11"/>
  <c r="M3330" i="11"/>
  <c r="L3330" i="11"/>
  <c r="G3330" i="11"/>
  <c r="S3329" i="11"/>
  <c r="R3329" i="11"/>
  <c r="Q3329" i="11"/>
  <c r="O3329" i="11"/>
  <c r="N3329" i="11"/>
  <c r="L3329" i="11"/>
  <c r="J3329" i="11"/>
  <c r="G3329" i="11"/>
  <c r="M3329" i="11" s="1"/>
  <c r="S3328" i="11"/>
  <c r="R3328" i="11"/>
  <c r="Q3328" i="11"/>
  <c r="O3328" i="11"/>
  <c r="N3328" i="11"/>
  <c r="M3328" i="11"/>
  <c r="L3328" i="11"/>
  <c r="G3328" i="11"/>
  <c r="S3327" i="11"/>
  <c r="R3327" i="11"/>
  <c r="Q3327" i="11"/>
  <c r="O3327" i="11"/>
  <c r="N3327" i="11"/>
  <c r="M3327" i="11"/>
  <c r="L3327" i="11"/>
  <c r="G3327" i="11"/>
  <c r="S3326" i="11"/>
  <c r="R3326" i="11"/>
  <c r="Q3326" i="11"/>
  <c r="O3326" i="11"/>
  <c r="N3326" i="11"/>
  <c r="L3326" i="11"/>
  <c r="G3326" i="11"/>
  <c r="M3326" i="11" s="1"/>
  <c r="S3325" i="11"/>
  <c r="R3325" i="11"/>
  <c r="Q3325" i="11"/>
  <c r="O3325" i="11"/>
  <c r="N3325" i="11"/>
  <c r="M3325" i="11"/>
  <c r="L3325" i="11"/>
  <c r="G3325" i="11"/>
  <c r="S3324" i="11"/>
  <c r="R3324" i="11"/>
  <c r="Q3324" i="11"/>
  <c r="O3324" i="11"/>
  <c r="N3324" i="11"/>
  <c r="M3324" i="11"/>
  <c r="L3324" i="11"/>
  <c r="G3324" i="11"/>
  <c r="S3323" i="11"/>
  <c r="R3323" i="11"/>
  <c r="Q3323" i="11"/>
  <c r="O3323" i="11"/>
  <c r="N3323" i="11"/>
  <c r="L3323" i="11"/>
  <c r="G3323" i="11"/>
  <c r="M3323" i="11" s="1"/>
  <c r="S3322" i="11"/>
  <c r="R3322" i="11"/>
  <c r="Q3322" i="11"/>
  <c r="O3322" i="11"/>
  <c r="N3322" i="11"/>
  <c r="M3322" i="11"/>
  <c r="L3322" i="11"/>
  <c r="G3322" i="11"/>
  <c r="S3321" i="11"/>
  <c r="R3321" i="11"/>
  <c r="Q3321" i="11"/>
  <c r="O3321" i="11"/>
  <c r="N3321" i="11"/>
  <c r="L3321" i="11"/>
  <c r="J3321" i="11"/>
  <c r="G3321" i="11"/>
  <c r="M3321" i="11" s="1"/>
  <c r="S3320" i="11"/>
  <c r="R3320" i="11"/>
  <c r="Q3320" i="11"/>
  <c r="O3320" i="11"/>
  <c r="N3320" i="11"/>
  <c r="L3320" i="11"/>
  <c r="G3320" i="11"/>
  <c r="M3320" i="11" s="1"/>
  <c r="S3319" i="11"/>
  <c r="R3319" i="11"/>
  <c r="Q3319" i="11"/>
  <c r="O3319" i="11"/>
  <c r="N3319" i="11"/>
  <c r="L3319" i="11"/>
  <c r="G3319" i="11"/>
  <c r="M3319" i="11" s="1"/>
  <c r="S3318" i="11"/>
  <c r="R3318" i="11"/>
  <c r="Q3318" i="11"/>
  <c r="O3318" i="11"/>
  <c r="N3318" i="11"/>
  <c r="M3318" i="11"/>
  <c r="L3318" i="11"/>
  <c r="G3318" i="11"/>
  <c r="S3317" i="11"/>
  <c r="R3317" i="11"/>
  <c r="Q3317" i="11"/>
  <c r="O3317" i="11"/>
  <c r="N3317" i="11"/>
  <c r="L3317" i="11"/>
  <c r="G3317" i="11"/>
  <c r="M3317" i="11" s="1"/>
  <c r="S3316" i="11"/>
  <c r="R3316" i="11"/>
  <c r="Q3316" i="11"/>
  <c r="O3316" i="11"/>
  <c r="N3316" i="11"/>
  <c r="L3316" i="11"/>
  <c r="G3316" i="11"/>
  <c r="M3316" i="11" s="1"/>
  <c r="S3315" i="11"/>
  <c r="R3315" i="11"/>
  <c r="Q3315" i="11"/>
  <c r="O3315" i="11"/>
  <c r="N3315" i="11"/>
  <c r="M3315" i="11"/>
  <c r="L3315" i="11"/>
  <c r="G3315" i="11"/>
  <c r="S3314" i="11"/>
  <c r="R3314" i="11"/>
  <c r="Q3314" i="11"/>
  <c r="O3314" i="11"/>
  <c r="N3314" i="11"/>
  <c r="L3314" i="11"/>
  <c r="G3314" i="11"/>
  <c r="M3314" i="11" s="1"/>
  <c r="S3313" i="11"/>
  <c r="R3313" i="11"/>
  <c r="Q3313" i="11"/>
  <c r="O3313" i="11"/>
  <c r="N3313" i="11"/>
  <c r="L3313" i="11"/>
  <c r="G3313" i="11"/>
  <c r="M3313" i="11" s="1"/>
  <c r="S3312" i="11"/>
  <c r="R3312" i="11"/>
  <c r="Q3312" i="11"/>
  <c r="O3312" i="11"/>
  <c r="N3312" i="11"/>
  <c r="M3312" i="11"/>
  <c r="L3312" i="11"/>
  <c r="G3312" i="11"/>
  <c r="S3311" i="11"/>
  <c r="R3311" i="11"/>
  <c r="Q3311" i="11"/>
  <c r="O3311" i="11"/>
  <c r="N3311" i="11"/>
  <c r="L3311" i="11"/>
  <c r="G3311" i="11"/>
  <c r="M3311" i="11" s="1"/>
  <c r="S3310" i="11"/>
  <c r="R3310" i="11"/>
  <c r="Q3310" i="11"/>
  <c r="O3310" i="11"/>
  <c r="N3310" i="11"/>
  <c r="L3310" i="11"/>
  <c r="G3310" i="11"/>
  <c r="M3310" i="11" s="1"/>
  <c r="S3309" i="11"/>
  <c r="R3309" i="11"/>
  <c r="Q3309" i="11"/>
  <c r="O3309" i="11"/>
  <c r="N3309" i="11"/>
  <c r="M3309" i="11"/>
  <c r="L3309" i="11"/>
  <c r="G3309" i="11"/>
  <c r="S3308" i="11"/>
  <c r="R3308" i="11"/>
  <c r="Q3308" i="11"/>
  <c r="O3308" i="11"/>
  <c r="M3308" i="11"/>
  <c r="L3308" i="11"/>
  <c r="K3308" i="11"/>
  <c r="G3308" i="11"/>
  <c r="S3307" i="11"/>
  <c r="R3307" i="11"/>
  <c r="Q3307" i="11"/>
  <c r="O3307" i="11"/>
  <c r="N3307" i="11"/>
  <c r="M3307" i="11"/>
  <c r="L3307" i="11"/>
  <c r="G3307" i="11"/>
  <c r="S3306" i="11"/>
  <c r="R3306" i="11"/>
  <c r="Q3306" i="11"/>
  <c r="O3306" i="11"/>
  <c r="L3306" i="11"/>
  <c r="K3306" i="11"/>
  <c r="N3306" i="11" s="1"/>
  <c r="G3306" i="11"/>
  <c r="M3306" i="11" s="1"/>
  <c r="S3305" i="11"/>
  <c r="R3305" i="11"/>
  <c r="Q3305" i="11"/>
  <c r="O3305" i="11"/>
  <c r="N3305" i="11"/>
  <c r="M3305" i="11"/>
  <c r="L3305" i="11"/>
  <c r="G3305" i="11"/>
  <c r="S3304" i="11"/>
  <c r="R3304" i="11"/>
  <c r="Q3304" i="11"/>
  <c r="O3304" i="11"/>
  <c r="N3304" i="11"/>
  <c r="M3304" i="11"/>
  <c r="L3304" i="11"/>
  <c r="J3304" i="11"/>
  <c r="G3304" i="11"/>
  <c r="S3303" i="11"/>
  <c r="R3303" i="11"/>
  <c r="Q3303" i="11"/>
  <c r="O3303" i="11"/>
  <c r="N3303" i="11"/>
  <c r="L3303" i="11"/>
  <c r="G3303" i="11"/>
  <c r="M3303" i="11" s="1"/>
  <c r="S3302" i="11"/>
  <c r="R3302" i="11"/>
  <c r="Q3302" i="11"/>
  <c r="O3302" i="11"/>
  <c r="N3302" i="11"/>
  <c r="L3302" i="11"/>
  <c r="G3302" i="11"/>
  <c r="M3302" i="11" s="1"/>
  <c r="S3301" i="11"/>
  <c r="R3301" i="11"/>
  <c r="Q3301" i="11"/>
  <c r="O3301" i="11"/>
  <c r="N3301" i="11"/>
  <c r="M3301" i="11"/>
  <c r="L3301" i="11"/>
  <c r="G3301" i="11"/>
  <c r="S3300" i="11"/>
  <c r="R3300" i="11"/>
  <c r="Q3300" i="11"/>
  <c r="O3300" i="11"/>
  <c r="N3300" i="11"/>
  <c r="L3300" i="11"/>
  <c r="G3300" i="11"/>
  <c r="M3300" i="11" s="1"/>
  <c r="S3299" i="11"/>
  <c r="R3299" i="11"/>
  <c r="Q3299" i="11"/>
  <c r="O3299" i="11"/>
  <c r="N3299" i="11"/>
  <c r="L3299" i="11"/>
  <c r="G3299" i="11"/>
  <c r="M3299" i="11" s="1"/>
  <c r="S3298" i="11"/>
  <c r="R3298" i="11"/>
  <c r="Q3298" i="11"/>
  <c r="O3298" i="11"/>
  <c r="N3298" i="11"/>
  <c r="M3298" i="11"/>
  <c r="L3298" i="11"/>
  <c r="K3298" i="11"/>
  <c r="G3298" i="11"/>
  <c r="S3297" i="11"/>
  <c r="R3297" i="11"/>
  <c r="Q3297" i="11"/>
  <c r="O3297" i="11"/>
  <c r="N3297" i="11"/>
  <c r="M3297" i="11"/>
  <c r="L3297" i="11"/>
  <c r="G3297" i="11"/>
  <c r="S3296" i="11"/>
  <c r="R3296" i="11"/>
  <c r="Q3296" i="11"/>
  <c r="O3296" i="11"/>
  <c r="N3296" i="11"/>
  <c r="L3296" i="11"/>
  <c r="G3296" i="11"/>
  <c r="M3296" i="11" s="1"/>
  <c r="S3295" i="11"/>
  <c r="R3295" i="11"/>
  <c r="Q3295" i="11"/>
  <c r="O3295" i="11"/>
  <c r="N3295" i="11"/>
  <c r="M3295" i="11"/>
  <c r="L3295" i="11"/>
  <c r="G3295" i="11"/>
  <c r="S3294" i="11"/>
  <c r="R3294" i="11"/>
  <c r="Q3294" i="11"/>
  <c r="O3294" i="11"/>
  <c r="N3294" i="11"/>
  <c r="M3294" i="11"/>
  <c r="L3294" i="11"/>
  <c r="G3294" i="11"/>
  <c r="S3293" i="11"/>
  <c r="R3293" i="11"/>
  <c r="Q3293" i="11"/>
  <c r="O3293" i="11"/>
  <c r="N3293" i="11"/>
  <c r="L3293" i="11"/>
  <c r="G3293" i="11"/>
  <c r="M3293" i="11" s="1"/>
  <c r="S3292" i="11"/>
  <c r="R3292" i="11"/>
  <c r="Q3292" i="11"/>
  <c r="O3292" i="11"/>
  <c r="N3292" i="11"/>
  <c r="M3292" i="11"/>
  <c r="L3292" i="11"/>
  <c r="G3292" i="11"/>
  <c r="S3291" i="11"/>
  <c r="R3291" i="11"/>
  <c r="Q3291" i="11"/>
  <c r="O3291" i="11"/>
  <c r="N3291" i="11"/>
  <c r="M3291" i="11"/>
  <c r="L3291" i="11"/>
  <c r="G3291" i="11"/>
  <c r="S3290" i="11"/>
  <c r="R3290" i="11"/>
  <c r="Q3290" i="11"/>
  <c r="O3290" i="11"/>
  <c r="N3290" i="11"/>
  <c r="L3290" i="11"/>
  <c r="G3290" i="11"/>
  <c r="M3290" i="11" s="1"/>
  <c r="S3289" i="11"/>
  <c r="R3289" i="11"/>
  <c r="Q3289" i="11"/>
  <c r="O3289" i="11"/>
  <c r="N3289" i="11"/>
  <c r="M3289" i="11"/>
  <c r="L3289" i="11"/>
  <c r="G3289" i="11"/>
  <c r="S3288" i="11"/>
  <c r="R3288" i="11"/>
  <c r="Q3288" i="11"/>
  <c r="O3288" i="11"/>
  <c r="N3288" i="11"/>
  <c r="M3288" i="11"/>
  <c r="L3288" i="11"/>
  <c r="G3288" i="11"/>
  <c r="S3287" i="11"/>
  <c r="R3287" i="11"/>
  <c r="Q3287" i="11"/>
  <c r="O3287" i="11"/>
  <c r="N3287" i="11"/>
  <c r="L3287" i="11"/>
  <c r="G3287" i="11"/>
  <c r="M3287" i="11" s="1"/>
  <c r="S3286" i="11"/>
  <c r="R3286" i="11"/>
  <c r="Q3286" i="11"/>
  <c r="O3286" i="11"/>
  <c r="N3286" i="11"/>
  <c r="M3286" i="11"/>
  <c r="L3286" i="11"/>
  <c r="G3286" i="11"/>
  <c r="S3285" i="11"/>
  <c r="R3285" i="11"/>
  <c r="Q3285" i="11"/>
  <c r="O3285" i="11"/>
  <c r="N3285" i="11"/>
  <c r="M3285" i="11"/>
  <c r="L3285" i="11"/>
  <c r="G3285" i="11"/>
  <c r="S3284" i="11"/>
  <c r="R3284" i="11"/>
  <c r="Q3284" i="11"/>
  <c r="O3284" i="11"/>
  <c r="N3284" i="11"/>
  <c r="L3284" i="11"/>
  <c r="G3284" i="11"/>
  <c r="M3284" i="11" s="1"/>
  <c r="S3283" i="11"/>
  <c r="R3283" i="11"/>
  <c r="Q3283" i="11"/>
  <c r="O3283" i="11"/>
  <c r="N3283" i="11"/>
  <c r="M3283" i="11"/>
  <c r="L3283" i="11"/>
  <c r="G3283" i="11"/>
  <c r="S3282" i="11"/>
  <c r="R3282" i="11"/>
  <c r="Q3282" i="11"/>
  <c r="O3282" i="11"/>
  <c r="N3282" i="11"/>
  <c r="M3282" i="11"/>
  <c r="L3282" i="11"/>
  <c r="G3282" i="11"/>
  <c r="S3281" i="11"/>
  <c r="R3281" i="11"/>
  <c r="Q3281" i="11"/>
  <c r="O3281" i="11"/>
  <c r="N3281" i="11"/>
  <c r="L3281" i="11"/>
  <c r="G3281" i="11"/>
  <c r="M3281" i="11" s="1"/>
  <c r="S3280" i="11"/>
  <c r="R3280" i="11"/>
  <c r="Q3280" i="11"/>
  <c r="O3280" i="11"/>
  <c r="N3280" i="11"/>
  <c r="M3280" i="11"/>
  <c r="L3280" i="11"/>
  <c r="G3280" i="11"/>
  <c r="S3279" i="11"/>
  <c r="R3279" i="11"/>
  <c r="Q3279" i="11"/>
  <c r="O3279" i="11"/>
  <c r="N3279" i="11"/>
  <c r="M3279" i="11"/>
  <c r="L3279" i="11"/>
  <c r="G3279" i="11"/>
  <c r="S3278" i="11"/>
  <c r="R3278" i="11"/>
  <c r="Q3278" i="11"/>
  <c r="O3278" i="11"/>
  <c r="N3278" i="11"/>
  <c r="L3278" i="11"/>
  <c r="G3278" i="11"/>
  <c r="M3278" i="11" s="1"/>
  <c r="S3277" i="11"/>
  <c r="R3277" i="11"/>
  <c r="Q3277" i="11"/>
  <c r="O3277" i="11"/>
  <c r="N3277" i="11"/>
  <c r="M3277" i="11"/>
  <c r="L3277" i="11"/>
  <c r="G3277" i="11"/>
  <c r="S3276" i="11"/>
  <c r="R3276" i="11"/>
  <c r="Q3276" i="11"/>
  <c r="O3276" i="11"/>
  <c r="N3276" i="11"/>
  <c r="M3276" i="11"/>
  <c r="L3276" i="11"/>
  <c r="G3276" i="11"/>
  <c r="S3275" i="11"/>
  <c r="R3275" i="11"/>
  <c r="Q3275" i="11"/>
  <c r="O3275" i="11"/>
  <c r="N3275" i="11"/>
  <c r="L3275" i="11"/>
  <c r="G3275" i="11"/>
  <c r="M3275" i="11" s="1"/>
  <c r="S3274" i="11"/>
  <c r="R3274" i="11"/>
  <c r="Q3274" i="11"/>
  <c r="O3274" i="11"/>
  <c r="N3274" i="11"/>
  <c r="M3274" i="11"/>
  <c r="L3274" i="11"/>
  <c r="G3274" i="11"/>
  <c r="S3273" i="11"/>
  <c r="R3273" i="11"/>
  <c r="Q3273" i="11"/>
  <c r="O3273" i="11"/>
  <c r="N3273" i="11"/>
  <c r="L3273" i="11"/>
  <c r="J3273" i="11"/>
  <c r="G3273" i="11"/>
  <c r="M3273" i="11" s="1"/>
  <c r="S3272" i="11"/>
  <c r="R3272" i="11"/>
  <c r="Q3272" i="11"/>
  <c r="O3272" i="11"/>
  <c r="N3272" i="11"/>
  <c r="L3272" i="11"/>
  <c r="J3272" i="11"/>
  <c r="G3272" i="11"/>
  <c r="M3272" i="11" s="1"/>
  <c r="S3271" i="11"/>
  <c r="R3271" i="11"/>
  <c r="Q3271" i="11"/>
  <c r="O3271" i="11"/>
  <c r="N3271" i="11"/>
  <c r="M3271" i="11"/>
  <c r="L3271" i="11"/>
  <c r="G3271" i="11"/>
  <c r="S3270" i="11"/>
  <c r="R3270" i="11"/>
  <c r="Q3270" i="11"/>
  <c r="O3270" i="11"/>
  <c r="N3270" i="11"/>
  <c r="L3270" i="11"/>
  <c r="G3270" i="11"/>
  <c r="M3270" i="11" s="1"/>
  <c r="S3269" i="11"/>
  <c r="R3269" i="11"/>
  <c r="Q3269" i="11"/>
  <c r="O3269" i="11"/>
  <c r="N3269" i="11"/>
  <c r="L3269" i="11"/>
  <c r="G3269" i="11"/>
  <c r="M3269" i="11" s="1"/>
  <c r="S3268" i="11"/>
  <c r="R3268" i="11"/>
  <c r="Q3268" i="11"/>
  <c r="O3268" i="11"/>
  <c r="N3268" i="11"/>
  <c r="M3268" i="11"/>
  <c r="L3268" i="11"/>
  <c r="G3268" i="11"/>
  <c r="S3267" i="11"/>
  <c r="R3267" i="11"/>
  <c r="Q3267" i="11"/>
  <c r="O3267" i="11"/>
  <c r="N3267" i="11"/>
  <c r="L3267" i="11"/>
  <c r="G3267" i="11"/>
  <c r="M3267" i="11" s="1"/>
  <c r="S3266" i="11"/>
  <c r="R3266" i="11"/>
  <c r="Q3266" i="11"/>
  <c r="O3266" i="11"/>
  <c r="N3266" i="11"/>
  <c r="L3266" i="11"/>
  <c r="G3266" i="11"/>
  <c r="M3266" i="11" s="1"/>
  <c r="S3265" i="11"/>
  <c r="R3265" i="11"/>
  <c r="Q3265" i="11"/>
  <c r="O3265" i="11"/>
  <c r="N3265" i="11"/>
  <c r="M3265" i="11"/>
  <c r="L3265" i="11"/>
  <c r="G3265" i="11"/>
  <c r="S3264" i="11"/>
  <c r="R3264" i="11"/>
  <c r="Q3264" i="11"/>
  <c r="O3264" i="11"/>
  <c r="N3264" i="11"/>
  <c r="L3264" i="11"/>
  <c r="G3264" i="11"/>
  <c r="M3264" i="11" s="1"/>
  <c r="S3263" i="11"/>
  <c r="R3263" i="11"/>
  <c r="Q3263" i="11"/>
  <c r="O3263" i="11"/>
  <c r="N3263" i="11"/>
  <c r="L3263" i="11"/>
  <c r="G3263" i="11"/>
  <c r="M3263" i="11" s="1"/>
  <c r="S3262" i="11"/>
  <c r="R3262" i="11"/>
  <c r="Q3262" i="11"/>
  <c r="O3262" i="11"/>
  <c r="N3262" i="11"/>
  <c r="M3262" i="11"/>
  <c r="L3262" i="11"/>
  <c r="G3262" i="11"/>
  <c r="S3261" i="11"/>
  <c r="R3261" i="11"/>
  <c r="Q3261" i="11"/>
  <c r="O3261" i="11"/>
  <c r="N3261" i="11"/>
  <c r="L3261" i="11"/>
  <c r="G3261" i="11"/>
  <c r="M3261" i="11" s="1"/>
  <c r="S3260" i="11"/>
  <c r="R3260" i="11"/>
  <c r="Q3260" i="11"/>
  <c r="O3260" i="11"/>
  <c r="N3260" i="11"/>
  <c r="L3260" i="11"/>
  <c r="G3260" i="11"/>
  <c r="M3260" i="11" s="1"/>
  <c r="S3259" i="11"/>
  <c r="R3259" i="11"/>
  <c r="Q3259" i="11"/>
  <c r="O3259" i="11"/>
  <c r="N3259" i="11"/>
  <c r="M3259" i="11"/>
  <c r="L3259" i="11"/>
  <c r="G3259" i="11"/>
  <c r="S3258" i="11"/>
  <c r="R3258" i="11"/>
  <c r="Q3258" i="11"/>
  <c r="O3258" i="11"/>
  <c r="N3258" i="11"/>
  <c r="L3258" i="11"/>
  <c r="G3258" i="11"/>
  <c r="M3258" i="11" s="1"/>
  <c r="S3257" i="11"/>
  <c r="R3257" i="11"/>
  <c r="Q3257" i="11"/>
  <c r="O3257" i="11"/>
  <c r="N3257" i="11"/>
  <c r="L3257" i="11"/>
  <c r="G3257" i="11"/>
  <c r="M3257" i="11" s="1"/>
  <c r="S3256" i="11"/>
  <c r="R3256" i="11"/>
  <c r="Q3256" i="11"/>
  <c r="O3256" i="11"/>
  <c r="N3256" i="11"/>
  <c r="M3256" i="11"/>
  <c r="L3256" i="11"/>
  <c r="G3256" i="11"/>
  <c r="S3255" i="11"/>
  <c r="R3255" i="11"/>
  <c r="Q3255" i="11"/>
  <c r="O3255" i="11"/>
  <c r="N3255" i="11"/>
  <c r="L3255" i="11"/>
  <c r="G3255" i="11"/>
  <c r="M3255" i="11" s="1"/>
  <c r="S3254" i="11"/>
  <c r="R3254" i="11"/>
  <c r="Q3254" i="11"/>
  <c r="O3254" i="11"/>
  <c r="N3254" i="11"/>
  <c r="L3254" i="11"/>
  <c r="G3254" i="11"/>
  <c r="M3254" i="11" s="1"/>
  <c r="S3253" i="11"/>
  <c r="R3253" i="11"/>
  <c r="Q3253" i="11"/>
  <c r="O3253" i="11"/>
  <c r="N3253" i="11"/>
  <c r="M3253" i="11"/>
  <c r="L3253" i="11"/>
  <c r="G3253" i="11"/>
  <c r="S3252" i="11"/>
  <c r="R3252" i="11"/>
  <c r="Q3252" i="11"/>
  <c r="O3252" i="11"/>
  <c r="N3252" i="11"/>
  <c r="L3252" i="11"/>
  <c r="G3252" i="11"/>
  <c r="M3252" i="11" s="1"/>
  <c r="S3251" i="11"/>
  <c r="R3251" i="11"/>
  <c r="Q3251" i="11"/>
  <c r="O3251" i="11"/>
  <c r="N3251" i="11"/>
  <c r="L3251" i="11"/>
  <c r="G3251" i="11"/>
  <c r="M3251" i="11" s="1"/>
  <c r="S3250" i="11"/>
  <c r="R3250" i="11"/>
  <c r="Q3250" i="11"/>
  <c r="O3250" i="11"/>
  <c r="N3250" i="11"/>
  <c r="M3250" i="11"/>
  <c r="L3250" i="11"/>
  <c r="G3250" i="11"/>
  <c r="S3249" i="11"/>
  <c r="R3249" i="11"/>
  <c r="Q3249" i="11"/>
  <c r="O3249" i="11"/>
  <c r="N3249" i="11"/>
  <c r="L3249" i="11"/>
  <c r="G3249" i="11"/>
  <c r="M3249" i="11" s="1"/>
  <c r="S3248" i="11"/>
  <c r="R3248" i="11"/>
  <c r="Q3248" i="11"/>
  <c r="O3248" i="11"/>
  <c r="N3248" i="11"/>
  <c r="L3248" i="11"/>
  <c r="G3248" i="11"/>
  <c r="M3248" i="11" s="1"/>
  <c r="S3247" i="11"/>
  <c r="R3247" i="11"/>
  <c r="Q3247" i="11"/>
  <c r="O3247" i="11"/>
  <c r="N3247" i="11"/>
  <c r="M3247" i="11"/>
  <c r="L3247" i="11"/>
  <c r="G3247" i="11"/>
  <c r="S3246" i="11"/>
  <c r="R3246" i="11"/>
  <c r="Q3246" i="11"/>
  <c r="O3246" i="11"/>
  <c r="N3246" i="11"/>
  <c r="M3246" i="11"/>
  <c r="L3246" i="11"/>
  <c r="J3246" i="11"/>
  <c r="G3246" i="11"/>
  <c r="S3245" i="11"/>
  <c r="R3245" i="11"/>
  <c r="Q3245" i="11"/>
  <c r="O3245" i="11"/>
  <c r="N3245" i="11"/>
  <c r="L3245" i="11"/>
  <c r="G3245" i="11"/>
  <c r="M3245" i="11" s="1"/>
  <c r="S3244" i="11"/>
  <c r="R3244" i="11"/>
  <c r="Q3244" i="11"/>
  <c r="O3244" i="11"/>
  <c r="N3244" i="11"/>
  <c r="L3244" i="11"/>
  <c r="G3244" i="11"/>
  <c r="M3244" i="11" s="1"/>
  <c r="S3243" i="11"/>
  <c r="R3243" i="11"/>
  <c r="Q3243" i="11"/>
  <c r="O3243" i="11"/>
  <c r="N3243" i="11"/>
  <c r="M3243" i="11"/>
  <c r="L3243" i="11"/>
  <c r="J3243" i="11"/>
  <c r="G3243" i="11"/>
  <c r="S3242" i="11"/>
  <c r="R3242" i="11"/>
  <c r="Q3242" i="11"/>
  <c r="O3242" i="11"/>
  <c r="N3242" i="11"/>
  <c r="M3242" i="11"/>
  <c r="L3242" i="11"/>
  <c r="G3242" i="11"/>
  <c r="S3241" i="11"/>
  <c r="R3241" i="11"/>
  <c r="Q3241" i="11"/>
  <c r="O3241" i="11"/>
  <c r="N3241" i="11"/>
  <c r="L3241" i="11"/>
  <c r="G3241" i="11"/>
  <c r="M3241" i="11" s="1"/>
  <c r="S3240" i="11"/>
  <c r="R3240" i="11"/>
  <c r="Q3240" i="11"/>
  <c r="O3240" i="11"/>
  <c r="N3240" i="11"/>
  <c r="M3240" i="11"/>
  <c r="L3240" i="11"/>
  <c r="G3240" i="11"/>
  <c r="S3239" i="11"/>
  <c r="R3239" i="11"/>
  <c r="Q3239" i="11"/>
  <c r="O3239" i="11"/>
  <c r="N3239" i="11"/>
  <c r="M3239" i="11"/>
  <c r="L3239" i="11"/>
  <c r="G3239" i="11"/>
  <c r="S3238" i="11"/>
  <c r="R3238" i="11"/>
  <c r="Q3238" i="11"/>
  <c r="O3238" i="11"/>
  <c r="N3238" i="11"/>
  <c r="L3238" i="11"/>
  <c r="G3238" i="11"/>
  <c r="M3238" i="11" s="1"/>
  <c r="S3237" i="11"/>
  <c r="R3237" i="11"/>
  <c r="Q3237" i="11"/>
  <c r="O3237" i="11"/>
  <c r="N3237" i="11"/>
  <c r="M3237" i="11"/>
  <c r="L3237" i="11"/>
  <c r="G3237" i="11"/>
  <c r="S3236" i="11"/>
  <c r="R3236" i="11"/>
  <c r="Q3236" i="11"/>
  <c r="O3236" i="11"/>
  <c r="N3236" i="11"/>
  <c r="M3236" i="11"/>
  <c r="L3236" i="11"/>
  <c r="G3236" i="11"/>
  <c r="S3235" i="11"/>
  <c r="R3235" i="11"/>
  <c r="Q3235" i="11"/>
  <c r="O3235" i="11"/>
  <c r="N3235" i="11"/>
  <c r="L3235" i="11"/>
  <c r="G3235" i="11"/>
  <c r="M3235" i="11" s="1"/>
  <c r="S3234" i="11"/>
  <c r="R3234" i="11"/>
  <c r="Q3234" i="11"/>
  <c r="O3234" i="11"/>
  <c r="N3234" i="11"/>
  <c r="M3234" i="11"/>
  <c r="L3234" i="11"/>
  <c r="G3234" i="11"/>
  <c r="S3233" i="11"/>
  <c r="R3233" i="11"/>
  <c r="Q3233" i="11"/>
  <c r="O3233" i="11"/>
  <c r="N3233" i="11"/>
  <c r="M3233" i="11"/>
  <c r="L3233" i="11"/>
  <c r="G3233" i="11"/>
  <c r="S3232" i="11"/>
  <c r="R3232" i="11"/>
  <c r="Q3232" i="11"/>
  <c r="O3232" i="11"/>
  <c r="N3232" i="11"/>
  <c r="L3232" i="11"/>
  <c r="G3232" i="11"/>
  <c r="M3232" i="11" s="1"/>
  <c r="S3231" i="11"/>
  <c r="R3231" i="11"/>
  <c r="Q3231" i="11"/>
  <c r="O3231" i="11"/>
  <c r="N3231" i="11"/>
  <c r="M3231" i="11"/>
  <c r="L3231" i="11"/>
  <c r="G3231" i="11"/>
  <c r="S3230" i="11"/>
  <c r="R3230" i="11"/>
  <c r="Q3230" i="11"/>
  <c r="O3230" i="11"/>
  <c r="N3230" i="11"/>
  <c r="M3230" i="11"/>
  <c r="L3230" i="11"/>
  <c r="G3230" i="11"/>
  <c r="S3229" i="11"/>
  <c r="R3229" i="11"/>
  <c r="Q3229" i="11"/>
  <c r="O3229" i="11"/>
  <c r="N3229" i="11"/>
  <c r="L3229" i="11"/>
  <c r="G3229" i="11"/>
  <c r="M3229" i="11" s="1"/>
  <c r="S3228" i="11"/>
  <c r="R3228" i="11"/>
  <c r="Q3228" i="11"/>
  <c r="O3228" i="11"/>
  <c r="N3228" i="11"/>
  <c r="M3228" i="11"/>
  <c r="L3228" i="11"/>
  <c r="G3228" i="11"/>
  <c r="S3227" i="11"/>
  <c r="R3227" i="11"/>
  <c r="Q3227" i="11"/>
  <c r="O3227" i="11"/>
  <c r="N3227" i="11"/>
  <c r="M3227" i="11"/>
  <c r="L3227" i="11"/>
  <c r="G3227" i="11"/>
  <c r="S3226" i="11"/>
  <c r="R3226" i="11"/>
  <c r="Q3226" i="11"/>
  <c r="O3226" i="11"/>
  <c r="N3226" i="11"/>
  <c r="L3226" i="11"/>
  <c r="G3226" i="11"/>
  <c r="M3226" i="11" s="1"/>
  <c r="S3225" i="11"/>
  <c r="R3225" i="11"/>
  <c r="Q3225" i="11"/>
  <c r="O3225" i="11"/>
  <c r="N3225" i="11"/>
  <c r="M3225" i="11"/>
  <c r="L3225" i="11"/>
  <c r="G3225" i="11"/>
  <c r="S3224" i="11"/>
  <c r="R3224" i="11"/>
  <c r="Q3224" i="11"/>
  <c r="O3224" i="11"/>
  <c r="N3224" i="11"/>
  <c r="M3224" i="11"/>
  <c r="L3224" i="11"/>
  <c r="G3224" i="11"/>
  <c r="S3223" i="11"/>
  <c r="R3223" i="11"/>
  <c r="Q3223" i="11"/>
  <c r="O3223" i="11"/>
  <c r="N3223" i="11"/>
  <c r="L3223" i="11"/>
  <c r="G3223" i="11"/>
  <c r="M3223" i="11" s="1"/>
  <c r="S3222" i="11"/>
  <c r="R3222" i="11"/>
  <c r="Q3222" i="11"/>
  <c r="O3222" i="11"/>
  <c r="N3222" i="11"/>
  <c r="M3222" i="11"/>
  <c r="L3222" i="11"/>
  <c r="G3222" i="11"/>
  <c r="S3221" i="11"/>
  <c r="R3221" i="11"/>
  <c r="Q3221" i="11"/>
  <c r="O3221" i="11"/>
  <c r="N3221" i="11"/>
  <c r="M3221" i="11"/>
  <c r="L3221" i="11"/>
  <c r="G3221" i="11"/>
  <c r="S3220" i="11"/>
  <c r="R3220" i="11"/>
  <c r="Q3220" i="11"/>
  <c r="O3220" i="11"/>
  <c r="N3220" i="11"/>
  <c r="L3220" i="11"/>
  <c r="G3220" i="11"/>
  <c r="M3220" i="11" s="1"/>
  <c r="S3219" i="11"/>
  <c r="R3219" i="11"/>
  <c r="Q3219" i="11"/>
  <c r="O3219" i="11"/>
  <c r="N3219" i="11"/>
  <c r="M3219" i="11"/>
  <c r="L3219" i="11"/>
  <c r="G3219" i="11"/>
  <c r="S3218" i="11"/>
  <c r="R3218" i="11"/>
  <c r="Q3218" i="11"/>
  <c r="O3218" i="11"/>
  <c r="N3218" i="11"/>
  <c r="M3218" i="11"/>
  <c r="L3218" i="11"/>
  <c r="G3218" i="11"/>
  <c r="S3217" i="11"/>
  <c r="R3217" i="11"/>
  <c r="Q3217" i="11"/>
  <c r="O3217" i="11"/>
  <c r="N3217" i="11"/>
  <c r="L3217" i="11"/>
  <c r="G3217" i="11"/>
  <c r="M3217" i="11" s="1"/>
  <c r="S3216" i="11"/>
  <c r="R3216" i="11"/>
  <c r="Q3216" i="11"/>
  <c r="O3216" i="11"/>
  <c r="N3216" i="11"/>
  <c r="M3216" i="11"/>
  <c r="L3216" i="11"/>
  <c r="G3216" i="11"/>
  <c r="S3215" i="11"/>
  <c r="R3215" i="11"/>
  <c r="Q3215" i="11"/>
  <c r="O3215" i="11"/>
  <c r="N3215" i="11"/>
  <c r="M3215" i="11"/>
  <c r="L3215" i="11"/>
  <c r="G3215" i="11"/>
  <c r="S3214" i="11"/>
  <c r="R3214" i="11"/>
  <c r="Q3214" i="11"/>
  <c r="O3214" i="11"/>
  <c r="N3214" i="11"/>
  <c r="L3214" i="11"/>
  <c r="G3214" i="11"/>
  <c r="M3214" i="11" s="1"/>
  <c r="S3213" i="11"/>
  <c r="R3213" i="11"/>
  <c r="Q3213" i="11"/>
  <c r="O3213" i="11"/>
  <c r="N3213" i="11"/>
  <c r="M3213" i="11"/>
  <c r="L3213" i="11"/>
  <c r="G3213" i="11"/>
  <c r="S3212" i="11"/>
  <c r="R3212" i="11"/>
  <c r="Q3212" i="11"/>
  <c r="O3212" i="11"/>
  <c r="N3212" i="11"/>
  <c r="M3212" i="11"/>
  <c r="L3212" i="11"/>
  <c r="G3212" i="11"/>
  <c r="S3211" i="11"/>
  <c r="R3211" i="11"/>
  <c r="Q3211" i="11"/>
  <c r="O3211" i="11"/>
  <c r="N3211" i="11"/>
  <c r="L3211" i="11"/>
  <c r="G3211" i="11"/>
  <c r="M3211" i="11" s="1"/>
  <c r="S3210" i="11"/>
  <c r="R3210" i="11"/>
  <c r="Q3210" i="11"/>
  <c r="O3210" i="11"/>
  <c r="N3210" i="11"/>
  <c r="M3210" i="11"/>
  <c r="L3210" i="11"/>
  <c r="G3210" i="11"/>
  <c r="S3209" i="11"/>
  <c r="R3209" i="11"/>
  <c r="Q3209" i="11"/>
  <c r="O3209" i="11"/>
  <c r="N3209" i="11"/>
  <c r="L3209" i="11"/>
  <c r="J3209" i="11"/>
  <c r="G3209" i="11"/>
  <c r="M3209" i="11" s="1"/>
  <c r="S3208" i="11"/>
  <c r="R3208" i="11"/>
  <c r="Q3208" i="11"/>
  <c r="O3208" i="11"/>
  <c r="N3208" i="11"/>
  <c r="M3208" i="11"/>
  <c r="L3208" i="11"/>
  <c r="G3208" i="11"/>
  <c r="S3207" i="11"/>
  <c r="R3207" i="11"/>
  <c r="Q3207" i="11"/>
  <c r="O3207" i="11"/>
  <c r="N3207" i="11"/>
  <c r="M3207" i="11"/>
  <c r="L3207" i="11"/>
  <c r="G3207" i="11"/>
  <c r="S3206" i="11"/>
  <c r="R3206" i="11"/>
  <c r="Q3206" i="11"/>
  <c r="O3206" i="11"/>
  <c r="N3206" i="11"/>
  <c r="L3206" i="11"/>
  <c r="G3206" i="11"/>
  <c r="M3206" i="11" s="1"/>
  <c r="S3205" i="11"/>
  <c r="R3205" i="11"/>
  <c r="Q3205" i="11"/>
  <c r="O3205" i="11"/>
  <c r="N3205" i="11"/>
  <c r="M3205" i="11"/>
  <c r="L3205" i="11"/>
  <c r="G3205" i="11"/>
  <c r="S3204" i="11"/>
  <c r="R3204" i="11"/>
  <c r="Q3204" i="11"/>
  <c r="O3204" i="11"/>
  <c r="N3204" i="11"/>
  <c r="M3204" i="11"/>
  <c r="L3204" i="11"/>
  <c r="G3204" i="11"/>
  <c r="S3203" i="11"/>
  <c r="R3203" i="11"/>
  <c r="Q3203" i="11"/>
  <c r="O3203" i="11"/>
  <c r="N3203" i="11"/>
  <c r="L3203" i="11"/>
  <c r="J3203" i="11"/>
  <c r="G3203" i="11"/>
  <c r="M3203" i="11" s="1"/>
  <c r="S3202" i="11"/>
  <c r="R3202" i="11"/>
  <c r="Q3202" i="11"/>
  <c r="O3202" i="11"/>
  <c r="N3202" i="11"/>
  <c r="L3202" i="11"/>
  <c r="G3202" i="11"/>
  <c r="M3202" i="11" s="1"/>
  <c r="S3201" i="11"/>
  <c r="R3201" i="11"/>
  <c r="Q3201" i="11"/>
  <c r="O3201" i="11"/>
  <c r="N3201" i="11"/>
  <c r="M3201" i="11"/>
  <c r="L3201" i="11"/>
  <c r="G3201" i="11"/>
  <c r="S3200" i="11"/>
  <c r="R3200" i="11"/>
  <c r="Q3200" i="11"/>
  <c r="O3200" i="11"/>
  <c r="N3200" i="11"/>
  <c r="L3200" i="11"/>
  <c r="G3200" i="11"/>
  <c r="M3200" i="11" s="1"/>
  <c r="S3199" i="11"/>
  <c r="R3199" i="11"/>
  <c r="Q3199" i="11"/>
  <c r="O3199" i="11"/>
  <c r="N3199" i="11"/>
  <c r="L3199" i="11"/>
  <c r="G3199" i="11"/>
  <c r="M3199" i="11" s="1"/>
  <c r="S3198" i="11"/>
  <c r="R3198" i="11"/>
  <c r="Q3198" i="11"/>
  <c r="O3198" i="11"/>
  <c r="N3198" i="11"/>
  <c r="M3198" i="11"/>
  <c r="L3198" i="11"/>
  <c r="G3198" i="11"/>
  <c r="S3197" i="11"/>
  <c r="R3197" i="11"/>
  <c r="Q3197" i="11"/>
  <c r="O3197" i="11"/>
  <c r="N3197" i="11"/>
  <c r="L3197" i="11"/>
  <c r="G3197" i="11"/>
  <c r="M3197" i="11" s="1"/>
  <c r="S3196" i="11"/>
  <c r="R3196" i="11"/>
  <c r="Q3196" i="11"/>
  <c r="O3196" i="11"/>
  <c r="N3196" i="11"/>
  <c r="L3196" i="11"/>
  <c r="G3196" i="11"/>
  <c r="M3196" i="11" s="1"/>
  <c r="S3195" i="11"/>
  <c r="R3195" i="11"/>
  <c r="Q3195" i="11"/>
  <c r="O3195" i="11"/>
  <c r="N3195" i="11"/>
  <c r="M3195" i="11"/>
  <c r="L3195" i="11"/>
  <c r="G3195" i="11"/>
  <c r="S3194" i="11"/>
  <c r="R3194" i="11"/>
  <c r="Q3194" i="11"/>
  <c r="O3194" i="11"/>
  <c r="N3194" i="11"/>
  <c r="L3194" i="11"/>
  <c r="G3194" i="11"/>
  <c r="M3194" i="11" s="1"/>
  <c r="S3193" i="11"/>
  <c r="R3193" i="11"/>
  <c r="Q3193" i="11"/>
  <c r="O3193" i="11"/>
  <c r="M3193" i="11"/>
  <c r="L3193" i="11"/>
  <c r="K3193" i="11"/>
  <c r="N3193" i="11" s="1"/>
  <c r="G3193" i="11"/>
  <c r="S3192" i="11"/>
  <c r="R3192" i="11"/>
  <c r="Q3192" i="11"/>
  <c r="O3192" i="11"/>
  <c r="N3192" i="11"/>
  <c r="L3192" i="11"/>
  <c r="G3192" i="11"/>
  <c r="M3192" i="11" s="1"/>
  <c r="S3191" i="11"/>
  <c r="R3191" i="11"/>
  <c r="Q3191" i="11"/>
  <c r="O3191" i="11"/>
  <c r="N3191" i="11"/>
  <c r="M3191" i="11"/>
  <c r="L3191" i="11"/>
  <c r="G3191" i="11"/>
  <c r="S3190" i="11"/>
  <c r="R3190" i="11"/>
  <c r="Q3190" i="11"/>
  <c r="O3190" i="11"/>
  <c r="N3190" i="11"/>
  <c r="L3190" i="11"/>
  <c r="G3190" i="11"/>
  <c r="M3190" i="11" s="1"/>
  <c r="S3189" i="11"/>
  <c r="R3189" i="11"/>
  <c r="Q3189" i="11"/>
  <c r="O3189" i="11"/>
  <c r="N3189" i="11"/>
  <c r="L3189" i="11"/>
  <c r="G3189" i="11"/>
  <c r="M3189" i="11" s="1"/>
  <c r="S3188" i="11"/>
  <c r="R3188" i="11"/>
  <c r="Q3188" i="11"/>
  <c r="O3188" i="11"/>
  <c r="N3188" i="11"/>
  <c r="M3188" i="11"/>
  <c r="L3188" i="11"/>
  <c r="G3188" i="11"/>
  <c r="S3187" i="11"/>
  <c r="R3187" i="11"/>
  <c r="Q3187" i="11"/>
  <c r="O3187" i="11"/>
  <c r="N3187" i="11"/>
  <c r="L3187" i="11"/>
  <c r="G3187" i="11"/>
  <c r="M3187" i="11" s="1"/>
  <c r="S3186" i="11"/>
  <c r="R3186" i="11"/>
  <c r="Q3186" i="11"/>
  <c r="O3186" i="11"/>
  <c r="N3186" i="11"/>
  <c r="L3186" i="11"/>
  <c r="G3186" i="11"/>
  <c r="M3186" i="11" s="1"/>
  <c r="S3185" i="11"/>
  <c r="R3185" i="11"/>
  <c r="Q3185" i="11"/>
  <c r="O3185" i="11"/>
  <c r="N3185" i="11"/>
  <c r="M3185" i="11"/>
  <c r="L3185" i="11"/>
  <c r="G3185" i="11"/>
  <c r="S3184" i="11"/>
  <c r="R3184" i="11"/>
  <c r="Q3184" i="11"/>
  <c r="O3184" i="11"/>
  <c r="N3184" i="11"/>
  <c r="L3184" i="11"/>
  <c r="G3184" i="11"/>
  <c r="M3184" i="11" s="1"/>
  <c r="S3183" i="11"/>
  <c r="R3183" i="11"/>
  <c r="Q3183" i="11"/>
  <c r="O3183" i="11"/>
  <c r="N3183" i="11"/>
  <c r="L3183" i="11"/>
  <c r="G3183" i="11"/>
  <c r="M3183" i="11" s="1"/>
  <c r="S3182" i="11"/>
  <c r="R3182" i="11"/>
  <c r="Q3182" i="11"/>
  <c r="O3182" i="11"/>
  <c r="N3182" i="11"/>
  <c r="M3182" i="11"/>
  <c r="L3182" i="11"/>
  <c r="G3182" i="11"/>
  <c r="S3181" i="11"/>
  <c r="R3181" i="11"/>
  <c r="Q3181" i="11"/>
  <c r="O3181" i="11"/>
  <c r="N3181" i="11"/>
  <c r="L3181" i="11"/>
  <c r="K3181" i="11"/>
  <c r="J3181" i="11"/>
  <c r="G3181" i="11"/>
  <c r="M3181" i="11" s="1"/>
  <c r="S3180" i="11"/>
  <c r="R3180" i="11"/>
  <c r="Q3180" i="11"/>
  <c r="O3180" i="11"/>
  <c r="N3180" i="11"/>
  <c r="M3180" i="11"/>
  <c r="L3180" i="11"/>
  <c r="G3180" i="11"/>
  <c r="S3179" i="11"/>
  <c r="R3179" i="11"/>
  <c r="Q3179" i="11"/>
  <c r="O3179" i="11"/>
  <c r="N3179" i="11"/>
  <c r="M3179" i="11"/>
  <c r="L3179" i="11"/>
  <c r="G3179" i="11"/>
  <c r="S3178" i="11"/>
  <c r="R3178" i="11"/>
  <c r="Q3178" i="11"/>
  <c r="O3178" i="11"/>
  <c r="N3178" i="11"/>
  <c r="L3178" i="11"/>
  <c r="G3178" i="11"/>
  <c r="M3178" i="11" s="1"/>
  <c r="S3177" i="11"/>
  <c r="R3177" i="11"/>
  <c r="Q3177" i="11"/>
  <c r="O3177" i="11"/>
  <c r="N3177" i="11"/>
  <c r="M3177" i="11"/>
  <c r="L3177" i="11"/>
  <c r="G3177" i="11"/>
  <c r="S3176" i="11"/>
  <c r="R3176" i="11"/>
  <c r="Q3176" i="11"/>
  <c r="O3176" i="11"/>
  <c r="N3176" i="11"/>
  <c r="M3176" i="11"/>
  <c r="L3176" i="11"/>
  <c r="G3176" i="11"/>
  <c r="S3175" i="11"/>
  <c r="R3175" i="11"/>
  <c r="Q3175" i="11"/>
  <c r="O3175" i="11"/>
  <c r="N3175" i="11"/>
  <c r="L3175" i="11"/>
  <c r="G3175" i="11"/>
  <c r="M3175" i="11" s="1"/>
  <c r="S3174" i="11"/>
  <c r="R3174" i="11"/>
  <c r="Q3174" i="11"/>
  <c r="O3174" i="11"/>
  <c r="N3174" i="11"/>
  <c r="M3174" i="11"/>
  <c r="L3174" i="11"/>
  <c r="G3174" i="11"/>
  <c r="S3173" i="11"/>
  <c r="R3173" i="11"/>
  <c r="Q3173" i="11"/>
  <c r="O3173" i="11"/>
  <c r="N3173" i="11"/>
  <c r="M3173" i="11"/>
  <c r="L3173" i="11"/>
  <c r="G3173" i="11"/>
  <c r="S3172" i="11"/>
  <c r="R3172" i="11"/>
  <c r="Q3172" i="11"/>
  <c r="O3172" i="11"/>
  <c r="L3172" i="11"/>
  <c r="K3172" i="11"/>
  <c r="N3172" i="11" s="1"/>
  <c r="G3172" i="11"/>
  <c r="M3172" i="11" s="1"/>
  <c r="S3171" i="11"/>
  <c r="R3171" i="11"/>
  <c r="Q3171" i="11"/>
  <c r="O3171" i="11"/>
  <c r="N3171" i="11"/>
  <c r="L3171" i="11"/>
  <c r="G3171" i="11"/>
  <c r="M3171" i="11" s="1"/>
  <c r="S3170" i="11"/>
  <c r="R3170" i="11"/>
  <c r="Q3170" i="11"/>
  <c r="O3170" i="11"/>
  <c r="M3170" i="11"/>
  <c r="L3170" i="11"/>
  <c r="K3170" i="11"/>
  <c r="N3170" i="11" s="1"/>
  <c r="J3170" i="11"/>
  <c r="G3170" i="11"/>
  <c r="S3169" i="11"/>
  <c r="R3169" i="11"/>
  <c r="Q3169" i="11"/>
  <c r="O3169" i="11"/>
  <c r="N3169" i="11"/>
  <c r="M3169" i="11"/>
  <c r="L3169" i="11"/>
  <c r="G3169" i="11"/>
  <c r="S3168" i="11"/>
  <c r="R3168" i="11"/>
  <c r="Q3168" i="11"/>
  <c r="O3168" i="11"/>
  <c r="N3168" i="11"/>
  <c r="L3168" i="11"/>
  <c r="G3168" i="11"/>
  <c r="M3168" i="11" s="1"/>
  <c r="S3167" i="11"/>
  <c r="R3167" i="11"/>
  <c r="Q3167" i="11"/>
  <c r="O3167" i="11"/>
  <c r="N3167" i="11"/>
  <c r="M3167" i="11"/>
  <c r="L3167" i="11"/>
  <c r="G3167" i="11"/>
  <c r="S3166" i="11"/>
  <c r="R3166" i="11"/>
  <c r="Q3166" i="11"/>
  <c r="O3166" i="11"/>
  <c r="N3166" i="11"/>
  <c r="M3166" i="11"/>
  <c r="L3166" i="11"/>
  <c r="G3166" i="11"/>
  <c r="S3165" i="11"/>
  <c r="R3165" i="11"/>
  <c r="Q3165" i="11"/>
  <c r="O3165" i="11"/>
  <c r="N3165" i="11"/>
  <c r="L3165" i="11"/>
  <c r="G3165" i="11"/>
  <c r="M3165" i="11" s="1"/>
  <c r="S3164" i="11"/>
  <c r="R3164" i="11"/>
  <c r="Q3164" i="11"/>
  <c r="O3164" i="11"/>
  <c r="N3164" i="11"/>
  <c r="M3164" i="11"/>
  <c r="L3164" i="11"/>
  <c r="G3164" i="11"/>
  <c r="S3163" i="11"/>
  <c r="R3163" i="11"/>
  <c r="Q3163" i="11"/>
  <c r="O3163" i="11"/>
  <c r="N3163" i="11"/>
  <c r="M3163" i="11"/>
  <c r="L3163" i="11"/>
  <c r="G3163" i="11"/>
  <c r="S3162" i="11"/>
  <c r="R3162" i="11"/>
  <c r="Q3162" i="11"/>
  <c r="O3162" i="11"/>
  <c r="N3162" i="11"/>
  <c r="L3162" i="11"/>
  <c r="G3162" i="11"/>
  <c r="M3162" i="11" s="1"/>
  <c r="S3161" i="11"/>
  <c r="R3161" i="11"/>
  <c r="Q3161" i="11"/>
  <c r="O3161" i="11"/>
  <c r="N3161" i="11"/>
  <c r="M3161" i="11"/>
  <c r="L3161" i="11"/>
  <c r="G3161" i="11"/>
  <c r="S3160" i="11"/>
  <c r="R3160" i="11"/>
  <c r="Q3160" i="11"/>
  <c r="O3160" i="11"/>
  <c r="N3160" i="11"/>
  <c r="M3160" i="11"/>
  <c r="L3160" i="11"/>
  <c r="G3160" i="11"/>
  <c r="S3159" i="11"/>
  <c r="R3159" i="11"/>
  <c r="Q3159" i="11"/>
  <c r="O3159" i="11"/>
  <c r="N3159" i="11"/>
  <c r="L3159" i="11"/>
  <c r="G3159" i="11"/>
  <c r="M3159" i="11" s="1"/>
  <c r="S3158" i="11"/>
  <c r="R3158" i="11"/>
  <c r="Q3158" i="11"/>
  <c r="O3158" i="11"/>
  <c r="N3158" i="11"/>
  <c r="M3158" i="11"/>
  <c r="L3158" i="11"/>
  <c r="G3158" i="11"/>
  <c r="S3157" i="11"/>
  <c r="R3157" i="11"/>
  <c r="Q3157" i="11"/>
  <c r="O3157" i="11"/>
  <c r="N3157" i="11"/>
  <c r="M3157" i="11"/>
  <c r="L3157" i="11"/>
  <c r="G3157" i="11"/>
  <c r="S3156" i="11"/>
  <c r="R3156" i="11"/>
  <c r="Q3156" i="11"/>
  <c r="O3156" i="11"/>
  <c r="N3156" i="11"/>
  <c r="L3156" i="11"/>
  <c r="G3156" i="11"/>
  <c r="M3156" i="11" s="1"/>
  <c r="S3155" i="11"/>
  <c r="R3155" i="11"/>
  <c r="Q3155" i="11"/>
  <c r="O3155" i="11"/>
  <c r="N3155" i="11"/>
  <c r="M3155" i="11"/>
  <c r="L3155" i="11"/>
  <c r="G3155" i="11"/>
  <c r="S3154" i="11"/>
  <c r="R3154" i="11"/>
  <c r="Q3154" i="11"/>
  <c r="O3154" i="11"/>
  <c r="N3154" i="11"/>
  <c r="L3154" i="11"/>
  <c r="K3154" i="11"/>
  <c r="J3154" i="11"/>
  <c r="G3154" i="11"/>
  <c r="M3154" i="11" s="1"/>
  <c r="S3153" i="11"/>
  <c r="R3153" i="11"/>
  <c r="Q3153" i="11"/>
  <c r="O3153" i="11"/>
  <c r="N3153" i="11"/>
  <c r="M3153" i="11"/>
  <c r="L3153" i="11"/>
  <c r="G3153" i="11"/>
  <c r="S3152" i="11"/>
  <c r="R3152" i="11"/>
  <c r="Q3152" i="11"/>
  <c r="O3152" i="11"/>
  <c r="N3152" i="11"/>
  <c r="L3152" i="11"/>
  <c r="G3152" i="11"/>
  <c r="M3152" i="11" s="1"/>
  <c r="S3151" i="11"/>
  <c r="R3151" i="11"/>
  <c r="Q3151" i="11"/>
  <c r="O3151" i="11"/>
  <c r="N3151" i="11"/>
  <c r="L3151" i="11"/>
  <c r="G3151" i="11"/>
  <c r="M3151" i="11" s="1"/>
  <c r="S3150" i="11"/>
  <c r="R3150" i="11"/>
  <c r="Q3150" i="11"/>
  <c r="O3150" i="11"/>
  <c r="N3150" i="11"/>
  <c r="M3150" i="11"/>
  <c r="L3150" i="11"/>
  <c r="K3150" i="11"/>
  <c r="J3150" i="11"/>
  <c r="G3150" i="11"/>
  <c r="S3149" i="11"/>
  <c r="R3149" i="11"/>
  <c r="Q3149" i="11"/>
  <c r="O3149" i="11"/>
  <c r="N3149" i="11"/>
  <c r="L3149" i="11"/>
  <c r="G3149" i="11"/>
  <c r="M3149" i="11" s="1"/>
  <c r="S3148" i="11"/>
  <c r="R3148" i="11"/>
  <c r="Q3148" i="11"/>
  <c r="O3148" i="11"/>
  <c r="N3148" i="11"/>
  <c r="M3148" i="11"/>
  <c r="L3148" i="11"/>
  <c r="G3148" i="11"/>
  <c r="S3147" i="11"/>
  <c r="R3147" i="11"/>
  <c r="Q3147" i="11"/>
  <c r="O3147" i="11"/>
  <c r="N3147" i="11"/>
  <c r="M3147" i="11"/>
  <c r="L3147" i="11"/>
  <c r="G3147" i="11"/>
  <c r="S3146" i="11"/>
  <c r="R3146" i="11"/>
  <c r="Q3146" i="11"/>
  <c r="O3146" i="11"/>
  <c r="N3146" i="11"/>
  <c r="L3146" i="11"/>
  <c r="G3146" i="11"/>
  <c r="M3146" i="11" s="1"/>
  <c r="S3145" i="11"/>
  <c r="R3145" i="11"/>
  <c r="Q3145" i="11"/>
  <c r="O3145" i="11"/>
  <c r="N3145" i="11"/>
  <c r="M3145" i="11"/>
  <c r="L3145" i="11"/>
  <c r="G3145" i="11"/>
  <c r="S3144" i="11"/>
  <c r="R3144" i="11"/>
  <c r="Q3144" i="11"/>
  <c r="O3144" i="11"/>
  <c r="N3144" i="11"/>
  <c r="M3144" i="11"/>
  <c r="L3144" i="11"/>
  <c r="G3144" i="11"/>
  <c r="S3143" i="11"/>
  <c r="R3143" i="11"/>
  <c r="Q3143" i="11"/>
  <c r="O3143" i="11"/>
  <c r="N3143" i="11"/>
  <c r="L3143" i="11"/>
  <c r="G3143" i="11"/>
  <c r="M3143" i="11" s="1"/>
  <c r="S3142" i="11"/>
  <c r="R3142" i="11"/>
  <c r="Q3142" i="11"/>
  <c r="O3142" i="11"/>
  <c r="N3142" i="11"/>
  <c r="M3142" i="11"/>
  <c r="L3142" i="11"/>
  <c r="G3142" i="11"/>
  <c r="S3141" i="11"/>
  <c r="R3141" i="11"/>
  <c r="Q3141" i="11"/>
  <c r="O3141" i="11"/>
  <c r="N3141" i="11"/>
  <c r="M3141" i="11"/>
  <c r="L3141" i="11"/>
  <c r="G3141" i="11"/>
  <c r="S3140" i="11"/>
  <c r="R3140" i="11"/>
  <c r="Q3140" i="11"/>
  <c r="O3140" i="11"/>
  <c r="N3140" i="11"/>
  <c r="L3140" i="11"/>
  <c r="G3140" i="11"/>
  <c r="M3140" i="11" s="1"/>
  <c r="S3139" i="11"/>
  <c r="R3139" i="11"/>
  <c r="Q3139" i="11"/>
  <c r="O3139" i="11"/>
  <c r="N3139" i="11"/>
  <c r="M3139" i="11"/>
  <c r="L3139" i="11"/>
  <c r="G3139" i="11"/>
  <c r="S3138" i="11"/>
  <c r="R3138" i="11"/>
  <c r="Q3138" i="11"/>
  <c r="O3138" i="11"/>
  <c r="N3138" i="11"/>
  <c r="L3138" i="11"/>
  <c r="K3138" i="11"/>
  <c r="J3138" i="11"/>
  <c r="G3138" i="11"/>
  <c r="M3138" i="11" s="1"/>
  <c r="S3137" i="11"/>
  <c r="R3137" i="11"/>
  <c r="Q3137" i="11"/>
  <c r="O3137" i="11"/>
  <c r="N3137" i="11"/>
  <c r="M3137" i="11"/>
  <c r="L3137" i="11"/>
  <c r="G3137" i="11"/>
  <c r="S3136" i="11"/>
  <c r="R3136" i="11"/>
  <c r="Q3136" i="11"/>
  <c r="O3136" i="11"/>
  <c r="N3136" i="11"/>
  <c r="L3136" i="11"/>
  <c r="G3136" i="11"/>
  <c r="M3136" i="11" s="1"/>
  <c r="S3135" i="11"/>
  <c r="R3135" i="11"/>
  <c r="Q3135" i="11"/>
  <c r="O3135" i="11"/>
  <c r="N3135" i="11"/>
  <c r="L3135" i="11"/>
  <c r="G3135" i="11"/>
  <c r="M3135" i="11" s="1"/>
  <c r="S3134" i="11"/>
  <c r="R3134" i="11"/>
  <c r="Q3134" i="11"/>
  <c r="O3134" i="11"/>
  <c r="N3134" i="11"/>
  <c r="M3134" i="11"/>
  <c r="L3134" i="11"/>
  <c r="J3134" i="11"/>
  <c r="G3134" i="11"/>
  <c r="S3133" i="11"/>
  <c r="R3133" i="11"/>
  <c r="Q3133" i="11"/>
  <c r="O3133" i="11"/>
  <c r="N3133" i="11"/>
  <c r="M3133" i="11"/>
  <c r="L3133" i="11"/>
  <c r="G3133" i="11"/>
  <c r="S3132" i="11"/>
  <c r="R3132" i="11"/>
  <c r="Q3132" i="11"/>
  <c r="O3132" i="11"/>
  <c r="N3132" i="11"/>
  <c r="L3132" i="11"/>
  <c r="G3132" i="11"/>
  <c r="M3132" i="11" s="1"/>
  <c r="S3131" i="11"/>
  <c r="R3131" i="11"/>
  <c r="Q3131" i="11"/>
  <c r="O3131" i="11"/>
  <c r="N3131" i="11"/>
  <c r="M3131" i="11"/>
  <c r="L3131" i="11"/>
  <c r="G3131" i="11"/>
  <c r="S3130" i="11"/>
  <c r="R3130" i="11"/>
  <c r="Q3130" i="11"/>
  <c r="O3130" i="11"/>
  <c r="L3130" i="11"/>
  <c r="K3130" i="11"/>
  <c r="N3130" i="11" s="1"/>
  <c r="G3130" i="11"/>
  <c r="M3130" i="11" s="1"/>
  <c r="S3129" i="11"/>
  <c r="R3129" i="11"/>
  <c r="Q3129" i="11"/>
  <c r="O3129" i="11"/>
  <c r="N3129" i="11"/>
  <c r="L3129" i="11"/>
  <c r="J3129" i="11"/>
  <c r="G3129" i="11"/>
  <c r="M3129" i="11" s="1"/>
  <c r="S3128" i="11"/>
  <c r="R3128" i="11"/>
  <c r="Q3128" i="11"/>
  <c r="O3128" i="11"/>
  <c r="N3128" i="11"/>
  <c r="M3128" i="11"/>
  <c r="L3128" i="11"/>
  <c r="G3128" i="11"/>
  <c r="S3127" i="11"/>
  <c r="R3127" i="11"/>
  <c r="Q3127" i="11"/>
  <c r="O3127" i="11"/>
  <c r="N3127" i="11"/>
  <c r="L3127" i="11"/>
  <c r="G3127" i="11"/>
  <c r="M3127" i="11" s="1"/>
  <c r="S3126" i="11"/>
  <c r="R3126" i="11"/>
  <c r="Q3126" i="11"/>
  <c r="O3126" i="11"/>
  <c r="N3126" i="11"/>
  <c r="L3126" i="11"/>
  <c r="G3126" i="11"/>
  <c r="M3126" i="11" s="1"/>
  <c r="S3125" i="11"/>
  <c r="R3125" i="11"/>
  <c r="Q3125" i="11"/>
  <c r="O3125" i="11"/>
  <c r="N3125" i="11"/>
  <c r="M3125" i="11"/>
  <c r="L3125" i="11"/>
  <c r="G3125" i="11"/>
  <c r="S3124" i="11"/>
  <c r="R3124" i="11"/>
  <c r="Q3124" i="11"/>
  <c r="O3124" i="11"/>
  <c r="N3124" i="11"/>
  <c r="L3124" i="11"/>
  <c r="G3124" i="11"/>
  <c r="M3124" i="11" s="1"/>
  <c r="S3123" i="11"/>
  <c r="R3123" i="11"/>
  <c r="Q3123" i="11"/>
  <c r="O3123" i="11"/>
  <c r="N3123" i="11"/>
  <c r="L3123" i="11"/>
  <c r="G3123" i="11"/>
  <c r="M3123" i="11" s="1"/>
  <c r="S3122" i="11"/>
  <c r="R3122" i="11"/>
  <c r="Q3122" i="11"/>
  <c r="O3122" i="11"/>
  <c r="N3122" i="11"/>
  <c r="M3122" i="11"/>
  <c r="L3122" i="11"/>
  <c r="G3122" i="11"/>
  <c r="S3121" i="11"/>
  <c r="R3121" i="11"/>
  <c r="Q3121" i="11"/>
  <c r="O3121" i="11"/>
  <c r="N3121" i="11"/>
  <c r="L3121" i="11"/>
  <c r="G3121" i="11"/>
  <c r="M3121" i="11" s="1"/>
  <c r="S3120" i="11"/>
  <c r="R3120" i="11"/>
  <c r="Q3120" i="11"/>
  <c r="O3120" i="11"/>
  <c r="N3120" i="11"/>
  <c r="L3120" i="11"/>
  <c r="G3120" i="11"/>
  <c r="M3120" i="11" s="1"/>
  <c r="S3119" i="11"/>
  <c r="R3119" i="11"/>
  <c r="Q3119" i="11"/>
  <c r="O3119" i="11"/>
  <c r="N3119" i="11"/>
  <c r="M3119" i="11"/>
  <c r="L3119" i="11"/>
  <c r="G3119" i="11"/>
  <c r="S3118" i="11"/>
  <c r="R3118" i="11"/>
  <c r="Q3118" i="11"/>
  <c r="O3118" i="11"/>
  <c r="N3118" i="11"/>
  <c r="L3118" i="11"/>
  <c r="G3118" i="11"/>
  <c r="M3118" i="11" s="1"/>
  <c r="S3117" i="11"/>
  <c r="R3117" i="11"/>
  <c r="Q3117" i="11"/>
  <c r="O3117" i="11"/>
  <c r="N3117" i="11"/>
  <c r="L3117" i="11"/>
  <c r="G3117" i="11"/>
  <c r="M3117" i="11" s="1"/>
  <c r="S3116" i="11"/>
  <c r="R3116" i="11"/>
  <c r="Q3116" i="11"/>
  <c r="O3116" i="11"/>
  <c r="N3116" i="11"/>
  <c r="M3116" i="11"/>
  <c r="L3116" i="11"/>
  <c r="G3116" i="11"/>
  <c r="S3115" i="11"/>
  <c r="R3115" i="11"/>
  <c r="Q3115" i="11"/>
  <c r="O3115" i="11"/>
  <c r="N3115" i="11"/>
  <c r="L3115" i="11"/>
  <c r="G3115" i="11"/>
  <c r="M3115" i="11" s="1"/>
  <c r="S3114" i="11"/>
  <c r="R3114" i="11"/>
  <c r="Q3114" i="11"/>
  <c r="O3114" i="11"/>
  <c r="N3114" i="11"/>
  <c r="L3114" i="11"/>
  <c r="G3114" i="11"/>
  <c r="M3114" i="11" s="1"/>
  <c r="S3113" i="11"/>
  <c r="R3113" i="11"/>
  <c r="Q3113" i="11"/>
  <c r="O3113" i="11"/>
  <c r="N3113" i="11"/>
  <c r="M3113" i="11"/>
  <c r="L3113" i="11"/>
  <c r="G3113" i="11"/>
  <c r="S3112" i="11"/>
  <c r="R3112" i="11"/>
  <c r="Q3112" i="11"/>
  <c r="O3112" i="11"/>
  <c r="N3112" i="11"/>
  <c r="L3112" i="11"/>
  <c r="G3112" i="11"/>
  <c r="M3112" i="11" s="1"/>
  <c r="S3111" i="11"/>
  <c r="R3111" i="11"/>
  <c r="Q3111" i="11"/>
  <c r="O3111" i="11"/>
  <c r="N3111" i="11"/>
  <c r="L3111" i="11"/>
  <c r="G3111" i="11"/>
  <c r="M3111" i="11" s="1"/>
  <c r="S3110" i="11"/>
  <c r="R3110" i="11"/>
  <c r="Q3110" i="11"/>
  <c r="O3110" i="11"/>
  <c r="N3110" i="11"/>
  <c r="M3110" i="11"/>
  <c r="L3110" i="11"/>
  <c r="G3110" i="11"/>
  <c r="S3109" i="11"/>
  <c r="R3109" i="11"/>
  <c r="Q3109" i="11"/>
  <c r="O3109" i="11"/>
  <c r="N3109" i="11"/>
  <c r="L3109" i="11"/>
  <c r="G3109" i="11"/>
  <c r="M3109" i="11" s="1"/>
  <c r="S3108" i="11"/>
  <c r="R3108" i="11"/>
  <c r="Q3108" i="11"/>
  <c r="O3108" i="11"/>
  <c r="N3108" i="11"/>
  <c r="L3108" i="11"/>
  <c r="G3108" i="11"/>
  <c r="M3108" i="11" s="1"/>
  <c r="S3107" i="11"/>
  <c r="R3107" i="11"/>
  <c r="Q3107" i="11"/>
  <c r="O3107" i="11"/>
  <c r="N3107" i="11"/>
  <c r="M3107" i="11"/>
  <c r="L3107" i="11"/>
  <c r="G3107" i="11"/>
  <c r="S3106" i="11"/>
  <c r="R3106" i="11"/>
  <c r="Q3106" i="11"/>
  <c r="O3106" i="11"/>
  <c r="N3106" i="11"/>
  <c r="L3106" i="11"/>
  <c r="G3106" i="11"/>
  <c r="M3106" i="11" s="1"/>
  <c r="S3105" i="11"/>
  <c r="R3105" i="11"/>
  <c r="Q3105" i="11"/>
  <c r="O3105" i="11"/>
  <c r="N3105" i="11"/>
  <c r="L3105" i="11"/>
  <c r="G3105" i="11"/>
  <c r="M3105" i="11" s="1"/>
  <c r="S3104" i="11"/>
  <c r="R3104" i="11"/>
  <c r="Q3104" i="11"/>
  <c r="O3104" i="11"/>
  <c r="N3104" i="11"/>
  <c r="M3104" i="11"/>
  <c r="L3104" i="11"/>
  <c r="G3104" i="11"/>
  <c r="S3103" i="11"/>
  <c r="R3103" i="11"/>
  <c r="Q3103" i="11"/>
  <c r="O3103" i="11"/>
  <c r="M3103" i="11"/>
  <c r="L3103" i="11"/>
  <c r="K3103" i="11"/>
  <c r="G3103" i="11"/>
  <c r="S3102" i="11"/>
  <c r="R3102" i="11"/>
  <c r="Q3102" i="11"/>
  <c r="O3102" i="11"/>
  <c r="N3102" i="11"/>
  <c r="M3102" i="11"/>
  <c r="L3102" i="11"/>
  <c r="G3102" i="11"/>
  <c r="S3101" i="11"/>
  <c r="R3101" i="11"/>
  <c r="Q3101" i="11"/>
  <c r="O3101" i="11"/>
  <c r="N3101" i="11"/>
  <c r="L3101" i="11"/>
  <c r="G3101" i="11"/>
  <c r="M3101" i="11" s="1"/>
  <c r="S3100" i="11"/>
  <c r="R3100" i="11"/>
  <c r="Q3100" i="11"/>
  <c r="O3100" i="11"/>
  <c r="N3100" i="11"/>
  <c r="M3100" i="11"/>
  <c r="L3100" i="11"/>
  <c r="G3100" i="11"/>
  <c r="S3099" i="11"/>
  <c r="R3099" i="11"/>
  <c r="Q3099" i="11"/>
  <c r="O3099" i="11"/>
  <c r="N3099" i="11"/>
  <c r="M3099" i="11"/>
  <c r="L3099" i="11"/>
  <c r="G3099" i="11"/>
  <c r="S3098" i="11"/>
  <c r="R3098" i="11"/>
  <c r="Q3098" i="11"/>
  <c r="O3098" i="11"/>
  <c r="N3098" i="11"/>
  <c r="L3098" i="11"/>
  <c r="G3098" i="11"/>
  <c r="M3098" i="11" s="1"/>
  <c r="S3097" i="11"/>
  <c r="R3097" i="11"/>
  <c r="Q3097" i="11"/>
  <c r="O3097" i="11"/>
  <c r="N3097" i="11"/>
  <c r="M3097" i="11"/>
  <c r="L3097" i="11"/>
  <c r="G3097" i="11"/>
  <c r="S3096" i="11"/>
  <c r="R3096" i="11"/>
  <c r="Q3096" i="11"/>
  <c r="O3096" i="11"/>
  <c r="N3096" i="11"/>
  <c r="M3096" i="11"/>
  <c r="L3096" i="11"/>
  <c r="G3096" i="11"/>
  <c r="S3095" i="11"/>
  <c r="R3095" i="11"/>
  <c r="Q3095" i="11"/>
  <c r="O3095" i="11"/>
  <c r="N3095" i="11"/>
  <c r="L3095" i="11"/>
  <c r="G3095" i="11"/>
  <c r="M3095" i="11" s="1"/>
  <c r="S3094" i="11"/>
  <c r="R3094" i="11"/>
  <c r="Q3094" i="11"/>
  <c r="O3094" i="11"/>
  <c r="N3094" i="11"/>
  <c r="M3094" i="11"/>
  <c r="L3094" i="11"/>
  <c r="G3094" i="11"/>
  <c r="S3093" i="11"/>
  <c r="R3093" i="11"/>
  <c r="Q3093" i="11"/>
  <c r="O3093" i="11"/>
  <c r="N3093" i="11"/>
  <c r="M3093" i="11"/>
  <c r="L3093" i="11"/>
  <c r="G3093" i="11"/>
  <c r="S3092" i="11"/>
  <c r="R3092" i="11"/>
  <c r="Q3092" i="11"/>
  <c r="O3092" i="11"/>
  <c r="N3092" i="11"/>
  <c r="L3092" i="11"/>
  <c r="G3092" i="11"/>
  <c r="M3092" i="11" s="1"/>
  <c r="S3091" i="11"/>
  <c r="R3091" i="11"/>
  <c r="Q3091" i="11"/>
  <c r="O3091" i="11"/>
  <c r="N3091" i="11"/>
  <c r="M3091" i="11"/>
  <c r="L3091" i="11"/>
  <c r="G3091" i="11"/>
  <c r="S3090" i="11"/>
  <c r="R3090" i="11"/>
  <c r="Q3090" i="11"/>
  <c r="O3090" i="11"/>
  <c r="N3090" i="11"/>
  <c r="M3090" i="11"/>
  <c r="L3090" i="11"/>
  <c r="G3090" i="11"/>
  <c r="S3089" i="11"/>
  <c r="R3089" i="11"/>
  <c r="Q3089" i="11"/>
  <c r="O3089" i="11"/>
  <c r="N3089" i="11"/>
  <c r="L3089" i="11"/>
  <c r="G3089" i="11"/>
  <c r="M3089" i="11" s="1"/>
  <c r="S3088" i="11"/>
  <c r="R3088" i="11"/>
  <c r="Q3088" i="11"/>
  <c r="O3088" i="11"/>
  <c r="N3088" i="11"/>
  <c r="M3088" i="11"/>
  <c r="L3088" i="11"/>
  <c r="G3088" i="11"/>
  <c r="S3087" i="11"/>
  <c r="R3087" i="11"/>
  <c r="Q3087" i="11"/>
  <c r="O3087" i="11"/>
  <c r="N3087" i="11"/>
  <c r="M3087" i="11"/>
  <c r="L3087" i="11"/>
  <c r="G3087" i="11"/>
  <c r="S3086" i="11"/>
  <c r="R3086" i="11"/>
  <c r="Q3086" i="11"/>
  <c r="O3086" i="11"/>
  <c r="N3086" i="11"/>
  <c r="L3086" i="11"/>
  <c r="G3086" i="11"/>
  <c r="M3086" i="11" s="1"/>
  <c r="S3085" i="11"/>
  <c r="R3085" i="11"/>
  <c r="Q3085" i="11"/>
  <c r="O3085" i="11"/>
  <c r="N3085" i="11"/>
  <c r="M3085" i="11"/>
  <c r="L3085" i="11"/>
  <c r="G3085" i="11"/>
  <c r="S3084" i="11"/>
  <c r="R3084" i="11"/>
  <c r="Q3084" i="11"/>
  <c r="O3084" i="11"/>
  <c r="N3084" i="11"/>
  <c r="M3084" i="11"/>
  <c r="L3084" i="11"/>
  <c r="G3084" i="11"/>
  <c r="S3083" i="11"/>
  <c r="R3083" i="11"/>
  <c r="Q3083" i="11"/>
  <c r="O3083" i="11"/>
  <c r="N3083" i="11"/>
  <c r="L3083" i="11"/>
  <c r="G3083" i="11"/>
  <c r="M3083" i="11" s="1"/>
  <c r="S3082" i="11"/>
  <c r="R3082" i="11"/>
  <c r="Q3082" i="11"/>
  <c r="O3082" i="11"/>
  <c r="N3082" i="11"/>
  <c r="M3082" i="11"/>
  <c r="L3082" i="11"/>
  <c r="G3082" i="11"/>
  <c r="S3081" i="11"/>
  <c r="R3081" i="11"/>
  <c r="Q3081" i="11"/>
  <c r="O3081" i="11"/>
  <c r="N3081" i="11"/>
  <c r="M3081" i="11"/>
  <c r="L3081" i="11"/>
  <c r="G3081" i="11"/>
  <c r="S3080" i="11"/>
  <c r="R3080" i="11"/>
  <c r="Q3080" i="11"/>
  <c r="O3080" i="11"/>
  <c r="N3080" i="11"/>
  <c r="L3080" i="11"/>
  <c r="G3080" i="11"/>
  <c r="M3080" i="11" s="1"/>
  <c r="S3079" i="11"/>
  <c r="R3079" i="11"/>
  <c r="Q3079" i="11"/>
  <c r="O3079" i="11"/>
  <c r="N3079" i="11"/>
  <c r="M3079" i="11"/>
  <c r="L3079" i="11"/>
  <c r="G3079" i="11"/>
  <c r="S3078" i="11"/>
  <c r="R3078" i="11"/>
  <c r="Q3078" i="11"/>
  <c r="O3078" i="11"/>
  <c r="N3078" i="11"/>
  <c r="M3078" i="11"/>
  <c r="L3078" i="11"/>
  <c r="G3078" i="11"/>
  <c r="S3077" i="11"/>
  <c r="R3077" i="11"/>
  <c r="Q3077" i="11"/>
  <c r="O3077" i="11"/>
  <c r="N3077" i="11"/>
  <c r="L3077" i="11"/>
  <c r="G3077" i="11"/>
  <c r="M3077" i="11" s="1"/>
  <c r="S3076" i="11"/>
  <c r="R3076" i="11"/>
  <c r="Q3076" i="11"/>
  <c r="O3076" i="11"/>
  <c r="N3076" i="11"/>
  <c r="M3076" i="11"/>
  <c r="L3076" i="11"/>
  <c r="G3076" i="11"/>
  <c r="S3075" i="11"/>
  <c r="R3075" i="11"/>
  <c r="Q3075" i="11"/>
  <c r="O3075" i="11"/>
  <c r="N3075" i="11"/>
  <c r="M3075" i="11"/>
  <c r="L3075" i="11"/>
  <c r="G3075" i="11"/>
  <c r="S3074" i="11"/>
  <c r="R3074" i="11"/>
  <c r="Q3074" i="11"/>
  <c r="O3074" i="11"/>
  <c r="N3074" i="11"/>
  <c r="L3074" i="11"/>
  <c r="G3074" i="11"/>
  <c r="M3074" i="11" s="1"/>
  <c r="S3073" i="11"/>
  <c r="R3073" i="11"/>
  <c r="Q3073" i="11"/>
  <c r="O3073" i="11"/>
  <c r="N3073" i="11"/>
  <c r="M3073" i="11"/>
  <c r="L3073" i="11"/>
  <c r="G3073" i="11"/>
  <c r="S3072" i="11"/>
  <c r="R3072" i="11"/>
  <c r="Q3072" i="11"/>
  <c r="O3072" i="11"/>
  <c r="N3072" i="11"/>
  <c r="M3072" i="11"/>
  <c r="L3072" i="11"/>
  <c r="G3072" i="11"/>
  <c r="S3071" i="11"/>
  <c r="R3071" i="11"/>
  <c r="Q3071" i="11"/>
  <c r="O3071" i="11"/>
  <c r="N3071" i="11"/>
  <c r="L3071" i="11"/>
  <c r="G3071" i="11"/>
  <c r="M3071" i="11" s="1"/>
  <c r="S3070" i="11"/>
  <c r="R3070" i="11"/>
  <c r="Q3070" i="11"/>
  <c r="O3070" i="11"/>
  <c r="N3070" i="11"/>
  <c r="M3070" i="11"/>
  <c r="L3070" i="11"/>
  <c r="G3070" i="11"/>
  <c r="S3069" i="11"/>
  <c r="R3069" i="11"/>
  <c r="Q3069" i="11"/>
  <c r="O3069" i="11"/>
  <c r="N3069" i="11"/>
  <c r="M3069" i="11"/>
  <c r="L3069" i="11"/>
  <c r="G3069" i="11"/>
  <c r="S3068" i="11"/>
  <c r="R3068" i="11"/>
  <c r="Q3068" i="11"/>
  <c r="O3068" i="11"/>
  <c r="N3068" i="11"/>
  <c r="L3068" i="11"/>
  <c r="G3068" i="11"/>
  <c r="M3068" i="11" s="1"/>
  <c r="S3067" i="11"/>
  <c r="R3067" i="11"/>
  <c r="Q3067" i="11"/>
  <c r="O3067" i="11"/>
  <c r="N3067" i="11"/>
  <c r="M3067" i="11"/>
  <c r="L3067" i="11"/>
  <c r="G3067" i="11"/>
  <c r="S3066" i="11"/>
  <c r="R3066" i="11"/>
  <c r="Q3066" i="11"/>
  <c r="O3066" i="11"/>
  <c r="N3066" i="11"/>
  <c r="M3066" i="11"/>
  <c r="L3066" i="11"/>
  <c r="G3066" i="11"/>
  <c r="S3065" i="11"/>
  <c r="R3065" i="11"/>
  <c r="Q3065" i="11"/>
  <c r="O3065" i="11"/>
  <c r="N3065" i="11"/>
  <c r="L3065" i="11"/>
  <c r="G3065" i="11"/>
  <c r="M3065" i="11" s="1"/>
  <c r="S3064" i="11"/>
  <c r="R3064" i="11"/>
  <c r="Q3064" i="11"/>
  <c r="O3064" i="11"/>
  <c r="N3064" i="11"/>
  <c r="M3064" i="11"/>
  <c r="L3064" i="11"/>
  <c r="G3064" i="11"/>
  <c r="S3063" i="11"/>
  <c r="R3063" i="11"/>
  <c r="Q3063" i="11"/>
  <c r="O3063" i="11"/>
  <c r="N3063" i="11"/>
  <c r="M3063" i="11"/>
  <c r="L3063" i="11"/>
  <c r="G3063" i="11"/>
  <c r="S3062" i="11"/>
  <c r="R3062" i="11"/>
  <c r="Q3062" i="11"/>
  <c r="O3062" i="11"/>
  <c r="N3062" i="11"/>
  <c r="L3062" i="11"/>
  <c r="G3062" i="11"/>
  <c r="M3062" i="11" s="1"/>
  <c r="S3061" i="11"/>
  <c r="R3061" i="11"/>
  <c r="Q3061" i="11"/>
  <c r="O3061" i="11"/>
  <c r="N3061" i="11"/>
  <c r="M3061" i="11"/>
  <c r="L3061" i="11"/>
  <c r="G3061" i="11"/>
  <c r="S3060" i="11"/>
  <c r="R3060" i="11"/>
  <c r="Q3060" i="11"/>
  <c r="O3060" i="11"/>
  <c r="N3060" i="11"/>
  <c r="M3060" i="11"/>
  <c r="L3060" i="11"/>
  <c r="G3060" i="11"/>
  <c r="S3059" i="11"/>
  <c r="R3059" i="11"/>
  <c r="Q3059" i="11"/>
  <c r="O3059" i="11"/>
  <c r="N3059" i="11"/>
  <c r="L3059" i="11"/>
  <c r="G3059" i="11"/>
  <c r="M3059" i="11" s="1"/>
  <c r="S3058" i="11"/>
  <c r="R3058" i="11"/>
  <c r="Q3058" i="11"/>
  <c r="O3058" i="11"/>
  <c r="N3058" i="11"/>
  <c r="M3058" i="11"/>
  <c r="L3058" i="11"/>
  <c r="G3058" i="11"/>
  <c r="S3057" i="11"/>
  <c r="R3057" i="11"/>
  <c r="Q3057" i="11"/>
  <c r="O3057" i="11"/>
  <c r="N3057" i="11"/>
  <c r="M3057" i="11"/>
  <c r="L3057" i="11"/>
  <c r="G3057" i="11"/>
  <c r="S3056" i="11"/>
  <c r="R3056" i="11"/>
  <c r="Q3056" i="11"/>
  <c r="O3056" i="11"/>
  <c r="N3056" i="11"/>
  <c r="L3056" i="11"/>
  <c r="G3056" i="11"/>
  <c r="M3056" i="11" s="1"/>
  <c r="S3055" i="11"/>
  <c r="R3055" i="11"/>
  <c r="Q3055" i="11"/>
  <c r="O3055" i="11"/>
  <c r="N3055" i="11"/>
  <c r="M3055" i="11"/>
  <c r="L3055" i="11"/>
  <c r="G3055" i="11"/>
  <c r="S3054" i="11"/>
  <c r="R3054" i="11"/>
  <c r="Q3054" i="11"/>
  <c r="O3054" i="11"/>
  <c r="N3054" i="11"/>
  <c r="M3054" i="11"/>
  <c r="L3054" i="11"/>
  <c r="G3054" i="11"/>
  <c r="S3053" i="11"/>
  <c r="R3053" i="11"/>
  <c r="Q3053" i="11"/>
  <c r="O3053" i="11"/>
  <c r="N3053" i="11"/>
  <c r="L3053" i="11"/>
  <c r="G3053" i="11"/>
  <c r="M3053" i="11" s="1"/>
  <c r="S3052" i="11"/>
  <c r="R3052" i="11"/>
  <c r="Q3052" i="11"/>
  <c r="O3052" i="11"/>
  <c r="N3052" i="11"/>
  <c r="M3052" i="11"/>
  <c r="L3052" i="11"/>
  <c r="J3052" i="11"/>
  <c r="G3052" i="11"/>
  <c r="S3051" i="11"/>
  <c r="R3051" i="11"/>
  <c r="Q3051" i="11"/>
  <c r="O3051" i="11"/>
  <c r="N3051" i="11"/>
  <c r="L3051" i="11"/>
  <c r="G3051" i="11"/>
  <c r="M3051" i="11" s="1"/>
  <c r="S3050" i="11"/>
  <c r="R3050" i="11"/>
  <c r="Q3050" i="11"/>
  <c r="O3050" i="11"/>
  <c r="N3050" i="11"/>
  <c r="M3050" i="11"/>
  <c r="L3050" i="11"/>
  <c r="G3050" i="11"/>
  <c r="S3049" i="11"/>
  <c r="R3049" i="11"/>
  <c r="Q3049" i="11"/>
  <c r="O3049" i="11"/>
  <c r="N3049" i="11"/>
  <c r="M3049" i="11"/>
  <c r="L3049" i="11"/>
  <c r="G3049" i="11"/>
  <c r="S3048" i="11"/>
  <c r="R3048" i="11"/>
  <c r="Q3048" i="11"/>
  <c r="O3048" i="11"/>
  <c r="N3048" i="11"/>
  <c r="L3048" i="11"/>
  <c r="J3048" i="11"/>
  <c r="G3048" i="11"/>
  <c r="M3048" i="11" s="1"/>
  <c r="S3047" i="11"/>
  <c r="R3047" i="11"/>
  <c r="Q3047" i="11"/>
  <c r="O3047" i="11"/>
  <c r="N3047" i="11"/>
  <c r="L3047" i="11"/>
  <c r="G3047" i="11"/>
  <c r="M3047" i="11" s="1"/>
  <c r="S3046" i="11"/>
  <c r="R3046" i="11"/>
  <c r="Q3046" i="11"/>
  <c r="O3046" i="11"/>
  <c r="L3046" i="11"/>
  <c r="K3046" i="11"/>
  <c r="N3046" i="11" s="1"/>
  <c r="J3046" i="11"/>
  <c r="G3046" i="11"/>
  <c r="M3046" i="11" s="1"/>
  <c r="S3045" i="11"/>
  <c r="R3045" i="11"/>
  <c r="Q3045" i="11"/>
  <c r="O3045" i="11"/>
  <c r="N3045" i="11"/>
  <c r="M3045" i="11"/>
  <c r="L3045" i="11"/>
  <c r="G3045" i="11"/>
  <c r="S3044" i="11"/>
  <c r="R3044" i="11"/>
  <c r="Q3044" i="11"/>
  <c r="O3044" i="11"/>
  <c r="N3044" i="11"/>
  <c r="M3044" i="11"/>
  <c r="L3044" i="11"/>
  <c r="G3044" i="11"/>
  <c r="S3043" i="11"/>
  <c r="R3043" i="11"/>
  <c r="Q3043" i="11"/>
  <c r="O3043" i="11"/>
  <c r="N3043" i="11"/>
  <c r="L3043" i="11"/>
  <c r="G3043" i="11"/>
  <c r="M3043" i="11" s="1"/>
  <c r="S3042" i="11"/>
  <c r="R3042" i="11"/>
  <c r="Q3042" i="11"/>
  <c r="O3042" i="11"/>
  <c r="N3042" i="11"/>
  <c r="M3042" i="11"/>
  <c r="L3042" i="11"/>
  <c r="G3042" i="11"/>
  <c r="S3041" i="11"/>
  <c r="R3041" i="11"/>
  <c r="Q3041" i="11"/>
  <c r="O3041" i="11"/>
  <c r="N3041" i="11"/>
  <c r="M3041" i="11"/>
  <c r="L3041" i="11"/>
  <c r="G3041" i="11"/>
  <c r="S3040" i="11"/>
  <c r="R3040" i="11"/>
  <c r="Q3040" i="11"/>
  <c r="O3040" i="11"/>
  <c r="N3040" i="11"/>
  <c r="M3040" i="11"/>
  <c r="L3040" i="11"/>
  <c r="G3040" i="11"/>
  <c r="S3039" i="11"/>
  <c r="R3039" i="11"/>
  <c r="Q3039" i="11"/>
  <c r="O3039" i="11"/>
  <c r="N3039" i="11"/>
  <c r="M3039" i="11"/>
  <c r="L3039" i="11"/>
  <c r="K3039" i="11"/>
  <c r="J3039" i="11" s="1"/>
  <c r="G3039" i="11"/>
  <c r="S3038" i="11"/>
  <c r="R3038" i="11"/>
  <c r="Q3038" i="11"/>
  <c r="O3038" i="11"/>
  <c r="N3038" i="11"/>
  <c r="L3038" i="11"/>
  <c r="G3038" i="11"/>
  <c r="M3038" i="11" s="1"/>
  <c r="S3037" i="11"/>
  <c r="R3037" i="11"/>
  <c r="Q3037" i="11"/>
  <c r="O3037" i="11"/>
  <c r="N3037" i="11"/>
  <c r="L3037" i="11"/>
  <c r="G3037" i="11"/>
  <c r="M3037" i="11" s="1"/>
  <c r="S3036" i="11"/>
  <c r="R3036" i="11"/>
  <c r="Q3036" i="11"/>
  <c r="O3036" i="11"/>
  <c r="N3036" i="11"/>
  <c r="L3036" i="11"/>
  <c r="G3036" i="11"/>
  <c r="M3036" i="11" s="1"/>
  <c r="S3035" i="11"/>
  <c r="R3035" i="11"/>
  <c r="Q3035" i="11"/>
  <c r="O3035" i="11"/>
  <c r="N3035" i="11"/>
  <c r="L3035" i="11"/>
  <c r="G3035" i="11"/>
  <c r="M3035" i="11" s="1"/>
  <c r="S3034" i="11"/>
  <c r="R3034" i="11"/>
  <c r="Q3034" i="11"/>
  <c r="O3034" i="11"/>
  <c r="N3034" i="11"/>
  <c r="L3034" i="11"/>
  <c r="G3034" i="11"/>
  <c r="M3034" i="11" s="1"/>
  <c r="S3033" i="11"/>
  <c r="R3033" i="11"/>
  <c r="Q3033" i="11"/>
  <c r="O3033" i="11"/>
  <c r="N3033" i="11"/>
  <c r="L3033" i="11"/>
  <c r="G3033" i="11"/>
  <c r="M3033" i="11" s="1"/>
  <c r="S3032" i="11"/>
  <c r="R3032" i="11"/>
  <c r="Q3032" i="11"/>
  <c r="O3032" i="11"/>
  <c r="N3032" i="11"/>
  <c r="L3032" i="11"/>
  <c r="G3032" i="11"/>
  <c r="M3032" i="11" s="1"/>
  <c r="S3031" i="11"/>
  <c r="R3031" i="11"/>
  <c r="Q3031" i="11"/>
  <c r="O3031" i="11"/>
  <c r="N3031" i="11"/>
  <c r="L3031" i="11"/>
  <c r="G3031" i="11"/>
  <c r="M3031" i="11" s="1"/>
  <c r="S3030" i="11"/>
  <c r="R3030" i="11"/>
  <c r="Q3030" i="11"/>
  <c r="O3030" i="11"/>
  <c r="N3030" i="11"/>
  <c r="L3030" i="11"/>
  <c r="G3030" i="11"/>
  <c r="M3030" i="11" s="1"/>
  <c r="S3029" i="11"/>
  <c r="R3029" i="11"/>
  <c r="Q3029" i="11"/>
  <c r="O3029" i="11"/>
  <c r="N3029" i="11"/>
  <c r="L3029" i="11"/>
  <c r="G3029" i="11"/>
  <c r="M3029" i="11" s="1"/>
  <c r="S3028" i="11"/>
  <c r="R3028" i="11"/>
  <c r="Q3028" i="11"/>
  <c r="O3028" i="11"/>
  <c r="N3028" i="11"/>
  <c r="L3028" i="11"/>
  <c r="G3028" i="11"/>
  <c r="M3028" i="11" s="1"/>
  <c r="S3027" i="11"/>
  <c r="R3027" i="11"/>
  <c r="Q3027" i="11"/>
  <c r="O3027" i="11"/>
  <c r="N3027" i="11"/>
  <c r="L3027" i="11"/>
  <c r="G3027" i="11"/>
  <c r="M3027" i="11" s="1"/>
  <c r="S3026" i="11"/>
  <c r="R3026" i="11"/>
  <c r="Q3026" i="11"/>
  <c r="O3026" i="11"/>
  <c r="N3026" i="11"/>
  <c r="L3026" i="11"/>
  <c r="G3026" i="11"/>
  <c r="M3026" i="11" s="1"/>
  <c r="S3025" i="11"/>
  <c r="R3025" i="11"/>
  <c r="Q3025" i="11"/>
  <c r="O3025" i="11"/>
  <c r="N3025" i="11"/>
  <c r="L3025" i="11"/>
  <c r="G3025" i="11"/>
  <c r="M3025" i="11" s="1"/>
  <c r="S3024" i="11"/>
  <c r="R3024" i="11"/>
  <c r="Q3024" i="11"/>
  <c r="O3024" i="11"/>
  <c r="L3024" i="11"/>
  <c r="K3024" i="11"/>
  <c r="N3024" i="11" s="1"/>
  <c r="J3024" i="11"/>
  <c r="G3024" i="11"/>
  <c r="M3024" i="11" s="1"/>
  <c r="S3023" i="11"/>
  <c r="R3023" i="11"/>
  <c r="Q3023" i="11"/>
  <c r="O3023" i="11"/>
  <c r="N3023" i="11"/>
  <c r="M3023" i="11"/>
  <c r="L3023" i="11"/>
  <c r="G3023" i="11"/>
  <c r="S3022" i="11"/>
  <c r="R3022" i="11"/>
  <c r="Q3022" i="11"/>
  <c r="O3022" i="11"/>
  <c r="N3022" i="11"/>
  <c r="M3022" i="11"/>
  <c r="L3022" i="11"/>
  <c r="G3022" i="11"/>
  <c r="S3021" i="11"/>
  <c r="R3021" i="11"/>
  <c r="Q3021" i="11"/>
  <c r="O3021" i="11"/>
  <c r="N3021" i="11"/>
  <c r="L3021" i="11"/>
  <c r="G3021" i="11"/>
  <c r="M3021" i="11" s="1"/>
  <c r="S3020" i="11"/>
  <c r="R3020" i="11"/>
  <c r="Q3020" i="11"/>
  <c r="O3020" i="11"/>
  <c r="N3020" i="11"/>
  <c r="M3020" i="11"/>
  <c r="L3020" i="11"/>
  <c r="G3020" i="11"/>
  <c r="S3019" i="11"/>
  <c r="R3019" i="11"/>
  <c r="Q3019" i="11"/>
  <c r="O3019" i="11"/>
  <c r="N3019" i="11"/>
  <c r="M3019" i="11"/>
  <c r="L3019" i="11"/>
  <c r="G3019" i="11"/>
  <c r="S3018" i="11"/>
  <c r="R3018" i="11"/>
  <c r="Q3018" i="11"/>
  <c r="O3018" i="11"/>
  <c r="N3018" i="11"/>
  <c r="L3018" i="11"/>
  <c r="G3018" i="11"/>
  <c r="M3018" i="11" s="1"/>
  <c r="S3017" i="11"/>
  <c r="R3017" i="11"/>
  <c r="Q3017" i="11"/>
  <c r="O3017" i="11"/>
  <c r="N3017" i="11"/>
  <c r="M3017" i="11"/>
  <c r="L3017" i="11"/>
  <c r="G3017" i="11"/>
  <c r="S3016" i="11"/>
  <c r="R3016" i="11"/>
  <c r="Q3016" i="11"/>
  <c r="O3016" i="11"/>
  <c r="N3016" i="11"/>
  <c r="M3016" i="11"/>
  <c r="L3016" i="11"/>
  <c r="G3016" i="11"/>
  <c r="S3015" i="11"/>
  <c r="R3015" i="11"/>
  <c r="Q3015" i="11"/>
  <c r="O3015" i="11"/>
  <c r="N3015" i="11"/>
  <c r="L3015" i="11"/>
  <c r="G3015" i="11"/>
  <c r="M3015" i="11" s="1"/>
  <c r="S3014" i="11"/>
  <c r="R3014" i="11"/>
  <c r="Q3014" i="11"/>
  <c r="O3014" i="11"/>
  <c r="N3014" i="11"/>
  <c r="M3014" i="11"/>
  <c r="L3014" i="11"/>
  <c r="G3014" i="11"/>
  <c r="S3013" i="11"/>
  <c r="R3013" i="11"/>
  <c r="Q3013" i="11"/>
  <c r="O3013" i="11"/>
  <c r="N3013" i="11"/>
  <c r="M3013" i="11"/>
  <c r="L3013" i="11"/>
  <c r="G3013" i="11"/>
  <c r="S3012" i="11"/>
  <c r="R3012" i="11"/>
  <c r="Q3012" i="11"/>
  <c r="O3012" i="11"/>
  <c r="N3012" i="11"/>
  <c r="L3012" i="11"/>
  <c r="G3012" i="11"/>
  <c r="M3012" i="11" s="1"/>
  <c r="S3011" i="11"/>
  <c r="R3011" i="11"/>
  <c r="Q3011" i="11"/>
  <c r="O3011" i="11"/>
  <c r="N3011" i="11"/>
  <c r="M3011" i="11"/>
  <c r="L3011" i="11"/>
  <c r="G3011" i="11"/>
  <c r="S3010" i="11"/>
  <c r="R3010" i="11"/>
  <c r="Q3010" i="11"/>
  <c r="O3010" i="11"/>
  <c r="N3010" i="11"/>
  <c r="M3010" i="11"/>
  <c r="L3010" i="11"/>
  <c r="G3010" i="11"/>
  <c r="S3009" i="11"/>
  <c r="R3009" i="11"/>
  <c r="Q3009" i="11"/>
  <c r="O3009" i="11"/>
  <c r="L3009" i="11"/>
  <c r="K3009" i="11"/>
  <c r="N3009" i="11" s="1"/>
  <c r="G3009" i="11"/>
  <c r="M3009" i="11" s="1"/>
  <c r="S3008" i="11"/>
  <c r="R3008" i="11"/>
  <c r="Q3008" i="11"/>
  <c r="O3008" i="11"/>
  <c r="N3008" i="11"/>
  <c r="L3008" i="11"/>
  <c r="G3008" i="11"/>
  <c r="M3008" i="11" s="1"/>
  <c r="S3007" i="11"/>
  <c r="R3007" i="11"/>
  <c r="Q3007" i="11"/>
  <c r="O3007" i="11"/>
  <c r="N3007" i="11"/>
  <c r="L3007" i="11"/>
  <c r="G3007" i="11"/>
  <c r="M3007" i="11" s="1"/>
  <c r="S3006" i="11"/>
  <c r="R3006" i="11"/>
  <c r="Q3006" i="11"/>
  <c r="O3006" i="11"/>
  <c r="N3006" i="11"/>
  <c r="L3006" i="11"/>
  <c r="G3006" i="11"/>
  <c r="M3006" i="11" s="1"/>
  <c r="S3005" i="11"/>
  <c r="R3005" i="11"/>
  <c r="Q3005" i="11"/>
  <c r="O3005" i="11"/>
  <c r="N3005" i="11"/>
  <c r="L3005" i="11"/>
  <c r="G3005" i="11"/>
  <c r="M3005" i="11" s="1"/>
  <c r="S3004" i="11"/>
  <c r="R3004" i="11"/>
  <c r="Q3004" i="11"/>
  <c r="O3004" i="11"/>
  <c r="N3004" i="11"/>
  <c r="M3004" i="11"/>
  <c r="L3004" i="11"/>
  <c r="J3004" i="11"/>
  <c r="G3004" i="11"/>
  <c r="S3003" i="11"/>
  <c r="R3003" i="11"/>
  <c r="Q3003" i="11"/>
  <c r="O3003" i="11"/>
  <c r="N3003" i="11"/>
  <c r="L3003" i="11"/>
  <c r="G3003" i="11"/>
  <c r="M3003" i="11" s="1"/>
  <c r="S3002" i="11"/>
  <c r="R3002" i="11"/>
  <c r="Q3002" i="11"/>
  <c r="O3002" i="11"/>
  <c r="N3002" i="11"/>
  <c r="L3002" i="11"/>
  <c r="G3002" i="11"/>
  <c r="M3002" i="11" s="1"/>
  <c r="S3001" i="11"/>
  <c r="R3001" i="11"/>
  <c r="Q3001" i="11"/>
  <c r="O3001" i="11"/>
  <c r="N3001" i="11"/>
  <c r="M3001" i="11"/>
  <c r="L3001" i="11"/>
  <c r="G3001" i="11"/>
  <c r="S3000" i="11"/>
  <c r="R3000" i="11"/>
  <c r="Q3000" i="11"/>
  <c r="O3000" i="11"/>
  <c r="N3000" i="11"/>
  <c r="L3000" i="11"/>
  <c r="G3000" i="11"/>
  <c r="M3000" i="11" s="1"/>
  <c r="S2999" i="11"/>
  <c r="R2999" i="11"/>
  <c r="Q2999" i="11"/>
  <c r="O2999" i="11"/>
  <c r="N2999" i="11"/>
  <c r="L2999" i="11"/>
  <c r="G2999" i="11"/>
  <c r="M2999" i="11" s="1"/>
  <c r="S2998" i="11"/>
  <c r="R2998" i="11"/>
  <c r="Q2998" i="11"/>
  <c r="O2998" i="11"/>
  <c r="N2998" i="11"/>
  <c r="M2998" i="11"/>
  <c r="L2998" i="11"/>
  <c r="G2998" i="11"/>
  <c r="S2997" i="11"/>
  <c r="R2997" i="11"/>
  <c r="Q2997" i="11"/>
  <c r="O2997" i="11"/>
  <c r="N2997" i="11"/>
  <c r="L2997" i="11"/>
  <c r="G2997" i="11"/>
  <c r="M2997" i="11" s="1"/>
  <c r="S2996" i="11"/>
  <c r="R2996" i="11"/>
  <c r="Q2996" i="11"/>
  <c r="O2996" i="11"/>
  <c r="N2996" i="11"/>
  <c r="L2996" i="11"/>
  <c r="G2996" i="11"/>
  <c r="M2996" i="11" s="1"/>
  <c r="S2995" i="11"/>
  <c r="R2995" i="11"/>
  <c r="Q2995" i="11"/>
  <c r="O2995" i="11"/>
  <c r="N2995" i="11"/>
  <c r="M2995" i="11"/>
  <c r="L2995" i="11"/>
  <c r="G2995" i="11"/>
  <c r="S2994" i="11"/>
  <c r="R2994" i="11"/>
  <c r="Q2994" i="11"/>
  <c r="O2994" i="11"/>
  <c r="N2994" i="11"/>
  <c r="L2994" i="11"/>
  <c r="G2994" i="11"/>
  <c r="M2994" i="11" s="1"/>
  <c r="S2993" i="11"/>
  <c r="R2993" i="11"/>
  <c r="Q2993" i="11"/>
  <c r="O2993" i="11"/>
  <c r="N2993" i="11"/>
  <c r="L2993" i="11"/>
  <c r="G2993" i="11"/>
  <c r="M2993" i="11" s="1"/>
  <c r="S2992" i="11"/>
  <c r="R2992" i="11"/>
  <c r="Q2992" i="11"/>
  <c r="O2992" i="11"/>
  <c r="N2992" i="11"/>
  <c r="M2992" i="11"/>
  <c r="L2992" i="11"/>
  <c r="G2992" i="11"/>
  <c r="S2991" i="11"/>
  <c r="R2991" i="11"/>
  <c r="Q2991" i="11"/>
  <c r="O2991" i="11"/>
  <c r="N2991" i="11"/>
  <c r="L2991" i="11"/>
  <c r="G2991" i="11"/>
  <c r="M2991" i="11" s="1"/>
  <c r="S2990" i="11"/>
  <c r="R2990" i="11"/>
  <c r="Q2990" i="11"/>
  <c r="O2990" i="11"/>
  <c r="N2990" i="11"/>
  <c r="L2990" i="11"/>
  <c r="G2990" i="11"/>
  <c r="M2990" i="11" s="1"/>
  <c r="S2989" i="11"/>
  <c r="R2989" i="11"/>
  <c r="Q2989" i="11"/>
  <c r="O2989" i="11"/>
  <c r="N2989" i="11"/>
  <c r="M2989" i="11"/>
  <c r="L2989" i="11"/>
  <c r="G2989" i="11"/>
  <c r="S2988" i="11"/>
  <c r="R2988" i="11"/>
  <c r="Q2988" i="11"/>
  <c r="O2988" i="11"/>
  <c r="N2988" i="11"/>
  <c r="L2988" i="11"/>
  <c r="K2988" i="11"/>
  <c r="G2988" i="11"/>
  <c r="M2988" i="11" s="1"/>
  <c r="S2987" i="11"/>
  <c r="R2987" i="11"/>
  <c r="Q2987" i="11"/>
  <c r="O2987" i="11"/>
  <c r="N2987" i="11"/>
  <c r="L2987" i="11"/>
  <c r="G2987" i="11"/>
  <c r="M2987" i="11" s="1"/>
  <c r="S2986" i="11"/>
  <c r="R2986" i="11"/>
  <c r="Q2986" i="11"/>
  <c r="O2986" i="11"/>
  <c r="N2986" i="11"/>
  <c r="M2986" i="11"/>
  <c r="L2986" i="11"/>
  <c r="K2986" i="11"/>
  <c r="J2986" i="11" s="1"/>
  <c r="G2986" i="11"/>
  <c r="S2985" i="11"/>
  <c r="R2985" i="11"/>
  <c r="Q2985" i="11"/>
  <c r="O2985" i="11"/>
  <c r="N2985" i="11"/>
  <c r="L2985" i="11"/>
  <c r="G2985" i="11"/>
  <c r="M2985" i="11" s="1"/>
  <c r="S2984" i="11"/>
  <c r="R2984" i="11"/>
  <c r="Q2984" i="11"/>
  <c r="O2984" i="11"/>
  <c r="N2984" i="11"/>
  <c r="L2984" i="11"/>
  <c r="G2984" i="11"/>
  <c r="M2984" i="11" s="1"/>
  <c r="S2983" i="11"/>
  <c r="R2983" i="11"/>
  <c r="Q2983" i="11"/>
  <c r="O2983" i="11"/>
  <c r="N2983" i="11"/>
  <c r="L2983" i="11"/>
  <c r="G2983" i="11"/>
  <c r="M2983" i="11" s="1"/>
  <c r="S2982" i="11"/>
  <c r="R2982" i="11"/>
  <c r="Q2982" i="11"/>
  <c r="O2982" i="11"/>
  <c r="N2982" i="11"/>
  <c r="L2982" i="11"/>
  <c r="G2982" i="11"/>
  <c r="M2982" i="11" s="1"/>
  <c r="S2981" i="11"/>
  <c r="R2981" i="11"/>
  <c r="Q2981" i="11"/>
  <c r="O2981" i="11"/>
  <c r="N2981" i="11"/>
  <c r="L2981" i="11"/>
  <c r="G2981" i="11"/>
  <c r="M2981" i="11" s="1"/>
  <c r="S2980" i="11"/>
  <c r="R2980" i="11"/>
  <c r="Q2980" i="11"/>
  <c r="O2980" i="11"/>
  <c r="N2980" i="11"/>
  <c r="L2980" i="11"/>
  <c r="G2980" i="11"/>
  <c r="M2980" i="11" s="1"/>
  <c r="S2979" i="11"/>
  <c r="R2979" i="11"/>
  <c r="Q2979" i="11"/>
  <c r="O2979" i="11"/>
  <c r="N2979" i="11"/>
  <c r="L2979" i="11"/>
  <c r="G2979" i="11"/>
  <c r="M2979" i="11" s="1"/>
  <c r="S2978" i="11"/>
  <c r="R2978" i="11"/>
  <c r="Q2978" i="11"/>
  <c r="O2978" i="11"/>
  <c r="M2978" i="11"/>
  <c r="L2978" i="11"/>
  <c r="K2978" i="11"/>
  <c r="N2978" i="11" s="1"/>
  <c r="J2978" i="11"/>
  <c r="G2978" i="11"/>
  <c r="S2977" i="11"/>
  <c r="R2977" i="11"/>
  <c r="Q2977" i="11"/>
  <c r="O2977" i="11"/>
  <c r="L2977" i="11"/>
  <c r="K2977" i="11"/>
  <c r="N2977" i="11" s="1"/>
  <c r="G2977" i="11"/>
  <c r="M2977" i="11" s="1"/>
  <c r="S2976" i="11"/>
  <c r="R2976" i="11"/>
  <c r="Q2976" i="11"/>
  <c r="O2976" i="11"/>
  <c r="N2976" i="11"/>
  <c r="L2976" i="11"/>
  <c r="G2976" i="11"/>
  <c r="M2976" i="11" s="1"/>
  <c r="S2975" i="11"/>
  <c r="R2975" i="11"/>
  <c r="Q2975" i="11"/>
  <c r="O2975" i="11"/>
  <c r="N2975" i="11"/>
  <c r="L2975" i="11"/>
  <c r="G2975" i="11"/>
  <c r="M2975" i="11" s="1"/>
  <c r="S2974" i="11"/>
  <c r="R2974" i="11"/>
  <c r="Q2974" i="11"/>
  <c r="O2974" i="11"/>
  <c r="N2974" i="11"/>
  <c r="L2974" i="11"/>
  <c r="G2974" i="11"/>
  <c r="M2974" i="11" s="1"/>
  <c r="S2973" i="11"/>
  <c r="R2973" i="11"/>
  <c r="Q2973" i="11"/>
  <c r="O2973" i="11"/>
  <c r="N2973" i="11"/>
  <c r="L2973" i="11"/>
  <c r="G2973" i="11"/>
  <c r="M2973" i="11" s="1"/>
  <c r="S2972" i="11"/>
  <c r="R2972" i="11"/>
  <c r="Q2972" i="11"/>
  <c r="O2972" i="11"/>
  <c r="N2972" i="11"/>
  <c r="L2972" i="11"/>
  <c r="G2972" i="11"/>
  <c r="M2972" i="11" s="1"/>
  <c r="S2971" i="11"/>
  <c r="R2971" i="11"/>
  <c r="Q2971" i="11"/>
  <c r="O2971" i="11"/>
  <c r="N2971" i="11"/>
  <c r="L2971" i="11"/>
  <c r="G2971" i="11"/>
  <c r="M2971" i="11" s="1"/>
  <c r="S2970" i="11"/>
  <c r="R2970" i="11"/>
  <c r="Q2970" i="11"/>
  <c r="O2970" i="11"/>
  <c r="N2970" i="11"/>
  <c r="L2970" i="11"/>
  <c r="G2970" i="11"/>
  <c r="M2970" i="11" s="1"/>
  <c r="S2969" i="11"/>
  <c r="R2969" i="11"/>
  <c r="Q2969" i="11"/>
  <c r="O2969" i="11"/>
  <c r="N2969" i="11"/>
  <c r="L2969" i="11"/>
  <c r="G2969" i="11"/>
  <c r="M2969" i="11" s="1"/>
  <c r="S2968" i="11"/>
  <c r="R2968" i="11"/>
  <c r="Q2968" i="11"/>
  <c r="O2968" i="11"/>
  <c r="N2968" i="11"/>
  <c r="L2968" i="11"/>
  <c r="G2968" i="11"/>
  <c r="M2968" i="11" s="1"/>
  <c r="S2967" i="11"/>
  <c r="R2967" i="11"/>
  <c r="Q2967" i="11"/>
  <c r="O2967" i="11"/>
  <c r="N2967" i="11"/>
  <c r="L2967" i="11"/>
  <c r="G2967" i="11"/>
  <c r="M2967" i="11" s="1"/>
  <c r="S2966" i="11"/>
  <c r="R2966" i="11"/>
  <c r="Q2966" i="11"/>
  <c r="O2966" i="11"/>
  <c r="N2966" i="11"/>
  <c r="L2966" i="11"/>
  <c r="G2966" i="11"/>
  <c r="M2966" i="11" s="1"/>
  <c r="S2965" i="11"/>
  <c r="R2965" i="11"/>
  <c r="Q2965" i="11"/>
  <c r="O2965" i="11"/>
  <c r="N2965" i="11"/>
  <c r="L2965" i="11"/>
  <c r="G2965" i="11"/>
  <c r="M2965" i="11" s="1"/>
  <c r="S2964" i="11"/>
  <c r="R2964" i="11"/>
  <c r="Q2964" i="11"/>
  <c r="O2964" i="11"/>
  <c r="L2964" i="11"/>
  <c r="K2964" i="11"/>
  <c r="N2964" i="11" s="1"/>
  <c r="J2964" i="11"/>
  <c r="G2964" i="11"/>
  <c r="M2964" i="11" s="1"/>
  <c r="S2963" i="11"/>
  <c r="R2963" i="11"/>
  <c r="Q2963" i="11"/>
  <c r="O2963" i="11"/>
  <c r="N2963" i="11"/>
  <c r="M2963" i="11"/>
  <c r="L2963" i="11"/>
  <c r="G2963" i="11"/>
  <c r="S2962" i="11"/>
  <c r="R2962" i="11"/>
  <c r="Q2962" i="11"/>
  <c r="O2962" i="11"/>
  <c r="N2962" i="11"/>
  <c r="M2962" i="11"/>
  <c r="L2962" i="11"/>
  <c r="G2962" i="11"/>
  <c r="S2961" i="11"/>
  <c r="R2961" i="11"/>
  <c r="Q2961" i="11"/>
  <c r="O2961" i="11"/>
  <c r="N2961" i="11"/>
  <c r="L2961" i="11"/>
  <c r="G2961" i="11"/>
  <c r="M2961" i="11" s="1"/>
  <c r="S2960" i="11"/>
  <c r="R2960" i="11"/>
  <c r="Q2960" i="11"/>
  <c r="O2960" i="11"/>
  <c r="N2960" i="11"/>
  <c r="M2960" i="11"/>
  <c r="L2960" i="11"/>
  <c r="G2960" i="11"/>
  <c r="S2959" i="11"/>
  <c r="R2959" i="11"/>
  <c r="Q2959" i="11"/>
  <c r="O2959" i="11"/>
  <c r="N2959" i="11"/>
  <c r="M2959" i="11"/>
  <c r="L2959" i="11"/>
  <c r="G2959" i="11"/>
  <c r="S2958" i="11"/>
  <c r="R2958" i="11"/>
  <c r="Q2958" i="11"/>
  <c r="O2958" i="11"/>
  <c r="N2958" i="11"/>
  <c r="L2958" i="11"/>
  <c r="G2958" i="11"/>
  <c r="M2958" i="11" s="1"/>
  <c r="S2957" i="11"/>
  <c r="R2957" i="11"/>
  <c r="Q2957" i="11"/>
  <c r="O2957" i="11"/>
  <c r="N2957" i="11"/>
  <c r="M2957" i="11"/>
  <c r="L2957" i="11"/>
  <c r="G2957" i="11"/>
  <c r="S2956" i="11"/>
  <c r="R2956" i="11"/>
  <c r="Q2956" i="11"/>
  <c r="O2956" i="11"/>
  <c r="N2956" i="11"/>
  <c r="M2956" i="11"/>
  <c r="L2956" i="11"/>
  <c r="G2956" i="11"/>
  <c r="S2955" i="11"/>
  <c r="R2955" i="11"/>
  <c r="Q2955" i="11"/>
  <c r="O2955" i="11"/>
  <c r="N2955" i="11"/>
  <c r="L2955" i="11"/>
  <c r="G2955" i="11"/>
  <c r="M2955" i="11" s="1"/>
  <c r="S2954" i="11"/>
  <c r="R2954" i="11"/>
  <c r="Q2954" i="11"/>
  <c r="O2954" i="11"/>
  <c r="N2954" i="11"/>
  <c r="M2954" i="11"/>
  <c r="L2954" i="11"/>
  <c r="G2954" i="11"/>
  <c r="S2953" i="11"/>
  <c r="R2953" i="11"/>
  <c r="Q2953" i="11"/>
  <c r="L2953" i="11"/>
  <c r="E2953" i="11"/>
  <c r="S2952" i="11"/>
  <c r="R2952" i="11"/>
  <c r="Q2952" i="11"/>
  <c r="O2952" i="11"/>
  <c r="N2952" i="11"/>
  <c r="L2952" i="11"/>
  <c r="K2952" i="11"/>
  <c r="G2952" i="11"/>
  <c r="M2952" i="11" s="1"/>
  <c r="S2951" i="11"/>
  <c r="R2951" i="11"/>
  <c r="Q2951" i="11"/>
  <c r="O2951" i="11"/>
  <c r="N2951" i="11"/>
  <c r="L2951" i="11"/>
  <c r="G2951" i="11"/>
  <c r="M2951" i="11" s="1"/>
  <c r="S2950" i="11"/>
  <c r="R2950" i="11"/>
  <c r="Q2950" i="11"/>
  <c r="O2950" i="11"/>
  <c r="N2950" i="11"/>
  <c r="L2950" i="11"/>
  <c r="G2950" i="11"/>
  <c r="M2950" i="11" s="1"/>
  <c r="S2949" i="11"/>
  <c r="R2949" i="11"/>
  <c r="Q2949" i="11"/>
  <c r="O2949" i="11"/>
  <c r="N2949" i="11"/>
  <c r="L2949" i="11"/>
  <c r="G2949" i="11"/>
  <c r="M2949" i="11" s="1"/>
  <c r="S2948" i="11"/>
  <c r="R2948" i="11"/>
  <c r="Q2948" i="11"/>
  <c r="O2948" i="11"/>
  <c r="N2948" i="11"/>
  <c r="L2948" i="11"/>
  <c r="G2948" i="11"/>
  <c r="M2948" i="11" s="1"/>
  <c r="S2947" i="11"/>
  <c r="R2947" i="11"/>
  <c r="Q2947" i="11"/>
  <c r="O2947" i="11"/>
  <c r="N2947" i="11"/>
  <c r="L2947" i="11"/>
  <c r="G2947" i="11"/>
  <c r="M2947" i="11" s="1"/>
  <c r="S2946" i="11"/>
  <c r="R2946" i="11"/>
  <c r="Q2946" i="11"/>
  <c r="O2946" i="11"/>
  <c r="N2946" i="11"/>
  <c r="L2946" i="11"/>
  <c r="G2946" i="11"/>
  <c r="M2946" i="11" s="1"/>
  <c r="S2945" i="11"/>
  <c r="R2945" i="11"/>
  <c r="Q2945" i="11"/>
  <c r="O2945" i="11"/>
  <c r="N2945" i="11"/>
  <c r="L2945" i="11"/>
  <c r="G2945" i="11"/>
  <c r="M2945" i="11" s="1"/>
  <c r="S2944" i="11"/>
  <c r="R2944" i="11"/>
  <c r="Q2944" i="11"/>
  <c r="O2944" i="11"/>
  <c r="N2944" i="11"/>
  <c r="L2944" i="11"/>
  <c r="G2944" i="11"/>
  <c r="M2944" i="11" s="1"/>
  <c r="S2943" i="11"/>
  <c r="R2943" i="11"/>
  <c r="Q2943" i="11"/>
  <c r="O2943" i="11"/>
  <c r="N2943" i="11"/>
  <c r="L2943" i="11"/>
  <c r="G2943" i="11"/>
  <c r="M2943" i="11" s="1"/>
  <c r="S2942" i="11"/>
  <c r="R2942" i="11"/>
  <c r="Q2942" i="11"/>
  <c r="O2942" i="11"/>
  <c r="N2942" i="11"/>
  <c r="L2942" i="11"/>
  <c r="G2942" i="11"/>
  <c r="M2942" i="11" s="1"/>
  <c r="S2941" i="11"/>
  <c r="R2941" i="11"/>
  <c r="Q2941" i="11"/>
  <c r="O2941" i="11"/>
  <c r="N2941" i="11"/>
  <c r="L2941" i="11"/>
  <c r="G2941" i="11"/>
  <c r="M2941" i="11" s="1"/>
  <c r="S2940" i="11"/>
  <c r="R2940" i="11"/>
  <c r="Q2940" i="11"/>
  <c r="O2940" i="11"/>
  <c r="N2940" i="11"/>
  <c r="L2940" i="11"/>
  <c r="G2940" i="11"/>
  <c r="M2940" i="11" s="1"/>
  <c r="S2939" i="11"/>
  <c r="R2939" i="11"/>
  <c r="Q2939" i="11"/>
  <c r="O2939" i="11"/>
  <c r="N2939" i="11"/>
  <c r="L2939" i="11"/>
  <c r="G2939" i="11"/>
  <c r="M2939" i="11" s="1"/>
  <c r="S2938" i="11"/>
  <c r="R2938" i="11"/>
  <c r="Q2938" i="11"/>
  <c r="O2938" i="11"/>
  <c r="N2938" i="11"/>
  <c r="L2938" i="11"/>
  <c r="G2938" i="11"/>
  <c r="M2938" i="11" s="1"/>
  <c r="S2937" i="11"/>
  <c r="R2937" i="11"/>
  <c r="Q2937" i="11"/>
  <c r="O2937" i="11"/>
  <c r="N2937" i="11"/>
  <c r="L2937" i="11"/>
  <c r="G2937" i="11"/>
  <c r="M2937" i="11" s="1"/>
  <c r="S2936" i="11"/>
  <c r="R2936" i="11"/>
  <c r="Q2936" i="11"/>
  <c r="O2936" i="11"/>
  <c r="N2936" i="11"/>
  <c r="L2936" i="11"/>
  <c r="G2936" i="11"/>
  <c r="M2936" i="11" s="1"/>
  <c r="S2935" i="11"/>
  <c r="R2935" i="11"/>
  <c r="Q2935" i="11"/>
  <c r="O2935" i="11"/>
  <c r="M2935" i="11"/>
  <c r="L2935" i="11"/>
  <c r="K2935" i="11"/>
  <c r="G2935" i="11"/>
  <c r="S2934" i="11"/>
  <c r="R2934" i="11"/>
  <c r="Q2934" i="11"/>
  <c r="O2934" i="11"/>
  <c r="N2934" i="11"/>
  <c r="M2934" i="11"/>
  <c r="L2934" i="11"/>
  <c r="G2934" i="11"/>
  <c r="S2933" i="11"/>
  <c r="R2933" i="11"/>
  <c r="Q2933" i="11"/>
  <c r="O2933" i="11"/>
  <c r="N2933" i="11"/>
  <c r="L2933" i="11"/>
  <c r="G2933" i="11"/>
  <c r="M2933" i="11" s="1"/>
  <c r="S2932" i="11"/>
  <c r="R2932" i="11"/>
  <c r="Q2932" i="11"/>
  <c r="O2932" i="11"/>
  <c r="N2932" i="11"/>
  <c r="M2932" i="11"/>
  <c r="L2932" i="11"/>
  <c r="G2932" i="11"/>
  <c r="S2931" i="11"/>
  <c r="R2931" i="11"/>
  <c r="Q2931" i="11"/>
  <c r="O2931" i="11"/>
  <c r="N2931" i="11"/>
  <c r="M2931" i="11"/>
  <c r="L2931" i="11"/>
  <c r="G2931" i="11"/>
  <c r="S2930" i="11"/>
  <c r="R2930" i="11"/>
  <c r="Q2930" i="11"/>
  <c r="O2930" i="11"/>
  <c r="N2930" i="11"/>
  <c r="L2930" i="11"/>
  <c r="G2930" i="11"/>
  <c r="M2930" i="11" s="1"/>
  <c r="S2929" i="11"/>
  <c r="R2929" i="11"/>
  <c r="Q2929" i="11"/>
  <c r="O2929" i="11"/>
  <c r="N2929" i="11"/>
  <c r="M2929" i="11"/>
  <c r="L2929" i="11"/>
  <c r="G2929" i="11"/>
  <c r="S2928" i="11"/>
  <c r="R2928" i="11"/>
  <c r="Q2928" i="11"/>
  <c r="O2928" i="11"/>
  <c r="N2928" i="11"/>
  <c r="L2928" i="11"/>
  <c r="G2928" i="11"/>
  <c r="M2928" i="11" s="1"/>
  <c r="S2927" i="11"/>
  <c r="R2927" i="11"/>
  <c r="Q2927" i="11"/>
  <c r="O2927" i="11"/>
  <c r="N2927" i="11"/>
  <c r="L2927" i="11"/>
  <c r="G2927" i="11"/>
  <c r="M2927" i="11" s="1"/>
  <c r="S2926" i="11"/>
  <c r="R2926" i="11"/>
  <c r="Q2926" i="11"/>
  <c r="O2926" i="11"/>
  <c r="N2926" i="11"/>
  <c r="M2926" i="11"/>
  <c r="L2926" i="11"/>
  <c r="G2926" i="11"/>
  <c r="S2925" i="11"/>
  <c r="R2925" i="11"/>
  <c r="Q2925" i="11"/>
  <c r="O2925" i="11"/>
  <c r="N2925" i="11"/>
  <c r="M2925" i="11"/>
  <c r="L2925" i="11"/>
  <c r="G2925" i="11"/>
  <c r="S2924" i="11"/>
  <c r="R2924" i="11"/>
  <c r="Q2924" i="11"/>
  <c r="O2924" i="11"/>
  <c r="N2924" i="11"/>
  <c r="L2924" i="11"/>
  <c r="G2924" i="11"/>
  <c r="M2924" i="11" s="1"/>
  <c r="S2923" i="11"/>
  <c r="R2923" i="11"/>
  <c r="Q2923" i="11"/>
  <c r="O2923" i="11"/>
  <c r="N2923" i="11"/>
  <c r="M2923" i="11"/>
  <c r="L2923" i="11"/>
  <c r="K2923" i="11"/>
  <c r="G2923" i="11"/>
  <c r="S2922" i="11"/>
  <c r="R2922" i="11"/>
  <c r="Q2922" i="11"/>
  <c r="O2922" i="11"/>
  <c r="N2922" i="11"/>
  <c r="L2922" i="11"/>
  <c r="G2922" i="11"/>
  <c r="M2922" i="11" s="1"/>
  <c r="S2921" i="11"/>
  <c r="R2921" i="11"/>
  <c r="Q2921" i="11"/>
  <c r="O2921" i="11"/>
  <c r="N2921" i="11"/>
  <c r="M2921" i="11"/>
  <c r="L2921" i="11"/>
  <c r="G2921" i="11"/>
  <c r="S2920" i="11"/>
  <c r="R2920" i="11"/>
  <c r="Q2920" i="11"/>
  <c r="O2920" i="11"/>
  <c r="N2920" i="11"/>
  <c r="M2920" i="11"/>
  <c r="L2920" i="11"/>
  <c r="G2920" i="11"/>
  <c r="S2919" i="11"/>
  <c r="R2919" i="11"/>
  <c r="Q2919" i="11"/>
  <c r="O2919" i="11"/>
  <c r="N2919" i="11"/>
  <c r="L2919" i="11"/>
  <c r="G2919" i="11"/>
  <c r="M2919" i="11" s="1"/>
  <c r="S2918" i="11"/>
  <c r="R2918" i="11"/>
  <c r="Q2918" i="11"/>
  <c r="O2918" i="11"/>
  <c r="N2918" i="11"/>
  <c r="M2918" i="11"/>
  <c r="L2918" i="11"/>
  <c r="G2918" i="11"/>
  <c r="S2917" i="11"/>
  <c r="R2917" i="11"/>
  <c r="Q2917" i="11"/>
  <c r="O2917" i="11"/>
  <c r="N2917" i="11"/>
  <c r="M2917" i="11"/>
  <c r="L2917" i="11"/>
  <c r="G2917" i="11"/>
  <c r="S2916" i="11"/>
  <c r="R2916" i="11"/>
  <c r="Q2916" i="11"/>
  <c r="O2916" i="11"/>
  <c r="N2916" i="11"/>
  <c r="L2916" i="11"/>
  <c r="G2916" i="11"/>
  <c r="M2916" i="11" s="1"/>
  <c r="S2915" i="11"/>
  <c r="R2915" i="11"/>
  <c r="Q2915" i="11"/>
  <c r="O2915" i="11"/>
  <c r="N2915" i="11"/>
  <c r="M2915" i="11"/>
  <c r="L2915" i="11"/>
  <c r="G2915" i="11"/>
  <c r="S2914" i="11"/>
  <c r="R2914" i="11"/>
  <c r="Q2914" i="11"/>
  <c r="O2914" i="11"/>
  <c r="N2914" i="11"/>
  <c r="L2914" i="11"/>
  <c r="K2914" i="11"/>
  <c r="J2914" i="11"/>
  <c r="G2914" i="11"/>
  <c r="M2914" i="11" s="1"/>
  <c r="S2913" i="11"/>
  <c r="R2913" i="11"/>
  <c r="Q2913" i="11"/>
  <c r="O2913" i="11"/>
  <c r="N2913" i="11"/>
  <c r="M2913" i="11"/>
  <c r="L2913" i="11"/>
  <c r="G2913" i="11"/>
  <c r="S2912" i="11"/>
  <c r="R2912" i="11"/>
  <c r="Q2912" i="11"/>
  <c r="O2912" i="11"/>
  <c r="N2912" i="11"/>
  <c r="L2912" i="11"/>
  <c r="G2912" i="11"/>
  <c r="M2912" i="11" s="1"/>
  <c r="S2911" i="11"/>
  <c r="R2911" i="11"/>
  <c r="Q2911" i="11"/>
  <c r="O2911" i="11"/>
  <c r="N2911" i="11"/>
  <c r="L2911" i="11"/>
  <c r="G2911" i="11"/>
  <c r="M2911" i="11" s="1"/>
  <c r="S2910" i="11"/>
  <c r="R2910" i="11"/>
  <c r="Q2910" i="11"/>
  <c r="O2910" i="11"/>
  <c r="N2910" i="11"/>
  <c r="M2910" i="11"/>
  <c r="L2910" i="11"/>
  <c r="G2910" i="11"/>
  <c r="S2909" i="11"/>
  <c r="R2909" i="11"/>
  <c r="Q2909" i="11"/>
  <c r="O2909" i="11"/>
  <c r="N2909" i="11"/>
  <c r="L2909" i="11"/>
  <c r="G2909" i="11"/>
  <c r="M2909" i="11" s="1"/>
  <c r="S2908" i="11"/>
  <c r="R2908" i="11"/>
  <c r="Q2908" i="11"/>
  <c r="O2908" i="11"/>
  <c r="N2908" i="11"/>
  <c r="L2908" i="11"/>
  <c r="G2908" i="11"/>
  <c r="M2908" i="11" s="1"/>
  <c r="S2907" i="11"/>
  <c r="R2907" i="11"/>
  <c r="Q2907" i="11"/>
  <c r="O2907" i="11"/>
  <c r="N2907" i="11"/>
  <c r="M2907" i="11"/>
  <c r="L2907" i="11"/>
  <c r="J2907" i="11"/>
  <c r="G2907" i="11"/>
  <c r="S2906" i="11"/>
  <c r="R2906" i="11"/>
  <c r="Q2906" i="11"/>
  <c r="O2906" i="11"/>
  <c r="N2906" i="11"/>
  <c r="M2906" i="11"/>
  <c r="L2906" i="11"/>
  <c r="G2906" i="11"/>
  <c r="S2905" i="11"/>
  <c r="R2905" i="11"/>
  <c r="Q2905" i="11"/>
  <c r="O2905" i="11"/>
  <c r="N2905" i="11"/>
  <c r="L2905" i="11"/>
  <c r="G2905" i="11"/>
  <c r="M2905" i="11" s="1"/>
  <c r="S2904" i="11"/>
  <c r="R2904" i="11"/>
  <c r="Q2904" i="11"/>
  <c r="O2904" i="11"/>
  <c r="N2904" i="11"/>
  <c r="M2904" i="11"/>
  <c r="L2904" i="11"/>
  <c r="G2904" i="11"/>
  <c r="S2903" i="11"/>
  <c r="R2903" i="11"/>
  <c r="Q2903" i="11"/>
  <c r="O2903" i="11"/>
  <c r="N2903" i="11"/>
  <c r="M2903" i="11"/>
  <c r="L2903" i="11"/>
  <c r="G2903" i="11"/>
  <c r="S2902" i="11"/>
  <c r="R2902" i="11"/>
  <c r="Q2902" i="11"/>
  <c r="O2902" i="11"/>
  <c r="N2902" i="11"/>
  <c r="L2902" i="11"/>
  <c r="G2902" i="11"/>
  <c r="M2902" i="11" s="1"/>
  <c r="S2901" i="11"/>
  <c r="R2901" i="11"/>
  <c r="Q2901" i="11"/>
  <c r="O2901" i="11"/>
  <c r="N2901" i="11"/>
  <c r="M2901" i="11"/>
  <c r="L2901" i="11"/>
  <c r="G2901" i="11"/>
  <c r="S2900" i="11"/>
  <c r="R2900" i="11"/>
  <c r="Q2900" i="11"/>
  <c r="O2900" i="11"/>
  <c r="N2900" i="11"/>
  <c r="L2900" i="11"/>
  <c r="G2900" i="11"/>
  <c r="M2900" i="11" s="1"/>
  <c r="S2899" i="11"/>
  <c r="R2899" i="11"/>
  <c r="Q2899" i="11"/>
  <c r="O2899" i="11"/>
  <c r="N2899" i="11"/>
  <c r="L2899" i="11"/>
  <c r="G2899" i="11"/>
  <c r="M2899" i="11" s="1"/>
  <c r="S2898" i="11"/>
  <c r="R2898" i="11"/>
  <c r="Q2898" i="11"/>
  <c r="O2898" i="11"/>
  <c r="N2898" i="11"/>
  <c r="M2898" i="11"/>
  <c r="L2898" i="11"/>
  <c r="G2898" i="11"/>
  <c r="S2897" i="11"/>
  <c r="R2897" i="11"/>
  <c r="Q2897" i="11"/>
  <c r="O2897" i="11"/>
  <c r="N2897" i="11"/>
  <c r="M2897" i="11"/>
  <c r="L2897" i="11"/>
  <c r="G2897" i="11"/>
  <c r="S2896" i="11"/>
  <c r="R2896" i="11"/>
  <c r="Q2896" i="11"/>
  <c r="O2896" i="11"/>
  <c r="N2896" i="11"/>
  <c r="L2896" i="11"/>
  <c r="G2896" i="11"/>
  <c r="M2896" i="11" s="1"/>
  <c r="S2895" i="11"/>
  <c r="R2895" i="11"/>
  <c r="Q2895" i="11"/>
  <c r="O2895" i="11"/>
  <c r="N2895" i="11"/>
  <c r="M2895" i="11"/>
  <c r="L2895" i="11"/>
  <c r="G2895" i="11"/>
  <c r="S2894" i="11"/>
  <c r="R2894" i="11"/>
  <c r="Q2894" i="11"/>
  <c r="O2894" i="11"/>
  <c r="N2894" i="11"/>
  <c r="M2894" i="11"/>
  <c r="L2894" i="11"/>
  <c r="J2894" i="11"/>
  <c r="G2894" i="11"/>
  <c r="S2893" i="11"/>
  <c r="R2893" i="11"/>
  <c r="Q2893" i="11"/>
  <c r="O2893" i="11"/>
  <c r="N2893" i="11"/>
  <c r="L2893" i="11"/>
  <c r="J2893" i="11"/>
  <c r="G2893" i="11"/>
  <c r="M2893" i="11" s="1"/>
  <c r="S2892" i="11"/>
  <c r="R2892" i="11"/>
  <c r="Q2892" i="11"/>
  <c r="O2892" i="11"/>
  <c r="N2892" i="11"/>
  <c r="L2892" i="11"/>
  <c r="G2892" i="11"/>
  <c r="M2892" i="11" s="1"/>
  <c r="S2891" i="11"/>
  <c r="R2891" i="11"/>
  <c r="Q2891" i="11"/>
  <c r="O2891" i="11"/>
  <c r="N2891" i="11"/>
  <c r="M2891" i="11"/>
  <c r="L2891" i="11"/>
  <c r="G2891" i="11"/>
  <c r="S2890" i="11"/>
  <c r="R2890" i="11"/>
  <c r="Q2890" i="11"/>
  <c r="O2890" i="11"/>
  <c r="N2890" i="11"/>
  <c r="M2890" i="11"/>
  <c r="L2890" i="11"/>
  <c r="G2890" i="11"/>
  <c r="S2889" i="11"/>
  <c r="R2889" i="11"/>
  <c r="Q2889" i="11"/>
  <c r="O2889" i="11"/>
  <c r="N2889" i="11"/>
  <c r="L2889" i="11"/>
  <c r="G2889" i="11"/>
  <c r="M2889" i="11" s="1"/>
  <c r="S2888" i="11"/>
  <c r="R2888" i="11"/>
  <c r="Q2888" i="11"/>
  <c r="O2888" i="11"/>
  <c r="N2888" i="11"/>
  <c r="M2888" i="11"/>
  <c r="L2888" i="11"/>
  <c r="G2888" i="11"/>
  <c r="S2887" i="11"/>
  <c r="R2887" i="11"/>
  <c r="Q2887" i="11"/>
  <c r="O2887" i="11"/>
  <c r="N2887" i="11"/>
  <c r="L2887" i="11"/>
  <c r="G2887" i="11"/>
  <c r="M2887" i="11" s="1"/>
  <c r="S2886" i="11"/>
  <c r="R2886" i="11"/>
  <c r="Q2886" i="11"/>
  <c r="O2886" i="11"/>
  <c r="N2886" i="11"/>
  <c r="M2886" i="11"/>
  <c r="L2886" i="11"/>
  <c r="G2886" i="11"/>
  <c r="S2885" i="11"/>
  <c r="R2885" i="11"/>
  <c r="Q2885" i="11"/>
  <c r="O2885" i="11"/>
  <c r="N2885" i="11"/>
  <c r="M2885" i="11"/>
  <c r="L2885" i="11"/>
  <c r="G2885" i="11"/>
  <c r="S2884" i="11"/>
  <c r="R2884" i="11"/>
  <c r="Q2884" i="11"/>
  <c r="O2884" i="11"/>
  <c r="N2884" i="11"/>
  <c r="L2884" i="11"/>
  <c r="G2884" i="11"/>
  <c r="M2884" i="11" s="1"/>
  <c r="S2883" i="11"/>
  <c r="R2883" i="11"/>
  <c r="Q2883" i="11"/>
  <c r="O2883" i="11"/>
  <c r="N2883" i="11"/>
  <c r="M2883" i="11"/>
  <c r="L2883" i="11"/>
  <c r="G2883" i="11"/>
  <c r="S2882" i="11"/>
  <c r="R2882" i="11"/>
  <c r="Q2882" i="11"/>
  <c r="O2882" i="11"/>
  <c r="N2882" i="11"/>
  <c r="M2882" i="11"/>
  <c r="L2882" i="11"/>
  <c r="G2882" i="11"/>
  <c r="S2881" i="11"/>
  <c r="R2881" i="11"/>
  <c r="Q2881" i="11"/>
  <c r="O2881" i="11"/>
  <c r="N2881" i="11"/>
  <c r="L2881" i="11"/>
  <c r="G2881" i="11"/>
  <c r="M2881" i="11" s="1"/>
  <c r="S2880" i="11"/>
  <c r="R2880" i="11"/>
  <c r="Q2880" i="11"/>
  <c r="O2880" i="11"/>
  <c r="N2880" i="11"/>
  <c r="M2880" i="11"/>
  <c r="L2880" i="11"/>
  <c r="G2880" i="11"/>
  <c r="S2879" i="11"/>
  <c r="R2879" i="11"/>
  <c r="Q2879" i="11"/>
  <c r="O2879" i="11"/>
  <c r="N2879" i="11"/>
  <c r="M2879" i="11"/>
  <c r="L2879" i="11"/>
  <c r="G2879" i="11"/>
  <c r="S2878" i="11"/>
  <c r="R2878" i="11"/>
  <c r="Q2878" i="11"/>
  <c r="O2878" i="11"/>
  <c r="N2878" i="11"/>
  <c r="L2878" i="11"/>
  <c r="G2878" i="11"/>
  <c r="M2878" i="11" s="1"/>
  <c r="S2877" i="11"/>
  <c r="R2877" i="11"/>
  <c r="Q2877" i="11"/>
  <c r="O2877" i="11"/>
  <c r="L2877" i="11"/>
  <c r="K2877" i="11"/>
  <c r="N2877" i="11" s="1"/>
  <c r="J2877" i="11"/>
  <c r="G2877" i="11"/>
  <c r="M2877" i="11" s="1"/>
  <c r="S2876" i="11"/>
  <c r="R2876" i="11"/>
  <c r="Q2876" i="11"/>
  <c r="O2876" i="11"/>
  <c r="N2876" i="11"/>
  <c r="M2876" i="11"/>
  <c r="L2876" i="11"/>
  <c r="K2876" i="11"/>
  <c r="J2876" i="11" s="1"/>
  <c r="G2876" i="11"/>
  <c r="S2875" i="11"/>
  <c r="R2875" i="11"/>
  <c r="Q2875" i="11"/>
  <c r="O2875" i="11"/>
  <c r="N2875" i="11"/>
  <c r="M2875" i="11"/>
  <c r="L2875" i="11"/>
  <c r="G2875" i="11"/>
  <c r="S2874" i="11"/>
  <c r="R2874" i="11"/>
  <c r="Q2874" i="11"/>
  <c r="O2874" i="11"/>
  <c r="N2874" i="11"/>
  <c r="M2874" i="11"/>
  <c r="L2874" i="11"/>
  <c r="G2874" i="11"/>
  <c r="S2873" i="11"/>
  <c r="R2873" i="11"/>
  <c r="Q2873" i="11"/>
  <c r="O2873" i="11"/>
  <c r="L2873" i="11"/>
  <c r="K2873" i="11"/>
  <c r="N2873" i="11" s="1"/>
  <c r="J2873" i="11"/>
  <c r="G2873" i="11"/>
  <c r="M2873" i="11" s="1"/>
  <c r="S2872" i="11"/>
  <c r="R2872" i="11"/>
  <c r="Q2872" i="11"/>
  <c r="O2872" i="11"/>
  <c r="N2872" i="11"/>
  <c r="M2872" i="11"/>
  <c r="L2872" i="11"/>
  <c r="G2872" i="11"/>
  <c r="S2871" i="11"/>
  <c r="R2871" i="11"/>
  <c r="Q2871" i="11"/>
  <c r="O2871" i="11"/>
  <c r="N2871" i="11"/>
  <c r="M2871" i="11"/>
  <c r="L2871" i="11"/>
  <c r="G2871" i="11"/>
  <c r="S2870" i="11"/>
  <c r="R2870" i="11"/>
  <c r="Q2870" i="11"/>
  <c r="O2870" i="11"/>
  <c r="N2870" i="11"/>
  <c r="L2870" i="11"/>
  <c r="G2870" i="11"/>
  <c r="M2870" i="11" s="1"/>
  <c r="S2869" i="11"/>
  <c r="R2869" i="11"/>
  <c r="Q2869" i="11"/>
  <c r="O2869" i="11"/>
  <c r="N2869" i="11"/>
  <c r="L2869" i="11"/>
  <c r="G2869" i="11"/>
  <c r="M2869" i="11" s="1"/>
  <c r="S2868" i="11"/>
  <c r="R2868" i="11"/>
  <c r="Q2868" i="11"/>
  <c r="O2868" i="11"/>
  <c r="N2868" i="11"/>
  <c r="M2868" i="11"/>
  <c r="L2868" i="11"/>
  <c r="G2868" i="11"/>
  <c r="S2867" i="11"/>
  <c r="R2867" i="11"/>
  <c r="Q2867" i="11"/>
  <c r="O2867" i="11"/>
  <c r="N2867" i="11"/>
  <c r="L2867" i="11"/>
  <c r="G2867" i="11"/>
  <c r="M2867" i="11" s="1"/>
  <c r="S2866" i="11"/>
  <c r="R2866" i="11"/>
  <c r="Q2866" i="11"/>
  <c r="O2866" i="11"/>
  <c r="N2866" i="11"/>
  <c r="L2866" i="11"/>
  <c r="G2866" i="11"/>
  <c r="M2866" i="11" s="1"/>
  <c r="S2865" i="11"/>
  <c r="R2865" i="11"/>
  <c r="Q2865" i="11"/>
  <c r="O2865" i="11"/>
  <c r="N2865" i="11"/>
  <c r="L2865" i="11"/>
  <c r="G2865" i="11"/>
  <c r="M2865" i="11" s="1"/>
  <c r="S2864" i="11"/>
  <c r="R2864" i="11"/>
  <c r="Q2864" i="11"/>
  <c r="O2864" i="11"/>
  <c r="N2864" i="11"/>
  <c r="L2864" i="11"/>
  <c r="G2864" i="11"/>
  <c r="M2864" i="11" s="1"/>
  <c r="S2863" i="11"/>
  <c r="R2863" i="11"/>
  <c r="Q2863" i="11"/>
  <c r="O2863" i="11"/>
  <c r="N2863" i="11"/>
  <c r="M2863" i="11"/>
  <c r="L2863" i="11"/>
  <c r="J2863" i="11"/>
  <c r="G2863" i="11"/>
  <c r="S2862" i="11"/>
  <c r="R2862" i="11"/>
  <c r="Q2862" i="11"/>
  <c r="O2862" i="11"/>
  <c r="N2862" i="11"/>
  <c r="L2862" i="11"/>
  <c r="G2862" i="11"/>
  <c r="M2862" i="11" s="1"/>
  <c r="S2861" i="11"/>
  <c r="R2861" i="11"/>
  <c r="Q2861" i="11"/>
  <c r="O2861" i="11"/>
  <c r="N2861" i="11"/>
  <c r="M2861" i="11"/>
  <c r="L2861" i="11"/>
  <c r="G2861" i="11"/>
  <c r="S2860" i="11"/>
  <c r="R2860" i="11"/>
  <c r="Q2860" i="11"/>
  <c r="O2860" i="11"/>
  <c r="N2860" i="11"/>
  <c r="M2860" i="11"/>
  <c r="L2860" i="11"/>
  <c r="G2860" i="11"/>
  <c r="S2859" i="11"/>
  <c r="R2859" i="11"/>
  <c r="Q2859" i="11"/>
  <c r="O2859" i="11"/>
  <c r="N2859" i="11"/>
  <c r="L2859" i="11"/>
  <c r="G2859" i="11"/>
  <c r="M2859" i="11" s="1"/>
  <c r="S2858" i="11"/>
  <c r="R2858" i="11"/>
  <c r="Q2858" i="11"/>
  <c r="O2858" i="11"/>
  <c r="N2858" i="11"/>
  <c r="M2858" i="11"/>
  <c r="L2858" i="11"/>
  <c r="G2858" i="11"/>
  <c r="S2857" i="11"/>
  <c r="R2857" i="11"/>
  <c r="Q2857" i="11"/>
  <c r="O2857" i="11"/>
  <c r="N2857" i="11"/>
  <c r="M2857" i="11"/>
  <c r="L2857" i="11"/>
  <c r="G2857" i="11"/>
  <c r="S2856" i="11"/>
  <c r="R2856" i="11"/>
  <c r="Q2856" i="11"/>
  <c r="O2856" i="11"/>
  <c r="N2856" i="11"/>
  <c r="L2856" i="11"/>
  <c r="G2856" i="11"/>
  <c r="M2856" i="11" s="1"/>
  <c r="S2855" i="11"/>
  <c r="R2855" i="11"/>
  <c r="Q2855" i="11"/>
  <c r="O2855" i="11"/>
  <c r="N2855" i="11"/>
  <c r="M2855" i="11"/>
  <c r="L2855" i="11"/>
  <c r="G2855" i="11"/>
  <c r="S2854" i="11"/>
  <c r="R2854" i="11"/>
  <c r="Q2854" i="11"/>
  <c r="O2854" i="11"/>
  <c r="N2854" i="11"/>
  <c r="M2854" i="11"/>
  <c r="L2854" i="11"/>
  <c r="G2854" i="11"/>
  <c r="S2853" i="11"/>
  <c r="R2853" i="11"/>
  <c r="Q2853" i="11"/>
  <c r="O2853" i="11"/>
  <c r="N2853" i="11"/>
  <c r="L2853" i="11"/>
  <c r="G2853" i="11"/>
  <c r="M2853" i="11" s="1"/>
  <c r="S2852" i="11"/>
  <c r="R2852" i="11"/>
  <c r="Q2852" i="11"/>
  <c r="O2852" i="11"/>
  <c r="N2852" i="11"/>
  <c r="M2852" i="11"/>
  <c r="L2852" i="11"/>
  <c r="G2852" i="11"/>
  <c r="S2851" i="11"/>
  <c r="R2851" i="11"/>
  <c r="Q2851" i="11"/>
  <c r="O2851" i="11"/>
  <c r="N2851" i="11"/>
  <c r="M2851" i="11"/>
  <c r="L2851" i="11"/>
  <c r="G2851" i="11"/>
  <c r="S2850" i="11"/>
  <c r="R2850" i="11"/>
  <c r="Q2850" i="11"/>
  <c r="O2850" i="11"/>
  <c r="N2850" i="11"/>
  <c r="L2850" i="11"/>
  <c r="G2850" i="11"/>
  <c r="M2850" i="11" s="1"/>
  <c r="S2849" i="11"/>
  <c r="R2849" i="11"/>
  <c r="Q2849" i="11"/>
  <c r="O2849" i="11"/>
  <c r="N2849" i="11"/>
  <c r="M2849" i="11"/>
  <c r="L2849" i="11"/>
  <c r="G2849" i="11"/>
  <c r="S2848" i="11"/>
  <c r="R2848" i="11"/>
  <c r="Q2848" i="11"/>
  <c r="O2848" i="11"/>
  <c r="N2848" i="11"/>
  <c r="M2848" i="11"/>
  <c r="L2848" i="11"/>
  <c r="G2848" i="11"/>
  <c r="S2847" i="11"/>
  <c r="R2847" i="11"/>
  <c r="Q2847" i="11"/>
  <c r="O2847" i="11"/>
  <c r="N2847" i="11"/>
  <c r="L2847" i="11"/>
  <c r="G2847" i="11"/>
  <c r="M2847" i="11" s="1"/>
  <c r="S2846" i="11"/>
  <c r="R2846" i="11"/>
  <c r="Q2846" i="11"/>
  <c r="O2846" i="11"/>
  <c r="N2846" i="11"/>
  <c r="M2846" i="11"/>
  <c r="L2846" i="11"/>
  <c r="G2846" i="11"/>
  <c r="S2845" i="11"/>
  <c r="R2845" i="11"/>
  <c r="Q2845" i="11"/>
  <c r="O2845" i="11"/>
  <c r="N2845" i="11"/>
  <c r="M2845" i="11"/>
  <c r="L2845" i="11"/>
  <c r="G2845" i="11"/>
  <c r="S2844" i="11"/>
  <c r="R2844" i="11"/>
  <c r="Q2844" i="11"/>
  <c r="O2844" i="11"/>
  <c r="N2844" i="11"/>
  <c r="L2844" i="11"/>
  <c r="G2844" i="11"/>
  <c r="M2844" i="11" s="1"/>
  <c r="S2843" i="11"/>
  <c r="R2843" i="11"/>
  <c r="Q2843" i="11"/>
  <c r="O2843" i="11"/>
  <c r="N2843" i="11"/>
  <c r="M2843" i="11"/>
  <c r="L2843" i="11"/>
  <c r="G2843" i="11"/>
  <c r="S2842" i="11"/>
  <c r="R2842" i="11"/>
  <c r="Q2842" i="11"/>
  <c r="O2842" i="11"/>
  <c r="N2842" i="11"/>
  <c r="M2842" i="11"/>
  <c r="L2842" i="11"/>
  <c r="G2842" i="11"/>
  <c r="S2841" i="11"/>
  <c r="R2841" i="11"/>
  <c r="Q2841" i="11"/>
  <c r="O2841" i="11"/>
  <c r="N2841" i="11"/>
  <c r="L2841" i="11"/>
  <c r="G2841" i="11"/>
  <c r="M2841" i="11" s="1"/>
  <c r="S2840" i="11"/>
  <c r="R2840" i="11"/>
  <c r="Q2840" i="11"/>
  <c r="O2840" i="11"/>
  <c r="N2840" i="11"/>
  <c r="M2840" i="11"/>
  <c r="L2840" i="11"/>
  <c r="G2840" i="11"/>
  <c r="S2839" i="11"/>
  <c r="R2839" i="11"/>
  <c r="Q2839" i="11"/>
  <c r="O2839" i="11"/>
  <c r="N2839" i="11"/>
  <c r="M2839" i="11"/>
  <c r="L2839" i="11"/>
  <c r="G2839" i="11"/>
  <c r="S2838" i="11"/>
  <c r="R2838" i="11"/>
  <c r="Q2838" i="11"/>
  <c r="O2838" i="11"/>
  <c r="N2838" i="11"/>
  <c r="L2838" i="11"/>
  <c r="G2838" i="11"/>
  <c r="M2838" i="11" s="1"/>
  <c r="S2837" i="11"/>
  <c r="R2837" i="11"/>
  <c r="Q2837" i="11"/>
  <c r="O2837" i="11"/>
  <c r="N2837" i="11"/>
  <c r="M2837" i="11"/>
  <c r="L2837" i="11"/>
  <c r="G2837" i="11"/>
  <c r="S2836" i="11"/>
  <c r="R2836" i="11"/>
  <c r="Q2836" i="11"/>
  <c r="O2836" i="11"/>
  <c r="N2836" i="11"/>
  <c r="M2836" i="11"/>
  <c r="L2836" i="11"/>
  <c r="G2836" i="11"/>
  <c r="S2835" i="11"/>
  <c r="R2835" i="11"/>
  <c r="Q2835" i="11"/>
  <c r="O2835" i="11"/>
  <c r="N2835" i="11"/>
  <c r="L2835" i="11"/>
  <c r="G2835" i="11"/>
  <c r="M2835" i="11" s="1"/>
  <c r="S2834" i="11"/>
  <c r="R2834" i="11"/>
  <c r="Q2834" i="11"/>
  <c r="O2834" i="11"/>
  <c r="N2834" i="11"/>
  <c r="M2834" i="11"/>
  <c r="L2834" i="11"/>
  <c r="G2834" i="11"/>
  <c r="S2833" i="11"/>
  <c r="R2833" i="11"/>
  <c r="Q2833" i="11"/>
  <c r="O2833" i="11"/>
  <c r="N2833" i="11"/>
  <c r="M2833" i="11"/>
  <c r="L2833" i="11"/>
  <c r="G2833" i="11"/>
  <c r="S2832" i="11"/>
  <c r="R2832" i="11"/>
  <c r="Q2832" i="11"/>
  <c r="O2832" i="11"/>
  <c r="N2832" i="11"/>
  <c r="L2832" i="11"/>
  <c r="G2832" i="11"/>
  <c r="M2832" i="11" s="1"/>
  <c r="S2831" i="11"/>
  <c r="R2831" i="11"/>
  <c r="Q2831" i="11"/>
  <c r="O2831" i="11"/>
  <c r="N2831" i="11"/>
  <c r="M2831" i="11"/>
  <c r="L2831" i="11"/>
  <c r="G2831" i="11"/>
  <c r="S2830" i="11"/>
  <c r="R2830" i="11"/>
  <c r="Q2830" i="11"/>
  <c r="O2830" i="11"/>
  <c r="N2830" i="11"/>
  <c r="M2830" i="11"/>
  <c r="L2830" i="11"/>
  <c r="G2830" i="11"/>
  <c r="S2829" i="11"/>
  <c r="R2829" i="11"/>
  <c r="Q2829" i="11"/>
  <c r="O2829" i="11"/>
  <c r="N2829" i="11"/>
  <c r="L2829" i="11"/>
  <c r="G2829" i="11"/>
  <c r="M2829" i="11" s="1"/>
  <c r="S2828" i="11"/>
  <c r="R2828" i="11"/>
  <c r="Q2828" i="11"/>
  <c r="O2828" i="11"/>
  <c r="N2828" i="11"/>
  <c r="M2828" i="11"/>
  <c r="L2828" i="11"/>
  <c r="G2828" i="11"/>
  <c r="S2827" i="11"/>
  <c r="R2827" i="11"/>
  <c r="Q2827" i="11"/>
  <c r="O2827" i="11"/>
  <c r="N2827" i="11"/>
  <c r="M2827" i="11"/>
  <c r="L2827" i="11"/>
  <c r="G2827" i="11"/>
  <c r="S2826" i="11"/>
  <c r="R2826" i="11"/>
  <c r="Q2826" i="11"/>
  <c r="O2826" i="11"/>
  <c r="N2826" i="11"/>
  <c r="L2826" i="11"/>
  <c r="G2826" i="11"/>
  <c r="M2826" i="11" s="1"/>
  <c r="S2825" i="11"/>
  <c r="R2825" i="11"/>
  <c r="Q2825" i="11"/>
  <c r="O2825" i="11"/>
  <c r="N2825" i="11"/>
  <c r="M2825" i="11"/>
  <c r="L2825" i="11"/>
  <c r="G2825" i="11"/>
  <c r="S2824" i="11"/>
  <c r="R2824" i="11"/>
  <c r="Q2824" i="11"/>
  <c r="O2824" i="11"/>
  <c r="N2824" i="11"/>
  <c r="M2824" i="11"/>
  <c r="L2824" i="11"/>
  <c r="G2824" i="11"/>
  <c r="S2823" i="11"/>
  <c r="R2823" i="11"/>
  <c r="Q2823" i="11"/>
  <c r="O2823" i="11"/>
  <c r="N2823" i="11"/>
  <c r="L2823" i="11"/>
  <c r="G2823" i="11"/>
  <c r="M2823" i="11" s="1"/>
  <c r="S2822" i="11"/>
  <c r="R2822" i="11"/>
  <c r="Q2822" i="11"/>
  <c r="O2822" i="11"/>
  <c r="N2822" i="11"/>
  <c r="M2822" i="11"/>
  <c r="L2822" i="11"/>
  <c r="G2822" i="11"/>
  <c r="S2821" i="11"/>
  <c r="R2821" i="11"/>
  <c r="Q2821" i="11"/>
  <c r="O2821" i="11"/>
  <c r="N2821" i="11"/>
  <c r="M2821" i="11"/>
  <c r="L2821" i="11"/>
  <c r="G2821" i="11"/>
  <c r="S2820" i="11"/>
  <c r="R2820" i="11"/>
  <c r="Q2820" i="11"/>
  <c r="O2820" i="11"/>
  <c r="N2820" i="11"/>
  <c r="L2820" i="11"/>
  <c r="G2820" i="11"/>
  <c r="M2820" i="11" s="1"/>
  <c r="S2819" i="11"/>
  <c r="R2819" i="11"/>
  <c r="Q2819" i="11"/>
  <c r="O2819" i="11"/>
  <c r="N2819" i="11"/>
  <c r="M2819" i="11"/>
  <c r="L2819" i="11"/>
  <c r="G2819" i="11"/>
  <c r="S2818" i="11"/>
  <c r="R2818" i="11"/>
  <c r="Q2818" i="11"/>
  <c r="O2818" i="11"/>
  <c r="N2818" i="11"/>
  <c r="M2818" i="11"/>
  <c r="L2818" i="11"/>
  <c r="G2818" i="11"/>
  <c r="S2817" i="11"/>
  <c r="R2817" i="11"/>
  <c r="Q2817" i="11"/>
  <c r="O2817" i="11"/>
  <c r="N2817" i="11"/>
  <c r="L2817" i="11"/>
  <c r="G2817" i="11"/>
  <c r="M2817" i="11" s="1"/>
  <c r="S2816" i="11"/>
  <c r="R2816" i="11"/>
  <c r="Q2816" i="11"/>
  <c r="O2816" i="11"/>
  <c r="N2816" i="11"/>
  <c r="M2816" i="11"/>
  <c r="L2816" i="11"/>
  <c r="G2816" i="11"/>
  <c r="S2815" i="11"/>
  <c r="R2815" i="11"/>
  <c r="Q2815" i="11"/>
  <c r="O2815" i="11"/>
  <c r="N2815" i="11"/>
  <c r="M2815" i="11"/>
  <c r="L2815" i="11"/>
  <c r="G2815" i="11"/>
  <c r="S2814" i="11"/>
  <c r="R2814" i="11"/>
  <c r="Q2814" i="11"/>
  <c r="O2814" i="11"/>
  <c r="N2814" i="11"/>
  <c r="M2814" i="11"/>
  <c r="L2814" i="11"/>
  <c r="K2814" i="11"/>
  <c r="J2814" i="11"/>
  <c r="G2814" i="11"/>
  <c r="S2813" i="11"/>
  <c r="R2813" i="11"/>
  <c r="Q2813" i="11"/>
  <c r="O2813" i="11"/>
  <c r="N2813" i="11"/>
  <c r="L2813" i="11"/>
  <c r="G2813" i="11"/>
  <c r="M2813" i="11" s="1"/>
  <c r="S2812" i="11"/>
  <c r="R2812" i="11"/>
  <c r="Q2812" i="11"/>
  <c r="O2812" i="11"/>
  <c r="N2812" i="11"/>
  <c r="L2812" i="11"/>
  <c r="G2812" i="11"/>
  <c r="M2812" i="11" s="1"/>
  <c r="S2811" i="11"/>
  <c r="R2811" i="11"/>
  <c r="Q2811" i="11"/>
  <c r="O2811" i="11"/>
  <c r="N2811" i="11"/>
  <c r="M2811" i="11"/>
  <c r="L2811" i="11"/>
  <c r="G2811" i="11"/>
  <c r="S2810" i="11"/>
  <c r="R2810" i="11"/>
  <c r="Q2810" i="11"/>
  <c r="O2810" i="11"/>
  <c r="N2810" i="11"/>
  <c r="L2810" i="11"/>
  <c r="G2810" i="11"/>
  <c r="M2810" i="11" s="1"/>
  <c r="S2809" i="11"/>
  <c r="R2809" i="11"/>
  <c r="Q2809" i="11"/>
  <c r="O2809" i="11"/>
  <c r="N2809" i="11"/>
  <c r="L2809" i="11"/>
  <c r="G2809" i="11"/>
  <c r="M2809" i="11" s="1"/>
  <c r="S2808" i="11"/>
  <c r="R2808" i="11"/>
  <c r="Q2808" i="11"/>
  <c r="O2808" i="11"/>
  <c r="N2808" i="11"/>
  <c r="M2808" i="11"/>
  <c r="L2808" i="11"/>
  <c r="G2808" i="11"/>
  <c r="S2807" i="11"/>
  <c r="R2807" i="11"/>
  <c r="Q2807" i="11"/>
  <c r="O2807" i="11"/>
  <c r="N2807" i="11"/>
  <c r="L2807" i="11"/>
  <c r="G2807" i="11"/>
  <c r="M2807" i="11" s="1"/>
  <c r="S2806" i="11"/>
  <c r="R2806" i="11"/>
  <c r="Q2806" i="11"/>
  <c r="O2806" i="11"/>
  <c r="N2806" i="11"/>
  <c r="L2806" i="11"/>
  <c r="G2806" i="11"/>
  <c r="M2806" i="11" s="1"/>
  <c r="S2805" i="11"/>
  <c r="R2805" i="11"/>
  <c r="Q2805" i="11"/>
  <c r="O2805" i="11"/>
  <c r="N2805" i="11"/>
  <c r="M2805" i="11"/>
  <c r="L2805" i="11"/>
  <c r="G2805" i="11"/>
  <c r="S2804" i="11"/>
  <c r="R2804" i="11"/>
  <c r="Q2804" i="11"/>
  <c r="O2804" i="11"/>
  <c r="N2804" i="11"/>
  <c r="L2804" i="11"/>
  <c r="G2804" i="11"/>
  <c r="M2804" i="11" s="1"/>
  <c r="S2803" i="11"/>
  <c r="R2803" i="11"/>
  <c r="Q2803" i="11"/>
  <c r="O2803" i="11"/>
  <c r="N2803" i="11"/>
  <c r="L2803" i="11"/>
  <c r="G2803" i="11"/>
  <c r="M2803" i="11" s="1"/>
  <c r="S2802" i="11"/>
  <c r="R2802" i="11"/>
  <c r="Q2802" i="11"/>
  <c r="O2802" i="11"/>
  <c r="N2802" i="11"/>
  <c r="M2802" i="11"/>
  <c r="L2802" i="11"/>
  <c r="G2802" i="11"/>
  <c r="S2801" i="11"/>
  <c r="R2801" i="11"/>
  <c r="Q2801" i="11"/>
  <c r="O2801" i="11"/>
  <c r="N2801" i="11"/>
  <c r="L2801" i="11"/>
  <c r="G2801" i="11"/>
  <c r="M2801" i="11" s="1"/>
  <c r="S2800" i="11"/>
  <c r="R2800" i="11"/>
  <c r="Q2800" i="11"/>
  <c r="O2800" i="11"/>
  <c r="N2800" i="11"/>
  <c r="L2800" i="11"/>
  <c r="G2800" i="11"/>
  <c r="M2800" i="11" s="1"/>
  <c r="S2799" i="11"/>
  <c r="R2799" i="11"/>
  <c r="Q2799" i="11"/>
  <c r="O2799" i="11"/>
  <c r="N2799" i="11"/>
  <c r="M2799" i="11"/>
  <c r="L2799" i="11"/>
  <c r="G2799" i="11"/>
  <c r="S2798" i="11"/>
  <c r="R2798" i="11"/>
  <c r="Q2798" i="11"/>
  <c r="O2798" i="11"/>
  <c r="N2798" i="11"/>
  <c r="L2798" i="11"/>
  <c r="G2798" i="11"/>
  <c r="M2798" i="11" s="1"/>
  <c r="S2797" i="11"/>
  <c r="R2797" i="11"/>
  <c r="Q2797" i="11"/>
  <c r="O2797" i="11"/>
  <c r="N2797" i="11"/>
  <c r="L2797" i="11"/>
  <c r="G2797" i="11"/>
  <c r="M2797" i="11" s="1"/>
  <c r="S2796" i="11"/>
  <c r="R2796" i="11"/>
  <c r="Q2796" i="11"/>
  <c r="O2796" i="11"/>
  <c r="N2796" i="11"/>
  <c r="M2796" i="11"/>
  <c r="L2796" i="11"/>
  <c r="G2796" i="11"/>
  <c r="S2795" i="11"/>
  <c r="R2795" i="11"/>
  <c r="Q2795" i="11"/>
  <c r="O2795" i="11"/>
  <c r="N2795" i="11"/>
  <c r="L2795" i="11"/>
  <c r="J2795" i="11"/>
  <c r="G2795" i="11"/>
  <c r="M2795" i="11" s="1"/>
  <c r="S2794" i="11"/>
  <c r="R2794" i="11"/>
  <c r="Q2794" i="11"/>
  <c r="O2794" i="11"/>
  <c r="N2794" i="11"/>
  <c r="M2794" i="11"/>
  <c r="L2794" i="11"/>
  <c r="G2794" i="11"/>
  <c r="S2793" i="11"/>
  <c r="R2793" i="11"/>
  <c r="Q2793" i="11"/>
  <c r="O2793" i="11"/>
  <c r="N2793" i="11"/>
  <c r="M2793" i="11"/>
  <c r="L2793" i="11"/>
  <c r="G2793" i="11"/>
  <c r="S2792" i="11"/>
  <c r="R2792" i="11"/>
  <c r="Q2792" i="11"/>
  <c r="O2792" i="11"/>
  <c r="N2792" i="11"/>
  <c r="M2792" i="11"/>
  <c r="L2792" i="11"/>
  <c r="G2792" i="11"/>
  <c r="S2791" i="11"/>
  <c r="R2791" i="11"/>
  <c r="Q2791" i="11"/>
  <c r="O2791" i="11"/>
  <c r="N2791" i="11"/>
  <c r="M2791" i="11"/>
  <c r="L2791" i="11"/>
  <c r="G2791" i="11"/>
  <c r="S2790" i="11"/>
  <c r="R2790" i="11"/>
  <c r="Q2790" i="11"/>
  <c r="O2790" i="11"/>
  <c r="N2790" i="11"/>
  <c r="M2790" i="11"/>
  <c r="L2790" i="11"/>
  <c r="G2790" i="11"/>
  <c r="S2789" i="11"/>
  <c r="R2789" i="11"/>
  <c r="Q2789" i="11"/>
  <c r="O2789" i="11"/>
  <c r="N2789" i="11"/>
  <c r="M2789" i="11"/>
  <c r="L2789" i="11"/>
  <c r="G2789" i="11"/>
  <c r="S2788" i="11"/>
  <c r="R2788" i="11"/>
  <c r="Q2788" i="11"/>
  <c r="O2788" i="11"/>
  <c r="N2788" i="11"/>
  <c r="M2788" i="11"/>
  <c r="L2788" i="11"/>
  <c r="G2788" i="11"/>
  <c r="S2787" i="11"/>
  <c r="R2787" i="11"/>
  <c r="Q2787" i="11"/>
  <c r="O2787" i="11"/>
  <c r="N2787" i="11"/>
  <c r="M2787" i="11"/>
  <c r="L2787" i="11"/>
  <c r="G2787" i="11"/>
  <c r="S2786" i="11"/>
  <c r="R2786" i="11"/>
  <c r="Q2786" i="11"/>
  <c r="O2786" i="11"/>
  <c r="N2786" i="11"/>
  <c r="M2786" i="11"/>
  <c r="L2786" i="11"/>
  <c r="G2786" i="11"/>
  <c r="S2785" i="11"/>
  <c r="R2785" i="11"/>
  <c r="Q2785" i="11"/>
  <c r="O2785" i="11"/>
  <c r="N2785" i="11"/>
  <c r="M2785" i="11"/>
  <c r="L2785" i="11"/>
  <c r="G2785" i="11"/>
  <c r="S2784" i="11"/>
  <c r="R2784" i="11"/>
  <c r="Q2784" i="11"/>
  <c r="O2784" i="11"/>
  <c r="N2784" i="11"/>
  <c r="M2784" i="11"/>
  <c r="L2784" i="11"/>
  <c r="G2784" i="11"/>
  <c r="S2783" i="11"/>
  <c r="R2783" i="11"/>
  <c r="Q2783" i="11"/>
  <c r="O2783" i="11"/>
  <c r="N2783" i="11"/>
  <c r="M2783" i="11"/>
  <c r="L2783" i="11"/>
  <c r="G2783" i="11"/>
  <c r="S2782" i="11"/>
  <c r="R2782" i="11"/>
  <c r="Q2782" i="11"/>
  <c r="O2782" i="11"/>
  <c r="N2782" i="11"/>
  <c r="M2782" i="11"/>
  <c r="L2782" i="11"/>
  <c r="G2782" i="11"/>
  <c r="S2781" i="11"/>
  <c r="R2781" i="11"/>
  <c r="Q2781" i="11"/>
  <c r="O2781" i="11"/>
  <c r="N2781" i="11"/>
  <c r="M2781" i="11"/>
  <c r="L2781" i="11"/>
  <c r="G2781" i="11"/>
  <c r="S2780" i="11"/>
  <c r="R2780" i="11"/>
  <c r="Q2780" i="11"/>
  <c r="O2780" i="11"/>
  <c r="N2780" i="11"/>
  <c r="M2780" i="11"/>
  <c r="L2780" i="11"/>
  <c r="G2780" i="11"/>
  <c r="S2779" i="11"/>
  <c r="R2779" i="11"/>
  <c r="Q2779" i="11"/>
  <c r="O2779" i="11"/>
  <c r="N2779" i="11"/>
  <c r="M2779" i="11"/>
  <c r="L2779" i="11"/>
  <c r="G2779" i="11"/>
  <c r="S2778" i="11"/>
  <c r="R2778" i="11"/>
  <c r="Q2778" i="11"/>
  <c r="O2778" i="11"/>
  <c r="N2778" i="11"/>
  <c r="M2778" i="11"/>
  <c r="L2778" i="11"/>
  <c r="G2778" i="11"/>
  <c r="S2777" i="11"/>
  <c r="R2777" i="11"/>
  <c r="Q2777" i="11"/>
  <c r="O2777" i="11"/>
  <c r="N2777" i="11"/>
  <c r="M2777" i="11"/>
  <c r="L2777" i="11"/>
  <c r="G2777" i="11"/>
  <c r="S2776" i="11"/>
  <c r="R2776" i="11"/>
  <c r="Q2776" i="11"/>
  <c r="O2776" i="11"/>
  <c r="N2776" i="11"/>
  <c r="M2776" i="11"/>
  <c r="L2776" i="11"/>
  <c r="G2776" i="11"/>
  <c r="S2775" i="11"/>
  <c r="R2775" i="11"/>
  <c r="Q2775" i="11"/>
  <c r="O2775" i="11"/>
  <c r="N2775" i="11"/>
  <c r="M2775" i="11"/>
  <c r="L2775" i="11"/>
  <c r="G2775" i="11"/>
  <c r="S2774" i="11"/>
  <c r="R2774" i="11"/>
  <c r="Q2774" i="11"/>
  <c r="O2774" i="11"/>
  <c r="N2774" i="11"/>
  <c r="M2774" i="11"/>
  <c r="L2774" i="11"/>
  <c r="G2774" i="11"/>
  <c r="S2773" i="11"/>
  <c r="R2773" i="11"/>
  <c r="Q2773" i="11"/>
  <c r="O2773" i="11"/>
  <c r="N2773" i="11"/>
  <c r="M2773" i="11"/>
  <c r="L2773" i="11"/>
  <c r="G2773" i="11"/>
  <c r="S2772" i="11"/>
  <c r="R2772" i="11"/>
  <c r="Q2772" i="11"/>
  <c r="O2772" i="11"/>
  <c r="N2772" i="11"/>
  <c r="M2772" i="11"/>
  <c r="L2772" i="11"/>
  <c r="G2772" i="11"/>
  <c r="S2771" i="11"/>
  <c r="R2771" i="11"/>
  <c r="Q2771" i="11"/>
  <c r="O2771" i="11"/>
  <c r="N2771" i="11"/>
  <c r="M2771" i="11"/>
  <c r="L2771" i="11"/>
  <c r="G2771" i="11"/>
  <c r="S2770" i="11"/>
  <c r="R2770" i="11"/>
  <c r="Q2770" i="11"/>
  <c r="O2770" i="11"/>
  <c r="N2770" i="11"/>
  <c r="M2770" i="11"/>
  <c r="L2770" i="11"/>
  <c r="G2770" i="11"/>
  <c r="S2769" i="11"/>
  <c r="R2769" i="11"/>
  <c r="Q2769" i="11"/>
  <c r="O2769" i="11"/>
  <c r="N2769" i="11"/>
  <c r="M2769" i="11"/>
  <c r="L2769" i="11"/>
  <c r="G2769" i="11"/>
  <c r="S2768" i="11"/>
  <c r="R2768" i="11"/>
  <c r="Q2768" i="11"/>
  <c r="O2768" i="11"/>
  <c r="N2768" i="11"/>
  <c r="M2768" i="11"/>
  <c r="L2768" i="11"/>
  <c r="G2768" i="11"/>
  <c r="S2767" i="11"/>
  <c r="R2767" i="11"/>
  <c r="Q2767" i="11"/>
  <c r="O2767" i="11"/>
  <c r="N2767" i="11"/>
  <c r="M2767" i="11"/>
  <c r="L2767" i="11"/>
  <c r="G2767" i="11"/>
  <c r="S2766" i="11"/>
  <c r="R2766" i="11"/>
  <c r="Q2766" i="11"/>
  <c r="O2766" i="11"/>
  <c r="N2766" i="11"/>
  <c r="M2766" i="11"/>
  <c r="L2766" i="11"/>
  <c r="G2766" i="11"/>
  <c r="S2765" i="11"/>
  <c r="R2765" i="11"/>
  <c r="Q2765" i="11"/>
  <c r="O2765" i="11"/>
  <c r="N2765" i="11"/>
  <c r="M2765" i="11"/>
  <c r="L2765" i="11"/>
  <c r="G2765" i="11"/>
  <c r="S2764" i="11"/>
  <c r="R2764" i="11"/>
  <c r="Q2764" i="11"/>
  <c r="O2764" i="11"/>
  <c r="N2764" i="11"/>
  <c r="M2764" i="11"/>
  <c r="L2764" i="11"/>
  <c r="G2764" i="11"/>
  <c r="S2763" i="11"/>
  <c r="R2763" i="11"/>
  <c r="Q2763" i="11"/>
  <c r="O2763" i="11"/>
  <c r="N2763" i="11"/>
  <c r="M2763" i="11"/>
  <c r="L2763" i="11"/>
  <c r="G2763" i="11"/>
  <c r="S2762" i="11"/>
  <c r="R2762" i="11"/>
  <c r="Q2762" i="11"/>
  <c r="O2762" i="11"/>
  <c r="N2762" i="11"/>
  <c r="M2762" i="11"/>
  <c r="L2762" i="11"/>
  <c r="G2762" i="11"/>
  <c r="S2761" i="11"/>
  <c r="R2761" i="11"/>
  <c r="Q2761" i="11"/>
  <c r="O2761" i="11"/>
  <c r="N2761" i="11"/>
  <c r="M2761" i="11"/>
  <c r="L2761" i="11"/>
  <c r="G2761" i="11"/>
  <c r="S2760" i="11"/>
  <c r="R2760" i="11"/>
  <c r="Q2760" i="11"/>
  <c r="O2760" i="11"/>
  <c r="N2760" i="11"/>
  <c r="M2760" i="11"/>
  <c r="L2760" i="11"/>
  <c r="G2760" i="11"/>
  <c r="S2759" i="11"/>
  <c r="R2759" i="11"/>
  <c r="Q2759" i="11"/>
  <c r="O2759" i="11"/>
  <c r="N2759" i="11"/>
  <c r="M2759" i="11"/>
  <c r="L2759" i="11"/>
  <c r="G2759" i="11"/>
  <c r="S2758" i="11"/>
  <c r="R2758" i="11"/>
  <c r="Q2758" i="11"/>
  <c r="O2758" i="11"/>
  <c r="N2758" i="11"/>
  <c r="M2758" i="11"/>
  <c r="L2758" i="11"/>
  <c r="G2758" i="11"/>
  <c r="S2757" i="11"/>
  <c r="R2757" i="11"/>
  <c r="Q2757" i="11"/>
  <c r="O2757" i="11"/>
  <c r="N2757" i="11"/>
  <c r="M2757" i="11"/>
  <c r="L2757" i="11"/>
  <c r="G2757" i="11"/>
  <c r="S2756" i="11"/>
  <c r="R2756" i="11"/>
  <c r="Q2756" i="11"/>
  <c r="O2756" i="11"/>
  <c r="L2756" i="11"/>
  <c r="K2756" i="11"/>
  <c r="N2756" i="11" s="1"/>
  <c r="J2756" i="11"/>
  <c r="G2756" i="11"/>
  <c r="M2756" i="11" s="1"/>
  <c r="S2755" i="11"/>
  <c r="R2755" i="11"/>
  <c r="Q2755" i="11"/>
  <c r="O2755" i="11"/>
  <c r="N2755" i="11"/>
  <c r="L2755" i="11"/>
  <c r="G2755" i="11"/>
  <c r="M2755" i="11" s="1"/>
  <c r="S2754" i="11"/>
  <c r="R2754" i="11"/>
  <c r="Q2754" i="11"/>
  <c r="O2754" i="11"/>
  <c r="N2754" i="11"/>
  <c r="M2754" i="11"/>
  <c r="L2754" i="11"/>
  <c r="G2754" i="11"/>
  <c r="S2753" i="11"/>
  <c r="R2753" i="11"/>
  <c r="Q2753" i="11"/>
  <c r="O2753" i="11"/>
  <c r="M2753" i="11"/>
  <c r="L2753" i="11"/>
  <c r="K2753" i="11"/>
  <c r="G2753" i="11"/>
  <c r="S2752" i="11"/>
  <c r="R2752" i="11"/>
  <c r="Q2752" i="11"/>
  <c r="O2752" i="11"/>
  <c r="N2752" i="11"/>
  <c r="L2752" i="11"/>
  <c r="G2752" i="11"/>
  <c r="M2752" i="11" s="1"/>
  <c r="S2751" i="11"/>
  <c r="R2751" i="11"/>
  <c r="Q2751" i="11"/>
  <c r="O2751" i="11"/>
  <c r="N2751" i="11"/>
  <c r="M2751" i="11"/>
  <c r="L2751" i="11"/>
  <c r="G2751" i="11"/>
  <c r="S2750" i="11"/>
  <c r="R2750" i="11"/>
  <c r="Q2750" i="11"/>
  <c r="O2750" i="11"/>
  <c r="N2750" i="11"/>
  <c r="M2750" i="11"/>
  <c r="L2750" i="11"/>
  <c r="G2750" i="11"/>
  <c r="S2749" i="11"/>
  <c r="R2749" i="11"/>
  <c r="Q2749" i="11"/>
  <c r="O2749" i="11"/>
  <c r="N2749" i="11"/>
  <c r="L2749" i="11"/>
  <c r="G2749" i="11"/>
  <c r="M2749" i="11" s="1"/>
  <c r="S2748" i="11"/>
  <c r="R2748" i="11"/>
  <c r="Q2748" i="11"/>
  <c r="O2748" i="11"/>
  <c r="N2748" i="11"/>
  <c r="M2748" i="11"/>
  <c r="L2748" i="11"/>
  <c r="G2748" i="11"/>
  <c r="S2747" i="11"/>
  <c r="R2747" i="11"/>
  <c r="Q2747" i="11"/>
  <c r="O2747" i="11"/>
  <c r="N2747" i="11"/>
  <c r="M2747" i="11"/>
  <c r="L2747" i="11"/>
  <c r="G2747" i="11"/>
  <c r="S2746" i="11"/>
  <c r="R2746" i="11"/>
  <c r="Q2746" i="11"/>
  <c r="O2746" i="11"/>
  <c r="N2746" i="11"/>
  <c r="L2746" i="11"/>
  <c r="G2746" i="11"/>
  <c r="M2746" i="11" s="1"/>
  <c r="S2745" i="11"/>
  <c r="R2745" i="11"/>
  <c r="Q2745" i="11"/>
  <c r="O2745" i="11"/>
  <c r="N2745" i="11"/>
  <c r="M2745" i="11"/>
  <c r="L2745" i="11"/>
  <c r="G2745" i="11"/>
  <c r="S2744" i="11"/>
  <c r="R2744" i="11"/>
  <c r="Q2744" i="11"/>
  <c r="O2744" i="11"/>
  <c r="N2744" i="11"/>
  <c r="M2744" i="11"/>
  <c r="L2744" i="11"/>
  <c r="G2744" i="11"/>
  <c r="S2743" i="11"/>
  <c r="R2743" i="11"/>
  <c r="Q2743" i="11"/>
  <c r="O2743" i="11"/>
  <c r="N2743" i="11"/>
  <c r="L2743" i="11"/>
  <c r="G2743" i="11"/>
  <c r="M2743" i="11" s="1"/>
  <c r="S2742" i="11"/>
  <c r="R2742" i="11"/>
  <c r="Q2742" i="11"/>
  <c r="O2742" i="11"/>
  <c r="N2742" i="11"/>
  <c r="M2742" i="11"/>
  <c r="L2742" i="11"/>
  <c r="G2742" i="11"/>
  <c r="S2741" i="11"/>
  <c r="R2741" i="11"/>
  <c r="Q2741" i="11"/>
  <c r="O2741" i="11"/>
  <c r="M2741" i="11"/>
  <c r="L2741" i="11"/>
  <c r="K2741" i="11"/>
  <c r="J2741" i="11" s="1"/>
  <c r="G2741" i="11"/>
  <c r="S2740" i="11"/>
  <c r="R2740" i="11"/>
  <c r="Q2740" i="11"/>
  <c r="O2740" i="11"/>
  <c r="N2740" i="11"/>
  <c r="M2740" i="11"/>
  <c r="L2740" i="11"/>
  <c r="G2740" i="11"/>
  <c r="S2739" i="11"/>
  <c r="R2739" i="11"/>
  <c r="Q2739" i="11"/>
  <c r="O2739" i="11"/>
  <c r="N2739" i="11"/>
  <c r="M2739" i="11"/>
  <c r="L2739" i="11"/>
  <c r="G2739" i="11"/>
  <c r="S2738" i="11"/>
  <c r="R2738" i="11"/>
  <c r="Q2738" i="11"/>
  <c r="O2738" i="11"/>
  <c r="N2738" i="11"/>
  <c r="M2738" i="11"/>
  <c r="L2738" i="11"/>
  <c r="G2738" i="11"/>
  <c r="S2737" i="11"/>
  <c r="R2737" i="11"/>
  <c r="Q2737" i="11"/>
  <c r="O2737" i="11"/>
  <c r="N2737" i="11"/>
  <c r="M2737" i="11"/>
  <c r="L2737" i="11"/>
  <c r="G2737" i="11"/>
  <c r="S2736" i="11"/>
  <c r="R2736" i="11"/>
  <c r="Q2736" i="11"/>
  <c r="O2736" i="11"/>
  <c r="N2736" i="11"/>
  <c r="M2736" i="11"/>
  <c r="L2736" i="11"/>
  <c r="G2736" i="11"/>
  <c r="S2735" i="11"/>
  <c r="R2735" i="11"/>
  <c r="Q2735" i="11"/>
  <c r="O2735" i="11"/>
  <c r="N2735" i="11"/>
  <c r="L2735" i="11"/>
  <c r="K2735" i="11"/>
  <c r="J2735" i="11"/>
  <c r="G2735" i="11"/>
  <c r="M2735" i="11" s="1"/>
  <c r="S2734" i="11"/>
  <c r="R2734" i="11"/>
  <c r="Q2734" i="11"/>
  <c r="O2734" i="11"/>
  <c r="N2734" i="11"/>
  <c r="L2734" i="11"/>
  <c r="G2734" i="11"/>
  <c r="M2734" i="11" s="1"/>
  <c r="S2733" i="11"/>
  <c r="R2733" i="11"/>
  <c r="Q2733" i="11"/>
  <c r="O2733" i="11"/>
  <c r="N2733" i="11"/>
  <c r="L2733" i="11"/>
  <c r="G2733" i="11"/>
  <c r="M2733" i="11" s="1"/>
  <c r="S2732" i="11"/>
  <c r="R2732" i="11"/>
  <c r="Q2732" i="11"/>
  <c r="O2732" i="11"/>
  <c r="N2732" i="11"/>
  <c r="L2732" i="11"/>
  <c r="G2732" i="11"/>
  <c r="M2732" i="11" s="1"/>
  <c r="S2731" i="11"/>
  <c r="R2731" i="11"/>
  <c r="Q2731" i="11"/>
  <c r="O2731" i="11"/>
  <c r="N2731" i="11"/>
  <c r="L2731" i="11"/>
  <c r="G2731" i="11"/>
  <c r="M2731" i="11" s="1"/>
  <c r="S2730" i="11"/>
  <c r="R2730" i="11"/>
  <c r="Q2730" i="11"/>
  <c r="O2730" i="11"/>
  <c r="N2730" i="11"/>
  <c r="L2730" i="11"/>
  <c r="G2730" i="11"/>
  <c r="M2730" i="11" s="1"/>
  <c r="S2729" i="11"/>
  <c r="R2729" i="11"/>
  <c r="Q2729" i="11"/>
  <c r="O2729" i="11"/>
  <c r="N2729" i="11"/>
  <c r="L2729" i="11"/>
  <c r="G2729" i="11"/>
  <c r="M2729" i="11" s="1"/>
  <c r="S2728" i="11"/>
  <c r="R2728" i="11"/>
  <c r="Q2728" i="11"/>
  <c r="O2728" i="11"/>
  <c r="N2728" i="11"/>
  <c r="L2728" i="11"/>
  <c r="G2728" i="11"/>
  <c r="M2728" i="11" s="1"/>
  <c r="S2727" i="11"/>
  <c r="R2727" i="11"/>
  <c r="Q2727" i="11"/>
  <c r="O2727" i="11"/>
  <c r="N2727" i="11"/>
  <c r="L2727" i="11"/>
  <c r="G2727" i="11"/>
  <c r="M2727" i="11" s="1"/>
  <c r="S2726" i="11"/>
  <c r="R2726" i="11"/>
  <c r="Q2726" i="11"/>
  <c r="O2726" i="11"/>
  <c r="N2726" i="11"/>
  <c r="L2726" i="11"/>
  <c r="G2726" i="11"/>
  <c r="M2726" i="11" s="1"/>
  <c r="S2725" i="11"/>
  <c r="R2725" i="11"/>
  <c r="Q2725" i="11"/>
  <c r="O2725" i="11"/>
  <c r="N2725" i="11"/>
  <c r="L2725" i="11"/>
  <c r="G2725" i="11"/>
  <c r="M2725" i="11" s="1"/>
  <c r="S2724" i="11"/>
  <c r="R2724" i="11"/>
  <c r="Q2724" i="11"/>
  <c r="O2724" i="11"/>
  <c r="L2724" i="11"/>
  <c r="K2724" i="11"/>
  <c r="N2724" i="11" s="1"/>
  <c r="G2724" i="11"/>
  <c r="M2724" i="11" s="1"/>
  <c r="S2723" i="11"/>
  <c r="R2723" i="11"/>
  <c r="Q2723" i="11"/>
  <c r="O2723" i="11"/>
  <c r="N2723" i="11"/>
  <c r="M2723" i="11"/>
  <c r="L2723" i="11"/>
  <c r="G2723" i="11"/>
  <c r="S2722" i="11"/>
  <c r="R2722" i="11"/>
  <c r="Q2722" i="11"/>
  <c r="O2722" i="11"/>
  <c r="N2722" i="11"/>
  <c r="M2722" i="11"/>
  <c r="L2722" i="11"/>
  <c r="G2722" i="11"/>
  <c r="S2721" i="11"/>
  <c r="R2721" i="11"/>
  <c r="Q2721" i="11"/>
  <c r="O2721" i="11"/>
  <c r="N2721" i="11"/>
  <c r="M2721" i="11"/>
  <c r="L2721" i="11"/>
  <c r="G2721" i="11"/>
  <c r="S2720" i="11"/>
  <c r="R2720" i="11"/>
  <c r="Q2720" i="11"/>
  <c r="O2720" i="11"/>
  <c r="N2720" i="11"/>
  <c r="M2720" i="11"/>
  <c r="L2720" i="11"/>
  <c r="G2720" i="11"/>
  <c r="S2719" i="11"/>
  <c r="R2719" i="11"/>
  <c r="Q2719" i="11"/>
  <c r="O2719" i="11"/>
  <c r="N2719" i="11"/>
  <c r="M2719" i="11"/>
  <c r="L2719" i="11"/>
  <c r="G2719" i="11"/>
  <c r="S2718" i="11"/>
  <c r="R2718" i="11"/>
  <c r="Q2718" i="11"/>
  <c r="O2718" i="11"/>
  <c r="N2718" i="11"/>
  <c r="M2718" i="11"/>
  <c r="L2718" i="11"/>
  <c r="G2718" i="11"/>
  <c r="S2717" i="11"/>
  <c r="R2717" i="11"/>
  <c r="Q2717" i="11"/>
  <c r="O2717" i="11"/>
  <c r="N2717" i="11"/>
  <c r="M2717" i="11"/>
  <c r="L2717" i="11"/>
  <c r="G2717" i="11"/>
  <c r="S2716" i="11"/>
  <c r="R2716" i="11"/>
  <c r="Q2716" i="11"/>
  <c r="O2716" i="11"/>
  <c r="N2716" i="11"/>
  <c r="M2716" i="11"/>
  <c r="L2716" i="11"/>
  <c r="G2716" i="11"/>
  <c r="S2715" i="11"/>
  <c r="R2715" i="11"/>
  <c r="Q2715" i="11"/>
  <c r="O2715" i="11"/>
  <c r="N2715" i="11"/>
  <c r="M2715" i="11"/>
  <c r="L2715" i="11"/>
  <c r="G2715" i="11"/>
  <c r="S2714" i="11"/>
  <c r="R2714" i="11"/>
  <c r="Q2714" i="11"/>
  <c r="O2714" i="11"/>
  <c r="N2714" i="11"/>
  <c r="M2714" i="11"/>
  <c r="L2714" i="11"/>
  <c r="G2714" i="11"/>
  <c r="S2713" i="11"/>
  <c r="R2713" i="11"/>
  <c r="Q2713" i="11"/>
  <c r="O2713" i="11"/>
  <c r="N2713" i="11"/>
  <c r="M2713" i="11"/>
  <c r="L2713" i="11"/>
  <c r="G2713" i="11"/>
  <c r="S2712" i="11"/>
  <c r="R2712" i="11"/>
  <c r="Q2712" i="11"/>
  <c r="O2712" i="11"/>
  <c r="N2712" i="11"/>
  <c r="M2712" i="11"/>
  <c r="L2712" i="11"/>
  <c r="G2712" i="11"/>
  <c r="S2711" i="11"/>
  <c r="R2711" i="11"/>
  <c r="Q2711" i="11"/>
  <c r="O2711" i="11"/>
  <c r="N2711" i="11"/>
  <c r="M2711" i="11"/>
  <c r="L2711" i="11"/>
  <c r="G2711" i="11"/>
  <c r="S2710" i="11"/>
  <c r="R2710" i="11"/>
  <c r="Q2710" i="11"/>
  <c r="O2710" i="11"/>
  <c r="N2710" i="11"/>
  <c r="M2710" i="11"/>
  <c r="L2710" i="11"/>
  <c r="G2710" i="11"/>
  <c r="S2709" i="11"/>
  <c r="R2709" i="11"/>
  <c r="Q2709" i="11"/>
  <c r="O2709" i="11"/>
  <c r="N2709" i="11"/>
  <c r="M2709" i="11"/>
  <c r="L2709" i="11"/>
  <c r="G2709" i="11"/>
  <c r="S2708" i="11"/>
  <c r="R2708" i="11"/>
  <c r="Q2708" i="11"/>
  <c r="O2708" i="11"/>
  <c r="N2708" i="11"/>
  <c r="M2708" i="11"/>
  <c r="L2708" i="11"/>
  <c r="G2708" i="11"/>
  <c r="S2707" i="11"/>
  <c r="R2707" i="11"/>
  <c r="Q2707" i="11"/>
  <c r="O2707" i="11"/>
  <c r="N2707" i="11"/>
  <c r="M2707" i="11"/>
  <c r="L2707" i="11"/>
  <c r="G2707" i="11"/>
  <c r="S2706" i="11"/>
  <c r="R2706" i="11"/>
  <c r="Q2706" i="11"/>
  <c r="O2706" i="11"/>
  <c r="N2706" i="11"/>
  <c r="M2706" i="11"/>
  <c r="L2706" i="11"/>
  <c r="G2706" i="11"/>
  <c r="S2705" i="11"/>
  <c r="R2705" i="11"/>
  <c r="Q2705" i="11"/>
  <c r="O2705" i="11"/>
  <c r="N2705" i="11"/>
  <c r="M2705" i="11"/>
  <c r="L2705" i="11"/>
  <c r="G2705" i="11"/>
  <c r="S2704" i="11"/>
  <c r="R2704" i="11"/>
  <c r="Q2704" i="11"/>
  <c r="O2704" i="11"/>
  <c r="N2704" i="11"/>
  <c r="M2704" i="11"/>
  <c r="L2704" i="11"/>
  <c r="G2704" i="11"/>
  <c r="S2703" i="11"/>
  <c r="R2703" i="11"/>
  <c r="Q2703" i="11"/>
  <c r="O2703" i="11"/>
  <c r="N2703" i="11"/>
  <c r="M2703" i="11"/>
  <c r="L2703" i="11"/>
  <c r="G2703" i="11"/>
  <c r="S2702" i="11"/>
  <c r="R2702" i="11"/>
  <c r="Q2702" i="11"/>
  <c r="O2702" i="11"/>
  <c r="N2702" i="11"/>
  <c r="M2702" i="11"/>
  <c r="L2702" i="11"/>
  <c r="G2702" i="11"/>
  <c r="S2701" i="11"/>
  <c r="R2701" i="11"/>
  <c r="Q2701" i="11"/>
  <c r="O2701" i="11"/>
  <c r="N2701" i="11"/>
  <c r="M2701" i="11"/>
  <c r="L2701" i="11"/>
  <c r="G2701" i="11"/>
  <c r="S2700" i="11"/>
  <c r="R2700" i="11"/>
  <c r="Q2700" i="11"/>
  <c r="O2700" i="11"/>
  <c r="N2700" i="11"/>
  <c r="M2700" i="11"/>
  <c r="L2700" i="11"/>
  <c r="G2700" i="11"/>
  <c r="S2699" i="11"/>
  <c r="R2699" i="11"/>
  <c r="Q2699" i="11"/>
  <c r="O2699" i="11"/>
  <c r="N2699" i="11"/>
  <c r="M2699" i="11"/>
  <c r="L2699" i="11"/>
  <c r="G2699" i="11"/>
  <c r="S2698" i="11"/>
  <c r="R2698" i="11"/>
  <c r="Q2698" i="11"/>
  <c r="O2698" i="11"/>
  <c r="N2698" i="11"/>
  <c r="M2698" i="11"/>
  <c r="L2698" i="11"/>
  <c r="G2698" i="11"/>
  <c r="S2697" i="11"/>
  <c r="R2697" i="11"/>
  <c r="Q2697" i="11"/>
  <c r="O2697" i="11"/>
  <c r="N2697" i="11"/>
  <c r="M2697" i="11"/>
  <c r="L2697" i="11"/>
  <c r="G2697" i="11"/>
  <c r="S2696" i="11"/>
  <c r="R2696" i="11"/>
  <c r="Q2696" i="11"/>
  <c r="O2696" i="11"/>
  <c r="N2696" i="11"/>
  <c r="M2696" i="11"/>
  <c r="L2696" i="11"/>
  <c r="G2696" i="11"/>
  <c r="S2695" i="11"/>
  <c r="R2695" i="11"/>
  <c r="Q2695" i="11"/>
  <c r="O2695" i="11"/>
  <c r="N2695" i="11"/>
  <c r="M2695" i="11"/>
  <c r="L2695" i="11"/>
  <c r="G2695" i="11"/>
  <c r="S2694" i="11"/>
  <c r="R2694" i="11"/>
  <c r="Q2694" i="11"/>
  <c r="O2694" i="11"/>
  <c r="N2694" i="11"/>
  <c r="M2694" i="11"/>
  <c r="L2694" i="11"/>
  <c r="G2694" i="11"/>
  <c r="S2693" i="11"/>
  <c r="R2693" i="11"/>
  <c r="Q2693" i="11"/>
  <c r="O2693" i="11"/>
  <c r="N2693" i="11"/>
  <c r="M2693" i="11"/>
  <c r="L2693" i="11"/>
  <c r="G2693" i="11"/>
  <c r="S2692" i="11"/>
  <c r="R2692" i="11"/>
  <c r="Q2692" i="11"/>
  <c r="O2692" i="11"/>
  <c r="N2692" i="11"/>
  <c r="M2692" i="11"/>
  <c r="L2692" i="11"/>
  <c r="G2692" i="11"/>
  <c r="S2691" i="11"/>
  <c r="R2691" i="11"/>
  <c r="Q2691" i="11"/>
  <c r="O2691" i="11"/>
  <c r="N2691" i="11"/>
  <c r="M2691" i="11"/>
  <c r="L2691" i="11"/>
  <c r="G2691" i="11"/>
  <c r="S2690" i="11"/>
  <c r="R2690" i="11"/>
  <c r="Q2690" i="11"/>
  <c r="O2690" i="11"/>
  <c r="N2690" i="11"/>
  <c r="M2690" i="11"/>
  <c r="L2690" i="11"/>
  <c r="G2690" i="11"/>
  <c r="S2689" i="11"/>
  <c r="R2689" i="11"/>
  <c r="Q2689" i="11"/>
  <c r="O2689" i="11"/>
  <c r="N2689" i="11"/>
  <c r="M2689" i="11"/>
  <c r="L2689" i="11"/>
  <c r="G2689" i="11"/>
  <c r="S2688" i="11"/>
  <c r="R2688" i="11"/>
  <c r="Q2688" i="11"/>
  <c r="O2688" i="11"/>
  <c r="N2688" i="11"/>
  <c r="M2688" i="11"/>
  <c r="L2688" i="11"/>
  <c r="G2688" i="11"/>
  <c r="S2687" i="11"/>
  <c r="R2687" i="11"/>
  <c r="Q2687" i="11"/>
  <c r="O2687" i="11"/>
  <c r="N2687" i="11"/>
  <c r="M2687" i="11"/>
  <c r="L2687" i="11"/>
  <c r="G2687" i="11"/>
  <c r="S2686" i="11"/>
  <c r="R2686" i="11"/>
  <c r="Q2686" i="11"/>
  <c r="O2686" i="11"/>
  <c r="N2686" i="11"/>
  <c r="M2686" i="11"/>
  <c r="L2686" i="11"/>
  <c r="G2686" i="11"/>
  <c r="S2685" i="11"/>
  <c r="R2685" i="11"/>
  <c r="Q2685" i="11"/>
  <c r="O2685" i="11"/>
  <c r="N2685" i="11"/>
  <c r="M2685" i="11"/>
  <c r="L2685" i="11"/>
  <c r="G2685" i="11"/>
  <c r="S2684" i="11"/>
  <c r="R2684" i="11"/>
  <c r="Q2684" i="11"/>
  <c r="O2684" i="11"/>
  <c r="N2684" i="11"/>
  <c r="M2684" i="11"/>
  <c r="L2684" i="11"/>
  <c r="G2684" i="11"/>
  <c r="S2683" i="11"/>
  <c r="R2683" i="11"/>
  <c r="Q2683" i="11"/>
  <c r="O2683" i="11"/>
  <c r="N2683" i="11"/>
  <c r="M2683" i="11"/>
  <c r="L2683" i="11"/>
  <c r="G2683" i="11"/>
  <c r="S2682" i="11"/>
  <c r="R2682" i="11"/>
  <c r="Q2682" i="11"/>
  <c r="O2682" i="11"/>
  <c r="N2682" i="11"/>
  <c r="M2682" i="11"/>
  <c r="L2682" i="11"/>
  <c r="G2682" i="11"/>
  <c r="S2681" i="11"/>
  <c r="R2681" i="11"/>
  <c r="Q2681" i="11"/>
  <c r="O2681" i="11"/>
  <c r="N2681" i="11"/>
  <c r="M2681" i="11"/>
  <c r="L2681" i="11"/>
  <c r="G2681" i="11"/>
  <c r="S2680" i="11"/>
  <c r="R2680" i="11"/>
  <c r="Q2680" i="11"/>
  <c r="O2680" i="11"/>
  <c r="N2680" i="11"/>
  <c r="M2680" i="11"/>
  <c r="L2680" i="11"/>
  <c r="G2680" i="11"/>
  <c r="S2679" i="11"/>
  <c r="R2679" i="11"/>
  <c r="Q2679" i="11"/>
  <c r="O2679" i="11"/>
  <c r="N2679" i="11"/>
  <c r="M2679" i="11"/>
  <c r="L2679" i="11"/>
  <c r="G2679" i="11"/>
  <c r="S2678" i="11"/>
  <c r="R2678" i="11"/>
  <c r="Q2678" i="11"/>
  <c r="O2678" i="11"/>
  <c r="N2678" i="11"/>
  <c r="M2678" i="11"/>
  <c r="L2678" i="11"/>
  <c r="G2678" i="11"/>
  <c r="S2677" i="11"/>
  <c r="R2677" i="11"/>
  <c r="Q2677" i="11"/>
  <c r="O2677" i="11"/>
  <c r="N2677" i="11"/>
  <c r="M2677" i="11"/>
  <c r="L2677" i="11"/>
  <c r="G2677" i="11"/>
  <c r="S2676" i="11"/>
  <c r="R2676" i="11"/>
  <c r="Q2676" i="11"/>
  <c r="O2676" i="11"/>
  <c r="N2676" i="11"/>
  <c r="M2676" i="11"/>
  <c r="L2676" i="11"/>
  <c r="G2676" i="11"/>
  <c r="S2675" i="11"/>
  <c r="R2675" i="11"/>
  <c r="Q2675" i="11"/>
  <c r="O2675" i="11"/>
  <c r="N2675" i="11"/>
  <c r="M2675" i="11"/>
  <c r="L2675" i="11"/>
  <c r="G2675" i="11"/>
  <c r="S2674" i="11"/>
  <c r="R2674" i="11"/>
  <c r="Q2674" i="11"/>
  <c r="O2674" i="11"/>
  <c r="N2674" i="11"/>
  <c r="M2674" i="11"/>
  <c r="L2674" i="11"/>
  <c r="G2674" i="11"/>
  <c r="S2673" i="11"/>
  <c r="R2673" i="11"/>
  <c r="Q2673" i="11"/>
  <c r="O2673" i="11"/>
  <c r="N2673" i="11"/>
  <c r="M2673" i="11"/>
  <c r="L2673" i="11"/>
  <c r="G2673" i="11"/>
  <c r="S2672" i="11"/>
  <c r="R2672" i="11"/>
  <c r="Q2672" i="11"/>
  <c r="O2672" i="11"/>
  <c r="N2672" i="11"/>
  <c r="M2672" i="11"/>
  <c r="L2672" i="11"/>
  <c r="G2672" i="11"/>
  <c r="S2671" i="11"/>
  <c r="R2671" i="11"/>
  <c r="Q2671" i="11"/>
  <c r="O2671" i="11"/>
  <c r="N2671" i="11"/>
  <c r="M2671" i="11"/>
  <c r="L2671" i="11"/>
  <c r="G2671" i="11"/>
  <c r="S2670" i="11"/>
  <c r="R2670" i="11"/>
  <c r="Q2670" i="11"/>
  <c r="O2670" i="11"/>
  <c r="N2670" i="11"/>
  <c r="M2670" i="11"/>
  <c r="L2670" i="11"/>
  <c r="G2670" i="11"/>
  <c r="S2669" i="11"/>
  <c r="R2669" i="11"/>
  <c r="Q2669" i="11"/>
  <c r="O2669" i="11"/>
  <c r="N2669" i="11"/>
  <c r="M2669" i="11"/>
  <c r="L2669" i="11"/>
  <c r="G2669" i="11"/>
  <c r="S2668" i="11"/>
  <c r="R2668" i="11"/>
  <c r="Q2668" i="11"/>
  <c r="O2668" i="11"/>
  <c r="N2668" i="11"/>
  <c r="M2668" i="11"/>
  <c r="L2668" i="11"/>
  <c r="G2668" i="11"/>
  <c r="S2667" i="11"/>
  <c r="R2667" i="11"/>
  <c r="Q2667" i="11"/>
  <c r="O2667" i="11"/>
  <c r="N2667" i="11"/>
  <c r="M2667" i="11"/>
  <c r="L2667" i="11"/>
  <c r="G2667" i="11"/>
  <c r="S2666" i="11"/>
  <c r="R2666" i="11"/>
  <c r="Q2666" i="11"/>
  <c r="O2666" i="11"/>
  <c r="N2666" i="11"/>
  <c r="M2666" i="11"/>
  <c r="L2666" i="11"/>
  <c r="G2666" i="11"/>
  <c r="S2665" i="11"/>
  <c r="R2665" i="11"/>
  <c r="Q2665" i="11"/>
  <c r="O2665" i="11"/>
  <c r="N2665" i="11"/>
  <c r="M2665" i="11"/>
  <c r="L2665" i="11"/>
  <c r="G2665" i="11"/>
  <c r="S2664" i="11"/>
  <c r="R2664" i="11"/>
  <c r="Q2664" i="11"/>
  <c r="O2664" i="11"/>
  <c r="N2664" i="11"/>
  <c r="M2664" i="11"/>
  <c r="L2664" i="11"/>
  <c r="G2664" i="11"/>
  <c r="S2663" i="11"/>
  <c r="R2663" i="11"/>
  <c r="Q2663" i="11"/>
  <c r="O2663" i="11"/>
  <c r="N2663" i="11"/>
  <c r="M2663" i="11"/>
  <c r="L2663" i="11"/>
  <c r="G2663" i="11"/>
  <c r="S2662" i="11"/>
  <c r="R2662" i="11"/>
  <c r="Q2662" i="11"/>
  <c r="O2662" i="11"/>
  <c r="N2662" i="11"/>
  <c r="M2662" i="11"/>
  <c r="L2662" i="11"/>
  <c r="G2662" i="11"/>
  <c r="S2661" i="11"/>
  <c r="R2661" i="11"/>
  <c r="Q2661" i="11"/>
  <c r="O2661" i="11"/>
  <c r="N2661" i="11"/>
  <c r="M2661" i="11"/>
  <c r="L2661" i="11"/>
  <c r="G2661" i="11"/>
  <c r="S2660" i="11"/>
  <c r="R2660" i="11"/>
  <c r="Q2660" i="11"/>
  <c r="O2660" i="11"/>
  <c r="N2660" i="11"/>
  <c r="M2660" i="11"/>
  <c r="L2660" i="11"/>
  <c r="G2660" i="11"/>
  <c r="S2659" i="11"/>
  <c r="R2659" i="11"/>
  <c r="Q2659" i="11"/>
  <c r="O2659" i="11"/>
  <c r="N2659" i="11"/>
  <c r="M2659" i="11"/>
  <c r="L2659" i="11"/>
  <c r="G2659" i="11"/>
  <c r="S2658" i="11"/>
  <c r="R2658" i="11"/>
  <c r="Q2658" i="11"/>
  <c r="O2658" i="11"/>
  <c r="N2658" i="11"/>
  <c r="M2658" i="11"/>
  <c r="L2658" i="11"/>
  <c r="G2658" i="11"/>
  <c r="S2657" i="11"/>
  <c r="R2657" i="11"/>
  <c r="Q2657" i="11"/>
  <c r="O2657" i="11"/>
  <c r="N2657" i="11"/>
  <c r="M2657" i="11"/>
  <c r="L2657" i="11"/>
  <c r="G2657" i="11"/>
  <c r="S2656" i="11"/>
  <c r="R2656" i="11"/>
  <c r="Q2656" i="11"/>
  <c r="O2656" i="11"/>
  <c r="N2656" i="11"/>
  <c r="M2656" i="11"/>
  <c r="L2656" i="11"/>
  <c r="G2656" i="11"/>
  <c r="S2655" i="11"/>
  <c r="R2655" i="11"/>
  <c r="Q2655" i="11"/>
  <c r="O2655" i="11"/>
  <c r="N2655" i="11"/>
  <c r="M2655" i="11"/>
  <c r="L2655" i="11"/>
  <c r="G2655" i="11"/>
  <c r="S2654" i="11"/>
  <c r="R2654" i="11"/>
  <c r="Q2654" i="11"/>
  <c r="O2654" i="11"/>
  <c r="N2654" i="11"/>
  <c r="M2654" i="11"/>
  <c r="L2654" i="11"/>
  <c r="G2654" i="11"/>
  <c r="S2653" i="11"/>
  <c r="R2653" i="11"/>
  <c r="Q2653" i="11"/>
  <c r="O2653" i="11"/>
  <c r="N2653" i="11"/>
  <c r="M2653" i="11"/>
  <c r="L2653" i="11"/>
  <c r="G2653" i="11"/>
  <c r="S2652" i="11"/>
  <c r="R2652" i="11"/>
  <c r="Q2652" i="11"/>
  <c r="O2652" i="11"/>
  <c r="N2652" i="11"/>
  <c r="M2652" i="11"/>
  <c r="L2652" i="11"/>
  <c r="G2652" i="11"/>
  <c r="S2651" i="11"/>
  <c r="R2651" i="11"/>
  <c r="Q2651" i="11"/>
  <c r="O2651" i="11"/>
  <c r="N2651" i="11"/>
  <c r="M2651" i="11"/>
  <c r="L2651" i="11"/>
  <c r="G2651" i="11"/>
  <c r="S2650" i="11"/>
  <c r="R2650" i="11"/>
  <c r="Q2650" i="11"/>
  <c r="O2650" i="11"/>
  <c r="N2650" i="11"/>
  <c r="M2650" i="11"/>
  <c r="L2650" i="11"/>
  <c r="G2650" i="11"/>
  <c r="S2649" i="11"/>
  <c r="R2649" i="11"/>
  <c r="Q2649" i="11"/>
  <c r="O2649" i="11"/>
  <c r="N2649" i="11"/>
  <c r="M2649" i="11"/>
  <c r="L2649" i="11"/>
  <c r="G2649" i="11"/>
  <c r="S2648" i="11"/>
  <c r="R2648" i="11"/>
  <c r="Q2648" i="11"/>
  <c r="O2648" i="11"/>
  <c r="N2648" i="11"/>
  <c r="M2648" i="11"/>
  <c r="L2648" i="11"/>
  <c r="G2648" i="11"/>
  <c r="S2647" i="11"/>
  <c r="R2647" i="11"/>
  <c r="Q2647" i="11"/>
  <c r="O2647" i="11"/>
  <c r="N2647" i="11"/>
  <c r="M2647" i="11"/>
  <c r="L2647" i="11"/>
  <c r="G2647" i="11"/>
  <c r="S2646" i="11"/>
  <c r="R2646" i="11"/>
  <c r="Q2646" i="11"/>
  <c r="O2646" i="11"/>
  <c r="N2646" i="11"/>
  <c r="M2646" i="11"/>
  <c r="L2646" i="11"/>
  <c r="G2646" i="11"/>
  <c r="S2645" i="11"/>
  <c r="R2645" i="11"/>
  <c r="Q2645" i="11"/>
  <c r="O2645" i="11"/>
  <c r="N2645" i="11"/>
  <c r="M2645" i="11"/>
  <c r="L2645" i="11"/>
  <c r="G2645" i="11"/>
  <c r="S2644" i="11"/>
  <c r="R2644" i="11"/>
  <c r="Q2644" i="11"/>
  <c r="O2644" i="11"/>
  <c r="N2644" i="11"/>
  <c r="M2644" i="11"/>
  <c r="L2644" i="11"/>
  <c r="G2644" i="11"/>
  <c r="S2643" i="11"/>
  <c r="R2643" i="11"/>
  <c r="Q2643" i="11"/>
  <c r="O2643" i="11"/>
  <c r="N2643" i="11"/>
  <c r="M2643" i="11"/>
  <c r="L2643" i="11"/>
  <c r="G2643" i="11"/>
  <c r="S2642" i="11"/>
  <c r="R2642" i="11"/>
  <c r="Q2642" i="11"/>
  <c r="O2642" i="11"/>
  <c r="N2642" i="11"/>
  <c r="M2642" i="11"/>
  <c r="L2642" i="11"/>
  <c r="G2642" i="11"/>
  <c r="S2641" i="11"/>
  <c r="R2641" i="11"/>
  <c r="Q2641" i="11"/>
  <c r="O2641" i="11"/>
  <c r="N2641" i="11"/>
  <c r="M2641" i="11"/>
  <c r="L2641" i="11"/>
  <c r="G2641" i="11"/>
  <c r="S2640" i="11"/>
  <c r="R2640" i="11"/>
  <c r="Q2640" i="11"/>
  <c r="O2640" i="11"/>
  <c r="N2640" i="11"/>
  <c r="M2640" i="11"/>
  <c r="L2640" i="11"/>
  <c r="G2640" i="11"/>
  <c r="S2639" i="11"/>
  <c r="R2639" i="11"/>
  <c r="Q2639" i="11"/>
  <c r="O2639" i="11"/>
  <c r="N2639" i="11"/>
  <c r="M2639" i="11"/>
  <c r="L2639" i="11"/>
  <c r="G2639" i="11"/>
  <c r="S2638" i="11"/>
  <c r="R2638" i="11"/>
  <c r="Q2638" i="11"/>
  <c r="O2638" i="11"/>
  <c r="N2638" i="11"/>
  <c r="M2638" i="11"/>
  <c r="L2638" i="11"/>
  <c r="G2638" i="11"/>
  <c r="S2637" i="11"/>
  <c r="R2637" i="11"/>
  <c r="Q2637" i="11"/>
  <c r="O2637" i="11"/>
  <c r="N2637" i="11"/>
  <c r="M2637" i="11"/>
  <c r="L2637" i="11"/>
  <c r="G2637" i="11"/>
  <c r="S2636" i="11"/>
  <c r="R2636" i="11"/>
  <c r="Q2636" i="11"/>
  <c r="O2636" i="11"/>
  <c r="N2636" i="11"/>
  <c r="M2636" i="11"/>
  <c r="L2636" i="11"/>
  <c r="G2636" i="11"/>
  <c r="S2635" i="11"/>
  <c r="R2635" i="11"/>
  <c r="Q2635" i="11"/>
  <c r="O2635" i="11"/>
  <c r="N2635" i="11"/>
  <c r="M2635" i="11"/>
  <c r="L2635" i="11"/>
  <c r="G2635" i="11"/>
  <c r="S2634" i="11"/>
  <c r="R2634" i="11"/>
  <c r="Q2634" i="11"/>
  <c r="O2634" i="11"/>
  <c r="N2634" i="11"/>
  <c r="M2634" i="11"/>
  <c r="L2634" i="11"/>
  <c r="G2634" i="11"/>
  <c r="S2633" i="11"/>
  <c r="R2633" i="11"/>
  <c r="Q2633" i="11"/>
  <c r="O2633" i="11"/>
  <c r="N2633" i="11"/>
  <c r="M2633" i="11"/>
  <c r="L2633" i="11"/>
  <c r="G2633" i="11"/>
  <c r="S2632" i="11"/>
  <c r="R2632" i="11"/>
  <c r="Q2632" i="11"/>
  <c r="O2632" i="11"/>
  <c r="N2632" i="11"/>
  <c r="L2632" i="11"/>
  <c r="K2632" i="11"/>
  <c r="J2632" i="11"/>
  <c r="G2632" i="11"/>
  <c r="M2632" i="11" s="1"/>
  <c r="S2631" i="11"/>
  <c r="R2631" i="11"/>
  <c r="Q2631" i="11"/>
  <c r="O2631" i="11"/>
  <c r="N2631" i="11"/>
  <c r="L2631" i="11"/>
  <c r="G2631" i="11"/>
  <c r="M2631" i="11" s="1"/>
  <c r="S2630" i="11"/>
  <c r="R2630" i="11"/>
  <c r="Q2630" i="11"/>
  <c r="O2630" i="11"/>
  <c r="N2630" i="11"/>
  <c r="L2630" i="11"/>
  <c r="G2630" i="11"/>
  <c r="M2630" i="11" s="1"/>
  <c r="S2629" i="11"/>
  <c r="R2629" i="11"/>
  <c r="Q2629" i="11"/>
  <c r="O2629" i="11"/>
  <c r="N2629" i="11"/>
  <c r="L2629" i="11"/>
  <c r="G2629" i="11"/>
  <c r="M2629" i="11" s="1"/>
  <c r="S2628" i="11"/>
  <c r="R2628" i="11"/>
  <c r="Q2628" i="11"/>
  <c r="O2628" i="11"/>
  <c r="N2628" i="11"/>
  <c r="L2628" i="11"/>
  <c r="G2628" i="11"/>
  <c r="M2628" i="11" s="1"/>
  <c r="S2627" i="11"/>
  <c r="R2627" i="11"/>
  <c r="Q2627" i="11"/>
  <c r="O2627" i="11"/>
  <c r="N2627" i="11"/>
  <c r="L2627" i="11"/>
  <c r="G2627" i="11"/>
  <c r="M2627" i="11" s="1"/>
  <c r="S2626" i="11"/>
  <c r="R2626" i="11"/>
  <c r="Q2626" i="11"/>
  <c r="O2626" i="11"/>
  <c r="N2626" i="11"/>
  <c r="L2626" i="11"/>
  <c r="G2626" i="11"/>
  <c r="M2626" i="11" s="1"/>
  <c r="S2625" i="11"/>
  <c r="R2625" i="11"/>
  <c r="Q2625" i="11"/>
  <c r="O2625" i="11"/>
  <c r="N2625" i="11"/>
  <c r="L2625" i="11"/>
  <c r="G2625" i="11"/>
  <c r="M2625" i="11" s="1"/>
  <c r="S2624" i="11"/>
  <c r="R2624" i="11"/>
  <c r="Q2624" i="11"/>
  <c r="O2624" i="11"/>
  <c r="N2624" i="11"/>
  <c r="L2624" i="11"/>
  <c r="G2624" i="11"/>
  <c r="M2624" i="11" s="1"/>
  <c r="S2623" i="11"/>
  <c r="R2623" i="11"/>
  <c r="Q2623" i="11"/>
  <c r="O2623" i="11"/>
  <c r="N2623" i="11"/>
  <c r="L2623" i="11"/>
  <c r="G2623" i="11"/>
  <c r="M2623" i="11" s="1"/>
  <c r="S2622" i="11"/>
  <c r="R2622" i="11"/>
  <c r="Q2622" i="11"/>
  <c r="O2622" i="11"/>
  <c r="N2622" i="11"/>
  <c r="L2622" i="11"/>
  <c r="G2622" i="11"/>
  <c r="M2622" i="11" s="1"/>
  <c r="S2621" i="11"/>
  <c r="R2621" i="11"/>
  <c r="Q2621" i="11"/>
  <c r="O2621" i="11"/>
  <c r="N2621" i="11"/>
  <c r="L2621" i="11"/>
  <c r="G2621" i="11"/>
  <c r="M2621" i="11" s="1"/>
  <c r="S2620" i="11"/>
  <c r="R2620" i="11"/>
  <c r="Q2620" i="11"/>
  <c r="O2620" i="11"/>
  <c r="N2620" i="11"/>
  <c r="L2620" i="11"/>
  <c r="G2620" i="11"/>
  <c r="M2620" i="11" s="1"/>
  <c r="S2619" i="11"/>
  <c r="R2619" i="11"/>
  <c r="Q2619" i="11"/>
  <c r="O2619" i="11"/>
  <c r="N2619" i="11"/>
  <c r="L2619" i="11"/>
  <c r="G2619" i="11"/>
  <c r="M2619" i="11" s="1"/>
  <c r="S2618" i="11"/>
  <c r="R2618" i="11"/>
  <c r="Q2618" i="11"/>
  <c r="O2618" i="11"/>
  <c r="N2618" i="11"/>
  <c r="L2618" i="11"/>
  <c r="G2618" i="11"/>
  <c r="M2618" i="11" s="1"/>
  <c r="S2617" i="11"/>
  <c r="R2617" i="11"/>
  <c r="Q2617" i="11"/>
  <c r="O2617" i="11"/>
  <c r="N2617" i="11"/>
  <c r="L2617" i="11"/>
  <c r="G2617" i="11"/>
  <c r="M2617" i="11" s="1"/>
  <c r="S2616" i="11"/>
  <c r="R2616" i="11"/>
  <c r="Q2616" i="11"/>
  <c r="O2616" i="11"/>
  <c r="N2616" i="11"/>
  <c r="L2616" i="11"/>
  <c r="G2616" i="11"/>
  <c r="M2616" i="11" s="1"/>
  <c r="S2615" i="11"/>
  <c r="R2615" i="11"/>
  <c r="Q2615" i="11"/>
  <c r="O2615" i="11"/>
  <c r="N2615" i="11"/>
  <c r="L2615" i="11"/>
  <c r="G2615" i="11"/>
  <c r="M2615" i="11" s="1"/>
  <c r="S2614" i="11"/>
  <c r="R2614" i="11"/>
  <c r="Q2614" i="11"/>
  <c r="O2614" i="11"/>
  <c r="N2614" i="11"/>
  <c r="L2614" i="11"/>
  <c r="G2614" i="11"/>
  <c r="M2614" i="11" s="1"/>
  <c r="S2613" i="11"/>
  <c r="R2613" i="11"/>
  <c r="Q2613" i="11"/>
  <c r="O2613" i="11"/>
  <c r="N2613" i="11"/>
  <c r="L2613" i="11"/>
  <c r="G2613" i="11"/>
  <c r="M2613" i="11" s="1"/>
  <c r="S2612" i="11"/>
  <c r="R2612" i="11"/>
  <c r="Q2612" i="11"/>
  <c r="O2612" i="11"/>
  <c r="N2612" i="11"/>
  <c r="L2612" i="11"/>
  <c r="G2612" i="11"/>
  <c r="M2612" i="11" s="1"/>
  <c r="S2611" i="11"/>
  <c r="R2611" i="11"/>
  <c r="Q2611" i="11"/>
  <c r="O2611" i="11"/>
  <c r="N2611" i="11"/>
  <c r="L2611" i="11"/>
  <c r="G2611" i="11"/>
  <c r="M2611" i="11" s="1"/>
  <c r="S2610" i="11"/>
  <c r="R2610" i="11"/>
  <c r="Q2610" i="11"/>
  <c r="O2610" i="11"/>
  <c r="N2610" i="11"/>
  <c r="L2610" i="11"/>
  <c r="G2610" i="11"/>
  <c r="M2610" i="11" s="1"/>
  <c r="S2609" i="11"/>
  <c r="R2609" i="11"/>
  <c r="Q2609" i="11"/>
  <c r="O2609" i="11"/>
  <c r="N2609" i="11"/>
  <c r="L2609" i="11"/>
  <c r="G2609" i="11"/>
  <c r="M2609" i="11" s="1"/>
  <c r="S2608" i="11"/>
  <c r="R2608" i="11"/>
  <c r="Q2608" i="11"/>
  <c r="O2608" i="11"/>
  <c r="N2608" i="11"/>
  <c r="L2608" i="11"/>
  <c r="G2608" i="11"/>
  <c r="M2608" i="11" s="1"/>
  <c r="S2607" i="11"/>
  <c r="R2607" i="11"/>
  <c r="Q2607" i="11"/>
  <c r="O2607" i="11"/>
  <c r="N2607" i="11"/>
  <c r="L2607" i="11"/>
  <c r="G2607" i="11"/>
  <c r="M2607" i="11" s="1"/>
  <c r="S2606" i="11"/>
  <c r="R2606" i="11"/>
  <c r="Q2606" i="11"/>
  <c r="O2606" i="11"/>
  <c r="N2606" i="11"/>
  <c r="L2606" i="11"/>
  <c r="G2606" i="11"/>
  <c r="M2606" i="11" s="1"/>
  <c r="S2605" i="11"/>
  <c r="R2605" i="11"/>
  <c r="Q2605" i="11"/>
  <c r="O2605" i="11"/>
  <c r="N2605" i="11"/>
  <c r="L2605" i="11"/>
  <c r="G2605" i="11"/>
  <c r="M2605" i="11" s="1"/>
  <c r="S2604" i="11"/>
  <c r="R2604" i="11"/>
  <c r="Q2604" i="11"/>
  <c r="O2604" i="11"/>
  <c r="N2604" i="11"/>
  <c r="L2604" i="11"/>
  <c r="G2604" i="11"/>
  <c r="M2604" i="11" s="1"/>
  <c r="S2603" i="11"/>
  <c r="R2603" i="11"/>
  <c r="Q2603" i="11"/>
  <c r="O2603" i="11"/>
  <c r="N2603" i="11"/>
  <c r="L2603" i="11"/>
  <c r="G2603" i="11"/>
  <c r="M2603" i="11" s="1"/>
  <c r="S2602" i="11"/>
  <c r="R2602" i="11"/>
  <c r="Q2602" i="11"/>
  <c r="O2602" i="11"/>
  <c r="N2602" i="11"/>
  <c r="L2602" i="11"/>
  <c r="G2602" i="11"/>
  <c r="M2602" i="11" s="1"/>
  <c r="S2601" i="11"/>
  <c r="R2601" i="11"/>
  <c r="Q2601" i="11"/>
  <c r="O2601" i="11"/>
  <c r="N2601" i="11"/>
  <c r="L2601" i="11"/>
  <c r="G2601" i="11"/>
  <c r="M2601" i="11" s="1"/>
  <c r="S2600" i="11"/>
  <c r="R2600" i="11"/>
  <c r="Q2600" i="11"/>
  <c r="O2600" i="11"/>
  <c r="N2600" i="11"/>
  <c r="L2600" i="11"/>
  <c r="G2600" i="11"/>
  <c r="M2600" i="11" s="1"/>
  <c r="S2599" i="11"/>
  <c r="R2599" i="11"/>
  <c r="Q2599" i="11"/>
  <c r="O2599" i="11"/>
  <c r="N2599" i="11"/>
  <c r="L2599" i="11"/>
  <c r="G2599" i="11"/>
  <c r="M2599" i="11" s="1"/>
  <c r="S2598" i="11"/>
  <c r="R2598" i="11"/>
  <c r="Q2598" i="11"/>
  <c r="O2598" i="11"/>
  <c r="N2598" i="11"/>
  <c r="L2598" i="11"/>
  <c r="G2598" i="11"/>
  <c r="M2598" i="11" s="1"/>
  <c r="S2597" i="11"/>
  <c r="R2597" i="11"/>
  <c r="Q2597" i="11"/>
  <c r="O2597" i="11"/>
  <c r="N2597" i="11"/>
  <c r="L2597" i="11"/>
  <c r="G2597" i="11"/>
  <c r="M2597" i="11" s="1"/>
  <c r="S2596" i="11"/>
  <c r="R2596" i="11"/>
  <c r="Q2596" i="11"/>
  <c r="O2596" i="11"/>
  <c r="N2596" i="11"/>
  <c r="L2596" i="11"/>
  <c r="G2596" i="11"/>
  <c r="M2596" i="11" s="1"/>
  <c r="S2595" i="11"/>
  <c r="R2595" i="11"/>
  <c r="Q2595" i="11"/>
  <c r="O2595" i="11"/>
  <c r="N2595" i="11"/>
  <c r="L2595" i="11"/>
  <c r="G2595" i="11"/>
  <c r="M2595" i="11" s="1"/>
  <c r="S2594" i="11"/>
  <c r="R2594" i="11"/>
  <c r="Q2594" i="11"/>
  <c r="O2594" i="11"/>
  <c r="N2594" i="11"/>
  <c r="L2594" i="11"/>
  <c r="G2594" i="11"/>
  <c r="M2594" i="11" s="1"/>
  <c r="S2593" i="11"/>
  <c r="R2593" i="11"/>
  <c r="Q2593" i="11"/>
  <c r="O2593" i="11"/>
  <c r="N2593" i="11"/>
  <c r="L2593" i="11"/>
  <c r="G2593" i="11"/>
  <c r="M2593" i="11" s="1"/>
  <c r="S2592" i="11"/>
  <c r="R2592" i="11"/>
  <c r="Q2592" i="11"/>
  <c r="O2592" i="11"/>
  <c r="N2592" i="11"/>
  <c r="L2592" i="11"/>
  <c r="G2592" i="11"/>
  <c r="M2592" i="11" s="1"/>
  <c r="S2591" i="11"/>
  <c r="R2591" i="11"/>
  <c r="Q2591" i="11"/>
  <c r="O2591" i="11"/>
  <c r="N2591" i="11"/>
  <c r="L2591" i="11"/>
  <c r="G2591" i="11"/>
  <c r="M2591" i="11" s="1"/>
  <c r="S2590" i="11"/>
  <c r="R2590" i="11"/>
  <c r="Q2590" i="11"/>
  <c r="O2590" i="11"/>
  <c r="N2590" i="11"/>
  <c r="L2590" i="11"/>
  <c r="G2590" i="11"/>
  <c r="M2590" i="11" s="1"/>
  <c r="S2589" i="11"/>
  <c r="R2589" i="11"/>
  <c r="Q2589" i="11"/>
  <c r="O2589" i="11"/>
  <c r="N2589" i="11"/>
  <c r="L2589" i="11"/>
  <c r="G2589" i="11"/>
  <c r="M2589" i="11" s="1"/>
  <c r="S2588" i="11"/>
  <c r="R2588" i="11"/>
  <c r="Q2588" i="11"/>
  <c r="O2588" i="11"/>
  <c r="N2588" i="11"/>
  <c r="L2588" i="11"/>
  <c r="G2588" i="11"/>
  <c r="M2588" i="11" s="1"/>
  <c r="S2587" i="11"/>
  <c r="R2587" i="11"/>
  <c r="Q2587" i="11"/>
  <c r="O2587" i="11"/>
  <c r="N2587" i="11"/>
  <c r="L2587" i="11"/>
  <c r="G2587" i="11"/>
  <c r="M2587" i="11" s="1"/>
  <c r="S2586" i="11"/>
  <c r="R2586" i="11"/>
  <c r="Q2586" i="11"/>
  <c r="O2586" i="11"/>
  <c r="N2586" i="11"/>
  <c r="L2586" i="11"/>
  <c r="G2586" i="11"/>
  <c r="M2586" i="11" s="1"/>
  <c r="S2585" i="11"/>
  <c r="R2585" i="11"/>
  <c r="Q2585" i="11"/>
  <c r="O2585" i="11"/>
  <c r="N2585" i="11"/>
  <c r="L2585" i="11"/>
  <c r="G2585" i="11"/>
  <c r="M2585" i="11" s="1"/>
  <c r="S2584" i="11"/>
  <c r="R2584" i="11"/>
  <c r="Q2584" i="11"/>
  <c r="O2584" i="11"/>
  <c r="N2584" i="11"/>
  <c r="L2584" i="11"/>
  <c r="G2584" i="11"/>
  <c r="M2584" i="11" s="1"/>
  <c r="S2583" i="11"/>
  <c r="R2583" i="11"/>
  <c r="Q2583" i="11"/>
  <c r="O2583" i="11"/>
  <c r="N2583" i="11"/>
  <c r="L2583" i="11"/>
  <c r="G2583" i="11"/>
  <c r="M2583" i="11" s="1"/>
  <c r="S2582" i="11"/>
  <c r="R2582" i="11"/>
  <c r="Q2582" i="11"/>
  <c r="O2582" i="11"/>
  <c r="N2582" i="11"/>
  <c r="L2582" i="11"/>
  <c r="G2582" i="11"/>
  <c r="M2582" i="11" s="1"/>
  <c r="S2581" i="11"/>
  <c r="R2581" i="11"/>
  <c r="Q2581" i="11"/>
  <c r="O2581" i="11"/>
  <c r="N2581" i="11"/>
  <c r="L2581" i="11"/>
  <c r="G2581" i="11"/>
  <c r="M2581" i="11" s="1"/>
  <c r="S2580" i="11"/>
  <c r="R2580" i="11"/>
  <c r="Q2580" i="11"/>
  <c r="O2580" i="11"/>
  <c r="N2580" i="11"/>
  <c r="L2580" i="11"/>
  <c r="G2580" i="11"/>
  <c r="M2580" i="11" s="1"/>
  <c r="S2579" i="11"/>
  <c r="R2579" i="11"/>
  <c r="Q2579" i="11"/>
  <c r="O2579" i="11"/>
  <c r="N2579" i="11"/>
  <c r="L2579" i="11"/>
  <c r="G2579" i="11"/>
  <c r="M2579" i="11" s="1"/>
  <c r="S2578" i="11"/>
  <c r="R2578" i="11"/>
  <c r="Q2578" i="11"/>
  <c r="O2578" i="11"/>
  <c r="N2578" i="11"/>
  <c r="L2578" i="11"/>
  <c r="G2578" i="11"/>
  <c r="M2578" i="11" s="1"/>
  <c r="S2577" i="11"/>
  <c r="R2577" i="11"/>
  <c r="Q2577" i="11"/>
  <c r="O2577" i="11"/>
  <c r="N2577" i="11"/>
  <c r="L2577" i="11"/>
  <c r="G2577" i="11"/>
  <c r="M2577" i="11" s="1"/>
  <c r="S2576" i="11"/>
  <c r="R2576" i="11"/>
  <c r="Q2576" i="11"/>
  <c r="O2576" i="11"/>
  <c r="N2576" i="11"/>
  <c r="L2576" i="11"/>
  <c r="G2576" i="11"/>
  <c r="M2576" i="11" s="1"/>
  <c r="S2575" i="11"/>
  <c r="R2575" i="11"/>
  <c r="Q2575" i="11"/>
  <c r="O2575" i="11"/>
  <c r="N2575" i="11"/>
  <c r="L2575" i="11"/>
  <c r="G2575" i="11"/>
  <c r="M2575" i="11" s="1"/>
  <c r="S2574" i="11"/>
  <c r="R2574" i="11"/>
  <c r="Q2574" i="11"/>
  <c r="O2574" i="11"/>
  <c r="N2574" i="11"/>
  <c r="L2574" i="11"/>
  <c r="G2574" i="11"/>
  <c r="M2574" i="11" s="1"/>
  <c r="S2573" i="11"/>
  <c r="R2573" i="11"/>
  <c r="Q2573" i="11"/>
  <c r="O2573" i="11"/>
  <c r="N2573" i="11"/>
  <c r="L2573" i="11"/>
  <c r="G2573" i="11"/>
  <c r="M2573" i="11" s="1"/>
  <c r="S2572" i="11"/>
  <c r="R2572" i="11"/>
  <c r="Q2572" i="11"/>
  <c r="O2572" i="11"/>
  <c r="N2572" i="11"/>
  <c r="L2572" i="11"/>
  <c r="G2572" i="11"/>
  <c r="M2572" i="11" s="1"/>
  <c r="S2571" i="11"/>
  <c r="R2571" i="11"/>
  <c r="Q2571" i="11"/>
  <c r="O2571" i="11"/>
  <c r="N2571" i="11"/>
  <c r="L2571" i="11"/>
  <c r="G2571" i="11"/>
  <c r="M2571" i="11" s="1"/>
  <c r="S2570" i="11"/>
  <c r="R2570" i="11"/>
  <c r="Q2570" i="11"/>
  <c r="O2570" i="11"/>
  <c r="N2570" i="11"/>
  <c r="L2570" i="11"/>
  <c r="G2570" i="11"/>
  <c r="M2570" i="11" s="1"/>
  <c r="S2569" i="11"/>
  <c r="R2569" i="11"/>
  <c r="Q2569" i="11"/>
  <c r="O2569" i="11"/>
  <c r="N2569" i="11"/>
  <c r="L2569" i="11"/>
  <c r="G2569" i="11"/>
  <c r="M2569" i="11" s="1"/>
  <c r="S2568" i="11"/>
  <c r="R2568" i="11"/>
  <c r="Q2568" i="11"/>
  <c r="O2568" i="11"/>
  <c r="N2568" i="11"/>
  <c r="L2568" i="11"/>
  <c r="G2568" i="11"/>
  <c r="M2568" i="11" s="1"/>
  <c r="S2567" i="11"/>
  <c r="R2567" i="11"/>
  <c r="Q2567" i="11"/>
  <c r="O2567" i="11"/>
  <c r="N2567" i="11"/>
  <c r="L2567" i="11"/>
  <c r="G2567" i="11"/>
  <c r="M2567" i="11" s="1"/>
  <c r="S2566" i="11"/>
  <c r="R2566" i="11"/>
  <c r="Q2566" i="11"/>
  <c r="O2566" i="11"/>
  <c r="N2566" i="11"/>
  <c r="L2566" i="11"/>
  <c r="G2566" i="11"/>
  <c r="M2566" i="11" s="1"/>
  <c r="S2565" i="11"/>
  <c r="R2565" i="11"/>
  <c r="Q2565" i="11"/>
  <c r="O2565" i="11"/>
  <c r="N2565" i="11"/>
  <c r="L2565" i="11"/>
  <c r="G2565" i="11"/>
  <c r="M2565" i="11" s="1"/>
  <c r="S2564" i="11"/>
  <c r="R2564" i="11"/>
  <c r="Q2564" i="11"/>
  <c r="O2564" i="11"/>
  <c r="N2564" i="11"/>
  <c r="L2564" i="11"/>
  <c r="G2564" i="11"/>
  <c r="M2564" i="11" s="1"/>
  <c r="S2563" i="11"/>
  <c r="R2563" i="11"/>
  <c r="Q2563" i="11"/>
  <c r="O2563" i="11"/>
  <c r="N2563" i="11"/>
  <c r="L2563" i="11"/>
  <c r="G2563" i="11"/>
  <c r="M2563" i="11" s="1"/>
  <c r="S2562" i="11"/>
  <c r="R2562" i="11"/>
  <c r="Q2562" i="11"/>
  <c r="O2562" i="11"/>
  <c r="N2562" i="11"/>
  <c r="L2562" i="11"/>
  <c r="G2562" i="11"/>
  <c r="M2562" i="11" s="1"/>
  <c r="S2561" i="11"/>
  <c r="R2561" i="11"/>
  <c r="Q2561" i="11"/>
  <c r="O2561" i="11"/>
  <c r="N2561" i="11"/>
  <c r="L2561" i="11"/>
  <c r="G2561" i="11"/>
  <c r="M2561" i="11" s="1"/>
  <c r="S2560" i="11"/>
  <c r="R2560" i="11"/>
  <c r="Q2560" i="11"/>
  <c r="O2560" i="11"/>
  <c r="N2560" i="11"/>
  <c r="L2560" i="11"/>
  <c r="G2560" i="11"/>
  <c r="M2560" i="11" s="1"/>
  <c r="S2559" i="11"/>
  <c r="R2559" i="11"/>
  <c r="Q2559" i="11"/>
  <c r="O2559" i="11"/>
  <c r="N2559" i="11"/>
  <c r="L2559" i="11"/>
  <c r="G2559" i="11"/>
  <c r="M2559" i="11" s="1"/>
  <c r="S2558" i="11"/>
  <c r="R2558" i="11"/>
  <c r="Q2558" i="11"/>
  <c r="O2558" i="11"/>
  <c r="N2558" i="11"/>
  <c r="L2558" i="11"/>
  <c r="G2558" i="11"/>
  <c r="M2558" i="11" s="1"/>
  <c r="S2557" i="11"/>
  <c r="R2557" i="11"/>
  <c r="Q2557" i="11"/>
  <c r="O2557" i="11"/>
  <c r="N2557" i="11"/>
  <c r="L2557" i="11"/>
  <c r="G2557" i="11"/>
  <c r="M2557" i="11" s="1"/>
  <c r="S2556" i="11"/>
  <c r="R2556" i="11"/>
  <c r="Q2556" i="11"/>
  <c r="O2556" i="11"/>
  <c r="N2556" i="11"/>
  <c r="L2556" i="11"/>
  <c r="G2556" i="11"/>
  <c r="M2556" i="11" s="1"/>
  <c r="S2555" i="11"/>
  <c r="R2555" i="11"/>
  <c r="Q2555" i="11"/>
  <c r="O2555" i="11"/>
  <c r="N2555" i="11"/>
  <c r="L2555" i="11"/>
  <c r="G2555" i="11"/>
  <c r="M2555" i="11" s="1"/>
  <c r="S2554" i="11"/>
  <c r="R2554" i="11"/>
  <c r="Q2554" i="11"/>
  <c r="O2554" i="11"/>
  <c r="N2554" i="11"/>
  <c r="L2554" i="11"/>
  <c r="G2554" i="11"/>
  <c r="M2554" i="11" s="1"/>
  <c r="S2553" i="11"/>
  <c r="R2553" i="11"/>
  <c r="Q2553" i="11"/>
  <c r="O2553" i="11"/>
  <c r="N2553" i="11"/>
  <c r="L2553" i="11"/>
  <c r="G2553" i="11"/>
  <c r="M2553" i="11" s="1"/>
  <c r="S2552" i="11"/>
  <c r="R2552" i="11"/>
  <c r="Q2552" i="11"/>
  <c r="O2552" i="11"/>
  <c r="N2552" i="11"/>
  <c r="L2552" i="11"/>
  <c r="G2552" i="11"/>
  <c r="M2552" i="11" s="1"/>
  <c r="S2551" i="11"/>
  <c r="R2551" i="11"/>
  <c r="Q2551" i="11"/>
  <c r="O2551" i="11"/>
  <c r="N2551" i="11"/>
  <c r="L2551" i="11"/>
  <c r="G2551" i="11"/>
  <c r="M2551" i="11" s="1"/>
  <c r="S2550" i="11"/>
  <c r="R2550" i="11"/>
  <c r="Q2550" i="11"/>
  <c r="O2550" i="11"/>
  <c r="N2550" i="11"/>
  <c r="L2550" i="11"/>
  <c r="G2550" i="11"/>
  <c r="M2550" i="11" s="1"/>
  <c r="S2549" i="11"/>
  <c r="R2549" i="11"/>
  <c r="Q2549" i="11"/>
  <c r="O2549" i="11"/>
  <c r="N2549" i="11"/>
  <c r="L2549" i="11"/>
  <c r="G2549" i="11"/>
  <c r="M2549" i="11" s="1"/>
  <c r="S2548" i="11"/>
  <c r="R2548" i="11"/>
  <c r="Q2548" i="11"/>
  <c r="O2548" i="11"/>
  <c r="N2548" i="11"/>
  <c r="L2548" i="11"/>
  <c r="G2548" i="11"/>
  <c r="M2548" i="11" s="1"/>
  <c r="S2547" i="11"/>
  <c r="R2547" i="11"/>
  <c r="Q2547" i="11"/>
  <c r="O2547" i="11"/>
  <c r="N2547" i="11"/>
  <c r="L2547" i="11"/>
  <c r="G2547" i="11"/>
  <c r="M2547" i="11" s="1"/>
  <c r="S2546" i="11"/>
  <c r="R2546" i="11"/>
  <c r="Q2546" i="11"/>
  <c r="O2546" i="11"/>
  <c r="N2546" i="11"/>
  <c r="L2546" i="11"/>
  <c r="G2546" i="11"/>
  <c r="M2546" i="11" s="1"/>
  <c r="S2545" i="11"/>
  <c r="R2545" i="11"/>
  <c r="Q2545" i="11"/>
  <c r="O2545" i="11"/>
  <c r="N2545" i="11"/>
  <c r="L2545" i="11"/>
  <c r="G2545" i="11"/>
  <c r="M2545" i="11" s="1"/>
  <c r="S2544" i="11"/>
  <c r="R2544" i="11"/>
  <c r="Q2544" i="11"/>
  <c r="O2544" i="11"/>
  <c r="N2544" i="11"/>
  <c r="L2544" i="11"/>
  <c r="G2544" i="11"/>
  <c r="M2544" i="11" s="1"/>
  <c r="S2543" i="11"/>
  <c r="R2543" i="11"/>
  <c r="Q2543" i="11"/>
  <c r="O2543" i="11"/>
  <c r="N2543" i="11"/>
  <c r="L2543" i="11"/>
  <c r="G2543" i="11"/>
  <c r="M2543" i="11" s="1"/>
  <c r="S2542" i="11"/>
  <c r="R2542" i="11"/>
  <c r="Q2542" i="11"/>
  <c r="O2542" i="11"/>
  <c r="N2542" i="11"/>
  <c r="L2542" i="11"/>
  <c r="G2542" i="11"/>
  <c r="M2542" i="11" s="1"/>
  <c r="S2541" i="11"/>
  <c r="R2541" i="11"/>
  <c r="Q2541" i="11"/>
  <c r="O2541" i="11"/>
  <c r="N2541" i="11"/>
  <c r="L2541" i="11"/>
  <c r="G2541" i="11"/>
  <c r="M2541" i="11" s="1"/>
  <c r="S2540" i="11"/>
  <c r="R2540" i="11"/>
  <c r="Q2540" i="11"/>
  <c r="O2540" i="11"/>
  <c r="N2540" i="11"/>
  <c r="L2540" i="11"/>
  <c r="G2540" i="11"/>
  <c r="M2540" i="11" s="1"/>
  <c r="S2539" i="11"/>
  <c r="R2539" i="11"/>
  <c r="Q2539" i="11"/>
  <c r="O2539" i="11"/>
  <c r="N2539" i="11"/>
  <c r="L2539" i="11"/>
  <c r="G2539" i="11"/>
  <c r="M2539" i="11" s="1"/>
  <c r="S2538" i="11"/>
  <c r="R2538" i="11"/>
  <c r="Q2538" i="11"/>
  <c r="O2538" i="11"/>
  <c r="N2538" i="11"/>
  <c r="L2538" i="11"/>
  <c r="G2538" i="11"/>
  <c r="M2538" i="11" s="1"/>
  <c r="S2537" i="11"/>
  <c r="R2537" i="11"/>
  <c r="Q2537" i="11"/>
  <c r="O2537" i="11"/>
  <c r="N2537" i="11"/>
  <c r="L2537" i="11"/>
  <c r="G2537" i="11"/>
  <c r="M2537" i="11" s="1"/>
  <c r="S2536" i="11"/>
  <c r="R2536" i="11"/>
  <c r="Q2536" i="11"/>
  <c r="O2536" i="11"/>
  <c r="N2536" i="11"/>
  <c r="L2536" i="11"/>
  <c r="G2536" i="11"/>
  <c r="M2536" i="11" s="1"/>
  <c r="S2535" i="11"/>
  <c r="R2535" i="11"/>
  <c r="Q2535" i="11"/>
  <c r="O2535" i="11"/>
  <c r="N2535" i="11"/>
  <c r="L2535" i="11"/>
  <c r="G2535" i="11"/>
  <c r="M2535" i="11" s="1"/>
  <c r="S2534" i="11"/>
  <c r="R2534" i="11"/>
  <c r="Q2534" i="11"/>
  <c r="O2534" i="11"/>
  <c r="N2534" i="11"/>
  <c r="L2534" i="11"/>
  <c r="G2534" i="11"/>
  <c r="M2534" i="11" s="1"/>
  <c r="S2533" i="11"/>
  <c r="R2533" i="11"/>
  <c r="Q2533" i="11"/>
  <c r="O2533" i="11"/>
  <c r="N2533" i="11"/>
  <c r="L2533" i="11"/>
  <c r="G2533" i="11"/>
  <c r="M2533" i="11" s="1"/>
  <c r="S2532" i="11"/>
  <c r="R2532" i="11"/>
  <c r="Q2532" i="11"/>
  <c r="O2532" i="11"/>
  <c r="N2532" i="11"/>
  <c r="L2532" i="11"/>
  <c r="G2532" i="11"/>
  <c r="M2532" i="11" s="1"/>
  <c r="S2531" i="11"/>
  <c r="R2531" i="11"/>
  <c r="Q2531" i="11"/>
  <c r="O2531" i="11"/>
  <c r="N2531" i="11"/>
  <c r="L2531" i="11"/>
  <c r="G2531" i="11"/>
  <c r="M2531" i="11" s="1"/>
  <c r="S2530" i="11"/>
  <c r="R2530" i="11"/>
  <c r="Q2530" i="11"/>
  <c r="O2530" i="11"/>
  <c r="N2530" i="11"/>
  <c r="L2530" i="11"/>
  <c r="G2530" i="11"/>
  <c r="M2530" i="11" s="1"/>
  <c r="S2529" i="11"/>
  <c r="R2529" i="11"/>
  <c r="Q2529" i="11"/>
  <c r="O2529" i="11"/>
  <c r="N2529" i="11"/>
  <c r="L2529" i="11"/>
  <c r="G2529" i="11"/>
  <c r="M2529" i="11" s="1"/>
  <c r="S2528" i="11"/>
  <c r="R2528" i="11"/>
  <c r="Q2528" i="11"/>
  <c r="O2528" i="11"/>
  <c r="N2528" i="11"/>
  <c r="L2528" i="11"/>
  <c r="G2528" i="11"/>
  <c r="M2528" i="11" s="1"/>
  <c r="S2527" i="11"/>
  <c r="R2527" i="11"/>
  <c r="Q2527" i="11"/>
  <c r="O2527" i="11"/>
  <c r="N2527" i="11"/>
  <c r="L2527" i="11"/>
  <c r="G2527" i="11"/>
  <c r="M2527" i="11" s="1"/>
  <c r="S2526" i="11"/>
  <c r="R2526" i="11"/>
  <c r="Q2526" i="11"/>
  <c r="O2526" i="11"/>
  <c r="N2526" i="11"/>
  <c r="L2526" i="11"/>
  <c r="G2526" i="11"/>
  <c r="M2526" i="11" s="1"/>
  <c r="S2525" i="11"/>
  <c r="R2525" i="11"/>
  <c r="Q2525" i="11"/>
  <c r="O2525" i="11"/>
  <c r="L2525" i="11"/>
  <c r="K2525" i="11"/>
  <c r="N2525" i="11" s="1"/>
  <c r="G2525" i="11"/>
  <c r="M2525" i="11" s="1"/>
  <c r="S2524" i="11"/>
  <c r="R2524" i="11"/>
  <c r="Q2524" i="11"/>
  <c r="O2524" i="11"/>
  <c r="N2524" i="11"/>
  <c r="M2524" i="11"/>
  <c r="L2524" i="11"/>
  <c r="G2524" i="11"/>
  <c r="S2523" i="11"/>
  <c r="R2523" i="11"/>
  <c r="Q2523" i="11"/>
  <c r="O2523" i="11"/>
  <c r="N2523" i="11"/>
  <c r="M2523" i="11"/>
  <c r="L2523" i="11"/>
  <c r="G2523" i="11"/>
  <c r="S2522" i="11"/>
  <c r="R2522" i="11"/>
  <c r="Q2522" i="11"/>
  <c r="O2522" i="11"/>
  <c r="N2522" i="11"/>
  <c r="M2522" i="11"/>
  <c r="L2522" i="11"/>
  <c r="G2522" i="11"/>
  <c r="S2521" i="11"/>
  <c r="R2521" i="11"/>
  <c r="Q2521" i="11"/>
  <c r="O2521" i="11"/>
  <c r="N2521" i="11"/>
  <c r="M2521" i="11"/>
  <c r="L2521" i="11"/>
  <c r="G2521" i="11"/>
  <c r="S2520" i="11"/>
  <c r="R2520" i="11"/>
  <c r="Q2520" i="11"/>
  <c r="O2520" i="11"/>
  <c r="N2520" i="11"/>
  <c r="M2520" i="11"/>
  <c r="L2520" i="11"/>
  <c r="G2520" i="11"/>
  <c r="S2519" i="11"/>
  <c r="R2519" i="11"/>
  <c r="Q2519" i="11"/>
  <c r="O2519" i="11"/>
  <c r="N2519" i="11"/>
  <c r="M2519" i="11"/>
  <c r="L2519" i="11"/>
  <c r="G2519" i="11"/>
  <c r="S2518" i="11"/>
  <c r="R2518" i="11"/>
  <c r="Q2518" i="11"/>
  <c r="O2518" i="11"/>
  <c r="N2518" i="11"/>
  <c r="M2518" i="11"/>
  <c r="L2518" i="11"/>
  <c r="G2518" i="11"/>
  <c r="S2517" i="11"/>
  <c r="R2517" i="11"/>
  <c r="Q2517" i="11"/>
  <c r="O2517" i="11"/>
  <c r="N2517" i="11"/>
  <c r="M2517" i="11"/>
  <c r="L2517" i="11"/>
  <c r="G2517" i="11"/>
  <c r="S2516" i="11"/>
  <c r="R2516" i="11"/>
  <c r="Q2516" i="11"/>
  <c r="O2516" i="11"/>
  <c r="N2516" i="11"/>
  <c r="M2516" i="11"/>
  <c r="L2516" i="11"/>
  <c r="G2516" i="11"/>
  <c r="S2515" i="11"/>
  <c r="R2515" i="11"/>
  <c r="Q2515" i="11"/>
  <c r="O2515" i="11"/>
  <c r="N2515" i="11"/>
  <c r="M2515" i="11"/>
  <c r="L2515" i="11"/>
  <c r="G2515" i="11"/>
  <c r="S2514" i="11"/>
  <c r="R2514" i="11"/>
  <c r="Q2514" i="11"/>
  <c r="O2514" i="11"/>
  <c r="N2514" i="11"/>
  <c r="M2514" i="11"/>
  <c r="L2514" i="11"/>
  <c r="G2514" i="11"/>
  <c r="S2513" i="11"/>
  <c r="R2513" i="11"/>
  <c r="Q2513" i="11"/>
  <c r="O2513" i="11"/>
  <c r="N2513" i="11"/>
  <c r="M2513" i="11"/>
  <c r="L2513" i="11"/>
  <c r="G2513" i="11"/>
  <c r="S2512" i="11"/>
  <c r="R2512" i="11"/>
  <c r="Q2512" i="11"/>
  <c r="O2512" i="11"/>
  <c r="N2512" i="11"/>
  <c r="M2512" i="11"/>
  <c r="L2512" i="11"/>
  <c r="G2512" i="11"/>
  <c r="S2511" i="11"/>
  <c r="R2511" i="11"/>
  <c r="Q2511" i="11"/>
  <c r="O2511" i="11"/>
  <c r="N2511" i="11"/>
  <c r="M2511" i="11"/>
  <c r="L2511" i="11"/>
  <c r="G2511" i="11"/>
  <c r="S2510" i="11"/>
  <c r="R2510" i="11"/>
  <c r="Q2510" i="11"/>
  <c r="O2510" i="11"/>
  <c r="N2510" i="11"/>
  <c r="M2510" i="11"/>
  <c r="L2510" i="11"/>
  <c r="G2510" i="11"/>
  <c r="S2509" i="11"/>
  <c r="R2509" i="11"/>
  <c r="Q2509" i="11"/>
  <c r="O2509" i="11"/>
  <c r="N2509" i="11"/>
  <c r="M2509" i="11"/>
  <c r="L2509" i="11"/>
  <c r="G2509" i="11"/>
  <c r="S2508" i="11"/>
  <c r="R2508" i="11"/>
  <c r="Q2508" i="11"/>
  <c r="O2508" i="11"/>
  <c r="N2508" i="11"/>
  <c r="M2508" i="11"/>
  <c r="L2508" i="11"/>
  <c r="G2508" i="11"/>
  <c r="S2507" i="11"/>
  <c r="R2507" i="11"/>
  <c r="Q2507" i="11"/>
  <c r="O2507" i="11"/>
  <c r="N2507" i="11"/>
  <c r="M2507" i="11"/>
  <c r="L2507" i="11"/>
  <c r="G2507" i="11"/>
  <c r="S2506" i="11"/>
  <c r="R2506" i="11"/>
  <c r="Q2506" i="11"/>
  <c r="O2506" i="11"/>
  <c r="N2506" i="11"/>
  <c r="M2506" i="11"/>
  <c r="L2506" i="11"/>
  <c r="G2506" i="11"/>
  <c r="S2505" i="11"/>
  <c r="R2505" i="11"/>
  <c r="Q2505" i="11"/>
  <c r="O2505" i="11"/>
  <c r="N2505" i="11"/>
  <c r="M2505" i="11"/>
  <c r="L2505" i="11"/>
  <c r="G2505" i="11"/>
  <c r="S2504" i="11"/>
  <c r="R2504" i="11"/>
  <c r="Q2504" i="11"/>
  <c r="O2504" i="11"/>
  <c r="N2504" i="11"/>
  <c r="M2504" i="11"/>
  <c r="L2504" i="11"/>
  <c r="G2504" i="11"/>
  <c r="S2503" i="11"/>
  <c r="R2503" i="11"/>
  <c r="Q2503" i="11"/>
  <c r="O2503" i="11"/>
  <c r="N2503" i="11"/>
  <c r="M2503" i="11"/>
  <c r="L2503" i="11"/>
  <c r="G2503" i="11"/>
  <c r="S2502" i="11"/>
  <c r="R2502" i="11"/>
  <c r="Q2502" i="11"/>
  <c r="O2502" i="11"/>
  <c r="N2502" i="11"/>
  <c r="M2502" i="11"/>
  <c r="L2502" i="11"/>
  <c r="G2502" i="11"/>
  <c r="S2501" i="11"/>
  <c r="R2501" i="11"/>
  <c r="Q2501" i="11"/>
  <c r="O2501" i="11"/>
  <c r="N2501" i="11"/>
  <c r="M2501" i="11"/>
  <c r="L2501" i="11"/>
  <c r="G2501" i="11"/>
  <c r="S2500" i="11"/>
  <c r="R2500" i="11"/>
  <c r="Q2500" i="11"/>
  <c r="O2500" i="11"/>
  <c r="N2500" i="11"/>
  <c r="M2500" i="11"/>
  <c r="L2500" i="11"/>
  <c r="G2500" i="11"/>
  <c r="S2499" i="11"/>
  <c r="R2499" i="11"/>
  <c r="Q2499" i="11"/>
  <c r="O2499" i="11"/>
  <c r="N2499" i="11"/>
  <c r="M2499" i="11"/>
  <c r="L2499" i="11"/>
  <c r="G2499" i="11"/>
  <c r="S2498" i="11"/>
  <c r="R2498" i="11"/>
  <c r="Q2498" i="11"/>
  <c r="O2498" i="11"/>
  <c r="N2498" i="11"/>
  <c r="M2498" i="11"/>
  <c r="L2498" i="11"/>
  <c r="G2498" i="11"/>
  <c r="S2497" i="11"/>
  <c r="R2497" i="11"/>
  <c r="Q2497" i="11"/>
  <c r="O2497" i="11"/>
  <c r="N2497" i="11"/>
  <c r="M2497" i="11"/>
  <c r="L2497" i="11"/>
  <c r="G2497" i="11"/>
  <c r="S2496" i="11"/>
  <c r="R2496" i="11"/>
  <c r="Q2496" i="11"/>
  <c r="O2496" i="11"/>
  <c r="N2496" i="11"/>
  <c r="M2496" i="11"/>
  <c r="L2496" i="11"/>
  <c r="G2496" i="11"/>
  <c r="S2495" i="11"/>
  <c r="R2495" i="11"/>
  <c r="Q2495" i="11"/>
  <c r="O2495" i="11"/>
  <c r="N2495" i="11"/>
  <c r="M2495" i="11"/>
  <c r="L2495" i="11"/>
  <c r="G2495" i="11"/>
  <c r="S2494" i="11"/>
  <c r="R2494" i="11"/>
  <c r="Q2494" i="11"/>
  <c r="O2494" i="11"/>
  <c r="N2494" i="11"/>
  <c r="M2494" i="11"/>
  <c r="L2494" i="11"/>
  <c r="G2494" i="11"/>
  <c r="S2493" i="11"/>
  <c r="R2493" i="11"/>
  <c r="Q2493" i="11"/>
  <c r="O2493" i="11"/>
  <c r="N2493" i="11"/>
  <c r="M2493" i="11"/>
  <c r="L2493" i="11"/>
  <c r="G2493" i="11"/>
  <c r="S2492" i="11"/>
  <c r="R2492" i="11"/>
  <c r="Q2492" i="11"/>
  <c r="O2492" i="11"/>
  <c r="N2492" i="11"/>
  <c r="M2492" i="11"/>
  <c r="L2492" i="11"/>
  <c r="G2492" i="11"/>
  <c r="S2491" i="11"/>
  <c r="R2491" i="11"/>
  <c r="Q2491" i="11"/>
  <c r="O2491" i="11"/>
  <c r="N2491" i="11"/>
  <c r="M2491" i="11"/>
  <c r="L2491" i="11"/>
  <c r="G2491" i="11"/>
  <c r="S2490" i="11"/>
  <c r="R2490" i="11"/>
  <c r="Q2490" i="11"/>
  <c r="O2490" i="11"/>
  <c r="N2490" i="11"/>
  <c r="M2490" i="11"/>
  <c r="L2490" i="11"/>
  <c r="G2490" i="11"/>
  <c r="S2489" i="11"/>
  <c r="R2489" i="11"/>
  <c r="Q2489" i="11"/>
  <c r="O2489" i="11"/>
  <c r="N2489" i="11"/>
  <c r="M2489" i="11"/>
  <c r="L2489" i="11"/>
  <c r="G2489" i="11"/>
  <c r="S2488" i="11"/>
  <c r="R2488" i="11"/>
  <c r="Q2488" i="11"/>
  <c r="O2488" i="11"/>
  <c r="N2488" i="11"/>
  <c r="M2488" i="11"/>
  <c r="L2488" i="11"/>
  <c r="G2488" i="11"/>
  <c r="S2487" i="11"/>
  <c r="R2487" i="11"/>
  <c r="Q2487" i="11"/>
  <c r="O2487" i="11"/>
  <c r="N2487" i="11"/>
  <c r="M2487" i="11"/>
  <c r="L2487" i="11"/>
  <c r="G2487" i="11"/>
  <c r="S2486" i="11"/>
  <c r="R2486" i="11"/>
  <c r="Q2486" i="11"/>
  <c r="O2486" i="11"/>
  <c r="N2486" i="11"/>
  <c r="M2486" i="11"/>
  <c r="L2486" i="11"/>
  <c r="G2486" i="11"/>
  <c r="S2485" i="11"/>
  <c r="R2485" i="11"/>
  <c r="Q2485" i="11"/>
  <c r="O2485" i="11"/>
  <c r="N2485" i="11"/>
  <c r="M2485" i="11"/>
  <c r="L2485" i="11"/>
  <c r="G2485" i="11"/>
  <c r="S2484" i="11"/>
  <c r="R2484" i="11"/>
  <c r="Q2484" i="11"/>
  <c r="O2484" i="11"/>
  <c r="N2484" i="11"/>
  <c r="M2484" i="11"/>
  <c r="L2484" i="11"/>
  <c r="G2484" i="11"/>
  <c r="S2483" i="11"/>
  <c r="R2483" i="11"/>
  <c r="Q2483" i="11"/>
  <c r="O2483" i="11"/>
  <c r="N2483" i="11"/>
  <c r="M2483" i="11"/>
  <c r="L2483" i="11"/>
  <c r="G2483" i="11"/>
  <c r="S2482" i="11"/>
  <c r="R2482" i="11"/>
  <c r="Q2482" i="11"/>
  <c r="O2482" i="11"/>
  <c r="N2482" i="11"/>
  <c r="M2482" i="11"/>
  <c r="L2482" i="11"/>
  <c r="G2482" i="11"/>
  <c r="S2481" i="11"/>
  <c r="R2481" i="11"/>
  <c r="Q2481" i="11"/>
  <c r="O2481" i="11"/>
  <c r="N2481" i="11"/>
  <c r="M2481" i="11"/>
  <c r="L2481" i="11"/>
  <c r="G2481" i="11"/>
  <c r="S2480" i="11"/>
  <c r="R2480" i="11"/>
  <c r="Q2480" i="11"/>
  <c r="O2480" i="11"/>
  <c r="N2480" i="11"/>
  <c r="M2480" i="11"/>
  <c r="L2480" i="11"/>
  <c r="G2480" i="11"/>
  <c r="S2479" i="11"/>
  <c r="R2479" i="11"/>
  <c r="Q2479" i="11"/>
  <c r="O2479" i="11"/>
  <c r="N2479" i="11"/>
  <c r="M2479" i="11"/>
  <c r="L2479" i="11"/>
  <c r="G2479" i="11"/>
  <c r="S2478" i="11"/>
  <c r="R2478" i="11"/>
  <c r="Q2478" i="11"/>
  <c r="O2478" i="11"/>
  <c r="N2478" i="11"/>
  <c r="M2478" i="11"/>
  <c r="L2478" i="11"/>
  <c r="G2478" i="11"/>
  <c r="S2477" i="11"/>
  <c r="R2477" i="11"/>
  <c r="Q2477" i="11"/>
  <c r="O2477" i="11"/>
  <c r="N2477" i="11"/>
  <c r="M2477" i="11"/>
  <c r="L2477" i="11"/>
  <c r="G2477" i="11"/>
  <c r="S2476" i="11"/>
  <c r="R2476" i="11"/>
  <c r="Q2476" i="11"/>
  <c r="O2476" i="11"/>
  <c r="N2476" i="11"/>
  <c r="M2476" i="11"/>
  <c r="L2476" i="11"/>
  <c r="G2476" i="11"/>
  <c r="S2475" i="11"/>
  <c r="R2475" i="11"/>
  <c r="Q2475" i="11"/>
  <c r="N2475" i="11"/>
  <c r="L2475" i="11"/>
  <c r="E2475" i="11"/>
  <c r="S2474" i="11"/>
  <c r="R2474" i="11"/>
  <c r="Q2474" i="11"/>
  <c r="O2474" i="11"/>
  <c r="N2474" i="11"/>
  <c r="L2474" i="11"/>
  <c r="G2474" i="11"/>
  <c r="M2474" i="11" s="1"/>
  <c r="S2473" i="11"/>
  <c r="R2473" i="11"/>
  <c r="Q2473" i="11"/>
  <c r="O2473" i="11"/>
  <c r="N2473" i="11"/>
  <c r="L2473" i="11"/>
  <c r="G2473" i="11"/>
  <c r="M2473" i="11" s="1"/>
  <c r="S2472" i="11"/>
  <c r="R2472" i="11"/>
  <c r="Q2472" i="11"/>
  <c r="O2472" i="11"/>
  <c r="N2472" i="11"/>
  <c r="L2472" i="11"/>
  <c r="G2472" i="11"/>
  <c r="M2472" i="11" s="1"/>
  <c r="S2471" i="11"/>
  <c r="R2471" i="11"/>
  <c r="Q2471" i="11"/>
  <c r="O2471" i="11"/>
  <c r="N2471" i="11"/>
  <c r="M2471" i="11"/>
  <c r="L2471" i="11"/>
  <c r="G2471" i="11"/>
  <c r="S2470" i="11"/>
  <c r="R2470" i="11"/>
  <c r="Q2470" i="11"/>
  <c r="O2470" i="11"/>
  <c r="N2470" i="11"/>
  <c r="M2470" i="11"/>
  <c r="L2470" i="11"/>
  <c r="G2470" i="11"/>
  <c r="S2469" i="11"/>
  <c r="R2469" i="11"/>
  <c r="Q2469" i="11"/>
  <c r="O2469" i="11"/>
  <c r="N2469" i="11"/>
  <c r="L2469" i="11"/>
  <c r="G2469" i="11"/>
  <c r="M2469" i="11" s="1"/>
  <c r="S2468" i="11"/>
  <c r="R2468" i="11"/>
  <c r="Q2468" i="11"/>
  <c r="O2468" i="11"/>
  <c r="N2468" i="11"/>
  <c r="M2468" i="11"/>
  <c r="L2468" i="11"/>
  <c r="G2468" i="11"/>
  <c r="S2467" i="11"/>
  <c r="R2467" i="11"/>
  <c r="Q2467" i="11"/>
  <c r="O2467" i="11"/>
  <c r="N2467" i="11"/>
  <c r="M2467" i="11"/>
  <c r="L2467" i="11"/>
  <c r="G2467" i="11"/>
  <c r="S2466" i="11"/>
  <c r="R2466" i="11"/>
  <c r="Q2466" i="11"/>
  <c r="O2466" i="11"/>
  <c r="N2466" i="11"/>
  <c r="L2466" i="11"/>
  <c r="G2466" i="11"/>
  <c r="M2466" i="11" s="1"/>
  <c r="S2465" i="11"/>
  <c r="R2465" i="11"/>
  <c r="Q2465" i="11"/>
  <c r="O2465" i="11"/>
  <c r="N2465" i="11"/>
  <c r="L2465" i="11"/>
  <c r="G2465" i="11"/>
  <c r="M2465" i="11" s="1"/>
  <c r="S2464" i="11"/>
  <c r="R2464" i="11"/>
  <c r="Q2464" i="11"/>
  <c r="O2464" i="11"/>
  <c r="N2464" i="11"/>
  <c r="L2464" i="11"/>
  <c r="G2464" i="11"/>
  <c r="M2464" i="11" s="1"/>
  <c r="S2463" i="11"/>
  <c r="R2463" i="11"/>
  <c r="Q2463" i="11"/>
  <c r="O2463" i="11"/>
  <c r="N2463" i="11"/>
  <c r="L2463" i="11"/>
  <c r="G2463" i="11"/>
  <c r="M2463" i="11" s="1"/>
  <c r="S2462" i="11"/>
  <c r="R2462" i="11"/>
  <c r="Q2462" i="11"/>
  <c r="O2462" i="11"/>
  <c r="N2462" i="11"/>
  <c r="M2462" i="11"/>
  <c r="L2462" i="11"/>
  <c r="K2462" i="11"/>
  <c r="J2462" i="11"/>
  <c r="G2462" i="11"/>
  <c r="S2461" i="11"/>
  <c r="R2461" i="11"/>
  <c r="Q2461" i="11"/>
  <c r="O2461" i="11"/>
  <c r="N2461" i="11"/>
  <c r="M2461" i="11"/>
  <c r="L2461" i="11"/>
  <c r="G2461" i="11"/>
  <c r="S2460" i="11"/>
  <c r="R2460" i="11"/>
  <c r="Q2460" i="11"/>
  <c r="O2460" i="11"/>
  <c r="N2460" i="11"/>
  <c r="M2460" i="11"/>
  <c r="L2460" i="11"/>
  <c r="G2460" i="11"/>
  <c r="S2459" i="11"/>
  <c r="R2459" i="11"/>
  <c r="Q2459" i="11"/>
  <c r="O2459" i="11"/>
  <c r="N2459" i="11"/>
  <c r="M2459" i="11"/>
  <c r="L2459" i="11"/>
  <c r="G2459" i="11"/>
  <c r="S2458" i="11"/>
  <c r="R2458" i="11"/>
  <c r="Q2458" i="11"/>
  <c r="O2458" i="11"/>
  <c r="N2458" i="11"/>
  <c r="M2458" i="11"/>
  <c r="L2458" i="11"/>
  <c r="G2458" i="11"/>
  <c r="S2457" i="11"/>
  <c r="R2457" i="11"/>
  <c r="Q2457" i="11"/>
  <c r="O2457" i="11"/>
  <c r="N2457" i="11"/>
  <c r="M2457" i="11"/>
  <c r="L2457" i="11"/>
  <c r="G2457" i="11"/>
  <c r="S2456" i="11"/>
  <c r="R2456" i="11"/>
  <c r="Q2456" i="11"/>
  <c r="O2456" i="11"/>
  <c r="N2456" i="11"/>
  <c r="M2456" i="11"/>
  <c r="L2456" i="11"/>
  <c r="G2456" i="11"/>
  <c r="S2455" i="11"/>
  <c r="R2455" i="11"/>
  <c r="Q2455" i="11"/>
  <c r="O2455" i="11"/>
  <c r="N2455" i="11"/>
  <c r="M2455" i="11"/>
  <c r="L2455" i="11"/>
  <c r="G2455" i="11"/>
  <c r="S2454" i="11"/>
  <c r="R2454" i="11"/>
  <c r="Q2454" i="11"/>
  <c r="O2454" i="11"/>
  <c r="N2454" i="11"/>
  <c r="M2454" i="11"/>
  <c r="L2454" i="11"/>
  <c r="G2454" i="11"/>
  <c r="S2453" i="11"/>
  <c r="R2453" i="11"/>
  <c r="Q2453" i="11"/>
  <c r="O2453" i="11"/>
  <c r="N2453" i="11"/>
  <c r="M2453" i="11"/>
  <c r="L2453" i="11"/>
  <c r="G2453" i="11"/>
  <c r="S2452" i="11"/>
  <c r="R2452" i="11"/>
  <c r="Q2452" i="11"/>
  <c r="O2452" i="11"/>
  <c r="N2452" i="11"/>
  <c r="M2452" i="11"/>
  <c r="L2452" i="11"/>
  <c r="G2452" i="11"/>
  <c r="S2451" i="11"/>
  <c r="R2451" i="11"/>
  <c r="Q2451" i="11"/>
  <c r="O2451" i="11"/>
  <c r="N2451" i="11"/>
  <c r="M2451" i="11"/>
  <c r="L2451" i="11"/>
  <c r="G2451" i="11"/>
  <c r="S2450" i="11"/>
  <c r="R2450" i="11"/>
  <c r="Q2450" i="11"/>
  <c r="O2450" i="11"/>
  <c r="N2450" i="11"/>
  <c r="M2450" i="11"/>
  <c r="L2450" i="11"/>
  <c r="G2450" i="11"/>
  <c r="S2449" i="11"/>
  <c r="R2449" i="11"/>
  <c r="Q2449" i="11"/>
  <c r="O2449" i="11"/>
  <c r="N2449" i="11"/>
  <c r="M2449" i="11"/>
  <c r="L2449" i="11"/>
  <c r="G2449" i="11"/>
  <c r="S2448" i="11"/>
  <c r="R2448" i="11"/>
  <c r="Q2448" i="11"/>
  <c r="O2448" i="11"/>
  <c r="N2448" i="11"/>
  <c r="M2448" i="11"/>
  <c r="L2448" i="11"/>
  <c r="G2448" i="11"/>
  <c r="S2447" i="11"/>
  <c r="R2447" i="11"/>
  <c r="Q2447" i="11"/>
  <c r="O2447" i="11"/>
  <c r="N2447" i="11"/>
  <c r="M2447" i="11"/>
  <c r="L2447" i="11"/>
  <c r="G2447" i="11"/>
  <c r="S2446" i="11"/>
  <c r="R2446" i="11"/>
  <c r="Q2446" i="11"/>
  <c r="O2446" i="11"/>
  <c r="N2446" i="11"/>
  <c r="M2446" i="11"/>
  <c r="L2446" i="11"/>
  <c r="G2446" i="11"/>
  <c r="S2445" i="11"/>
  <c r="R2445" i="11"/>
  <c r="Q2445" i="11"/>
  <c r="O2445" i="11"/>
  <c r="N2445" i="11"/>
  <c r="M2445" i="11"/>
  <c r="L2445" i="11"/>
  <c r="G2445" i="11"/>
  <c r="S2444" i="11"/>
  <c r="R2444" i="11"/>
  <c r="Q2444" i="11"/>
  <c r="O2444" i="11"/>
  <c r="N2444" i="11"/>
  <c r="M2444" i="11"/>
  <c r="L2444" i="11"/>
  <c r="G2444" i="11"/>
  <c r="S2443" i="11"/>
  <c r="R2443" i="11"/>
  <c r="Q2443" i="11"/>
  <c r="O2443" i="11"/>
  <c r="N2443" i="11"/>
  <c r="M2443" i="11"/>
  <c r="L2443" i="11"/>
  <c r="G2443" i="11"/>
  <c r="S2442" i="11"/>
  <c r="R2442" i="11"/>
  <c r="Q2442" i="11"/>
  <c r="O2442" i="11"/>
  <c r="N2442" i="11"/>
  <c r="M2442" i="11"/>
  <c r="L2442" i="11"/>
  <c r="G2442" i="11"/>
  <c r="S2441" i="11"/>
  <c r="R2441" i="11"/>
  <c r="Q2441" i="11"/>
  <c r="O2441" i="11"/>
  <c r="N2441" i="11"/>
  <c r="M2441" i="11"/>
  <c r="L2441" i="11"/>
  <c r="G2441" i="11"/>
  <c r="S2440" i="11"/>
  <c r="R2440" i="11"/>
  <c r="Q2440" i="11"/>
  <c r="O2440" i="11"/>
  <c r="N2440" i="11"/>
  <c r="M2440" i="11"/>
  <c r="L2440" i="11"/>
  <c r="G2440" i="11"/>
  <c r="S2439" i="11"/>
  <c r="R2439" i="11"/>
  <c r="Q2439" i="11"/>
  <c r="O2439" i="11"/>
  <c r="N2439" i="11"/>
  <c r="M2439" i="11"/>
  <c r="L2439" i="11"/>
  <c r="G2439" i="11"/>
  <c r="S2438" i="11"/>
  <c r="R2438" i="11"/>
  <c r="Q2438" i="11"/>
  <c r="O2438" i="11"/>
  <c r="N2438" i="11"/>
  <c r="M2438" i="11"/>
  <c r="L2438" i="11"/>
  <c r="G2438" i="11"/>
  <c r="S2437" i="11"/>
  <c r="R2437" i="11"/>
  <c r="Q2437" i="11"/>
  <c r="O2437" i="11"/>
  <c r="N2437" i="11"/>
  <c r="M2437" i="11"/>
  <c r="L2437" i="11"/>
  <c r="G2437" i="11"/>
  <c r="S2436" i="11"/>
  <c r="R2436" i="11"/>
  <c r="Q2436" i="11"/>
  <c r="O2436" i="11"/>
  <c r="N2436" i="11"/>
  <c r="M2436" i="11"/>
  <c r="L2436" i="11"/>
  <c r="G2436" i="11"/>
  <c r="S2435" i="11"/>
  <c r="R2435" i="11"/>
  <c r="Q2435" i="11"/>
  <c r="O2435" i="11"/>
  <c r="N2435" i="11"/>
  <c r="M2435" i="11"/>
  <c r="L2435" i="11"/>
  <c r="G2435" i="11"/>
  <c r="S2434" i="11"/>
  <c r="R2434" i="11"/>
  <c r="Q2434" i="11"/>
  <c r="O2434" i="11"/>
  <c r="N2434" i="11"/>
  <c r="M2434" i="11"/>
  <c r="L2434" i="11"/>
  <c r="G2434" i="11"/>
  <c r="S2433" i="11"/>
  <c r="R2433" i="11"/>
  <c r="Q2433" i="11"/>
  <c r="O2433" i="11"/>
  <c r="N2433" i="11"/>
  <c r="M2433" i="11"/>
  <c r="L2433" i="11"/>
  <c r="G2433" i="11"/>
  <c r="S2432" i="11"/>
  <c r="R2432" i="11"/>
  <c r="Q2432" i="11"/>
  <c r="O2432" i="11"/>
  <c r="N2432" i="11"/>
  <c r="M2432" i="11"/>
  <c r="L2432" i="11"/>
  <c r="G2432" i="11"/>
  <c r="S2431" i="11"/>
  <c r="R2431" i="11"/>
  <c r="Q2431" i="11"/>
  <c r="O2431" i="11"/>
  <c r="N2431" i="11"/>
  <c r="M2431" i="11"/>
  <c r="L2431" i="11"/>
  <c r="G2431" i="11"/>
  <c r="S2430" i="11"/>
  <c r="R2430" i="11"/>
  <c r="Q2430" i="11"/>
  <c r="O2430" i="11"/>
  <c r="N2430" i="11"/>
  <c r="M2430" i="11"/>
  <c r="L2430" i="11"/>
  <c r="G2430" i="11"/>
  <c r="S2429" i="11"/>
  <c r="R2429" i="11"/>
  <c r="Q2429" i="11"/>
  <c r="O2429" i="11"/>
  <c r="N2429" i="11"/>
  <c r="M2429" i="11"/>
  <c r="L2429" i="11"/>
  <c r="G2429" i="11"/>
  <c r="S2428" i="11"/>
  <c r="R2428" i="11"/>
  <c r="Q2428" i="11"/>
  <c r="O2428" i="11"/>
  <c r="N2428" i="11"/>
  <c r="M2428" i="11"/>
  <c r="L2428" i="11"/>
  <c r="G2428" i="11"/>
  <c r="S2427" i="11"/>
  <c r="R2427" i="11"/>
  <c r="Q2427" i="11"/>
  <c r="O2427" i="11"/>
  <c r="N2427" i="11"/>
  <c r="M2427" i="11"/>
  <c r="L2427" i="11"/>
  <c r="G2427" i="11"/>
  <c r="S2426" i="11"/>
  <c r="R2426" i="11"/>
  <c r="Q2426" i="11"/>
  <c r="O2426" i="11"/>
  <c r="N2426" i="11"/>
  <c r="M2426" i="11"/>
  <c r="L2426" i="11"/>
  <c r="G2426" i="11"/>
  <c r="S2425" i="11"/>
  <c r="R2425" i="11"/>
  <c r="Q2425" i="11"/>
  <c r="O2425" i="11"/>
  <c r="N2425" i="11"/>
  <c r="M2425" i="11"/>
  <c r="L2425" i="11"/>
  <c r="G2425" i="11"/>
  <c r="S2424" i="11"/>
  <c r="R2424" i="11"/>
  <c r="Q2424" i="11"/>
  <c r="O2424" i="11"/>
  <c r="N2424" i="11"/>
  <c r="M2424" i="11"/>
  <c r="L2424" i="11"/>
  <c r="G2424" i="11"/>
  <c r="S2423" i="11"/>
  <c r="R2423" i="11"/>
  <c r="Q2423" i="11"/>
  <c r="O2423" i="11"/>
  <c r="N2423" i="11"/>
  <c r="M2423" i="11"/>
  <c r="L2423" i="11"/>
  <c r="G2423" i="11"/>
  <c r="S2422" i="11"/>
  <c r="R2422" i="11"/>
  <c r="Q2422" i="11"/>
  <c r="O2422" i="11"/>
  <c r="N2422" i="11"/>
  <c r="M2422" i="11"/>
  <c r="L2422" i="11"/>
  <c r="G2422" i="11"/>
  <c r="S2421" i="11"/>
  <c r="R2421" i="11"/>
  <c r="Q2421" i="11"/>
  <c r="O2421" i="11"/>
  <c r="N2421" i="11"/>
  <c r="M2421" i="11"/>
  <c r="L2421" i="11"/>
  <c r="G2421" i="11"/>
  <c r="S2420" i="11"/>
  <c r="R2420" i="11"/>
  <c r="Q2420" i="11"/>
  <c r="O2420" i="11"/>
  <c r="N2420" i="11"/>
  <c r="M2420" i="11"/>
  <c r="L2420" i="11"/>
  <c r="G2420" i="11"/>
  <c r="S2419" i="11"/>
  <c r="R2419" i="11"/>
  <c r="Q2419" i="11"/>
  <c r="O2419" i="11"/>
  <c r="N2419" i="11"/>
  <c r="M2419" i="11"/>
  <c r="L2419" i="11"/>
  <c r="G2419" i="11"/>
  <c r="S2418" i="11"/>
  <c r="R2418" i="11"/>
  <c r="Q2418" i="11"/>
  <c r="O2418" i="11"/>
  <c r="N2418" i="11"/>
  <c r="M2418" i="11"/>
  <c r="L2418" i="11"/>
  <c r="G2418" i="11"/>
  <c r="S2417" i="11"/>
  <c r="R2417" i="11"/>
  <c r="Q2417" i="11"/>
  <c r="O2417" i="11"/>
  <c r="N2417" i="11"/>
  <c r="M2417" i="11"/>
  <c r="L2417" i="11"/>
  <c r="G2417" i="11"/>
  <c r="S2416" i="11"/>
  <c r="R2416" i="11"/>
  <c r="Q2416" i="11"/>
  <c r="O2416" i="11"/>
  <c r="N2416" i="11"/>
  <c r="M2416" i="11"/>
  <c r="L2416" i="11"/>
  <c r="G2416" i="11"/>
  <c r="S2415" i="11"/>
  <c r="R2415" i="11"/>
  <c r="Q2415" i="11"/>
  <c r="O2415" i="11"/>
  <c r="N2415" i="11"/>
  <c r="M2415" i="11"/>
  <c r="L2415" i="11"/>
  <c r="G2415" i="11"/>
  <c r="S2414" i="11"/>
  <c r="R2414" i="11"/>
  <c r="Q2414" i="11"/>
  <c r="O2414" i="11"/>
  <c r="N2414" i="11"/>
  <c r="M2414" i="11"/>
  <c r="L2414" i="11"/>
  <c r="G2414" i="11"/>
  <c r="S2413" i="11"/>
  <c r="R2413" i="11"/>
  <c r="Q2413" i="11"/>
  <c r="O2413" i="11"/>
  <c r="N2413" i="11"/>
  <c r="M2413" i="11"/>
  <c r="L2413" i="11"/>
  <c r="G2413" i="11"/>
  <c r="S2412" i="11"/>
  <c r="R2412" i="11"/>
  <c r="Q2412" i="11"/>
  <c r="O2412" i="11"/>
  <c r="N2412" i="11"/>
  <c r="M2412" i="11"/>
  <c r="L2412" i="11"/>
  <c r="G2412" i="11"/>
  <c r="S2411" i="11"/>
  <c r="R2411" i="11"/>
  <c r="Q2411" i="11"/>
  <c r="O2411" i="11"/>
  <c r="N2411" i="11"/>
  <c r="M2411" i="11"/>
  <c r="L2411" i="11"/>
  <c r="G2411" i="11"/>
  <c r="S2410" i="11"/>
  <c r="R2410" i="11"/>
  <c r="Q2410" i="11"/>
  <c r="O2410" i="11"/>
  <c r="N2410" i="11"/>
  <c r="M2410" i="11"/>
  <c r="L2410" i="11"/>
  <c r="G2410" i="11"/>
  <c r="S2409" i="11"/>
  <c r="R2409" i="11"/>
  <c r="Q2409" i="11"/>
  <c r="O2409" i="11"/>
  <c r="N2409" i="11"/>
  <c r="M2409" i="11"/>
  <c r="L2409" i="11"/>
  <c r="G2409" i="11"/>
  <c r="S2408" i="11"/>
  <c r="R2408" i="11"/>
  <c r="Q2408" i="11"/>
  <c r="O2408" i="11"/>
  <c r="N2408" i="11"/>
  <c r="M2408" i="11"/>
  <c r="L2408" i="11"/>
  <c r="G2408" i="11"/>
  <c r="S2407" i="11"/>
  <c r="R2407" i="11"/>
  <c r="Q2407" i="11"/>
  <c r="O2407" i="11"/>
  <c r="N2407" i="11"/>
  <c r="M2407" i="11"/>
  <c r="L2407" i="11"/>
  <c r="G2407" i="11"/>
  <c r="S2406" i="11"/>
  <c r="R2406" i="11"/>
  <c r="Q2406" i="11"/>
  <c r="O2406" i="11"/>
  <c r="N2406" i="11"/>
  <c r="M2406" i="11"/>
  <c r="L2406" i="11"/>
  <c r="G2406" i="11"/>
  <c r="S2405" i="11"/>
  <c r="R2405" i="11"/>
  <c r="Q2405" i="11"/>
  <c r="O2405" i="11"/>
  <c r="N2405" i="11"/>
  <c r="M2405" i="11"/>
  <c r="L2405" i="11"/>
  <c r="G2405" i="11"/>
  <c r="S2404" i="11"/>
  <c r="R2404" i="11"/>
  <c r="Q2404" i="11"/>
  <c r="O2404" i="11"/>
  <c r="N2404" i="11"/>
  <c r="M2404" i="11"/>
  <c r="L2404" i="11"/>
  <c r="G2404" i="11"/>
  <c r="S2403" i="11"/>
  <c r="R2403" i="11"/>
  <c r="Q2403" i="11"/>
  <c r="O2403" i="11"/>
  <c r="N2403" i="11"/>
  <c r="M2403" i="11"/>
  <c r="L2403" i="11"/>
  <c r="G2403" i="11"/>
  <c r="S2402" i="11"/>
  <c r="R2402" i="11"/>
  <c r="Q2402" i="11"/>
  <c r="O2402" i="11"/>
  <c r="N2402" i="11"/>
  <c r="M2402" i="11"/>
  <c r="L2402" i="11"/>
  <c r="G2402" i="11"/>
  <c r="S2401" i="11"/>
  <c r="R2401" i="11"/>
  <c r="Q2401" i="11"/>
  <c r="O2401" i="11"/>
  <c r="N2401" i="11"/>
  <c r="M2401" i="11"/>
  <c r="L2401" i="11"/>
  <c r="G2401" i="11"/>
  <c r="S2400" i="11"/>
  <c r="R2400" i="11"/>
  <c r="Q2400" i="11"/>
  <c r="O2400" i="11"/>
  <c r="N2400" i="11"/>
  <c r="M2400" i="11"/>
  <c r="L2400" i="11"/>
  <c r="G2400" i="11"/>
  <c r="S2399" i="11"/>
  <c r="R2399" i="11"/>
  <c r="Q2399" i="11"/>
  <c r="O2399" i="11"/>
  <c r="N2399" i="11"/>
  <c r="M2399" i="11"/>
  <c r="L2399" i="11"/>
  <c r="G2399" i="11"/>
  <c r="S2398" i="11"/>
  <c r="R2398" i="11"/>
  <c r="Q2398" i="11"/>
  <c r="O2398" i="11"/>
  <c r="N2398" i="11"/>
  <c r="M2398" i="11"/>
  <c r="L2398" i="11"/>
  <c r="G2398" i="11"/>
  <c r="S2397" i="11"/>
  <c r="R2397" i="11"/>
  <c r="Q2397" i="11"/>
  <c r="O2397" i="11"/>
  <c r="N2397" i="11"/>
  <c r="M2397" i="11"/>
  <c r="L2397" i="11"/>
  <c r="G2397" i="11"/>
  <c r="S2396" i="11"/>
  <c r="R2396" i="11"/>
  <c r="Q2396" i="11"/>
  <c r="O2396" i="11"/>
  <c r="N2396" i="11"/>
  <c r="M2396" i="11"/>
  <c r="L2396" i="11"/>
  <c r="G2396" i="11"/>
  <c r="S2395" i="11"/>
  <c r="R2395" i="11"/>
  <c r="Q2395" i="11"/>
  <c r="O2395" i="11"/>
  <c r="N2395" i="11"/>
  <c r="M2395" i="11"/>
  <c r="L2395" i="11"/>
  <c r="G2395" i="11"/>
  <c r="S2394" i="11"/>
  <c r="R2394" i="11"/>
  <c r="Q2394" i="11"/>
  <c r="O2394" i="11"/>
  <c r="N2394" i="11"/>
  <c r="M2394" i="11"/>
  <c r="L2394" i="11"/>
  <c r="G2394" i="11"/>
  <c r="S2393" i="11"/>
  <c r="R2393" i="11"/>
  <c r="Q2393" i="11"/>
  <c r="O2393" i="11"/>
  <c r="N2393" i="11"/>
  <c r="M2393" i="11"/>
  <c r="L2393" i="11"/>
  <c r="G2393" i="11"/>
  <c r="S2392" i="11"/>
  <c r="R2392" i="11"/>
  <c r="Q2392" i="11"/>
  <c r="O2392" i="11"/>
  <c r="N2392" i="11"/>
  <c r="M2392" i="11"/>
  <c r="L2392" i="11"/>
  <c r="G2392" i="11"/>
  <c r="S2391" i="11"/>
  <c r="R2391" i="11"/>
  <c r="Q2391" i="11"/>
  <c r="O2391" i="11"/>
  <c r="N2391" i="11"/>
  <c r="M2391" i="11"/>
  <c r="L2391" i="11"/>
  <c r="G2391" i="11"/>
  <c r="S2390" i="11"/>
  <c r="R2390" i="11"/>
  <c r="Q2390" i="11"/>
  <c r="O2390" i="11"/>
  <c r="N2390" i="11"/>
  <c r="M2390" i="11"/>
  <c r="L2390" i="11"/>
  <c r="G2390" i="11"/>
  <c r="S2389" i="11"/>
  <c r="R2389" i="11"/>
  <c r="Q2389" i="11"/>
  <c r="O2389" i="11"/>
  <c r="N2389" i="11"/>
  <c r="M2389" i="11"/>
  <c r="L2389" i="11"/>
  <c r="G2389" i="11"/>
  <c r="S2388" i="11"/>
  <c r="R2388" i="11"/>
  <c r="Q2388" i="11"/>
  <c r="O2388" i="11"/>
  <c r="N2388" i="11"/>
  <c r="M2388" i="11"/>
  <c r="L2388" i="11"/>
  <c r="G2388" i="11"/>
  <c r="S2387" i="11"/>
  <c r="R2387" i="11"/>
  <c r="Q2387" i="11"/>
  <c r="O2387" i="11"/>
  <c r="N2387" i="11"/>
  <c r="M2387" i="11"/>
  <c r="L2387" i="11"/>
  <c r="G2387" i="11"/>
  <c r="S2386" i="11"/>
  <c r="R2386" i="11"/>
  <c r="Q2386" i="11"/>
  <c r="O2386" i="11"/>
  <c r="N2386" i="11"/>
  <c r="M2386" i="11"/>
  <c r="L2386" i="11"/>
  <c r="G2386" i="11"/>
  <c r="S2385" i="11"/>
  <c r="R2385" i="11"/>
  <c r="Q2385" i="11"/>
  <c r="O2385" i="11"/>
  <c r="N2385" i="11"/>
  <c r="M2385" i="11"/>
  <c r="L2385" i="11"/>
  <c r="G2385" i="11"/>
  <c r="S2384" i="11"/>
  <c r="R2384" i="11"/>
  <c r="Q2384" i="11"/>
  <c r="O2384" i="11"/>
  <c r="N2384" i="11"/>
  <c r="M2384" i="11"/>
  <c r="L2384" i="11"/>
  <c r="G2384" i="11"/>
  <c r="S2383" i="11"/>
  <c r="R2383" i="11"/>
  <c r="Q2383" i="11"/>
  <c r="O2383" i="11"/>
  <c r="N2383" i="11"/>
  <c r="M2383" i="11"/>
  <c r="L2383" i="11"/>
  <c r="G2383" i="11"/>
  <c r="S2382" i="11"/>
  <c r="R2382" i="11"/>
  <c r="Q2382" i="11"/>
  <c r="O2382" i="11"/>
  <c r="N2382" i="11"/>
  <c r="M2382" i="11"/>
  <c r="L2382" i="11"/>
  <c r="G2382" i="11"/>
  <c r="S2381" i="11"/>
  <c r="R2381" i="11"/>
  <c r="Q2381" i="11"/>
  <c r="O2381" i="11"/>
  <c r="N2381" i="11"/>
  <c r="M2381" i="11"/>
  <c r="L2381" i="11"/>
  <c r="G2381" i="11"/>
  <c r="S2380" i="11"/>
  <c r="R2380" i="11"/>
  <c r="Q2380" i="11"/>
  <c r="O2380" i="11"/>
  <c r="N2380" i="11"/>
  <c r="M2380" i="11"/>
  <c r="L2380" i="11"/>
  <c r="G2380" i="11"/>
  <c r="S2379" i="11"/>
  <c r="R2379" i="11"/>
  <c r="Q2379" i="11"/>
  <c r="O2379" i="11"/>
  <c r="N2379" i="11"/>
  <c r="M2379" i="11"/>
  <c r="L2379" i="11"/>
  <c r="G2379" i="11"/>
  <c r="S2378" i="11"/>
  <c r="R2378" i="11"/>
  <c r="Q2378" i="11"/>
  <c r="O2378" i="11"/>
  <c r="N2378" i="11"/>
  <c r="M2378" i="11"/>
  <c r="L2378" i="11"/>
  <c r="G2378" i="11"/>
  <c r="S2377" i="11"/>
  <c r="R2377" i="11"/>
  <c r="Q2377" i="11"/>
  <c r="O2377" i="11"/>
  <c r="N2377" i="11"/>
  <c r="M2377" i="11"/>
  <c r="L2377" i="11"/>
  <c r="G2377" i="11"/>
  <c r="S2376" i="11"/>
  <c r="R2376" i="11"/>
  <c r="Q2376" i="11"/>
  <c r="O2376" i="11"/>
  <c r="N2376" i="11"/>
  <c r="M2376" i="11"/>
  <c r="L2376" i="11"/>
  <c r="G2376" i="11"/>
  <c r="S2375" i="11"/>
  <c r="R2375" i="11"/>
  <c r="Q2375" i="11"/>
  <c r="O2375" i="11"/>
  <c r="N2375" i="11"/>
  <c r="M2375" i="11"/>
  <c r="L2375" i="11"/>
  <c r="G2375" i="11"/>
  <c r="S2374" i="11"/>
  <c r="R2374" i="11"/>
  <c r="Q2374" i="11"/>
  <c r="O2374" i="11"/>
  <c r="N2374" i="11"/>
  <c r="M2374" i="11"/>
  <c r="L2374" i="11"/>
  <c r="G2374" i="11"/>
  <c r="S2373" i="11"/>
  <c r="R2373" i="11"/>
  <c r="Q2373" i="11"/>
  <c r="O2373" i="11"/>
  <c r="N2373" i="11"/>
  <c r="M2373" i="11"/>
  <c r="L2373" i="11"/>
  <c r="G2373" i="11"/>
  <c r="S2372" i="11"/>
  <c r="R2372" i="11"/>
  <c r="Q2372" i="11"/>
  <c r="O2372" i="11"/>
  <c r="N2372" i="11"/>
  <c r="M2372" i="11"/>
  <c r="L2372" i="11"/>
  <c r="G2372" i="11"/>
  <c r="S2371" i="11"/>
  <c r="R2371" i="11"/>
  <c r="Q2371" i="11"/>
  <c r="O2371" i="11"/>
  <c r="N2371" i="11"/>
  <c r="M2371" i="11"/>
  <c r="L2371" i="11"/>
  <c r="G2371" i="11"/>
  <c r="S2370" i="11"/>
  <c r="R2370" i="11"/>
  <c r="Q2370" i="11"/>
  <c r="O2370" i="11"/>
  <c r="N2370" i="11"/>
  <c r="M2370" i="11"/>
  <c r="L2370" i="11"/>
  <c r="G2370" i="11"/>
  <c r="S2369" i="11"/>
  <c r="R2369" i="11"/>
  <c r="Q2369" i="11"/>
  <c r="O2369" i="11"/>
  <c r="N2369" i="11"/>
  <c r="M2369" i="11"/>
  <c r="L2369" i="11"/>
  <c r="G2369" i="11"/>
  <c r="S2368" i="11"/>
  <c r="R2368" i="11"/>
  <c r="Q2368" i="11"/>
  <c r="O2368" i="11"/>
  <c r="N2368" i="11"/>
  <c r="M2368" i="11"/>
  <c r="L2368" i="11"/>
  <c r="G2368" i="11"/>
  <c r="S2367" i="11"/>
  <c r="R2367" i="11"/>
  <c r="Q2367" i="11"/>
  <c r="O2367" i="11"/>
  <c r="N2367" i="11"/>
  <c r="M2367" i="11"/>
  <c r="L2367" i="11"/>
  <c r="G2367" i="11"/>
  <c r="S2366" i="11"/>
  <c r="R2366" i="11"/>
  <c r="Q2366" i="11"/>
  <c r="O2366" i="11"/>
  <c r="N2366" i="11"/>
  <c r="M2366" i="11"/>
  <c r="L2366" i="11"/>
  <c r="G2366" i="11"/>
  <c r="S2365" i="11"/>
  <c r="R2365" i="11"/>
  <c r="Q2365" i="11"/>
  <c r="O2365" i="11"/>
  <c r="N2365" i="11"/>
  <c r="M2365" i="11"/>
  <c r="L2365" i="11"/>
  <c r="G2365" i="11"/>
  <c r="S2364" i="11"/>
  <c r="R2364" i="11"/>
  <c r="Q2364" i="11"/>
  <c r="O2364" i="11"/>
  <c r="N2364" i="11"/>
  <c r="M2364" i="11"/>
  <c r="L2364" i="11"/>
  <c r="G2364" i="11"/>
  <c r="S2363" i="11"/>
  <c r="R2363" i="11"/>
  <c r="Q2363" i="11"/>
  <c r="O2363" i="11"/>
  <c r="N2363" i="11"/>
  <c r="M2363" i="11"/>
  <c r="L2363" i="11"/>
  <c r="G2363" i="11"/>
  <c r="S2362" i="11"/>
  <c r="R2362" i="11"/>
  <c r="Q2362" i="11"/>
  <c r="O2362" i="11"/>
  <c r="N2362" i="11"/>
  <c r="M2362" i="11"/>
  <c r="L2362" i="11"/>
  <c r="G2362" i="11"/>
  <c r="S2361" i="11"/>
  <c r="R2361" i="11"/>
  <c r="Q2361" i="11"/>
  <c r="O2361" i="11"/>
  <c r="N2361" i="11"/>
  <c r="M2361" i="11"/>
  <c r="L2361" i="11"/>
  <c r="G2361" i="11"/>
  <c r="S2360" i="11"/>
  <c r="R2360" i="11"/>
  <c r="Q2360" i="11"/>
  <c r="O2360" i="11"/>
  <c r="N2360" i="11"/>
  <c r="M2360" i="11"/>
  <c r="L2360" i="11"/>
  <c r="G2360" i="11"/>
  <c r="S2359" i="11"/>
  <c r="R2359" i="11"/>
  <c r="Q2359" i="11"/>
  <c r="O2359" i="11"/>
  <c r="N2359" i="11"/>
  <c r="M2359" i="11"/>
  <c r="L2359" i="11"/>
  <c r="G2359" i="11"/>
  <c r="S2358" i="11"/>
  <c r="R2358" i="11"/>
  <c r="Q2358" i="11"/>
  <c r="O2358" i="11"/>
  <c r="N2358" i="11"/>
  <c r="M2358" i="11"/>
  <c r="L2358" i="11"/>
  <c r="G2358" i="11"/>
  <c r="S2357" i="11"/>
  <c r="R2357" i="11"/>
  <c r="Q2357" i="11"/>
  <c r="O2357" i="11"/>
  <c r="N2357" i="11"/>
  <c r="M2357" i="11"/>
  <c r="L2357" i="11"/>
  <c r="G2357" i="11"/>
  <c r="S2356" i="11"/>
  <c r="R2356" i="11"/>
  <c r="Q2356" i="11"/>
  <c r="O2356" i="11"/>
  <c r="N2356" i="11"/>
  <c r="M2356" i="11"/>
  <c r="L2356" i="11"/>
  <c r="G2356" i="11"/>
  <c r="S2355" i="11"/>
  <c r="R2355" i="11"/>
  <c r="Q2355" i="11"/>
  <c r="O2355" i="11"/>
  <c r="N2355" i="11"/>
  <c r="M2355" i="11"/>
  <c r="L2355" i="11"/>
  <c r="G2355" i="11"/>
  <c r="S2354" i="11"/>
  <c r="R2354" i="11"/>
  <c r="Q2354" i="11"/>
  <c r="O2354" i="11"/>
  <c r="N2354" i="11"/>
  <c r="M2354" i="11"/>
  <c r="L2354" i="11"/>
  <c r="G2354" i="11"/>
  <c r="S2353" i="11"/>
  <c r="R2353" i="11"/>
  <c r="Q2353" i="11"/>
  <c r="O2353" i="11"/>
  <c r="N2353" i="11"/>
  <c r="M2353" i="11"/>
  <c r="L2353" i="11"/>
  <c r="G2353" i="11"/>
  <c r="S2352" i="11"/>
  <c r="R2352" i="11"/>
  <c r="Q2352" i="11"/>
  <c r="O2352" i="11"/>
  <c r="N2352" i="11"/>
  <c r="M2352" i="11"/>
  <c r="L2352" i="11"/>
  <c r="G2352" i="11"/>
  <c r="S2351" i="11"/>
  <c r="R2351" i="11"/>
  <c r="Q2351" i="11"/>
  <c r="O2351" i="11"/>
  <c r="N2351" i="11"/>
  <c r="M2351" i="11"/>
  <c r="L2351" i="11"/>
  <c r="G2351" i="11"/>
  <c r="S2350" i="11"/>
  <c r="R2350" i="11"/>
  <c r="Q2350" i="11"/>
  <c r="O2350" i="11"/>
  <c r="N2350" i="11"/>
  <c r="M2350" i="11"/>
  <c r="L2350" i="11"/>
  <c r="G2350" i="11"/>
  <c r="S2349" i="11"/>
  <c r="R2349" i="11"/>
  <c r="Q2349" i="11"/>
  <c r="O2349" i="11"/>
  <c r="N2349" i="11"/>
  <c r="M2349" i="11"/>
  <c r="L2349" i="11"/>
  <c r="G2349" i="11"/>
  <c r="S2348" i="11"/>
  <c r="R2348" i="11"/>
  <c r="Q2348" i="11"/>
  <c r="O2348" i="11"/>
  <c r="N2348" i="11"/>
  <c r="M2348" i="11"/>
  <c r="L2348" i="11"/>
  <c r="G2348" i="11"/>
  <c r="S2347" i="11"/>
  <c r="R2347" i="11"/>
  <c r="Q2347" i="11"/>
  <c r="O2347" i="11"/>
  <c r="N2347" i="11"/>
  <c r="M2347" i="11"/>
  <c r="L2347" i="11"/>
  <c r="G2347" i="11"/>
  <c r="S2346" i="11"/>
  <c r="R2346" i="11"/>
  <c r="Q2346" i="11"/>
  <c r="O2346" i="11"/>
  <c r="N2346" i="11"/>
  <c r="M2346" i="11"/>
  <c r="L2346" i="11"/>
  <c r="G2346" i="11"/>
  <c r="S2345" i="11"/>
  <c r="R2345" i="11"/>
  <c r="Q2345" i="11"/>
  <c r="O2345" i="11"/>
  <c r="N2345" i="11"/>
  <c r="M2345" i="11"/>
  <c r="L2345" i="11"/>
  <c r="G2345" i="11"/>
  <c r="S2344" i="11"/>
  <c r="R2344" i="11"/>
  <c r="Q2344" i="11"/>
  <c r="O2344" i="11"/>
  <c r="N2344" i="11"/>
  <c r="M2344" i="11"/>
  <c r="L2344" i="11"/>
  <c r="G2344" i="11"/>
  <c r="S2343" i="11"/>
  <c r="R2343" i="11"/>
  <c r="Q2343" i="11"/>
  <c r="O2343" i="11"/>
  <c r="N2343" i="11"/>
  <c r="M2343" i="11"/>
  <c r="L2343" i="11"/>
  <c r="G2343" i="11"/>
  <c r="S2342" i="11"/>
  <c r="R2342" i="11"/>
  <c r="Q2342" i="11"/>
  <c r="O2342" i="11"/>
  <c r="N2342" i="11"/>
  <c r="M2342" i="11"/>
  <c r="L2342" i="11"/>
  <c r="G2342" i="11"/>
  <c r="S2341" i="11"/>
  <c r="R2341" i="11"/>
  <c r="Q2341" i="11"/>
  <c r="O2341" i="11"/>
  <c r="N2341" i="11"/>
  <c r="M2341" i="11"/>
  <c r="L2341" i="11"/>
  <c r="G2341" i="11"/>
  <c r="S2340" i="11"/>
  <c r="R2340" i="11"/>
  <c r="Q2340" i="11"/>
  <c r="O2340" i="11"/>
  <c r="N2340" i="11"/>
  <c r="M2340" i="11"/>
  <c r="L2340" i="11"/>
  <c r="G2340" i="11"/>
  <c r="S2339" i="11"/>
  <c r="R2339" i="11"/>
  <c r="Q2339" i="11"/>
  <c r="O2339" i="11"/>
  <c r="N2339" i="11"/>
  <c r="M2339" i="11"/>
  <c r="L2339" i="11"/>
  <c r="G2339" i="11"/>
  <c r="S2338" i="11"/>
  <c r="R2338" i="11"/>
  <c r="Q2338" i="11"/>
  <c r="O2338" i="11"/>
  <c r="N2338" i="11"/>
  <c r="M2338" i="11"/>
  <c r="L2338" i="11"/>
  <c r="G2338" i="11"/>
  <c r="S2337" i="11"/>
  <c r="R2337" i="11"/>
  <c r="Q2337" i="11"/>
  <c r="O2337" i="11"/>
  <c r="N2337" i="11"/>
  <c r="M2337" i="11"/>
  <c r="L2337" i="11"/>
  <c r="G2337" i="11"/>
  <c r="S2336" i="11"/>
  <c r="R2336" i="11"/>
  <c r="Q2336" i="11"/>
  <c r="O2336" i="11"/>
  <c r="N2336" i="11"/>
  <c r="M2336" i="11"/>
  <c r="L2336" i="11"/>
  <c r="G2336" i="11"/>
  <c r="S2335" i="11"/>
  <c r="R2335" i="11"/>
  <c r="Q2335" i="11"/>
  <c r="O2335" i="11"/>
  <c r="N2335" i="11"/>
  <c r="M2335" i="11"/>
  <c r="L2335" i="11"/>
  <c r="G2335" i="11"/>
  <c r="S2334" i="11"/>
  <c r="R2334" i="11"/>
  <c r="Q2334" i="11"/>
  <c r="O2334" i="11"/>
  <c r="N2334" i="11"/>
  <c r="M2334" i="11"/>
  <c r="L2334" i="11"/>
  <c r="G2334" i="11"/>
  <c r="S2333" i="11"/>
  <c r="R2333" i="11"/>
  <c r="Q2333" i="11"/>
  <c r="O2333" i="11"/>
  <c r="N2333" i="11"/>
  <c r="M2333" i="11"/>
  <c r="L2333" i="11"/>
  <c r="G2333" i="11"/>
  <c r="S2332" i="11"/>
  <c r="R2332" i="11"/>
  <c r="Q2332" i="11"/>
  <c r="O2332" i="11"/>
  <c r="N2332" i="11"/>
  <c r="M2332" i="11"/>
  <c r="L2332" i="11"/>
  <c r="G2332" i="11"/>
  <c r="S2331" i="11"/>
  <c r="R2331" i="11"/>
  <c r="Q2331" i="11"/>
  <c r="O2331" i="11"/>
  <c r="N2331" i="11"/>
  <c r="M2331" i="11"/>
  <c r="L2331" i="11"/>
  <c r="G2331" i="11"/>
  <c r="S2330" i="11"/>
  <c r="R2330" i="11"/>
  <c r="Q2330" i="11"/>
  <c r="O2330" i="11"/>
  <c r="N2330" i="11"/>
  <c r="M2330" i="11"/>
  <c r="L2330" i="11"/>
  <c r="G2330" i="11"/>
  <c r="S2329" i="11"/>
  <c r="R2329" i="11"/>
  <c r="Q2329" i="11"/>
  <c r="O2329" i="11"/>
  <c r="N2329" i="11"/>
  <c r="M2329" i="11"/>
  <c r="L2329" i="11"/>
  <c r="G2329" i="11"/>
  <c r="S2328" i="11"/>
  <c r="R2328" i="11"/>
  <c r="Q2328" i="11"/>
  <c r="O2328" i="11"/>
  <c r="N2328" i="11"/>
  <c r="M2328" i="11"/>
  <c r="L2328" i="11"/>
  <c r="G2328" i="11"/>
  <c r="S2327" i="11"/>
  <c r="R2327" i="11"/>
  <c r="Q2327" i="11"/>
  <c r="O2327" i="11"/>
  <c r="N2327" i="11"/>
  <c r="M2327" i="11"/>
  <c r="L2327" i="11"/>
  <c r="G2327" i="11"/>
  <c r="S2326" i="11"/>
  <c r="R2326" i="11"/>
  <c r="Q2326" i="11"/>
  <c r="O2326" i="11"/>
  <c r="N2326" i="11"/>
  <c r="M2326" i="11"/>
  <c r="L2326" i="11"/>
  <c r="G2326" i="11"/>
  <c r="S2325" i="11"/>
  <c r="R2325" i="11"/>
  <c r="Q2325" i="11"/>
  <c r="O2325" i="11"/>
  <c r="N2325" i="11"/>
  <c r="M2325" i="11"/>
  <c r="L2325" i="11"/>
  <c r="G2325" i="11"/>
  <c r="S2324" i="11"/>
  <c r="R2324" i="11"/>
  <c r="Q2324" i="11"/>
  <c r="O2324" i="11"/>
  <c r="N2324" i="11"/>
  <c r="M2324" i="11"/>
  <c r="L2324" i="11"/>
  <c r="G2324" i="11"/>
  <c r="S2323" i="11"/>
  <c r="R2323" i="11"/>
  <c r="Q2323" i="11"/>
  <c r="O2323" i="11"/>
  <c r="N2323" i="11"/>
  <c r="M2323" i="11"/>
  <c r="L2323" i="11"/>
  <c r="G2323" i="11"/>
  <c r="S2322" i="11"/>
  <c r="R2322" i="11"/>
  <c r="Q2322" i="11"/>
  <c r="O2322" i="11"/>
  <c r="N2322" i="11"/>
  <c r="M2322" i="11"/>
  <c r="L2322" i="11"/>
  <c r="G2322" i="11"/>
  <c r="S2321" i="11"/>
  <c r="R2321" i="11"/>
  <c r="Q2321" i="11"/>
  <c r="O2321" i="11"/>
  <c r="N2321" i="11"/>
  <c r="M2321" i="11"/>
  <c r="L2321" i="11"/>
  <c r="G2321" i="11"/>
  <c r="S2320" i="11"/>
  <c r="R2320" i="11"/>
  <c r="Q2320" i="11"/>
  <c r="O2320" i="11"/>
  <c r="N2320" i="11"/>
  <c r="M2320" i="11"/>
  <c r="L2320" i="11"/>
  <c r="G2320" i="11"/>
  <c r="S2319" i="11"/>
  <c r="R2319" i="11"/>
  <c r="Q2319" i="11"/>
  <c r="O2319" i="11"/>
  <c r="N2319" i="11"/>
  <c r="M2319" i="11"/>
  <c r="L2319" i="11"/>
  <c r="G2319" i="11"/>
  <c r="S2318" i="11"/>
  <c r="R2318" i="11"/>
  <c r="Q2318" i="11"/>
  <c r="O2318" i="11"/>
  <c r="N2318" i="11"/>
  <c r="M2318" i="11"/>
  <c r="L2318" i="11"/>
  <c r="G2318" i="11"/>
  <c r="S2317" i="11"/>
  <c r="R2317" i="11"/>
  <c r="Q2317" i="11"/>
  <c r="O2317" i="11"/>
  <c r="N2317" i="11"/>
  <c r="M2317" i="11"/>
  <c r="L2317" i="11"/>
  <c r="G2317" i="11"/>
  <c r="S2316" i="11"/>
  <c r="R2316" i="11"/>
  <c r="Q2316" i="11"/>
  <c r="O2316" i="11"/>
  <c r="N2316" i="11"/>
  <c r="M2316" i="11"/>
  <c r="L2316" i="11"/>
  <c r="G2316" i="11"/>
  <c r="S2315" i="11"/>
  <c r="R2315" i="11"/>
  <c r="Q2315" i="11"/>
  <c r="O2315" i="11"/>
  <c r="N2315" i="11"/>
  <c r="M2315" i="11"/>
  <c r="L2315" i="11"/>
  <c r="G2315" i="11"/>
  <c r="S2314" i="11"/>
  <c r="R2314" i="11"/>
  <c r="Q2314" i="11"/>
  <c r="O2314" i="11"/>
  <c r="N2314" i="11"/>
  <c r="M2314" i="11"/>
  <c r="L2314" i="11"/>
  <c r="G2314" i="11"/>
  <c r="S2313" i="11"/>
  <c r="R2313" i="11"/>
  <c r="Q2313" i="11"/>
  <c r="O2313" i="11"/>
  <c r="N2313" i="11"/>
  <c r="M2313" i="11"/>
  <c r="L2313" i="11"/>
  <c r="G2313" i="11"/>
  <c r="S2312" i="11"/>
  <c r="R2312" i="11"/>
  <c r="Q2312" i="11"/>
  <c r="O2312" i="11"/>
  <c r="N2312" i="11"/>
  <c r="M2312" i="11"/>
  <c r="L2312" i="11"/>
  <c r="G2312" i="11"/>
  <c r="S2311" i="11"/>
  <c r="R2311" i="11"/>
  <c r="Q2311" i="11"/>
  <c r="O2311" i="11"/>
  <c r="N2311" i="11"/>
  <c r="M2311" i="11"/>
  <c r="L2311" i="11"/>
  <c r="G2311" i="11"/>
  <c r="S2310" i="11"/>
  <c r="R2310" i="11"/>
  <c r="Q2310" i="11"/>
  <c r="O2310" i="11"/>
  <c r="N2310" i="11"/>
  <c r="M2310" i="11"/>
  <c r="L2310" i="11"/>
  <c r="G2310" i="11"/>
  <c r="S2309" i="11"/>
  <c r="R2309" i="11"/>
  <c r="Q2309" i="11"/>
  <c r="O2309" i="11"/>
  <c r="N2309" i="11"/>
  <c r="M2309" i="11"/>
  <c r="L2309" i="11"/>
  <c r="G2309" i="11"/>
  <c r="S2308" i="11"/>
  <c r="R2308" i="11"/>
  <c r="Q2308" i="11"/>
  <c r="O2308" i="11"/>
  <c r="N2308" i="11"/>
  <c r="M2308" i="11"/>
  <c r="L2308" i="11"/>
  <c r="G2308" i="11"/>
  <c r="S2307" i="11"/>
  <c r="R2307" i="11"/>
  <c r="Q2307" i="11"/>
  <c r="O2307" i="11"/>
  <c r="N2307" i="11"/>
  <c r="M2307" i="11"/>
  <c r="L2307" i="11"/>
  <c r="G2307" i="11"/>
  <c r="S2306" i="11"/>
  <c r="R2306" i="11"/>
  <c r="Q2306" i="11"/>
  <c r="O2306" i="11"/>
  <c r="N2306" i="11"/>
  <c r="M2306" i="11"/>
  <c r="L2306" i="11"/>
  <c r="G2306" i="11"/>
  <c r="S2305" i="11"/>
  <c r="R2305" i="11"/>
  <c r="Q2305" i="11"/>
  <c r="O2305" i="11"/>
  <c r="N2305" i="11"/>
  <c r="M2305" i="11"/>
  <c r="L2305" i="11"/>
  <c r="G2305" i="11"/>
  <c r="S2304" i="11"/>
  <c r="R2304" i="11"/>
  <c r="Q2304" i="11"/>
  <c r="O2304" i="11"/>
  <c r="N2304" i="11"/>
  <c r="M2304" i="11"/>
  <c r="L2304" i="11"/>
  <c r="G2304" i="11"/>
  <c r="S2303" i="11"/>
  <c r="R2303" i="11"/>
  <c r="Q2303" i="11"/>
  <c r="O2303" i="11"/>
  <c r="N2303" i="11"/>
  <c r="M2303" i="11"/>
  <c r="L2303" i="11"/>
  <c r="G2303" i="11"/>
  <c r="S2302" i="11"/>
  <c r="R2302" i="11"/>
  <c r="Q2302" i="11"/>
  <c r="O2302" i="11"/>
  <c r="N2302" i="11"/>
  <c r="M2302" i="11"/>
  <c r="L2302" i="11"/>
  <c r="K2302" i="11"/>
  <c r="G2302" i="11"/>
  <c r="S2301" i="11"/>
  <c r="R2301" i="11"/>
  <c r="Q2301" i="11"/>
  <c r="O2301" i="11"/>
  <c r="N2301" i="11"/>
  <c r="M2301" i="11"/>
  <c r="L2301" i="11"/>
  <c r="G2301" i="11"/>
  <c r="S2300" i="11"/>
  <c r="R2300" i="11"/>
  <c r="Q2300" i="11"/>
  <c r="O2300" i="11"/>
  <c r="N2300" i="11"/>
  <c r="M2300" i="11"/>
  <c r="L2300" i="11"/>
  <c r="G2300" i="11"/>
  <c r="S2299" i="11"/>
  <c r="R2299" i="11"/>
  <c r="Q2299" i="11"/>
  <c r="O2299" i="11"/>
  <c r="N2299" i="11"/>
  <c r="M2299" i="11"/>
  <c r="L2299" i="11"/>
  <c r="G2299" i="11"/>
  <c r="S2298" i="11"/>
  <c r="R2298" i="11"/>
  <c r="Q2298" i="11"/>
  <c r="O2298" i="11"/>
  <c r="N2298" i="11"/>
  <c r="M2298" i="11"/>
  <c r="L2298" i="11"/>
  <c r="G2298" i="11"/>
  <c r="S2297" i="11"/>
  <c r="R2297" i="11"/>
  <c r="Q2297" i="11"/>
  <c r="O2297" i="11"/>
  <c r="N2297" i="11"/>
  <c r="M2297" i="11"/>
  <c r="L2297" i="11"/>
  <c r="G2297" i="11"/>
  <c r="S2296" i="11"/>
  <c r="R2296" i="11"/>
  <c r="Q2296" i="11"/>
  <c r="O2296" i="11"/>
  <c r="N2296" i="11"/>
  <c r="M2296" i="11"/>
  <c r="L2296" i="11"/>
  <c r="G2296" i="11"/>
  <c r="S2295" i="11"/>
  <c r="R2295" i="11"/>
  <c r="Q2295" i="11"/>
  <c r="O2295" i="11"/>
  <c r="N2295" i="11"/>
  <c r="M2295" i="11"/>
  <c r="L2295" i="11"/>
  <c r="G2295" i="11"/>
  <c r="S2294" i="11"/>
  <c r="R2294" i="11"/>
  <c r="Q2294" i="11"/>
  <c r="O2294" i="11"/>
  <c r="N2294" i="11"/>
  <c r="M2294" i="11"/>
  <c r="L2294" i="11"/>
  <c r="G2294" i="11"/>
  <c r="S2293" i="11"/>
  <c r="R2293" i="11"/>
  <c r="Q2293" i="11"/>
  <c r="O2293" i="11"/>
  <c r="N2293" i="11"/>
  <c r="M2293" i="11"/>
  <c r="L2293" i="11"/>
  <c r="G2293" i="11"/>
  <c r="S2292" i="11"/>
  <c r="R2292" i="11"/>
  <c r="Q2292" i="11"/>
  <c r="O2292" i="11"/>
  <c r="N2292" i="11"/>
  <c r="M2292" i="11"/>
  <c r="L2292" i="11"/>
  <c r="G2292" i="11"/>
  <c r="S2291" i="11"/>
  <c r="R2291" i="11"/>
  <c r="Q2291" i="11"/>
  <c r="O2291" i="11"/>
  <c r="N2291" i="11"/>
  <c r="M2291" i="11"/>
  <c r="L2291" i="11"/>
  <c r="G2291" i="11"/>
  <c r="S2290" i="11"/>
  <c r="R2290" i="11"/>
  <c r="Q2290" i="11"/>
  <c r="O2290" i="11"/>
  <c r="N2290" i="11"/>
  <c r="M2290" i="11"/>
  <c r="L2290" i="11"/>
  <c r="G2290" i="11"/>
  <c r="S2289" i="11"/>
  <c r="R2289" i="11"/>
  <c r="Q2289" i="11"/>
  <c r="O2289" i="11"/>
  <c r="N2289" i="11"/>
  <c r="L2289" i="11"/>
  <c r="K2289" i="11"/>
  <c r="J2289" i="11"/>
  <c r="G2289" i="11"/>
  <c r="M2289" i="11" s="1"/>
  <c r="S2288" i="11"/>
  <c r="R2288" i="11"/>
  <c r="Q2288" i="11"/>
  <c r="O2288" i="11"/>
  <c r="N2288" i="11"/>
  <c r="L2288" i="11"/>
  <c r="G2288" i="11"/>
  <c r="M2288" i="11" s="1"/>
  <c r="S2287" i="11"/>
  <c r="R2287" i="11"/>
  <c r="Q2287" i="11"/>
  <c r="O2287" i="11"/>
  <c r="N2287" i="11"/>
  <c r="L2287" i="11"/>
  <c r="G2287" i="11"/>
  <c r="M2287" i="11" s="1"/>
  <c r="S2286" i="11"/>
  <c r="R2286" i="11"/>
  <c r="Q2286" i="11"/>
  <c r="O2286" i="11"/>
  <c r="N2286" i="11"/>
  <c r="L2286" i="11"/>
  <c r="G2286" i="11"/>
  <c r="M2286" i="11" s="1"/>
  <c r="S2285" i="11"/>
  <c r="R2285" i="11"/>
  <c r="Q2285" i="11"/>
  <c r="O2285" i="11"/>
  <c r="N2285" i="11"/>
  <c r="L2285" i="11"/>
  <c r="G2285" i="11"/>
  <c r="M2285" i="11" s="1"/>
  <c r="S2284" i="11"/>
  <c r="R2284" i="11"/>
  <c r="Q2284" i="11"/>
  <c r="O2284" i="11"/>
  <c r="N2284" i="11"/>
  <c r="L2284" i="11"/>
  <c r="G2284" i="11"/>
  <c r="M2284" i="11" s="1"/>
  <c r="S2283" i="11"/>
  <c r="R2283" i="11"/>
  <c r="Q2283" i="11"/>
  <c r="O2283" i="11"/>
  <c r="N2283" i="11"/>
  <c r="L2283" i="11"/>
  <c r="G2283" i="11"/>
  <c r="M2283" i="11" s="1"/>
  <c r="S2282" i="11"/>
  <c r="R2282" i="11"/>
  <c r="Q2282" i="11"/>
  <c r="O2282" i="11"/>
  <c r="N2282" i="11"/>
  <c r="M2282" i="11"/>
  <c r="L2282" i="11"/>
  <c r="G2282" i="11"/>
  <c r="S2281" i="11"/>
  <c r="R2281" i="11"/>
  <c r="Q2281" i="11"/>
  <c r="O2281" i="11"/>
  <c r="N2281" i="11"/>
  <c r="M2281" i="11"/>
  <c r="L2281" i="11"/>
  <c r="G2281" i="11"/>
  <c r="S2280" i="11"/>
  <c r="R2280" i="11"/>
  <c r="Q2280" i="11"/>
  <c r="O2280" i="11"/>
  <c r="N2280" i="11"/>
  <c r="L2280" i="11"/>
  <c r="G2280" i="11"/>
  <c r="M2280" i="11" s="1"/>
  <c r="S2279" i="11"/>
  <c r="R2279" i="11"/>
  <c r="Q2279" i="11"/>
  <c r="O2279" i="11"/>
  <c r="N2279" i="11"/>
  <c r="M2279" i="11"/>
  <c r="L2279" i="11"/>
  <c r="G2279" i="11"/>
  <c r="S2278" i="11"/>
  <c r="R2278" i="11"/>
  <c r="Q2278" i="11"/>
  <c r="O2278" i="11"/>
  <c r="N2278" i="11"/>
  <c r="M2278" i="11"/>
  <c r="L2278" i="11"/>
  <c r="G2278" i="11"/>
  <c r="S2277" i="11"/>
  <c r="R2277" i="11"/>
  <c r="Q2277" i="11"/>
  <c r="O2277" i="11"/>
  <c r="N2277" i="11"/>
  <c r="L2277" i="11"/>
  <c r="G2277" i="11"/>
  <c r="M2277" i="11" s="1"/>
  <c r="S2276" i="11"/>
  <c r="R2276" i="11"/>
  <c r="Q2276" i="11"/>
  <c r="O2276" i="11"/>
  <c r="N2276" i="11"/>
  <c r="L2276" i="11"/>
  <c r="G2276" i="11"/>
  <c r="M2276" i="11" s="1"/>
  <c r="S2275" i="11"/>
  <c r="R2275" i="11"/>
  <c r="Q2275" i="11"/>
  <c r="O2275" i="11"/>
  <c r="N2275" i="11"/>
  <c r="L2275" i="11"/>
  <c r="G2275" i="11"/>
  <c r="M2275" i="11" s="1"/>
  <c r="S2274" i="11"/>
  <c r="R2274" i="11"/>
  <c r="Q2274" i="11"/>
  <c r="O2274" i="11"/>
  <c r="N2274" i="11"/>
  <c r="L2274" i="11"/>
  <c r="G2274" i="11"/>
  <c r="M2274" i="11" s="1"/>
  <c r="S2273" i="11"/>
  <c r="R2273" i="11"/>
  <c r="Q2273" i="11"/>
  <c r="O2273" i="11"/>
  <c r="N2273" i="11"/>
  <c r="L2273" i="11"/>
  <c r="G2273" i="11"/>
  <c r="M2273" i="11" s="1"/>
  <c r="S2272" i="11"/>
  <c r="R2272" i="11"/>
  <c r="Q2272" i="11"/>
  <c r="O2272" i="11"/>
  <c r="N2272" i="11"/>
  <c r="L2272" i="11"/>
  <c r="G2272" i="11"/>
  <c r="M2272" i="11" s="1"/>
  <c r="S2271" i="11"/>
  <c r="R2271" i="11"/>
  <c r="Q2271" i="11"/>
  <c r="O2271" i="11"/>
  <c r="N2271" i="11"/>
  <c r="L2271" i="11"/>
  <c r="G2271" i="11"/>
  <c r="M2271" i="11" s="1"/>
  <c r="S2270" i="11"/>
  <c r="R2270" i="11"/>
  <c r="Q2270" i="11"/>
  <c r="O2270" i="11"/>
  <c r="N2270" i="11"/>
  <c r="M2270" i="11"/>
  <c r="L2270" i="11"/>
  <c r="G2270" i="11"/>
  <c r="S2269" i="11"/>
  <c r="R2269" i="11"/>
  <c r="Q2269" i="11"/>
  <c r="O2269" i="11"/>
  <c r="N2269" i="11"/>
  <c r="M2269" i="11"/>
  <c r="L2269" i="11"/>
  <c r="G2269" i="11"/>
  <c r="S2268" i="11"/>
  <c r="R2268" i="11"/>
  <c r="Q2268" i="11"/>
  <c r="O2268" i="11"/>
  <c r="N2268" i="11"/>
  <c r="L2268" i="11"/>
  <c r="G2268" i="11"/>
  <c r="M2268" i="11" s="1"/>
  <c r="S2267" i="11"/>
  <c r="R2267" i="11"/>
  <c r="Q2267" i="11"/>
  <c r="O2267" i="11"/>
  <c r="N2267" i="11"/>
  <c r="M2267" i="11"/>
  <c r="L2267" i="11"/>
  <c r="G2267" i="11"/>
  <c r="S2266" i="11"/>
  <c r="R2266" i="11"/>
  <c r="Q2266" i="11"/>
  <c r="O2266" i="11"/>
  <c r="N2266" i="11"/>
  <c r="M2266" i="11"/>
  <c r="L2266" i="11"/>
  <c r="G2266" i="11"/>
  <c r="S2265" i="11"/>
  <c r="R2265" i="11"/>
  <c r="Q2265" i="11"/>
  <c r="O2265" i="11"/>
  <c r="N2265" i="11"/>
  <c r="L2265" i="11"/>
  <c r="G2265" i="11"/>
  <c r="M2265" i="11" s="1"/>
  <c r="S2264" i="11"/>
  <c r="R2264" i="11"/>
  <c r="Q2264" i="11"/>
  <c r="O2264" i="11"/>
  <c r="N2264" i="11"/>
  <c r="L2264" i="11"/>
  <c r="G2264" i="11"/>
  <c r="M2264" i="11" s="1"/>
  <c r="S2263" i="11"/>
  <c r="R2263" i="11"/>
  <c r="Q2263" i="11"/>
  <c r="O2263" i="11"/>
  <c r="N2263" i="11"/>
  <c r="L2263" i="11"/>
  <c r="G2263" i="11"/>
  <c r="M2263" i="11" s="1"/>
  <c r="S2262" i="11"/>
  <c r="R2262" i="11"/>
  <c r="Q2262" i="11"/>
  <c r="O2262" i="11"/>
  <c r="N2262" i="11"/>
  <c r="L2262" i="11"/>
  <c r="G2262" i="11"/>
  <c r="M2262" i="11" s="1"/>
  <c r="S2261" i="11"/>
  <c r="R2261" i="11"/>
  <c r="Q2261" i="11"/>
  <c r="O2261" i="11"/>
  <c r="N2261" i="11"/>
  <c r="L2261" i="11"/>
  <c r="G2261" i="11"/>
  <c r="M2261" i="11" s="1"/>
  <c r="S2260" i="11"/>
  <c r="R2260" i="11"/>
  <c r="Q2260" i="11"/>
  <c r="O2260" i="11"/>
  <c r="N2260" i="11"/>
  <c r="L2260" i="11"/>
  <c r="G2260" i="11"/>
  <c r="M2260" i="11" s="1"/>
  <c r="S2259" i="11"/>
  <c r="R2259" i="11"/>
  <c r="Q2259" i="11"/>
  <c r="O2259" i="11"/>
  <c r="N2259" i="11"/>
  <c r="L2259" i="11"/>
  <c r="G2259" i="11"/>
  <c r="M2259" i="11" s="1"/>
  <c r="S2258" i="11"/>
  <c r="R2258" i="11"/>
  <c r="Q2258" i="11"/>
  <c r="O2258" i="11"/>
  <c r="N2258" i="11"/>
  <c r="M2258" i="11"/>
  <c r="L2258" i="11"/>
  <c r="G2258" i="11"/>
  <c r="S2257" i="11"/>
  <c r="R2257" i="11"/>
  <c r="Q2257" i="11"/>
  <c r="O2257" i="11"/>
  <c r="N2257" i="11"/>
  <c r="M2257" i="11"/>
  <c r="L2257" i="11"/>
  <c r="G2257" i="11"/>
  <c r="S2256" i="11"/>
  <c r="R2256" i="11"/>
  <c r="Q2256" i="11"/>
  <c r="O2256" i="11"/>
  <c r="N2256" i="11"/>
  <c r="L2256" i="11"/>
  <c r="G2256" i="11"/>
  <c r="M2256" i="11" s="1"/>
  <c r="S2255" i="11"/>
  <c r="R2255" i="11"/>
  <c r="Q2255" i="11"/>
  <c r="O2255" i="11"/>
  <c r="N2255" i="11"/>
  <c r="M2255" i="11"/>
  <c r="L2255" i="11"/>
  <c r="G2255" i="11"/>
  <c r="S2254" i="11"/>
  <c r="R2254" i="11"/>
  <c r="Q2254" i="11"/>
  <c r="O2254" i="11"/>
  <c r="N2254" i="11"/>
  <c r="M2254" i="11"/>
  <c r="L2254" i="11"/>
  <c r="G2254" i="11"/>
  <c r="S2253" i="11"/>
  <c r="R2253" i="11"/>
  <c r="Q2253" i="11"/>
  <c r="O2253" i="11"/>
  <c r="N2253" i="11"/>
  <c r="L2253" i="11"/>
  <c r="G2253" i="11"/>
  <c r="M2253" i="11" s="1"/>
  <c r="S2252" i="11"/>
  <c r="R2252" i="11"/>
  <c r="Q2252" i="11"/>
  <c r="O2252" i="11"/>
  <c r="N2252" i="11"/>
  <c r="L2252" i="11"/>
  <c r="G2252" i="11"/>
  <c r="M2252" i="11" s="1"/>
  <c r="S2251" i="11"/>
  <c r="R2251" i="11"/>
  <c r="Q2251" i="11"/>
  <c r="O2251" i="11"/>
  <c r="N2251" i="11"/>
  <c r="L2251" i="11"/>
  <c r="G2251" i="11"/>
  <c r="M2251" i="11" s="1"/>
  <c r="S2250" i="11"/>
  <c r="R2250" i="11"/>
  <c r="Q2250" i="11"/>
  <c r="O2250" i="11"/>
  <c r="N2250" i="11"/>
  <c r="L2250" i="11"/>
  <c r="G2250" i="11"/>
  <c r="M2250" i="11" s="1"/>
  <c r="S2249" i="11"/>
  <c r="R2249" i="11"/>
  <c r="Q2249" i="11"/>
  <c r="O2249" i="11"/>
  <c r="N2249" i="11"/>
  <c r="L2249" i="11"/>
  <c r="G2249" i="11"/>
  <c r="M2249" i="11" s="1"/>
  <c r="S2248" i="11"/>
  <c r="R2248" i="11"/>
  <c r="Q2248" i="11"/>
  <c r="O2248" i="11"/>
  <c r="N2248" i="11"/>
  <c r="L2248" i="11"/>
  <c r="G2248" i="11"/>
  <c r="M2248" i="11" s="1"/>
  <c r="S2247" i="11"/>
  <c r="R2247" i="11"/>
  <c r="Q2247" i="11"/>
  <c r="O2247" i="11"/>
  <c r="N2247" i="11"/>
  <c r="L2247" i="11"/>
  <c r="G2247" i="11"/>
  <c r="M2247" i="11" s="1"/>
  <c r="S2246" i="11"/>
  <c r="R2246" i="11"/>
  <c r="Q2246" i="11"/>
  <c r="O2246" i="11"/>
  <c r="N2246" i="11"/>
  <c r="M2246" i="11"/>
  <c r="L2246" i="11"/>
  <c r="G2246" i="11"/>
  <c r="S2245" i="11"/>
  <c r="R2245" i="11"/>
  <c r="Q2245" i="11"/>
  <c r="O2245" i="11"/>
  <c r="N2245" i="11"/>
  <c r="M2245" i="11"/>
  <c r="L2245" i="11"/>
  <c r="G2245" i="11"/>
  <c r="S2244" i="11"/>
  <c r="R2244" i="11"/>
  <c r="Q2244" i="11"/>
  <c r="O2244" i="11"/>
  <c r="N2244" i="11"/>
  <c r="L2244" i="11"/>
  <c r="G2244" i="11"/>
  <c r="M2244" i="11" s="1"/>
  <c r="S2243" i="11"/>
  <c r="R2243" i="11"/>
  <c r="Q2243" i="11"/>
  <c r="O2243" i="11"/>
  <c r="N2243" i="11"/>
  <c r="M2243" i="11"/>
  <c r="L2243" i="11"/>
  <c r="G2243" i="11"/>
  <c r="S2242" i="11"/>
  <c r="R2242" i="11"/>
  <c r="Q2242" i="11"/>
  <c r="O2242" i="11"/>
  <c r="N2242" i="11"/>
  <c r="M2242" i="11"/>
  <c r="L2242" i="11"/>
  <c r="G2242" i="11"/>
  <c r="S2241" i="11"/>
  <c r="R2241" i="11"/>
  <c r="Q2241" i="11"/>
  <c r="O2241" i="11"/>
  <c r="N2241" i="11"/>
  <c r="L2241" i="11"/>
  <c r="G2241" i="11"/>
  <c r="M2241" i="11" s="1"/>
  <c r="S2240" i="11"/>
  <c r="R2240" i="11"/>
  <c r="Q2240" i="11"/>
  <c r="O2240" i="11"/>
  <c r="N2240" i="11"/>
  <c r="L2240" i="11"/>
  <c r="G2240" i="11"/>
  <c r="M2240" i="11" s="1"/>
  <c r="S2239" i="11"/>
  <c r="R2239" i="11"/>
  <c r="Q2239" i="11"/>
  <c r="O2239" i="11"/>
  <c r="N2239" i="11"/>
  <c r="L2239" i="11"/>
  <c r="G2239" i="11"/>
  <c r="M2239" i="11" s="1"/>
  <c r="S2238" i="11"/>
  <c r="R2238" i="11"/>
  <c r="Q2238" i="11"/>
  <c r="O2238" i="11"/>
  <c r="N2238" i="11"/>
  <c r="L2238" i="11"/>
  <c r="G2238" i="11"/>
  <c r="M2238" i="11" s="1"/>
  <c r="S2237" i="11"/>
  <c r="R2237" i="11"/>
  <c r="Q2237" i="11"/>
  <c r="O2237" i="11"/>
  <c r="N2237" i="11"/>
  <c r="L2237" i="11"/>
  <c r="G2237" i="11"/>
  <c r="M2237" i="11" s="1"/>
  <c r="S2236" i="11"/>
  <c r="R2236" i="11"/>
  <c r="Q2236" i="11"/>
  <c r="O2236" i="11"/>
  <c r="N2236" i="11"/>
  <c r="L2236" i="11"/>
  <c r="G2236" i="11"/>
  <c r="M2236" i="11" s="1"/>
  <c r="S2235" i="11"/>
  <c r="R2235" i="11"/>
  <c r="Q2235" i="11"/>
  <c r="O2235" i="11"/>
  <c r="N2235" i="11"/>
  <c r="L2235" i="11"/>
  <c r="G2235" i="11"/>
  <c r="M2235" i="11" s="1"/>
  <c r="S2234" i="11"/>
  <c r="R2234" i="11"/>
  <c r="Q2234" i="11"/>
  <c r="O2234" i="11"/>
  <c r="N2234" i="11"/>
  <c r="M2234" i="11"/>
  <c r="L2234" i="11"/>
  <c r="G2234" i="11"/>
  <c r="S2233" i="11"/>
  <c r="R2233" i="11"/>
  <c r="Q2233" i="11"/>
  <c r="O2233" i="11"/>
  <c r="N2233" i="11"/>
  <c r="M2233" i="11"/>
  <c r="L2233" i="11"/>
  <c r="G2233" i="11"/>
  <c r="S2232" i="11"/>
  <c r="R2232" i="11"/>
  <c r="Q2232" i="11"/>
  <c r="O2232" i="11"/>
  <c r="N2232" i="11"/>
  <c r="L2232" i="11"/>
  <c r="G2232" i="11"/>
  <c r="M2232" i="11" s="1"/>
  <c r="S2231" i="11"/>
  <c r="R2231" i="11"/>
  <c r="Q2231" i="11"/>
  <c r="O2231" i="11"/>
  <c r="N2231" i="11"/>
  <c r="M2231" i="11"/>
  <c r="L2231" i="11"/>
  <c r="G2231" i="11"/>
  <c r="S2230" i="11"/>
  <c r="R2230" i="11"/>
  <c r="Q2230" i="11"/>
  <c r="O2230" i="11"/>
  <c r="N2230" i="11"/>
  <c r="M2230" i="11"/>
  <c r="L2230" i="11"/>
  <c r="G2230" i="11"/>
  <c r="S2229" i="11"/>
  <c r="R2229" i="11"/>
  <c r="Q2229" i="11"/>
  <c r="O2229" i="11"/>
  <c r="N2229" i="11"/>
  <c r="L2229" i="11"/>
  <c r="G2229" i="11"/>
  <c r="M2229" i="11" s="1"/>
  <c r="S2228" i="11"/>
  <c r="R2228" i="11"/>
  <c r="Q2228" i="11"/>
  <c r="O2228" i="11"/>
  <c r="N2228" i="11"/>
  <c r="L2228" i="11"/>
  <c r="G2228" i="11"/>
  <c r="M2228" i="11" s="1"/>
  <c r="S2227" i="11"/>
  <c r="R2227" i="11"/>
  <c r="Q2227" i="11"/>
  <c r="O2227" i="11"/>
  <c r="N2227" i="11"/>
  <c r="L2227" i="11"/>
  <c r="G2227" i="11"/>
  <c r="M2227" i="11" s="1"/>
  <c r="S2226" i="11"/>
  <c r="R2226" i="11"/>
  <c r="Q2226" i="11"/>
  <c r="O2226" i="11"/>
  <c r="N2226" i="11"/>
  <c r="L2226" i="11"/>
  <c r="G2226" i="11"/>
  <c r="M2226" i="11" s="1"/>
  <c r="S2225" i="11"/>
  <c r="R2225" i="11"/>
  <c r="Q2225" i="11"/>
  <c r="O2225" i="11"/>
  <c r="N2225" i="11"/>
  <c r="L2225" i="11"/>
  <c r="G2225" i="11"/>
  <c r="M2225" i="11" s="1"/>
  <c r="S2224" i="11"/>
  <c r="R2224" i="11"/>
  <c r="Q2224" i="11"/>
  <c r="O2224" i="11"/>
  <c r="N2224" i="11"/>
  <c r="L2224" i="11"/>
  <c r="G2224" i="11"/>
  <c r="M2224" i="11" s="1"/>
  <c r="S2223" i="11"/>
  <c r="R2223" i="11"/>
  <c r="Q2223" i="11"/>
  <c r="O2223" i="11"/>
  <c r="N2223" i="11"/>
  <c r="L2223" i="11"/>
  <c r="G2223" i="11"/>
  <c r="M2223" i="11" s="1"/>
  <c r="S2222" i="11"/>
  <c r="R2222" i="11"/>
  <c r="Q2222" i="11"/>
  <c r="O2222" i="11"/>
  <c r="N2222" i="11"/>
  <c r="M2222" i="11"/>
  <c r="L2222" i="11"/>
  <c r="G2222" i="11"/>
  <c r="S2221" i="11"/>
  <c r="R2221" i="11"/>
  <c r="Q2221" i="11"/>
  <c r="O2221" i="11"/>
  <c r="N2221" i="11"/>
  <c r="M2221" i="11"/>
  <c r="L2221" i="11"/>
  <c r="G2221" i="11"/>
  <c r="S2220" i="11"/>
  <c r="R2220" i="11"/>
  <c r="Q2220" i="11"/>
  <c r="O2220" i="11"/>
  <c r="N2220" i="11"/>
  <c r="L2220" i="11"/>
  <c r="G2220" i="11"/>
  <c r="M2220" i="11" s="1"/>
  <c r="S2219" i="11"/>
  <c r="R2219" i="11"/>
  <c r="Q2219" i="11"/>
  <c r="O2219" i="11"/>
  <c r="N2219" i="11"/>
  <c r="M2219" i="11"/>
  <c r="L2219" i="11"/>
  <c r="G2219" i="11"/>
  <c r="S2218" i="11"/>
  <c r="R2218" i="11"/>
  <c r="Q2218" i="11"/>
  <c r="O2218" i="11"/>
  <c r="N2218" i="11"/>
  <c r="M2218" i="11"/>
  <c r="L2218" i="11"/>
  <c r="G2218" i="11"/>
  <c r="S2217" i="11"/>
  <c r="R2217" i="11"/>
  <c r="Q2217" i="11"/>
  <c r="O2217" i="11"/>
  <c r="N2217" i="11"/>
  <c r="L2217" i="11"/>
  <c r="G2217" i="11"/>
  <c r="M2217" i="11" s="1"/>
  <c r="S2216" i="11"/>
  <c r="R2216" i="11"/>
  <c r="Q2216" i="11"/>
  <c r="O2216" i="11"/>
  <c r="N2216" i="11"/>
  <c r="L2216" i="11"/>
  <c r="G2216" i="11"/>
  <c r="M2216" i="11" s="1"/>
  <c r="S2215" i="11"/>
  <c r="R2215" i="11"/>
  <c r="Q2215" i="11"/>
  <c r="O2215" i="11"/>
  <c r="N2215" i="11"/>
  <c r="L2215" i="11"/>
  <c r="G2215" i="11"/>
  <c r="M2215" i="11" s="1"/>
  <c r="S2214" i="11"/>
  <c r="R2214" i="11"/>
  <c r="Q2214" i="11"/>
  <c r="O2214" i="11"/>
  <c r="N2214" i="11"/>
  <c r="L2214" i="11"/>
  <c r="G2214" i="11"/>
  <c r="M2214" i="11" s="1"/>
  <c r="S2213" i="11"/>
  <c r="R2213" i="11"/>
  <c r="Q2213" i="11"/>
  <c r="O2213" i="11"/>
  <c r="N2213" i="11"/>
  <c r="L2213" i="11"/>
  <c r="G2213" i="11"/>
  <c r="M2213" i="11" s="1"/>
  <c r="S2212" i="11"/>
  <c r="R2212" i="11"/>
  <c r="Q2212" i="11"/>
  <c r="O2212" i="11"/>
  <c r="N2212" i="11"/>
  <c r="L2212" i="11"/>
  <c r="G2212" i="11"/>
  <c r="M2212" i="11" s="1"/>
  <c r="S2211" i="11"/>
  <c r="R2211" i="11"/>
  <c r="Q2211" i="11"/>
  <c r="O2211" i="11"/>
  <c r="N2211" i="11"/>
  <c r="L2211" i="11"/>
  <c r="G2211" i="11"/>
  <c r="M2211" i="11" s="1"/>
  <c r="S2210" i="11"/>
  <c r="R2210" i="11"/>
  <c r="Q2210" i="11"/>
  <c r="O2210" i="11"/>
  <c r="N2210" i="11"/>
  <c r="M2210" i="11"/>
  <c r="L2210" i="11"/>
  <c r="G2210" i="11"/>
  <c r="S2209" i="11"/>
  <c r="R2209" i="11"/>
  <c r="Q2209" i="11"/>
  <c r="O2209" i="11"/>
  <c r="N2209" i="11"/>
  <c r="M2209" i="11"/>
  <c r="L2209" i="11"/>
  <c r="G2209" i="11"/>
  <c r="S2208" i="11"/>
  <c r="R2208" i="11"/>
  <c r="Q2208" i="11"/>
  <c r="O2208" i="11"/>
  <c r="N2208" i="11"/>
  <c r="L2208" i="11"/>
  <c r="G2208" i="11"/>
  <c r="M2208" i="11" s="1"/>
  <c r="S2207" i="11"/>
  <c r="R2207" i="11"/>
  <c r="Q2207" i="11"/>
  <c r="O2207" i="11"/>
  <c r="N2207" i="11"/>
  <c r="M2207" i="11"/>
  <c r="L2207" i="11"/>
  <c r="G2207" i="11"/>
  <c r="S2206" i="11"/>
  <c r="R2206" i="11"/>
  <c r="Q2206" i="11"/>
  <c r="O2206" i="11"/>
  <c r="N2206" i="11"/>
  <c r="M2206" i="11"/>
  <c r="L2206" i="11"/>
  <c r="G2206" i="11"/>
  <c r="S2205" i="11"/>
  <c r="R2205" i="11"/>
  <c r="Q2205" i="11"/>
  <c r="O2205" i="11"/>
  <c r="N2205" i="11"/>
  <c r="L2205" i="11"/>
  <c r="G2205" i="11"/>
  <c r="M2205" i="11" s="1"/>
  <c r="S2204" i="11"/>
  <c r="R2204" i="11"/>
  <c r="Q2204" i="11"/>
  <c r="O2204" i="11"/>
  <c r="N2204" i="11"/>
  <c r="L2204" i="11"/>
  <c r="G2204" i="11"/>
  <c r="M2204" i="11" s="1"/>
  <c r="S2203" i="11"/>
  <c r="R2203" i="11"/>
  <c r="Q2203" i="11"/>
  <c r="O2203" i="11"/>
  <c r="N2203" i="11"/>
  <c r="L2203" i="11"/>
  <c r="G2203" i="11"/>
  <c r="M2203" i="11" s="1"/>
  <c r="S2202" i="11"/>
  <c r="R2202" i="11"/>
  <c r="Q2202" i="11"/>
  <c r="O2202" i="11"/>
  <c r="N2202" i="11"/>
  <c r="L2202" i="11"/>
  <c r="G2202" i="11"/>
  <c r="M2202" i="11" s="1"/>
  <c r="S2201" i="11"/>
  <c r="R2201" i="11"/>
  <c r="Q2201" i="11"/>
  <c r="O2201" i="11"/>
  <c r="N2201" i="11"/>
  <c r="L2201" i="11"/>
  <c r="G2201" i="11"/>
  <c r="M2201" i="11" s="1"/>
  <c r="S2200" i="11"/>
  <c r="R2200" i="11"/>
  <c r="Q2200" i="11"/>
  <c r="O2200" i="11"/>
  <c r="N2200" i="11"/>
  <c r="L2200" i="11"/>
  <c r="G2200" i="11"/>
  <c r="M2200" i="11" s="1"/>
  <c r="S2199" i="11"/>
  <c r="R2199" i="11"/>
  <c r="Q2199" i="11"/>
  <c r="O2199" i="11"/>
  <c r="N2199" i="11"/>
  <c r="L2199" i="11"/>
  <c r="G2199" i="11"/>
  <c r="M2199" i="11" s="1"/>
  <c r="S2198" i="11"/>
  <c r="R2198" i="11"/>
  <c r="Q2198" i="11"/>
  <c r="O2198" i="11"/>
  <c r="N2198" i="11"/>
  <c r="M2198" i="11"/>
  <c r="L2198" i="11"/>
  <c r="G2198" i="11"/>
  <c r="S2197" i="11"/>
  <c r="R2197" i="11"/>
  <c r="Q2197" i="11"/>
  <c r="O2197" i="11"/>
  <c r="N2197" i="11"/>
  <c r="M2197" i="11"/>
  <c r="L2197" i="11"/>
  <c r="G2197" i="11"/>
  <c r="S2196" i="11"/>
  <c r="R2196" i="11"/>
  <c r="Q2196" i="11"/>
  <c r="O2196" i="11"/>
  <c r="N2196" i="11"/>
  <c r="L2196" i="11"/>
  <c r="G2196" i="11"/>
  <c r="M2196" i="11" s="1"/>
  <c r="S2195" i="11"/>
  <c r="R2195" i="11"/>
  <c r="Q2195" i="11"/>
  <c r="O2195" i="11"/>
  <c r="N2195" i="11"/>
  <c r="M2195" i="11"/>
  <c r="L2195" i="11"/>
  <c r="G2195" i="11"/>
  <c r="S2194" i="11"/>
  <c r="R2194" i="11"/>
  <c r="Q2194" i="11"/>
  <c r="O2194" i="11"/>
  <c r="N2194" i="11"/>
  <c r="M2194" i="11"/>
  <c r="L2194" i="11"/>
  <c r="G2194" i="11"/>
  <c r="S2193" i="11"/>
  <c r="R2193" i="11"/>
  <c r="Q2193" i="11"/>
  <c r="O2193" i="11"/>
  <c r="N2193" i="11"/>
  <c r="L2193" i="11"/>
  <c r="G2193" i="11"/>
  <c r="M2193" i="11" s="1"/>
  <c r="S2192" i="11"/>
  <c r="R2192" i="11"/>
  <c r="Q2192" i="11"/>
  <c r="O2192" i="11"/>
  <c r="N2192" i="11"/>
  <c r="L2192" i="11"/>
  <c r="G2192" i="11"/>
  <c r="M2192" i="11" s="1"/>
  <c r="S2191" i="11"/>
  <c r="R2191" i="11"/>
  <c r="Q2191" i="11"/>
  <c r="O2191" i="11"/>
  <c r="N2191" i="11"/>
  <c r="L2191" i="11"/>
  <c r="G2191" i="11"/>
  <c r="M2191" i="11" s="1"/>
  <c r="S2190" i="11"/>
  <c r="R2190" i="11"/>
  <c r="Q2190" i="11"/>
  <c r="O2190" i="11"/>
  <c r="N2190" i="11"/>
  <c r="L2190" i="11"/>
  <c r="G2190" i="11"/>
  <c r="M2190" i="11" s="1"/>
  <c r="S2189" i="11"/>
  <c r="R2189" i="11"/>
  <c r="Q2189" i="11"/>
  <c r="O2189" i="11"/>
  <c r="N2189" i="11"/>
  <c r="L2189" i="11"/>
  <c r="G2189" i="11"/>
  <c r="M2189" i="11" s="1"/>
  <c r="S2188" i="11"/>
  <c r="R2188" i="11"/>
  <c r="Q2188" i="11"/>
  <c r="O2188" i="11"/>
  <c r="N2188" i="11"/>
  <c r="L2188" i="11"/>
  <c r="G2188" i="11"/>
  <c r="M2188" i="11" s="1"/>
  <c r="S2187" i="11"/>
  <c r="R2187" i="11"/>
  <c r="Q2187" i="11"/>
  <c r="O2187" i="11"/>
  <c r="N2187" i="11"/>
  <c r="L2187" i="11"/>
  <c r="G2187" i="11"/>
  <c r="M2187" i="11" s="1"/>
  <c r="S2186" i="11"/>
  <c r="R2186" i="11"/>
  <c r="Q2186" i="11"/>
  <c r="O2186" i="11"/>
  <c r="N2186" i="11"/>
  <c r="M2186" i="11"/>
  <c r="L2186" i="11"/>
  <c r="G2186" i="11"/>
  <c r="S2185" i="11"/>
  <c r="R2185" i="11"/>
  <c r="Q2185" i="11"/>
  <c r="O2185" i="11"/>
  <c r="N2185" i="11"/>
  <c r="M2185" i="11"/>
  <c r="L2185" i="11"/>
  <c r="G2185" i="11"/>
  <c r="S2184" i="11"/>
  <c r="R2184" i="11"/>
  <c r="Q2184" i="11"/>
  <c r="O2184" i="11"/>
  <c r="N2184" i="11"/>
  <c r="L2184" i="11"/>
  <c r="G2184" i="11"/>
  <c r="M2184" i="11" s="1"/>
  <c r="S2183" i="11"/>
  <c r="R2183" i="11"/>
  <c r="Q2183" i="11"/>
  <c r="O2183" i="11"/>
  <c r="N2183" i="11"/>
  <c r="M2183" i="11"/>
  <c r="L2183" i="11"/>
  <c r="G2183" i="11"/>
  <c r="S2182" i="11"/>
  <c r="R2182" i="11"/>
  <c r="Q2182" i="11"/>
  <c r="O2182" i="11"/>
  <c r="N2182" i="11"/>
  <c r="M2182" i="11"/>
  <c r="L2182" i="11"/>
  <c r="G2182" i="11"/>
  <c r="S2181" i="11"/>
  <c r="R2181" i="11"/>
  <c r="Q2181" i="11"/>
  <c r="O2181" i="11"/>
  <c r="N2181" i="11"/>
  <c r="L2181" i="11"/>
  <c r="G2181" i="11"/>
  <c r="M2181" i="11" s="1"/>
  <c r="S2180" i="11"/>
  <c r="R2180" i="11"/>
  <c r="Q2180" i="11"/>
  <c r="O2180" i="11"/>
  <c r="N2180" i="11"/>
  <c r="L2180" i="11"/>
  <c r="G2180" i="11"/>
  <c r="M2180" i="11" s="1"/>
  <c r="S2179" i="11"/>
  <c r="R2179" i="11"/>
  <c r="Q2179" i="11"/>
  <c r="O2179" i="11"/>
  <c r="N2179" i="11"/>
  <c r="L2179" i="11"/>
  <c r="G2179" i="11"/>
  <c r="M2179" i="11" s="1"/>
  <c r="S2178" i="11"/>
  <c r="R2178" i="11"/>
  <c r="Q2178" i="11"/>
  <c r="O2178" i="11"/>
  <c r="N2178" i="11"/>
  <c r="L2178" i="11"/>
  <c r="G2178" i="11"/>
  <c r="M2178" i="11" s="1"/>
  <c r="S2177" i="11"/>
  <c r="R2177" i="11"/>
  <c r="Q2177" i="11"/>
  <c r="O2177" i="11"/>
  <c r="N2177" i="11"/>
  <c r="L2177" i="11"/>
  <c r="G2177" i="11"/>
  <c r="M2177" i="11" s="1"/>
  <c r="S2176" i="11"/>
  <c r="R2176" i="11"/>
  <c r="Q2176" i="11"/>
  <c r="O2176" i="11"/>
  <c r="N2176" i="11"/>
  <c r="L2176" i="11"/>
  <c r="G2176" i="11"/>
  <c r="M2176" i="11" s="1"/>
  <c r="S2175" i="11"/>
  <c r="R2175" i="11"/>
  <c r="Q2175" i="11"/>
  <c r="O2175" i="11"/>
  <c r="N2175" i="11"/>
  <c r="L2175" i="11"/>
  <c r="G2175" i="11"/>
  <c r="M2175" i="11" s="1"/>
  <c r="S2174" i="11"/>
  <c r="R2174" i="11"/>
  <c r="Q2174" i="11"/>
  <c r="O2174" i="11"/>
  <c r="N2174" i="11"/>
  <c r="M2174" i="11"/>
  <c r="L2174" i="11"/>
  <c r="G2174" i="11"/>
  <c r="S2173" i="11"/>
  <c r="R2173" i="11"/>
  <c r="Q2173" i="11"/>
  <c r="O2173" i="11"/>
  <c r="N2173" i="11"/>
  <c r="M2173" i="11"/>
  <c r="L2173" i="11"/>
  <c r="G2173" i="11"/>
  <c r="S2172" i="11"/>
  <c r="R2172" i="11"/>
  <c r="Q2172" i="11"/>
  <c r="O2172" i="11"/>
  <c r="N2172" i="11"/>
  <c r="L2172" i="11"/>
  <c r="G2172" i="11"/>
  <c r="M2172" i="11" s="1"/>
  <c r="S2171" i="11"/>
  <c r="R2171" i="11"/>
  <c r="Q2171" i="11"/>
  <c r="O2171" i="11"/>
  <c r="N2171" i="11"/>
  <c r="M2171" i="11"/>
  <c r="L2171" i="11"/>
  <c r="G2171" i="11"/>
  <c r="S2170" i="11"/>
  <c r="R2170" i="11"/>
  <c r="Q2170" i="11"/>
  <c r="O2170" i="11"/>
  <c r="N2170" i="11"/>
  <c r="M2170" i="11"/>
  <c r="L2170" i="11"/>
  <c r="G2170" i="11"/>
  <c r="S2169" i="11"/>
  <c r="R2169" i="11"/>
  <c r="Q2169" i="11"/>
  <c r="O2169" i="11"/>
  <c r="N2169" i="11"/>
  <c r="L2169" i="11"/>
  <c r="G2169" i="11"/>
  <c r="M2169" i="11" s="1"/>
  <c r="S2168" i="11"/>
  <c r="R2168" i="11"/>
  <c r="Q2168" i="11"/>
  <c r="O2168" i="11"/>
  <c r="N2168" i="11"/>
  <c r="L2168" i="11"/>
  <c r="G2168" i="11"/>
  <c r="M2168" i="11" s="1"/>
  <c r="S2167" i="11"/>
  <c r="R2167" i="11"/>
  <c r="Q2167" i="11"/>
  <c r="O2167" i="11"/>
  <c r="N2167" i="11"/>
  <c r="L2167" i="11"/>
  <c r="G2167" i="11"/>
  <c r="M2167" i="11" s="1"/>
  <c r="S2166" i="11"/>
  <c r="R2166" i="11"/>
  <c r="Q2166" i="11"/>
  <c r="O2166" i="11"/>
  <c r="N2166" i="11"/>
  <c r="L2166" i="11"/>
  <c r="G2166" i="11"/>
  <c r="M2166" i="11" s="1"/>
  <c r="S2165" i="11"/>
  <c r="R2165" i="11"/>
  <c r="Q2165" i="11"/>
  <c r="O2165" i="11"/>
  <c r="N2165" i="11"/>
  <c r="L2165" i="11"/>
  <c r="G2165" i="11"/>
  <c r="M2165" i="11" s="1"/>
  <c r="S2164" i="11"/>
  <c r="R2164" i="11"/>
  <c r="Q2164" i="11"/>
  <c r="O2164" i="11"/>
  <c r="N2164" i="11"/>
  <c r="L2164" i="11"/>
  <c r="G2164" i="11"/>
  <c r="M2164" i="11" s="1"/>
  <c r="S2163" i="11"/>
  <c r="R2163" i="11"/>
  <c r="Q2163" i="11"/>
  <c r="O2163" i="11"/>
  <c r="N2163" i="11"/>
  <c r="L2163" i="11"/>
  <c r="G2163" i="11"/>
  <c r="M2163" i="11" s="1"/>
  <c r="S2162" i="11"/>
  <c r="R2162" i="11"/>
  <c r="Q2162" i="11"/>
  <c r="O2162" i="11"/>
  <c r="N2162" i="11"/>
  <c r="L2162" i="11"/>
  <c r="G2162" i="11"/>
  <c r="M2162" i="11" s="1"/>
  <c r="S2161" i="11"/>
  <c r="R2161" i="11"/>
  <c r="Q2161" i="11"/>
  <c r="O2161" i="11"/>
  <c r="N2161" i="11"/>
  <c r="L2161" i="11"/>
  <c r="G2161" i="11"/>
  <c r="M2161" i="11" s="1"/>
  <c r="S2160" i="11"/>
  <c r="R2160" i="11"/>
  <c r="Q2160" i="11"/>
  <c r="O2160" i="11"/>
  <c r="N2160" i="11"/>
  <c r="L2160" i="11"/>
  <c r="G2160" i="11"/>
  <c r="M2160" i="11" s="1"/>
  <c r="S2159" i="11"/>
  <c r="R2159" i="11"/>
  <c r="Q2159" i="11"/>
  <c r="O2159" i="11"/>
  <c r="N2159" i="11"/>
  <c r="L2159" i="11"/>
  <c r="G2159" i="11"/>
  <c r="M2159" i="11" s="1"/>
  <c r="S2158" i="11"/>
  <c r="R2158" i="11"/>
  <c r="Q2158" i="11"/>
  <c r="O2158" i="11"/>
  <c r="N2158" i="11"/>
  <c r="L2158" i="11"/>
  <c r="G2158" i="11"/>
  <c r="M2158" i="11" s="1"/>
  <c r="S2157" i="11"/>
  <c r="R2157" i="11"/>
  <c r="Q2157" i="11"/>
  <c r="O2157" i="11"/>
  <c r="N2157" i="11"/>
  <c r="L2157" i="11"/>
  <c r="G2157" i="11"/>
  <c r="M2157" i="11" s="1"/>
  <c r="S2156" i="11"/>
  <c r="R2156" i="11"/>
  <c r="Q2156" i="11"/>
  <c r="O2156" i="11"/>
  <c r="N2156" i="11"/>
  <c r="L2156" i="11"/>
  <c r="G2156" i="11"/>
  <c r="M2156" i="11" s="1"/>
  <c r="S2155" i="11"/>
  <c r="R2155" i="11"/>
  <c r="Q2155" i="11"/>
  <c r="O2155" i="11"/>
  <c r="N2155" i="11"/>
  <c r="L2155" i="11"/>
  <c r="G2155" i="11"/>
  <c r="M2155" i="11" s="1"/>
  <c r="S2154" i="11"/>
  <c r="R2154" i="11"/>
  <c r="Q2154" i="11"/>
  <c r="O2154" i="11"/>
  <c r="N2154" i="11"/>
  <c r="L2154" i="11"/>
  <c r="G2154" i="11"/>
  <c r="M2154" i="11" s="1"/>
  <c r="S2153" i="11"/>
  <c r="R2153" i="11"/>
  <c r="Q2153" i="11"/>
  <c r="O2153" i="11"/>
  <c r="N2153" i="11"/>
  <c r="L2153" i="11"/>
  <c r="G2153" i="11"/>
  <c r="M2153" i="11" s="1"/>
  <c r="S2152" i="11"/>
  <c r="R2152" i="11"/>
  <c r="Q2152" i="11"/>
  <c r="O2152" i="11"/>
  <c r="N2152" i="11"/>
  <c r="L2152" i="11"/>
  <c r="G2152" i="11"/>
  <c r="M2152" i="11" s="1"/>
  <c r="S2151" i="11"/>
  <c r="R2151" i="11"/>
  <c r="Q2151" i="11"/>
  <c r="O2151" i="11"/>
  <c r="N2151" i="11"/>
  <c r="L2151" i="11"/>
  <c r="G2151" i="11"/>
  <c r="M2151" i="11" s="1"/>
  <c r="S2150" i="11"/>
  <c r="R2150" i="11"/>
  <c r="Q2150" i="11"/>
  <c r="O2150" i="11"/>
  <c r="N2150" i="11"/>
  <c r="L2150" i="11"/>
  <c r="G2150" i="11"/>
  <c r="M2150" i="11" s="1"/>
  <c r="S2149" i="11"/>
  <c r="R2149" i="11"/>
  <c r="Q2149" i="11"/>
  <c r="O2149" i="11"/>
  <c r="N2149" i="11"/>
  <c r="L2149" i="11"/>
  <c r="G2149" i="11"/>
  <c r="M2149" i="11" s="1"/>
  <c r="S2148" i="11"/>
  <c r="R2148" i="11"/>
  <c r="Q2148" i="11"/>
  <c r="O2148" i="11"/>
  <c r="N2148" i="11"/>
  <c r="L2148" i="11"/>
  <c r="G2148" i="11"/>
  <c r="M2148" i="11" s="1"/>
  <c r="S2147" i="11"/>
  <c r="R2147" i="11"/>
  <c r="Q2147" i="11"/>
  <c r="O2147" i="11"/>
  <c r="N2147" i="11"/>
  <c r="L2147" i="11"/>
  <c r="G2147" i="11"/>
  <c r="M2147" i="11" s="1"/>
  <c r="S2146" i="11"/>
  <c r="R2146" i="11"/>
  <c r="Q2146" i="11"/>
  <c r="O2146" i="11"/>
  <c r="N2146" i="11"/>
  <c r="L2146" i="11"/>
  <c r="G2146" i="11"/>
  <c r="M2146" i="11" s="1"/>
  <c r="S2145" i="11"/>
  <c r="R2145" i="11"/>
  <c r="Q2145" i="11"/>
  <c r="O2145" i="11"/>
  <c r="N2145" i="11"/>
  <c r="L2145" i="11"/>
  <c r="G2145" i="11"/>
  <c r="M2145" i="11" s="1"/>
  <c r="S2144" i="11"/>
  <c r="R2144" i="11"/>
  <c r="Q2144" i="11"/>
  <c r="O2144" i="11"/>
  <c r="N2144" i="11"/>
  <c r="L2144" i="11"/>
  <c r="G2144" i="11"/>
  <c r="M2144" i="11" s="1"/>
  <c r="S2143" i="11"/>
  <c r="R2143" i="11"/>
  <c r="Q2143" i="11"/>
  <c r="O2143" i="11"/>
  <c r="N2143" i="11"/>
  <c r="L2143" i="11"/>
  <c r="G2143" i="11"/>
  <c r="M2143" i="11" s="1"/>
  <c r="S2142" i="11"/>
  <c r="R2142" i="11"/>
  <c r="Q2142" i="11"/>
  <c r="O2142" i="11"/>
  <c r="N2142" i="11"/>
  <c r="L2142" i="11"/>
  <c r="G2142" i="11"/>
  <c r="M2142" i="11" s="1"/>
  <c r="S2141" i="11"/>
  <c r="R2141" i="11"/>
  <c r="Q2141" i="11"/>
  <c r="O2141" i="11"/>
  <c r="N2141" i="11"/>
  <c r="L2141" i="11"/>
  <c r="G2141" i="11"/>
  <c r="M2141" i="11" s="1"/>
  <c r="S2140" i="11"/>
  <c r="R2140" i="11"/>
  <c r="Q2140" i="11"/>
  <c r="O2140" i="11"/>
  <c r="N2140" i="11"/>
  <c r="L2140" i="11"/>
  <c r="G2140" i="11"/>
  <c r="M2140" i="11" s="1"/>
  <c r="S2139" i="11"/>
  <c r="R2139" i="11"/>
  <c r="Q2139" i="11"/>
  <c r="O2139" i="11"/>
  <c r="N2139" i="11"/>
  <c r="L2139" i="11"/>
  <c r="G2139" i="11"/>
  <c r="M2139" i="11" s="1"/>
  <c r="S2138" i="11"/>
  <c r="R2138" i="11"/>
  <c r="Q2138" i="11"/>
  <c r="O2138" i="11"/>
  <c r="N2138" i="11"/>
  <c r="L2138" i="11"/>
  <c r="G2138" i="11"/>
  <c r="M2138" i="11" s="1"/>
  <c r="S2137" i="11"/>
  <c r="R2137" i="11"/>
  <c r="Q2137" i="11"/>
  <c r="O2137" i="11"/>
  <c r="N2137" i="11"/>
  <c r="L2137" i="11"/>
  <c r="G2137" i="11"/>
  <c r="M2137" i="11" s="1"/>
  <c r="S2136" i="11"/>
  <c r="R2136" i="11"/>
  <c r="Q2136" i="11"/>
  <c r="O2136" i="11"/>
  <c r="N2136" i="11"/>
  <c r="L2136" i="11"/>
  <c r="G2136" i="11"/>
  <c r="M2136" i="11" s="1"/>
  <c r="S2135" i="11"/>
  <c r="R2135" i="11"/>
  <c r="Q2135" i="11"/>
  <c r="O2135" i="11"/>
  <c r="N2135" i="11"/>
  <c r="L2135" i="11"/>
  <c r="G2135" i="11"/>
  <c r="M2135" i="11" s="1"/>
  <c r="S2134" i="11"/>
  <c r="R2134" i="11"/>
  <c r="Q2134" i="11"/>
  <c r="O2134" i="11"/>
  <c r="N2134" i="11"/>
  <c r="L2134" i="11"/>
  <c r="G2134" i="11"/>
  <c r="M2134" i="11" s="1"/>
  <c r="S2133" i="11"/>
  <c r="R2133" i="11"/>
  <c r="Q2133" i="11"/>
  <c r="O2133" i="11"/>
  <c r="N2133" i="11"/>
  <c r="L2133" i="11"/>
  <c r="G2133" i="11"/>
  <c r="M2133" i="11" s="1"/>
  <c r="S2132" i="11"/>
  <c r="R2132" i="11"/>
  <c r="Q2132" i="11"/>
  <c r="O2132" i="11"/>
  <c r="N2132" i="11"/>
  <c r="L2132" i="11"/>
  <c r="G2132" i="11"/>
  <c r="M2132" i="11" s="1"/>
  <c r="S2131" i="11"/>
  <c r="R2131" i="11"/>
  <c r="Q2131" i="11"/>
  <c r="O2131" i="11"/>
  <c r="N2131" i="11"/>
  <c r="L2131" i="11"/>
  <c r="G2131" i="11"/>
  <c r="M2131" i="11" s="1"/>
  <c r="S2130" i="11"/>
  <c r="R2130" i="11"/>
  <c r="Q2130" i="11"/>
  <c r="O2130" i="11"/>
  <c r="N2130" i="11"/>
  <c r="L2130" i="11"/>
  <c r="G2130" i="11"/>
  <c r="M2130" i="11" s="1"/>
  <c r="S2129" i="11"/>
  <c r="R2129" i="11"/>
  <c r="Q2129" i="11"/>
  <c r="O2129" i="11"/>
  <c r="N2129" i="11"/>
  <c r="L2129" i="11"/>
  <c r="G2129" i="11"/>
  <c r="M2129" i="11" s="1"/>
  <c r="S2128" i="11"/>
  <c r="R2128" i="11"/>
  <c r="Q2128" i="11"/>
  <c r="O2128" i="11"/>
  <c r="N2128" i="11"/>
  <c r="L2128" i="11"/>
  <c r="G2128" i="11"/>
  <c r="M2128" i="11" s="1"/>
  <c r="S2127" i="11"/>
  <c r="R2127" i="11"/>
  <c r="Q2127" i="11"/>
  <c r="O2127" i="11"/>
  <c r="N2127" i="11"/>
  <c r="L2127" i="11"/>
  <c r="G2127" i="11"/>
  <c r="M2127" i="11" s="1"/>
  <c r="S2126" i="11"/>
  <c r="R2126" i="11"/>
  <c r="Q2126" i="11"/>
  <c r="O2126" i="11"/>
  <c r="N2126" i="11"/>
  <c r="L2126" i="11"/>
  <c r="G2126" i="11"/>
  <c r="M2126" i="11" s="1"/>
  <c r="S2125" i="11"/>
  <c r="R2125" i="11"/>
  <c r="Q2125" i="11"/>
  <c r="O2125" i="11"/>
  <c r="N2125" i="11"/>
  <c r="L2125" i="11"/>
  <c r="G2125" i="11"/>
  <c r="M2125" i="11" s="1"/>
  <c r="S2124" i="11"/>
  <c r="R2124" i="11"/>
  <c r="Q2124" i="11"/>
  <c r="O2124" i="11"/>
  <c r="N2124" i="11"/>
  <c r="L2124" i="11"/>
  <c r="G2124" i="11"/>
  <c r="M2124" i="11" s="1"/>
  <c r="S2123" i="11"/>
  <c r="R2123" i="11"/>
  <c r="Q2123" i="11"/>
  <c r="O2123" i="11"/>
  <c r="N2123" i="11"/>
  <c r="L2123" i="11"/>
  <c r="G2123" i="11"/>
  <c r="M2123" i="11" s="1"/>
  <c r="S2122" i="11"/>
  <c r="R2122" i="11"/>
  <c r="Q2122" i="11"/>
  <c r="O2122" i="11"/>
  <c r="N2122" i="11"/>
  <c r="L2122" i="11"/>
  <c r="G2122" i="11"/>
  <c r="M2122" i="11" s="1"/>
  <c r="S2121" i="11"/>
  <c r="R2121" i="11"/>
  <c r="Q2121" i="11"/>
  <c r="O2121" i="11"/>
  <c r="N2121" i="11"/>
  <c r="L2121" i="11"/>
  <c r="G2121" i="11"/>
  <c r="M2121" i="11" s="1"/>
  <c r="S2120" i="11"/>
  <c r="R2120" i="11"/>
  <c r="Q2120" i="11"/>
  <c r="O2120" i="11"/>
  <c r="N2120" i="11"/>
  <c r="L2120" i="11"/>
  <c r="G2120" i="11"/>
  <c r="M2120" i="11" s="1"/>
  <c r="S2119" i="11"/>
  <c r="R2119" i="11"/>
  <c r="Q2119" i="11"/>
  <c r="O2119" i="11"/>
  <c r="N2119" i="11"/>
  <c r="L2119" i="11"/>
  <c r="G2119" i="11"/>
  <c r="M2119" i="11" s="1"/>
  <c r="S2118" i="11"/>
  <c r="R2118" i="11"/>
  <c r="Q2118" i="11"/>
  <c r="O2118" i="11"/>
  <c r="N2118" i="11"/>
  <c r="L2118" i="11"/>
  <c r="G2118" i="11"/>
  <c r="M2118" i="11" s="1"/>
  <c r="S2117" i="11"/>
  <c r="R2117" i="11"/>
  <c r="Q2117" i="11"/>
  <c r="O2117" i="11"/>
  <c r="N2117" i="11"/>
  <c r="L2117" i="11"/>
  <c r="G2117" i="11"/>
  <c r="M2117" i="11" s="1"/>
  <c r="S2116" i="11"/>
  <c r="R2116" i="11"/>
  <c r="Q2116" i="11"/>
  <c r="O2116" i="11"/>
  <c r="N2116" i="11"/>
  <c r="L2116" i="11"/>
  <c r="G2116" i="11"/>
  <c r="M2116" i="11" s="1"/>
  <c r="S2115" i="11"/>
  <c r="R2115" i="11"/>
  <c r="Q2115" i="11"/>
  <c r="O2115" i="11"/>
  <c r="N2115" i="11"/>
  <c r="L2115" i="11"/>
  <c r="G2115" i="11"/>
  <c r="M2115" i="11" s="1"/>
  <c r="S2114" i="11"/>
  <c r="R2114" i="11"/>
  <c r="Q2114" i="11"/>
  <c r="O2114" i="11"/>
  <c r="N2114" i="11"/>
  <c r="L2114" i="11"/>
  <c r="G2114" i="11"/>
  <c r="M2114" i="11" s="1"/>
  <c r="S2113" i="11"/>
  <c r="R2113" i="11"/>
  <c r="Q2113" i="11"/>
  <c r="O2113" i="11"/>
  <c r="N2113" i="11"/>
  <c r="L2113" i="11"/>
  <c r="G2113" i="11"/>
  <c r="M2113" i="11" s="1"/>
  <c r="S2112" i="11"/>
  <c r="R2112" i="11"/>
  <c r="Q2112" i="11"/>
  <c r="O2112" i="11"/>
  <c r="N2112" i="11"/>
  <c r="L2112" i="11"/>
  <c r="G2112" i="11"/>
  <c r="M2112" i="11" s="1"/>
  <c r="S2111" i="11"/>
  <c r="R2111" i="11"/>
  <c r="Q2111" i="11"/>
  <c r="O2111" i="11"/>
  <c r="N2111" i="11"/>
  <c r="L2111" i="11"/>
  <c r="G2111" i="11"/>
  <c r="M2111" i="11" s="1"/>
  <c r="S2110" i="11"/>
  <c r="R2110" i="11"/>
  <c r="Q2110" i="11"/>
  <c r="O2110" i="11"/>
  <c r="N2110" i="11"/>
  <c r="L2110" i="11"/>
  <c r="G2110" i="11"/>
  <c r="M2110" i="11" s="1"/>
  <c r="S2109" i="11"/>
  <c r="R2109" i="11"/>
  <c r="Q2109" i="11"/>
  <c r="O2109" i="11"/>
  <c r="N2109" i="11"/>
  <c r="L2109" i="11"/>
  <c r="G2109" i="11"/>
  <c r="M2109" i="11" s="1"/>
  <c r="S2108" i="11"/>
  <c r="R2108" i="11"/>
  <c r="Q2108" i="11"/>
  <c r="O2108" i="11"/>
  <c r="N2108" i="11"/>
  <c r="L2108" i="11"/>
  <c r="G2108" i="11"/>
  <c r="M2108" i="11" s="1"/>
  <c r="S2107" i="11"/>
  <c r="R2107" i="11"/>
  <c r="Q2107" i="11"/>
  <c r="O2107" i="11"/>
  <c r="N2107" i="11"/>
  <c r="L2107" i="11"/>
  <c r="G2107" i="11"/>
  <c r="M2107" i="11" s="1"/>
  <c r="S2106" i="11"/>
  <c r="R2106" i="11"/>
  <c r="Q2106" i="11"/>
  <c r="O2106" i="11"/>
  <c r="N2106" i="11"/>
  <c r="L2106" i="11"/>
  <c r="G2106" i="11"/>
  <c r="M2106" i="11" s="1"/>
  <c r="S2105" i="11"/>
  <c r="R2105" i="11"/>
  <c r="Q2105" i="11"/>
  <c r="O2105" i="11"/>
  <c r="N2105" i="11"/>
  <c r="L2105" i="11"/>
  <c r="G2105" i="11"/>
  <c r="M2105" i="11" s="1"/>
  <c r="S2104" i="11"/>
  <c r="R2104" i="11"/>
  <c r="Q2104" i="11"/>
  <c r="O2104" i="11"/>
  <c r="N2104" i="11"/>
  <c r="L2104" i="11"/>
  <c r="G2104" i="11"/>
  <c r="M2104" i="11" s="1"/>
  <c r="S2103" i="11"/>
  <c r="R2103" i="11"/>
  <c r="Q2103" i="11"/>
  <c r="O2103" i="11"/>
  <c r="N2103" i="11"/>
  <c r="L2103" i="11"/>
  <c r="G2103" i="11"/>
  <c r="M2103" i="11" s="1"/>
  <c r="S2102" i="11"/>
  <c r="R2102" i="11"/>
  <c r="Q2102" i="11"/>
  <c r="O2102" i="11"/>
  <c r="N2102" i="11"/>
  <c r="L2102" i="11"/>
  <c r="G2102" i="11"/>
  <c r="M2102" i="11" s="1"/>
  <c r="S2101" i="11"/>
  <c r="R2101" i="11"/>
  <c r="Q2101" i="11"/>
  <c r="O2101" i="11"/>
  <c r="N2101" i="11"/>
  <c r="L2101" i="11"/>
  <c r="G2101" i="11"/>
  <c r="M2101" i="11" s="1"/>
  <c r="S2100" i="11"/>
  <c r="R2100" i="11"/>
  <c r="Q2100" i="11"/>
  <c r="O2100" i="11"/>
  <c r="N2100" i="11"/>
  <c r="L2100" i="11"/>
  <c r="G2100" i="11"/>
  <c r="M2100" i="11" s="1"/>
  <c r="S2099" i="11"/>
  <c r="R2099" i="11"/>
  <c r="Q2099" i="11"/>
  <c r="O2099" i="11"/>
  <c r="N2099" i="11"/>
  <c r="L2099" i="11"/>
  <c r="G2099" i="11"/>
  <c r="M2099" i="11" s="1"/>
  <c r="S2098" i="11"/>
  <c r="R2098" i="11"/>
  <c r="Q2098" i="11"/>
  <c r="O2098" i="11"/>
  <c r="N2098" i="11"/>
  <c r="L2098" i="11"/>
  <c r="G2098" i="11"/>
  <c r="M2098" i="11" s="1"/>
  <c r="S2097" i="11"/>
  <c r="R2097" i="11"/>
  <c r="Q2097" i="11"/>
  <c r="O2097" i="11"/>
  <c r="N2097" i="11"/>
  <c r="L2097" i="11"/>
  <c r="G2097" i="11"/>
  <c r="M2097" i="11" s="1"/>
  <c r="S2096" i="11"/>
  <c r="R2096" i="11"/>
  <c r="Q2096" i="11"/>
  <c r="O2096" i="11"/>
  <c r="N2096" i="11"/>
  <c r="L2096" i="11"/>
  <c r="G2096" i="11"/>
  <c r="M2096" i="11" s="1"/>
  <c r="S2095" i="11"/>
  <c r="R2095" i="11"/>
  <c r="Q2095" i="11"/>
  <c r="O2095" i="11"/>
  <c r="N2095" i="11"/>
  <c r="L2095" i="11"/>
  <c r="G2095" i="11"/>
  <c r="M2095" i="11" s="1"/>
  <c r="S2094" i="11"/>
  <c r="R2094" i="11"/>
  <c r="Q2094" i="11"/>
  <c r="O2094" i="11"/>
  <c r="N2094" i="11"/>
  <c r="L2094" i="11"/>
  <c r="G2094" i="11"/>
  <c r="M2094" i="11" s="1"/>
  <c r="S2093" i="11"/>
  <c r="R2093" i="11"/>
  <c r="Q2093" i="11"/>
  <c r="O2093" i="11"/>
  <c r="N2093" i="11"/>
  <c r="L2093" i="11"/>
  <c r="G2093" i="11"/>
  <c r="M2093" i="11" s="1"/>
  <c r="S2092" i="11"/>
  <c r="R2092" i="11"/>
  <c r="Q2092" i="11"/>
  <c r="O2092" i="11"/>
  <c r="N2092" i="11"/>
  <c r="L2092" i="11"/>
  <c r="G2092" i="11"/>
  <c r="M2092" i="11" s="1"/>
  <c r="S2091" i="11"/>
  <c r="R2091" i="11"/>
  <c r="Q2091" i="11"/>
  <c r="O2091" i="11"/>
  <c r="N2091" i="11"/>
  <c r="L2091" i="11"/>
  <c r="G2091" i="11"/>
  <c r="M2091" i="11" s="1"/>
  <c r="S2090" i="11"/>
  <c r="R2090" i="11"/>
  <c r="Q2090" i="11"/>
  <c r="O2090" i="11"/>
  <c r="N2090" i="11"/>
  <c r="L2090" i="11"/>
  <c r="G2090" i="11"/>
  <c r="M2090" i="11" s="1"/>
  <c r="S2089" i="11"/>
  <c r="R2089" i="11"/>
  <c r="Q2089" i="11"/>
  <c r="O2089" i="11"/>
  <c r="N2089" i="11"/>
  <c r="L2089" i="11"/>
  <c r="G2089" i="11"/>
  <c r="M2089" i="11" s="1"/>
  <c r="S2088" i="11"/>
  <c r="R2088" i="11"/>
  <c r="Q2088" i="11"/>
  <c r="O2088" i="11"/>
  <c r="N2088" i="11"/>
  <c r="L2088" i="11"/>
  <c r="G2088" i="11"/>
  <c r="M2088" i="11" s="1"/>
  <c r="S2087" i="11"/>
  <c r="R2087" i="11"/>
  <c r="Q2087" i="11"/>
  <c r="O2087" i="11"/>
  <c r="N2087" i="11"/>
  <c r="L2087" i="11"/>
  <c r="G2087" i="11"/>
  <c r="M2087" i="11" s="1"/>
  <c r="S2086" i="11"/>
  <c r="R2086" i="11"/>
  <c r="Q2086" i="11"/>
  <c r="O2086" i="11"/>
  <c r="N2086" i="11"/>
  <c r="L2086" i="11"/>
  <c r="G2086" i="11"/>
  <c r="M2086" i="11" s="1"/>
  <c r="S2085" i="11"/>
  <c r="R2085" i="11"/>
  <c r="Q2085" i="11"/>
  <c r="O2085" i="11"/>
  <c r="N2085" i="11"/>
  <c r="L2085" i="11"/>
  <c r="G2085" i="11"/>
  <c r="M2085" i="11" s="1"/>
  <c r="S2084" i="11"/>
  <c r="R2084" i="11"/>
  <c r="Q2084" i="11"/>
  <c r="O2084" i="11"/>
  <c r="N2084" i="11"/>
  <c r="L2084" i="11"/>
  <c r="G2084" i="11"/>
  <c r="M2084" i="11" s="1"/>
  <c r="S2083" i="11"/>
  <c r="R2083" i="11"/>
  <c r="Q2083" i="11"/>
  <c r="O2083" i="11"/>
  <c r="N2083" i="11"/>
  <c r="L2083" i="11"/>
  <c r="G2083" i="11"/>
  <c r="M2083" i="11" s="1"/>
  <c r="S2082" i="11"/>
  <c r="R2082" i="11"/>
  <c r="Q2082" i="11"/>
  <c r="O2082" i="11"/>
  <c r="N2082" i="11"/>
  <c r="L2082" i="11"/>
  <c r="G2082" i="11"/>
  <c r="M2082" i="11" s="1"/>
  <c r="S2081" i="11"/>
  <c r="R2081" i="11"/>
  <c r="Q2081" i="11"/>
  <c r="O2081" i="11"/>
  <c r="N2081" i="11"/>
  <c r="L2081" i="11"/>
  <c r="G2081" i="11"/>
  <c r="M2081" i="11" s="1"/>
  <c r="S2080" i="11"/>
  <c r="R2080" i="11"/>
  <c r="Q2080" i="11"/>
  <c r="O2080" i="11"/>
  <c r="N2080" i="11"/>
  <c r="L2080" i="11"/>
  <c r="G2080" i="11"/>
  <c r="M2080" i="11" s="1"/>
  <c r="S2079" i="11"/>
  <c r="R2079" i="11"/>
  <c r="Q2079" i="11"/>
  <c r="O2079" i="11"/>
  <c r="N2079" i="11"/>
  <c r="L2079" i="11"/>
  <c r="G2079" i="11"/>
  <c r="M2079" i="11" s="1"/>
  <c r="S2078" i="11"/>
  <c r="R2078" i="11"/>
  <c r="Q2078" i="11"/>
  <c r="O2078" i="11"/>
  <c r="N2078" i="11"/>
  <c r="L2078" i="11"/>
  <c r="G2078" i="11"/>
  <c r="M2078" i="11" s="1"/>
  <c r="S2077" i="11"/>
  <c r="R2077" i="11"/>
  <c r="Q2077" i="11"/>
  <c r="O2077" i="11"/>
  <c r="N2077" i="11"/>
  <c r="L2077" i="11"/>
  <c r="G2077" i="11"/>
  <c r="M2077" i="11" s="1"/>
  <c r="S2076" i="11"/>
  <c r="R2076" i="11"/>
  <c r="Q2076" i="11"/>
  <c r="O2076" i="11"/>
  <c r="N2076" i="11"/>
  <c r="L2076" i="11"/>
  <c r="G2076" i="11"/>
  <c r="M2076" i="11" s="1"/>
  <c r="S2075" i="11"/>
  <c r="R2075" i="11"/>
  <c r="Q2075" i="11"/>
  <c r="O2075" i="11"/>
  <c r="N2075" i="11"/>
  <c r="L2075" i="11"/>
  <c r="G2075" i="11"/>
  <c r="M2075" i="11" s="1"/>
  <c r="S2074" i="11"/>
  <c r="R2074" i="11"/>
  <c r="Q2074" i="11"/>
  <c r="L2074" i="11"/>
  <c r="G2074" i="11"/>
  <c r="M2074" i="11" s="1"/>
  <c r="E2074" i="11"/>
  <c r="O2074" i="11" s="1"/>
  <c r="S2073" i="11"/>
  <c r="R2073" i="11"/>
  <c r="Q2073" i="11"/>
  <c r="O2073" i="11"/>
  <c r="N2073" i="11"/>
  <c r="L2073" i="11"/>
  <c r="G2073" i="11"/>
  <c r="M2073" i="11" s="1"/>
  <c r="S2072" i="11"/>
  <c r="R2072" i="11"/>
  <c r="Q2072" i="11"/>
  <c r="O2072" i="11"/>
  <c r="N2072" i="11"/>
  <c r="L2072" i="11"/>
  <c r="G2072" i="11"/>
  <c r="M2072" i="11" s="1"/>
  <c r="S2071" i="11"/>
  <c r="R2071" i="11"/>
  <c r="Q2071" i="11"/>
  <c r="O2071" i="11"/>
  <c r="N2071" i="11"/>
  <c r="L2071" i="11"/>
  <c r="G2071" i="11"/>
  <c r="M2071" i="11" s="1"/>
  <c r="S2070" i="11"/>
  <c r="R2070" i="11"/>
  <c r="Q2070" i="11"/>
  <c r="O2070" i="11"/>
  <c r="N2070" i="11"/>
  <c r="L2070" i="11"/>
  <c r="G2070" i="11"/>
  <c r="M2070" i="11" s="1"/>
  <c r="S2069" i="11"/>
  <c r="R2069" i="11"/>
  <c r="Q2069" i="11"/>
  <c r="O2069" i="11"/>
  <c r="N2069" i="11"/>
  <c r="L2069" i="11"/>
  <c r="G2069" i="11"/>
  <c r="M2069" i="11" s="1"/>
  <c r="S2068" i="11"/>
  <c r="R2068" i="11"/>
  <c r="Q2068" i="11"/>
  <c r="O2068" i="11"/>
  <c r="N2068" i="11"/>
  <c r="L2068" i="11"/>
  <c r="G2068" i="11"/>
  <c r="M2068" i="11" s="1"/>
  <c r="S2067" i="11"/>
  <c r="R2067" i="11"/>
  <c r="Q2067" i="11"/>
  <c r="O2067" i="11"/>
  <c r="N2067" i="11"/>
  <c r="L2067" i="11"/>
  <c r="G2067" i="11"/>
  <c r="M2067" i="11" s="1"/>
  <c r="S2066" i="11"/>
  <c r="R2066" i="11"/>
  <c r="Q2066" i="11"/>
  <c r="O2066" i="11"/>
  <c r="N2066" i="11"/>
  <c r="L2066" i="11"/>
  <c r="G2066" i="11"/>
  <c r="M2066" i="11" s="1"/>
  <c r="S2065" i="11"/>
  <c r="R2065" i="11"/>
  <c r="Q2065" i="11"/>
  <c r="O2065" i="11"/>
  <c r="N2065" i="11"/>
  <c r="L2065" i="11"/>
  <c r="G2065" i="11"/>
  <c r="M2065" i="11" s="1"/>
  <c r="S2064" i="11"/>
  <c r="R2064" i="11"/>
  <c r="Q2064" i="11"/>
  <c r="O2064" i="11"/>
  <c r="N2064" i="11"/>
  <c r="L2064" i="11"/>
  <c r="G2064" i="11"/>
  <c r="M2064" i="11" s="1"/>
  <c r="S2063" i="11"/>
  <c r="R2063" i="11"/>
  <c r="Q2063" i="11"/>
  <c r="O2063" i="11"/>
  <c r="N2063" i="11"/>
  <c r="L2063" i="11"/>
  <c r="G2063" i="11"/>
  <c r="M2063" i="11" s="1"/>
  <c r="S2062" i="11"/>
  <c r="R2062" i="11"/>
  <c r="Q2062" i="11"/>
  <c r="O2062" i="11"/>
  <c r="N2062" i="11"/>
  <c r="L2062" i="11"/>
  <c r="G2062" i="11"/>
  <c r="M2062" i="11" s="1"/>
  <c r="S2061" i="11"/>
  <c r="R2061" i="11"/>
  <c r="Q2061" i="11"/>
  <c r="O2061" i="11"/>
  <c r="N2061" i="11"/>
  <c r="L2061" i="11"/>
  <c r="G2061" i="11"/>
  <c r="M2061" i="11" s="1"/>
  <c r="S2060" i="11"/>
  <c r="R2060" i="11"/>
  <c r="Q2060" i="11"/>
  <c r="O2060" i="11"/>
  <c r="N2060" i="11"/>
  <c r="L2060" i="11"/>
  <c r="G2060" i="11"/>
  <c r="M2060" i="11" s="1"/>
  <c r="S2059" i="11"/>
  <c r="R2059" i="11"/>
  <c r="Q2059" i="11"/>
  <c r="O2059" i="11"/>
  <c r="N2059" i="11"/>
  <c r="L2059" i="11"/>
  <c r="G2059" i="11"/>
  <c r="M2059" i="11" s="1"/>
  <c r="S2058" i="11"/>
  <c r="R2058" i="11"/>
  <c r="Q2058" i="11"/>
  <c r="O2058" i="11"/>
  <c r="N2058" i="11"/>
  <c r="L2058" i="11"/>
  <c r="G2058" i="11"/>
  <c r="M2058" i="11" s="1"/>
  <c r="S2057" i="11"/>
  <c r="R2057" i="11"/>
  <c r="Q2057" i="11"/>
  <c r="O2057" i="11"/>
  <c r="N2057" i="11"/>
  <c r="L2057" i="11"/>
  <c r="G2057" i="11"/>
  <c r="M2057" i="11" s="1"/>
  <c r="S2056" i="11"/>
  <c r="R2056" i="11"/>
  <c r="Q2056" i="11"/>
  <c r="O2056" i="11"/>
  <c r="N2056" i="11"/>
  <c r="L2056" i="11"/>
  <c r="G2056" i="11"/>
  <c r="M2056" i="11" s="1"/>
  <c r="S2055" i="11"/>
  <c r="R2055" i="11"/>
  <c r="Q2055" i="11"/>
  <c r="O2055" i="11"/>
  <c r="N2055" i="11"/>
  <c r="L2055" i="11"/>
  <c r="G2055" i="11"/>
  <c r="M2055" i="11" s="1"/>
  <c r="S2054" i="11"/>
  <c r="R2054" i="11"/>
  <c r="Q2054" i="11"/>
  <c r="O2054" i="11"/>
  <c r="N2054" i="11"/>
  <c r="L2054" i="11"/>
  <c r="G2054" i="11"/>
  <c r="M2054" i="11" s="1"/>
  <c r="S2053" i="11"/>
  <c r="R2053" i="11"/>
  <c r="Q2053" i="11"/>
  <c r="O2053" i="11"/>
  <c r="N2053" i="11"/>
  <c r="L2053" i="11"/>
  <c r="G2053" i="11"/>
  <c r="M2053" i="11" s="1"/>
  <c r="S2052" i="11"/>
  <c r="R2052" i="11"/>
  <c r="Q2052" i="11"/>
  <c r="O2052" i="11"/>
  <c r="N2052" i="11"/>
  <c r="L2052" i="11"/>
  <c r="G2052" i="11"/>
  <c r="M2052" i="11" s="1"/>
  <c r="S2051" i="11"/>
  <c r="R2051" i="11"/>
  <c r="Q2051" i="11"/>
  <c r="O2051" i="11"/>
  <c r="N2051" i="11"/>
  <c r="L2051" i="11"/>
  <c r="G2051" i="11"/>
  <c r="M2051" i="11" s="1"/>
  <c r="S2050" i="11"/>
  <c r="R2050" i="11"/>
  <c r="Q2050" i="11"/>
  <c r="O2050" i="11"/>
  <c r="N2050" i="11"/>
  <c r="L2050" i="11"/>
  <c r="G2050" i="11"/>
  <c r="M2050" i="11" s="1"/>
  <c r="S2049" i="11"/>
  <c r="R2049" i="11"/>
  <c r="Q2049" i="11"/>
  <c r="O2049" i="11"/>
  <c r="N2049" i="11"/>
  <c r="L2049" i="11"/>
  <c r="G2049" i="11"/>
  <c r="M2049" i="11" s="1"/>
  <c r="S2048" i="11"/>
  <c r="R2048" i="11"/>
  <c r="Q2048" i="11"/>
  <c r="O2048" i="11"/>
  <c r="N2048" i="11"/>
  <c r="L2048" i="11"/>
  <c r="G2048" i="11"/>
  <c r="M2048" i="11" s="1"/>
  <c r="S2047" i="11"/>
  <c r="R2047" i="11"/>
  <c r="Q2047" i="11"/>
  <c r="O2047" i="11"/>
  <c r="N2047" i="11"/>
  <c r="L2047" i="11"/>
  <c r="G2047" i="11"/>
  <c r="M2047" i="11" s="1"/>
  <c r="S2046" i="11"/>
  <c r="R2046" i="11"/>
  <c r="Q2046" i="11"/>
  <c r="O2046" i="11"/>
  <c r="N2046" i="11"/>
  <c r="L2046" i="11"/>
  <c r="G2046" i="11"/>
  <c r="M2046" i="11" s="1"/>
  <c r="S2045" i="11"/>
  <c r="R2045" i="11"/>
  <c r="Q2045" i="11"/>
  <c r="O2045" i="11"/>
  <c r="N2045" i="11"/>
  <c r="L2045" i="11"/>
  <c r="G2045" i="11"/>
  <c r="M2045" i="11" s="1"/>
  <c r="S2044" i="11"/>
  <c r="R2044" i="11"/>
  <c r="Q2044" i="11"/>
  <c r="O2044" i="11"/>
  <c r="N2044" i="11"/>
  <c r="L2044" i="11"/>
  <c r="G2044" i="11"/>
  <c r="M2044" i="11" s="1"/>
  <c r="S2043" i="11"/>
  <c r="R2043" i="11"/>
  <c r="Q2043" i="11"/>
  <c r="O2043" i="11"/>
  <c r="N2043" i="11"/>
  <c r="L2043" i="11"/>
  <c r="G2043" i="11"/>
  <c r="M2043" i="11" s="1"/>
  <c r="S2042" i="11"/>
  <c r="R2042" i="11"/>
  <c r="Q2042" i="11"/>
  <c r="O2042" i="11"/>
  <c r="N2042" i="11"/>
  <c r="L2042" i="11"/>
  <c r="G2042" i="11"/>
  <c r="M2042" i="11" s="1"/>
  <c r="S2041" i="11"/>
  <c r="R2041" i="11"/>
  <c r="Q2041" i="11"/>
  <c r="O2041" i="11"/>
  <c r="N2041" i="11"/>
  <c r="L2041" i="11"/>
  <c r="G2041" i="11"/>
  <c r="M2041" i="11" s="1"/>
  <c r="S2040" i="11"/>
  <c r="R2040" i="11"/>
  <c r="Q2040" i="11"/>
  <c r="O2040" i="11"/>
  <c r="N2040" i="11"/>
  <c r="L2040" i="11"/>
  <c r="G2040" i="11"/>
  <c r="M2040" i="11" s="1"/>
  <c r="S2039" i="11"/>
  <c r="R2039" i="11"/>
  <c r="Q2039" i="11"/>
  <c r="O2039" i="11"/>
  <c r="N2039" i="11"/>
  <c r="L2039" i="11"/>
  <c r="G2039" i="11"/>
  <c r="M2039" i="11" s="1"/>
  <c r="S2038" i="11"/>
  <c r="R2038" i="11"/>
  <c r="Q2038" i="11"/>
  <c r="O2038" i="11"/>
  <c r="N2038" i="11"/>
  <c r="L2038" i="11"/>
  <c r="G2038" i="11"/>
  <c r="M2038" i="11" s="1"/>
  <c r="S2037" i="11"/>
  <c r="R2037" i="11"/>
  <c r="Q2037" i="11"/>
  <c r="O2037" i="11"/>
  <c r="N2037" i="11"/>
  <c r="L2037" i="11"/>
  <c r="G2037" i="11"/>
  <c r="M2037" i="11" s="1"/>
  <c r="S2036" i="11"/>
  <c r="R2036" i="11"/>
  <c r="Q2036" i="11"/>
  <c r="O2036" i="11"/>
  <c r="N2036" i="11"/>
  <c r="L2036" i="11"/>
  <c r="G2036" i="11"/>
  <c r="M2036" i="11" s="1"/>
  <c r="S2035" i="11"/>
  <c r="R2035" i="11"/>
  <c r="Q2035" i="11"/>
  <c r="O2035" i="11"/>
  <c r="N2035" i="11"/>
  <c r="L2035" i="11"/>
  <c r="G2035" i="11"/>
  <c r="M2035" i="11" s="1"/>
  <c r="S2034" i="11"/>
  <c r="R2034" i="11"/>
  <c r="Q2034" i="11"/>
  <c r="O2034" i="11"/>
  <c r="N2034" i="11"/>
  <c r="L2034" i="11"/>
  <c r="G2034" i="11"/>
  <c r="M2034" i="11" s="1"/>
  <c r="S2033" i="11"/>
  <c r="R2033" i="11"/>
  <c r="Q2033" i="11"/>
  <c r="O2033" i="11"/>
  <c r="N2033" i="11"/>
  <c r="L2033" i="11"/>
  <c r="G2033" i="11"/>
  <c r="M2033" i="11" s="1"/>
  <c r="S2032" i="11"/>
  <c r="R2032" i="11"/>
  <c r="Q2032" i="11"/>
  <c r="O2032" i="11"/>
  <c r="N2032" i="11"/>
  <c r="L2032" i="11"/>
  <c r="G2032" i="11"/>
  <c r="M2032" i="11" s="1"/>
  <c r="S2031" i="11"/>
  <c r="R2031" i="11"/>
  <c r="Q2031" i="11"/>
  <c r="O2031" i="11"/>
  <c r="N2031" i="11"/>
  <c r="L2031" i="11"/>
  <c r="G2031" i="11"/>
  <c r="M2031" i="11" s="1"/>
  <c r="S2030" i="11"/>
  <c r="R2030" i="11"/>
  <c r="Q2030" i="11"/>
  <c r="O2030" i="11"/>
  <c r="N2030" i="11"/>
  <c r="L2030" i="11"/>
  <c r="G2030" i="11"/>
  <c r="M2030" i="11" s="1"/>
  <c r="S2029" i="11"/>
  <c r="R2029" i="11"/>
  <c r="Q2029" i="11"/>
  <c r="O2029" i="11"/>
  <c r="N2029" i="11"/>
  <c r="L2029" i="11"/>
  <c r="G2029" i="11"/>
  <c r="M2029" i="11" s="1"/>
  <c r="S2028" i="11"/>
  <c r="R2028" i="11"/>
  <c r="Q2028" i="11"/>
  <c r="O2028" i="11"/>
  <c r="N2028" i="11"/>
  <c r="L2028" i="11"/>
  <c r="G2028" i="11"/>
  <c r="M2028" i="11" s="1"/>
  <c r="S2027" i="11"/>
  <c r="R2027" i="11"/>
  <c r="Q2027" i="11"/>
  <c r="O2027" i="11"/>
  <c r="N2027" i="11"/>
  <c r="M2027" i="11"/>
  <c r="L2027" i="11"/>
  <c r="G2027" i="11"/>
  <c r="S2026" i="11"/>
  <c r="R2026" i="11"/>
  <c r="Q2026" i="11"/>
  <c r="O2026" i="11"/>
  <c r="N2026" i="11"/>
  <c r="L2026" i="11"/>
  <c r="G2026" i="11"/>
  <c r="M2026" i="11" s="1"/>
  <c r="S2025" i="11"/>
  <c r="R2025" i="11"/>
  <c r="Q2025" i="11"/>
  <c r="O2025" i="11"/>
  <c r="N2025" i="11"/>
  <c r="L2025" i="11"/>
  <c r="G2025" i="11"/>
  <c r="M2025" i="11" s="1"/>
  <c r="S2024" i="11"/>
  <c r="R2024" i="11"/>
  <c r="Q2024" i="11"/>
  <c r="O2024" i="11"/>
  <c r="N2024" i="11"/>
  <c r="M2024" i="11"/>
  <c r="L2024" i="11"/>
  <c r="G2024" i="11"/>
  <c r="S2023" i="11"/>
  <c r="R2023" i="11"/>
  <c r="Q2023" i="11"/>
  <c r="O2023" i="11"/>
  <c r="N2023" i="11"/>
  <c r="L2023" i="11"/>
  <c r="G2023" i="11"/>
  <c r="M2023" i="11" s="1"/>
  <c r="S2022" i="11"/>
  <c r="R2022" i="11"/>
  <c r="Q2022" i="11"/>
  <c r="O2022" i="11"/>
  <c r="N2022" i="11"/>
  <c r="L2022" i="11"/>
  <c r="G2022" i="11"/>
  <c r="M2022" i="11" s="1"/>
  <c r="S2021" i="11"/>
  <c r="R2021" i="11"/>
  <c r="Q2021" i="11"/>
  <c r="O2021" i="11"/>
  <c r="N2021" i="11"/>
  <c r="M2021" i="11"/>
  <c r="L2021" i="11"/>
  <c r="G2021" i="11"/>
  <c r="S2020" i="11"/>
  <c r="R2020" i="11"/>
  <c r="Q2020" i="11"/>
  <c r="O2020" i="11"/>
  <c r="N2020" i="11"/>
  <c r="L2020" i="11"/>
  <c r="G2020" i="11"/>
  <c r="M2020" i="11" s="1"/>
  <c r="S2019" i="11"/>
  <c r="R2019" i="11"/>
  <c r="Q2019" i="11"/>
  <c r="O2019" i="11"/>
  <c r="N2019" i="11"/>
  <c r="L2019" i="11"/>
  <c r="G2019" i="11"/>
  <c r="M2019" i="11" s="1"/>
  <c r="S2018" i="11"/>
  <c r="R2018" i="11"/>
  <c r="Q2018" i="11"/>
  <c r="O2018" i="11"/>
  <c r="N2018" i="11"/>
  <c r="M2018" i="11"/>
  <c r="L2018" i="11"/>
  <c r="G2018" i="11"/>
  <c r="S2017" i="11"/>
  <c r="R2017" i="11"/>
  <c r="Q2017" i="11"/>
  <c r="O2017" i="11"/>
  <c r="N2017" i="11"/>
  <c r="L2017" i="11"/>
  <c r="G2017" i="11"/>
  <c r="M2017" i="11" s="1"/>
  <c r="S2016" i="11"/>
  <c r="R2016" i="11"/>
  <c r="Q2016" i="11"/>
  <c r="O2016" i="11"/>
  <c r="N2016" i="11"/>
  <c r="L2016" i="11"/>
  <c r="G2016" i="11"/>
  <c r="M2016" i="11" s="1"/>
  <c r="S2015" i="11"/>
  <c r="R2015" i="11"/>
  <c r="Q2015" i="11"/>
  <c r="O2015" i="11"/>
  <c r="N2015" i="11"/>
  <c r="M2015" i="11"/>
  <c r="L2015" i="11"/>
  <c r="G2015" i="11"/>
  <c r="S2014" i="11"/>
  <c r="R2014" i="11"/>
  <c r="Q2014" i="11"/>
  <c r="O2014" i="11"/>
  <c r="N2014" i="11"/>
  <c r="L2014" i="11"/>
  <c r="G2014" i="11"/>
  <c r="M2014" i="11" s="1"/>
  <c r="S2013" i="11"/>
  <c r="R2013" i="11"/>
  <c r="Q2013" i="11"/>
  <c r="O2013" i="11"/>
  <c r="N2013" i="11"/>
  <c r="L2013" i="11"/>
  <c r="G2013" i="11"/>
  <c r="M2013" i="11" s="1"/>
  <c r="S2012" i="11"/>
  <c r="R2012" i="11"/>
  <c r="Q2012" i="11"/>
  <c r="O2012" i="11"/>
  <c r="N2012" i="11"/>
  <c r="M2012" i="11"/>
  <c r="L2012" i="11"/>
  <c r="G2012" i="11"/>
  <c r="S2011" i="11"/>
  <c r="R2011" i="11"/>
  <c r="Q2011" i="11"/>
  <c r="O2011" i="11"/>
  <c r="N2011" i="11"/>
  <c r="L2011" i="11"/>
  <c r="G2011" i="11"/>
  <c r="M2011" i="11" s="1"/>
  <c r="S2010" i="11"/>
  <c r="R2010" i="11"/>
  <c r="Q2010" i="11"/>
  <c r="O2010" i="11"/>
  <c r="N2010" i="11"/>
  <c r="L2010" i="11"/>
  <c r="G2010" i="11"/>
  <c r="M2010" i="11" s="1"/>
  <c r="S2009" i="11"/>
  <c r="R2009" i="11"/>
  <c r="Q2009" i="11"/>
  <c r="O2009" i="11"/>
  <c r="N2009" i="11"/>
  <c r="M2009" i="11"/>
  <c r="L2009" i="11"/>
  <c r="G2009" i="11"/>
  <c r="S2008" i="11"/>
  <c r="R2008" i="11"/>
  <c r="Q2008" i="11"/>
  <c r="O2008" i="11"/>
  <c r="N2008" i="11"/>
  <c r="L2008" i="11"/>
  <c r="G2008" i="11"/>
  <c r="M2008" i="11" s="1"/>
  <c r="S2007" i="11"/>
  <c r="R2007" i="11"/>
  <c r="Q2007" i="11"/>
  <c r="O2007" i="11"/>
  <c r="N2007" i="11"/>
  <c r="L2007" i="11"/>
  <c r="G2007" i="11"/>
  <c r="M2007" i="11" s="1"/>
  <c r="S2006" i="11"/>
  <c r="R2006" i="11"/>
  <c r="Q2006" i="11"/>
  <c r="O2006" i="11"/>
  <c r="N2006" i="11"/>
  <c r="M2006" i="11"/>
  <c r="L2006" i="11"/>
  <c r="G2006" i="11"/>
  <c r="S2005" i="11"/>
  <c r="R2005" i="11"/>
  <c r="Q2005" i="11"/>
  <c r="O2005" i="11"/>
  <c r="N2005" i="11"/>
  <c r="L2005" i="11"/>
  <c r="G2005" i="11"/>
  <c r="M2005" i="11" s="1"/>
  <c r="S2004" i="11"/>
  <c r="R2004" i="11"/>
  <c r="Q2004" i="11"/>
  <c r="O2004" i="11"/>
  <c r="N2004" i="11"/>
  <c r="L2004" i="11"/>
  <c r="G2004" i="11"/>
  <c r="M2004" i="11" s="1"/>
  <c r="S2003" i="11"/>
  <c r="R2003" i="11"/>
  <c r="Q2003" i="11"/>
  <c r="O2003" i="11"/>
  <c r="N2003" i="11"/>
  <c r="M2003" i="11"/>
  <c r="L2003" i="11"/>
  <c r="G2003" i="11"/>
  <c r="S2002" i="11"/>
  <c r="R2002" i="11"/>
  <c r="Q2002" i="11"/>
  <c r="O2002" i="11"/>
  <c r="N2002" i="11"/>
  <c r="L2002" i="11"/>
  <c r="G2002" i="11"/>
  <c r="M2002" i="11" s="1"/>
  <c r="S2001" i="11"/>
  <c r="R2001" i="11"/>
  <c r="Q2001" i="11"/>
  <c r="O2001" i="11"/>
  <c r="N2001" i="11"/>
  <c r="L2001" i="11"/>
  <c r="G2001" i="11"/>
  <c r="M2001" i="11" s="1"/>
  <c r="S2000" i="11"/>
  <c r="R2000" i="11"/>
  <c r="Q2000" i="11"/>
  <c r="O2000" i="11"/>
  <c r="N2000" i="11"/>
  <c r="M2000" i="11"/>
  <c r="L2000" i="11"/>
  <c r="G2000" i="11"/>
  <c r="S1999" i="11"/>
  <c r="R1999" i="11"/>
  <c r="Q1999" i="11"/>
  <c r="O1999" i="11"/>
  <c r="N1999" i="11"/>
  <c r="L1999" i="11"/>
  <c r="G1999" i="11"/>
  <c r="M1999" i="11" s="1"/>
  <c r="S1998" i="11"/>
  <c r="R1998" i="11"/>
  <c r="Q1998" i="11"/>
  <c r="O1998" i="11"/>
  <c r="N1998" i="11"/>
  <c r="L1998" i="11"/>
  <c r="G1998" i="11"/>
  <c r="M1998" i="11" s="1"/>
  <c r="S1997" i="11"/>
  <c r="R1997" i="11"/>
  <c r="Q1997" i="11"/>
  <c r="O1997" i="11"/>
  <c r="N1997" i="11"/>
  <c r="M1997" i="11"/>
  <c r="L1997" i="11"/>
  <c r="G1997" i="11"/>
  <c r="S1996" i="11"/>
  <c r="R1996" i="11"/>
  <c r="Q1996" i="11"/>
  <c r="O1996" i="11"/>
  <c r="N1996" i="11"/>
  <c r="L1996" i="11"/>
  <c r="G1996" i="11"/>
  <c r="M1996" i="11" s="1"/>
  <c r="S1995" i="11"/>
  <c r="R1995" i="11"/>
  <c r="Q1995" i="11"/>
  <c r="O1995" i="11"/>
  <c r="N1995" i="11"/>
  <c r="L1995" i="11"/>
  <c r="G1995" i="11"/>
  <c r="M1995" i="11" s="1"/>
  <c r="S1994" i="11"/>
  <c r="R1994" i="11"/>
  <c r="Q1994" i="11"/>
  <c r="O1994" i="11"/>
  <c r="N1994" i="11"/>
  <c r="M1994" i="11"/>
  <c r="L1994" i="11"/>
  <c r="G1994" i="11"/>
  <c r="S1993" i="11"/>
  <c r="R1993" i="11"/>
  <c r="Q1993" i="11"/>
  <c r="O1993" i="11"/>
  <c r="N1993" i="11"/>
  <c r="L1993" i="11"/>
  <c r="G1993" i="11"/>
  <c r="M1993" i="11" s="1"/>
  <c r="S1992" i="11"/>
  <c r="R1992" i="11"/>
  <c r="Q1992" i="11"/>
  <c r="O1992" i="11"/>
  <c r="N1992" i="11"/>
  <c r="L1992" i="11"/>
  <c r="G1992" i="11"/>
  <c r="M1992" i="11" s="1"/>
  <c r="S1991" i="11"/>
  <c r="R1991" i="11"/>
  <c r="Q1991" i="11"/>
  <c r="O1991" i="11"/>
  <c r="N1991" i="11"/>
  <c r="M1991" i="11"/>
  <c r="L1991" i="11"/>
  <c r="G1991" i="11"/>
  <c r="S1990" i="11"/>
  <c r="R1990" i="11"/>
  <c r="Q1990" i="11"/>
  <c r="O1990" i="11"/>
  <c r="N1990" i="11"/>
  <c r="L1990" i="11"/>
  <c r="G1990" i="11"/>
  <c r="M1990" i="11" s="1"/>
  <c r="S1989" i="11"/>
  <c r="R1989" i="11"/>
  <c r="Q1989" i="11"/>
  <c r="O1989" i="11"/>
  <c r="N1989" i="11"/>
  <c r="L1989" i="11"/>
  <c r="G1989" i="11"/>
  <c r="M1989" i="11" s="1"/>
  <c r="S1988" i="11"/>
  <c r="R1988" i="11"/>
  <c r="Q1988" i="11"/>
  <c r="O1988" i="11"/>
  <c r="N1988" i="11"/>
  <c r="M1988" i="11"/>
  <c r="L1988" i="11"/>
  <c r="G1988" i="11"/>
  <c r="S1987" i="11"/>
  <c r="R1987" i="11"/>
  <c r="Q1987" i="11"/>
  <c r="O1987" i="11"/>
  <c r="N1987" i="11"/>
  <c r="L1987" i="11"/>
  <c r="G1987" i="11"/>
  <c r="M1987" i="11" s="1"/>
  <c r="S1986" i="11"/>
  <c r="R1986" i="11"/>
  <c r="Q1986" i="11"/>
  <c r="O1986" i="11"/>
  <c r="N1986" i="11"/>
  <c r="L1986" i="11"/>
  <c r="G1986" i="11"/>
  <c r="M1986" i="11" s="1"/>
  <c r="S1985" i="11"/>
  <c r="R1985" i="11"/>
  <c r="Q1985" i="11"/>
  <c r="O1985" i="11"/>
  <c r="N1985" i="11"/>
  <c r="M1985" i="11"/>
  <c r="L1985" i="11"/>
  <c r="G1985" i="11"/>
  <c r="S1984" i="11"/>
  <c r="R1984" i="11"/>
  <c r="Q1984" i="11"/>
  <c r="O1984" i="11"/>
  <c r="N1984" i="11"/>
  <c r="L1984" i="11"/>
  <c r="G1984" i="11"/>
  <c r="M1984" i="11" s="1"/>
  <c r="S1983" i="11"/>
  <c r="R1983" i="11"/>
  <c r="Q1983" i="11"/>
  <c r="O1983" i="11"/>
  <c r="N1983" i="11"/>
  <c r="L1983" i="11"/>
  <c r="G1983" i="11"/>
  <c r="M1983" i="11" s="1"/>
  <c r="S1982" i="11"/>
  <c r="R1982" i="11"/>
  <c r="Q1982" i="11"/>
  <c r="O1982" i="11"/>
  <c r="N1982" i="11"/>
  <c r="M1982" i="11"/>
  <c r="L1982" i="11"/>
  <c r="G1982" i="11"/>
  <c r="S1981" i="11"/>
  <c r="R1981" i="11"/>
  <c r="Q1981" i="11"/>
  <c r="O1981" i="11"/>
  <c r="N1981" i="11"/>
  <c r="L1981" i="11"/>
  <c r="G1981" i="11"/>
  <c r="M1981" i="11" s="1"/>
  <c r="S1980" i="11"/>
  <c r="R1980" i="11"/>
  <c r="Q1980" i="11"/>
  <c r="O1980" i="11"/>
  <c r="N1980" i="11"/>
  <c r="M1980" i="11"/>
  <c r="L1980" i="11"/>
  <c r="G1980" i="11"/>
  <c r="S1979" i="11"/>
  <c r="R1979" i="11"/>
  <c r="Q1979" i="11"/>
  <c r="O1979" i="11"/>
  <c r="N1979" i="11"/>
  <c r="M1979" i="11"/>
  <c r="L1979" i="11"/>
  <c r="G1979" i="11"/>
  <c r="S1978" i="11"/>
  <c r="R1978" i="11"/>
  <c r="Q1978" i="11"/>
  <c r="O1978" i="11"/>
  <c r="N1978" i="11"/>
  <c r="L1978" i="11"/>
  <c r="G1978" i="11"/>
  <c r="M1978" i="11" s="1"/>
  <c r="S1977" i="11"/>
  <c r="R1977" i="11"/>
  <c r="Q1977" i="11"/>
  <c r="O1977" i="11"/>
  <c r="N1977" i="11"/>
  <c r="M1977" i="11"/>
  <c r="L1977" i="11"/>
  <c r="G1977" i="11"/>
  <c r="S1976" i="11"/>
  <c r="R1976" i="11"/>
  <c r="Q1976" i="11"/>
  <c r="O1976" i="11"/>
  <c r="N1976" i="11"/>
  <c r="L1976" i="11"/>
  <c r="G1976" i="11"/>
  <c r="M1976" i="11" s="1"/>
  <c r="S1975" i="11"/>
  <c r="R1975" i="11"/>
  <c r="Q1975" i="11"/>
  <c r="O1975" i="11"/>
  <c r="N1975" i="11"/>
  <c r="L1975" i="11"/>
  <c r="G1975" i="11"/>
  <c r="M1975" i="11" s="1"/>
  <c r="S1974" i="11"/>
  <c r="R1974" i="11"/>
  <c r="Q1974" i="11"/>
  <c r="O1974" i="11"/>
  <c r="N1974" i="11"/>
  <c r="M1974" i="11"/>
  <c r="L1974" i="11"/>
  <c r="G1974" i="11"/>
  <c r="S1973" i="11"/>
  <c r="R1973" i="11"/>
  <c r="Q1973" i="11"/>
  <c r="O1973" i="11"/>
  <c r="N1973" i="11"/>
  <c r="L1973" i="11"/>
  <c r="G1973" i="11"/>
  <c r="M1973" i="11" s="1"/>
  <c r="S1972" i="11"/>
  <c r="R1972" i="11"/>
  <c r="Q1972" i="11"/>
  <c r="O1972" i="11"/>
  <c r="N1972" i="11"/>
  <c r="L1972" i="11"/>
  <c r="G1972" i="11"/>
  <c r="M1972" i="11" s="1"/>
  <c r="S1971" i="11"/>
  <c r="R1971" i="11"/>
  <c r="Q1971" i="11"/>
  <c r="O1971" i="11"/>
  <c r="N1971" i="11"/>
  <c r="M1971" i="11"/>
  <c r="L1971" i="11"/>
  <c r="G1971" i="11"/>
  <c r="S1970" i="11"/>
  <c r="R1970" i="11"/>
  <c r="Q1970" i="11"/>
  <c r="O1970" i="11"/>
  <c r="N1970" i="11"/>
  <c r="L1970" i="11"/>
  <c r="G1970" i="11"/>
  <c r="M1970" i="11" s="1"/>
  <c r="S1969" i="11"/>
  <c r="R1969" i="11"/>
  <c r="Q1969" i="11"/>
  <c r="O1969" i="11"/>
  <c r="N1969" i="11"/>
  <c r="L1969" i="11"/>
  <c r="G1969" i="11"/>
  <c r="M1969" i="11" s="1"/>
  <c r="S1968" i="11"/>
  <c r="R1968" i="11"/>
  <c r="Q1968" i="11"/>
  <c r="O1968" i="11"/>
  <c r="N1968" i="11"/>
  <c r="M1968" i="11"/>
  <c r="L1968" i="11"/>
  <c r="G1968" i="11"/>
  <c r="S1967" i="11"/>
  <c r="R1967" i="11"/>
  <c r="Q1967" i="11"/>
  <c r="O1967" i="11"/>
  <c r="N1967" i="11"/>
  <c r="L1967" i="11"/>
  <c r="G1967" i="11"/>
  <c r="M1967" i="11" s="1"/>
  <c r="S1966" i="11"/>
  <c r="R1966" i="11"/>
  <c r="Q1966" i="11"/>
  <c r="O1966" i="11"/>
  <c r="N1966" i="11"/>
  <c r="L1966" i="11"/>
  <c r="G1966" i="11"/>
  <c r="M1966" i="11" s="1"/>
  <c r="S1965" i="11"/>
  <c r="R1965" i="11"/>
  <c r="Q1965" i="11"/>
  <c r="O1965" i="11"/>
  <c r="N1965" i="11"/>
  <c r="M1965" i="11"/>
  <c r="L1965" i="11"/>
  <c r="G1965" i="11"/>
  <c r="S1964" i="11"/>
  <c r="R1964" i="11"/>
  <c r="Q1964" i="11"/>
  <c r="O1964" i="11"/>
  <c r="N1964" i="11"/>
  <c r="L1964" i="11"/>
  <c r="G1964" i="11"/>
  <c r="M1964" i="11" s="1"/>
  <c r="S1963" i="11"/>
  <c r="R1963" i="11"/>
  <c r="Q1963" i="11"/>
  <c r="O1963" i="11"/>
  <c r="N1963" i="11"/>
  <c r="L1963" i="11"/>
  <c r="G1963" i="11"/>
  <c r="M1963" i="11" s="1"/>
  <c r="S1962" i="11"/>
  <c r="R1962" i="11"/>
  <c r="Q1962" i="11"/>
  <c r="O1962" i="11"/>
  <c r="N1962" i="11"/>
  <c r="M1962" i="11"/>
  <c r="L1962" i="11"/>
  <c r="G1962" i="11"/>
  <c r="S1961" i="11"/>
  <c r="R1961" i="11"/>
  <c r="Q1961" i="11"/>
  <c r="O1961" i="11"/>
  <c r="N1961" i="11"/>
  <c r="L1961" i="11"/>
  <c r="G1961" i="11"/>
  <c r="M1961" i="11" s="1"/>
  <c r="S1960" i="11"/>
  <c r="R1960" i="11"/>
  <c r="Q1960" i="11"/>
  <c r="O1960" i="11"/>
  <c r="N1960" i="11"/>
  <c r="L1960" i="11"/>
  <c r="G1960" i="11"/>
  <c r="M1960" i="11" s="1"/>
  <c r="S1959" i="11"/>
  <c r="R1959" i="11"/>
  <c r="Q1959" i="11"/>
  <c r="O1959" i="11"/>
  <c r="N1959" i="11"/>
  <c r="M1959" i="11"/>
  <c r="L1959" i="11"/>
  <c r="G1959" i="11"/>
  <c r="S1958" i="11"/>
  <c r="R1958" i="11"/>
  <c r="Q1958" i="11"/>
  <c r="O1958" i="11"/>
  <c r="N1958" i="11"/>
  <c r="L1958" i="11"/>
  <c r="G1958" i="11"/>
  <c r="M1958" i="11" s="1"/>
  <c r="S1957" i="11"/>
  <c r="R1957" i="11"/>
  <c r="Q1957" i="11"/>
  <c r="O1957" i="11"/>
  <c r="N1957" i="11"/>
  <c r="L1957" i="11"/>
  <c r="G1957" i="11"/>
  <c r="M1957" i="11" s="1"/>
  <c r="S1956" i="11"/>
  <c r="R1956" i="11"/>
  <c r="Q1956" i="11"/>
  <c r="O1956" i="11"/>
  <c r="N1956" i="11"/>
  <c r="M1956" i="11"/>
  <c r="L1956" i="11"/>
  <c r="G1956" i="11"/>
  <c r="S1955" i="11"/>
  <c r="R1955" i="11"/>
  <c r="Q1955" i="11"/>
  <c r="O1955" i="11"/>
  <c r="N1955" i="11"/>
  <c r="L1955" i="11"/>
  <c r="G1955" i="11"/>
  <c r="M1955" i="11" s="1"/>
  <c r="S1954" i="11"/>
  <c r="R1954" i="11"/>
  <c r="Q1954" i="11"/>
  <c r="O1954" i="11"/>
  <c r="N1954" i="11"/>
  <c r="L1954" i="11"/>
  <c r="G1954" i="11"/>
  <c r="M1954" i="11" s="1"/>
  <c r="S1953" i="11"/>
  <c r="R1953" i="11"/>
  <c r="Q1953" i="11"/>
  <c r="O1953" i="11"/>
  <c r="N1953" i="11"/>
  <c r="M1953" i="11"/>
  <c r="L1953" i="11"/>
  <c r="G1953" i="11"/>
  <c r="S1952" i="11"/>
  <c r="R1952" i="11"/>
  <c r="Q1952" i="11"/>
  <c r="O1952" i="11"/>
  <c r="N1952" i="11"/>
  <c r="L1952" i="11"/>
  <c r="G1952" i="11"/>
  <c r="M1952" i="11" s="1"/>
  <c r="S1951" i="11"/>
  <c r="R1951" i="11"/>
  <c r="Q1951" i="11"/>
  <c r="O1951" i="11"/>
  <c r="N1951" i="11"/>
  <c r="L1951" i="11"/>
  <c r="G1951" i="11"/>
  <c r="M1951" i="11" s="1"/>
  <c r="S1950" i="11"/>
  <c r="R1950" i="11"/>
  <c r="Q1950" i="11"/>
  <c r="O1950" i="11"/>
  <c r="N1950" i="11"/>
  <c r="M1950" i="11"/>
  <c r="L1950" i="11"/>
  <c r="G1950" i="11"/>
  <c r="S1949" i="11"/>
  <c r="R1949" i="11"/>
  <c r="Q1949" i="11"/>
  <c r="O1949" i="11"/>
  <c r="N1949" i="11"/>
  <c r="L1949" i="11"/>
  <c r="G1949" i="11"/>
  <c r="M1949" i="11" s="1"/>
  <c r="S1948" i="11"/>
  <c r="R1948" i="11"/>
  <c r="Q1948" i="11"/>
  <c r="O1948" i="11"/>
  <c r="N1948" i="11"/>
  <c r="L1948" i="11"/>
  <c r="G1948" i="11"/>
  <c r="M1948" i="11" s="1"/>
  <c r="S1947" i="11"/>
  <c r="R1947" i="11"/>
  <c r="Q1947" i="11"/>
  <c r="O1947" i="11"/>
  <c r="N1947" i="11"/>
  <c r="M1947" i="11"/>
  <c r="L1947" i="11"/>
  <c r="G1947" i="11"/>
  <c r="S1946" i="11"/>
  <c r="R1946" i="11"/>
  <c r="Q1946" i="11"/>
  <c r="O1946" i="11"/>
  <c r="N1946" i="11"/>
  <c r="L1946" i="11"/>
  <c r="G1946" i="11"/>
  <c r="M1946" i="11" s="1"/>
  <c r="S1945" i="11"/>
  <c r="R1945" i="11"/>
  <c r="Q1945" i="11"/>
  <c r="O1945" i="11"/>
  <c r="N1945" i="11"/>
  <c r="L1945" i="11"/>
  <c r="G1945" i="11"/>
  <c r="M1945" i="11" s="1"/>
  <c r="S1944" i="11"/>
  <c r="R1944" i="11"/>
  <c r="Q1944" i="11"/>
  <c r="O1944" i="11"/>
  <c r="N1944" i="11"/>
  <c r="M1944" i="11"/>
  <c r="L1944" i="11"/>
  <c r="G1944" i="11"/>
  <c r="S1943" i="11"/>
  <c r="R1943" i="11"/>
  <c r="Q1943" i="11"/>
  <c r="O1943" i="11"/>
  <c r="N1943" i="11"/>
  <c r="L1943" i="11"/>
  <c r="G1943" i="11"/>
  <c r="M1943" i="11" s="1"/>
  <c r="S1942" i="11"/>
  <c r="R1942" i="11"/>
  <c r="Q1942" i="11"/>
  <c r="O1942" i="11"/>
  <c r="N1942" i="11"/>
  <c r="M1942" i="11"/>
  <c r="L1942" i="11"/>
  <c r="G1942" i="11"/>
  <c r="S1941" i="11"/>
  <c r="R1941" i="11"/>
  <c r="Q1941" i="11"/>
  <c r="O1941" i="11"/>
  <c r="N1941" i="11"/>
  <c r="M1941" i="11"/>
  <c r="L1941" i="11"/>
  <c r="G1941" i="11"/>
  <c r="S1940" i="11"/>
  <c r="R1940" i="11"/>
  <c r="Q1940" i="11"/>
  <c r="O1940" i="11"/>
  <c r="N1940" i="11"/>
  <c r="L1940" i="11"/>
  <c r="G1940" i="11"/>
  <c r="M1940" i="11" s="1"/>
  <c r="S1939" i="11"/>
  <c r="R1939" i="11"/>
  <c r="Q1939" i="11"/>
  <c r="O1939" i="11"/>
  <c r="N1939" i="11"/>
  <c r="M1939" i="11"/>
  <c r="L1939" i="11"/>
  <c r="G1939" i="11"/>
  <c r="S1938" i="11"/>
  <c r="R1938" i="11"/>
  <c r="Q1938" i="11"/>
  <c r="O1938" i="11"/>
  <c r="N1938" i="11"/>
  <c r="M1938" i="11"/>
  <c r="L1938" i="11"/>
  <c r="G1938" i="11"/>
  <c r="S1937" i="11"/>
  <c r="R1937" i="11"/>
  <c r="Q1937" i="11"/>
  <c r="O1937" i="11"/>
  <c r="N1937" i="11"/>
  <c r="L1937" i="11"/>
  <c r="G1937" i="11"/>
  <c r="M1937" i="11" s="1"/>
  <c r="S1936" i="11"/>
  <c r="R1936" i="11"/>
  <c r="Q1936" i="11"/>
  <c r="O1936" i="11"/>
  <c r="N1936" i="11"/>
  <c r="M1936" i="11"/>
  <c r="L1936" i="11"/>
  <c r="G1936" i="11"/>
  <c r="S1935" i="11"/>
  <c r="R1935" i="11"/>
  <c r="Q1935" i="11"/>
  <c r="O1935" i="11"/>
  <c r="N1935" i="11"/>
  <c r="M1935" i="11"/>
  <c r="L1935" i="11"/>
  <c r="G1935" i="11"/>
  <c r="S1934" i="11"/>
  <c r="R1934" i="11"/>
  <c r="Q1934" i="11"/>
  <c r="O1934" i="11"/>
  <c r="N1934" i="11"/>
  <c r="L1934" i="11"/>
  <c r="G1934" i="11"/>
  <c r="M1934" i="11" s="1"/>
  <c r="S1933" i="11"/>
  <c r="R1933" i="11"/>
  <c r="Q1933" i="11"/>
  <c r="O1933" i="11"/>
  <c r="N1933" i="11"/>
  <c r="M1933" i="11"/>
  <c r="L1933" i="11"/>
  <c r="G1933" i="11"/>
  <c r="S1932" i="11"/>
  <c r="R1932" i="11"/>
  <c r="Q1932" i="11"/>
  <c r="O1932" i="11"/>
  <c r="N1932" i="11"/>
  <c r="M1932" i="11"/>
  <c r="L1932" i="11"/>
  <c r="G1932" i="11"/>
  <c r="S1931" i="11"/>
  <c r="R1931" i="11"/>
  <c r="Q1931" i="11"/>
  <c r="O1931" i="11"/>
  <c r="N1931" i="11"/>
  <c r="L1931" i="11"/>
  <c r="G1931" i="11"/>
  <c r="M1931" i="11" s="1"/>
  <c r="S1930" i="11"/>
  <c r="R1930" i="11"/>
  <c r="Q1930" i="11"/>
  <c r="O1930" i="11"/>
  <c r="N1930" i="11"/>
  <c r="M1930" i="11"/>
  <c r="L1930" i="11"/>
  <c r="G1930" i="11"/>
  <c r="S1929" i="11"/>
  <c r="R1929" i="11"/>
  <c r="Q1929" i="11"/>
  <c r="O1929" i="11"/>
  <c r="N1929" i="11"/>
  <c r="M1929" i="11"/>
  <c r="L1929" i="11"/>
  <c r="G1929" i="11"/>
  <c r="S1928" i="11"/>
  <c r="R1928" i="11"/>
  <c r="Q1928" i="11"/>
  <c r="O1928" i="11"/>
  <c r="N1928" i="11"/>
  <c r="L1928" i="11"/>
  <c r="G1928" i="11"/>
  <c r="M1928" i="11" s="1"/>
  <c r="S1927" i="11"/>
  <c r="R1927" i="11"/>
  <c r="Q1927" i="11"/>
  <c r="O1927" i="11"/>
  <c r="N1927" i="11"/>
  <c r="M1927" i="11"/>
  <c r="L1927" i="11"/>
  <c r="G1927" i="11"/>
  <c r="S1926" i="11"/>
  <c r="R1926" i="11"/>
  <c r="Q1926" i="11"/>
  <c r="O1926" i="11"/>
  <c r="N1926" i="11"/>
  <c r="M1926" i="11"/>
  <c r="L1926" i="11"/>
  <c r="G1926" i="11"/>
  <c r="S1925" i="11"/>
  <c r="R1925" i="11"/>
  <c r="Q1925" i="11"/>
  <c r="O1925" i="11"/>
  <c r="N1925" i="11"/>
  <c r="L1925" i="11"/>
  <c r="G1925" i="11"/>
  <c r="M1925" i="11" s="1"/>
  <c r="S1924" i="11"/>
  <c r="R1924" i="11"/>
  <c r="Q1924" i="11"/>
  <c r="O1924" i="11"/>
  <c r="N1924" i="11"/>
  <c r="M1924" i="11"/>
  <c r="L1924" i="11"/>
  <c r="G1924" i="11"/>
  <c r="S1923" i="11"/>
  <c r="R1923" i="11"/>
  <c r="Q1923" i="11"/>
  <c r="O1923" i="11"/>
  <c r="N1923" i="11"/>
  <c r="M1923" i="11"/>
  <c r="L1923" i="11"/>
  <c r="G1923" i="11"/>
  <c r="S1922" i="11"/>
  <c r="R1922" i="11"/>
  <c r="Q1922" i="11"/>
  <c r="O1922" i="11"/>
  <c r="N1922" i="11"/>
  <c r="L1922" i="11"/>
  <c r="G1922" i="11"/>
  <c r="M1922" i="11" s="1"/>
  <c r="S1921" i="11"/>
  <c r="R1921" i="11"/>
  <c r="Q1921" i="11"/>
  <c r="O1921" i="11"/>
  <c r="N1921" i="11"/>
  <c r="M1921" i="11"/>
  <c r="L1921" i="11"/>
  <c r="G1921" i="11"/>
  <c r="S1920" i="11"/>
  <c r="R1920" i="11"/>
  <c r="Q1920" i="11"/>
  <c r="O1920" i="11"/>
  <c r="N1920" i="11"/>
  <c r="M1920" i="11"/>
  <c r="L1920" i="11"/>
  <c r="G1920" i="11"/>
  <c r="S1919" i="11"/>
  <c r="R1919" i="11"/>
  <c r="Q1919" i="11"/>
  <c r="O1919" i="11"/>
  <c r="N1919" i="11"/>
  <c r="L1919" i="11"/>
  <c r="G1919" i="11"/>
  <c r="M1919" i="11" s="1"/>
  <c r="S1918" i="11"/>
  <c r="R1918" i="11"/>
  <c r="Q1918" i="11"/>
  <c r="O1918" i="11"/>
  <c r="N1918" i="11"/>
  <c r="M1918" i="11"/>
  <c r="L1918" i="11"/>
  <c r="G1918" i="11"/>
  <c r="S1917" i="11"/>
  <c r="R1917" i="11"/>
  <c r="Q1917" i="11"/>
  <c r="O1917" i="11"/>
  <c r="N1917" i="11"/>
  <c r="M1917" i="11"/>
  <c r="L1917" i="11"/>
  <c r="G1917" i="11"/>
  <c r="S1916" i="11"/>
  <c r="R1916" i="11"/>
  <c r="Q1916" i="11"/>
  <c r="O1916" i="11"/>
  <c r="N1916" i="11"/>
  <c r="L1916" i="11"/>
  <c r="G1916" i="11"/>
  <c r="M1916" i="11" s="1"/>
  <c r="S1915" i="11"/>
  <c r="R1915" i="11"/>
  <c r="Q1915" i="11"/>
  <c r="O1915" i="11"/>
  <c r="N1915" i="11"/>
  <c r="M1915" i="11"/>
  <c r="L1915" i="11"/>
  <c r="G1915" i="11"/>
  <c r="S1914" i="11"/>
  <c r="R1914" i="11"/>
  <c r="Q1914" i="11"/>
  <c r="O1914" i="11"/>
  <c r="N1914" i="11"/>
  <c r="L1914" i="11"/>
  <c r="K1914" i="11"/>
  <c r="G1914" i="11"/>
  <c r="M1914" i="11" s="1"/>
  <c r="S1913" i="11"/>
  <c r="R1913" i="11"/>
  <c r="Q1913" i="11"/>
  <c r="O1913" i="11"/>
  <c r="N1913" i="11"/>
  <c r="L1913" i="11"/>
  <c r="G1913" i="11"/>
  <c r="M1913" i="11" s="1"/>
  <c r="S1912" i="11"/>
  <c r="R1912" i="11"/>
  <c r="Q1912" i="11"/>
  <c r="O1912" i="11"/>
  <c r="N1912" i="11"/>
  <c r="L1912" i="11"/>
  <c r="G1912" i="11"/>
  <c r="M1912" i="11" s="1"/>
  <c r="S1911" i="11"/>
  <c r="R1911" i="11"/>
  <c r="Q1911" i="11"/>
  <c r="O1911" i="11"/>
  <c r="N1911" i="11"/>
  <c r="M1911" i="11"/>
  <c r="L1911" i="11"/>
  <c r="G1911" i="11"/>
  <c r="S1910" i="11"/>
  <c r="R1910" i="11"/>
  <c r="Q1910" i="11"/>
  <c r="O1910" i="11"/>
  <c r="N1910" i="11"/>
  <c r="L1910" i="11"/>
  <c r="G1910" i="11"/>
  <c r="M1910" i="11" s="1"/>
  <c r="S1909" i="11"/>
  <c r="R1909" i="11"/>
  <c r="Q1909" i="11"/>
  <c r="O1909" i="11"/>
  <c r="N1909" i="11"/>
  <c r="L1909" i="11"/>
  <c r="G1909" i="11"/>
  <c r="M1909" i="11" s="1"/>
  <c r="S1908" i="11"/>
  <c r="R1908" i="11"/>
  <c r="Q1908" i="11"/>
  <c r="O1908" i="11"/>
  <c r="N1908" i="11"/>
  <c r="M1908" i="11"/>
  <c r="L1908" i="11"/>
  <c r="G1908" i="11"/>
  <c r="S1907" i="11"/>
  <c r="R1907" i="11"/>
  <c r="Q1907" i="11"/>
  <c r="O1907" i="11"/>
  <c r="N1907" i="11"/>
  <c r="L1907" i="11"/>
  <c r="G1907" i="11"/>
  <c r="M1907" i="11" s="1"/>
  <c r="S1906" i="11"/>
  <c r="R1906" i="11"/>
  <c r="Q1906" i="11"/>
  <c r="O1906" i="11"/>
  <c r="N1906" i="11"/>
  <c r="L1906" i="11"/>
  <c r="G1906" i="11"/>
  <c r="M1906" i="11" s="1"/>
  <c r="S1905" i="11"/>
  <c r="R1905" i="11"/>
  <c r="Q1905" i="11"/>
  <c r="O1905" i="11"/>
  <c r="N1905" i="11"/>
  <c r="M1905" i="11"/>
  <c r="L1905" i="11"/>
  <c r="G1905" i="11"/>
  <c r="S1904" i="11"/>
  <c r="R1904" i="11"/>
  <c r="Q1904" i="11"/>
  <c r="O1904" i="11"/>
  <c r="N1904" i="11"/>
  <c r="L1904" i="11"/>
  <c r="G1904" i="11"/>
  <c r="M1904" i="11" s="1"/>
  <c r="S1903" i="11"/>
  <c r="R1903" i="11"/>
  <c r="Q1903" i="11"/>
  <c r="O1903" i="11"/>
  <c r="N1903" i="11"/>
  <c r="L1903" i="11"/>
  <c r="G1903" i="11"/>
  <c r="M1903" i="11" s="1"/>
  <c r="S1902" i="11"/>
  <c r="R1902" i="11"/>
  <c r="Q1902" i="11"/>
  <c r="O1902" i="11"/>
  <c r="N1902" i="11"/>
  <c r="M1902" i="11"/>
  <c r="L1902" i="11"/>
  <c r="G1902" i="11"/>
  <c r="S1901" i="11"/>
  <c r="R1901" i="11"/>
  <c r="Q1901" i="11"/>
  <c r="O1901" i="11"/>
  <c r="N1901" i="11"/>
  <c r="L1901" i="11"/>
  <c r="G1901" i="11"/>
  <c r="M1901" i="11" s="1"/>
  <c r="S1900" i="11"/>
  <c r="R1900" i="11"/>
  <c r="Q1900" i="11"/>
  <c r="O1900" i="11"/>
  <c r="N1900" i="11"/>
  <c r="L1900" i="11"/>
  <c r="G1900" i="11"/>
  <c r="M1900" i="11" s="1"/>
  <c r="S1899" i="11"/>
  <c r="R1899" i="11"/>
  <c r="Q1899" i="11"/>
  <c r="O1899" i="11"/>
  <c r="N1899" i="11"/>
  <c r="M1899" i="11"/>
  <c r="L1899" i="11"/>
  <c r="G1899" i="11"/>
  <c r="S1898" i="11"/>
  <c r="R1898" i="11"/>
  <c r="Q1898" i="11"/>
  <c r="O1898" i="11"/>
  <c r="N1898" i="11"/>
  <c r="L1898" i="11"/>
  <c r="G1898" i="11"/>
  <c r="M1898" i="11" s="1"/>
  <c r="S1897" i="11"/>
  <c r="R1897" i="11"/>
  <c r="Q1897" i="11"/>
  <c r="O1897" i="11"/>
  <c r="N1897" i="11"/>
  <c r="L1897" i="11"/>
  <c r="G1897" i="11"/>
  <c r="M1897" i="11" s="1"/>
  <c r="S1896" i="11"/>
  <c r="R1896" i="11"/>
  <c r="Q1896" i="11"/>
  <c r="O1896" i="11"/>
  <c r="N1896" i="11"/>
  <c r="M1896" i="11"/>
  <c r="L1896" i="11"/>
  <c r="G1896" i="11"/>
  <c r="S1895" i="11"/>
  <c r="R1895" i="11"/>
  <c r="Q1895" i="11"/>
  <c r="O1895" i="11"/>
  <c r="N1895" i="11"/>
  <c r="L1895" i="11"/>
  <c r="G1895" i="11"/>
  <c r="M1895" i="11" s="1"/>
  <c r="S1894" i="11"/>
  <c r="R1894" i="11"/>
  <c r="Q1894" i="11"/>
  <c r="O1894" i="11"/>
  <c r="N1894" i="11"/>
  <c r="L1894" i="11"/>
  <c r="G1894" i="11"/>
  <c r="M1894" i="11" s="1"/>
  <c r="S1893" i="11"/>
  <c r="R1893" i="11"/>
  <c r="Q1893" i="11"/>
  <c r="O1893" i="11"/>
  <c r="N1893" i="11"/>
  <c r="M1893" i="11"/>
  <c r="L1893" i="11"/>
  <c r="G1893" i="11"/>
  <c r="S1892" i="11"/>
  <c r="R1892" i="11"/>
  <c r="Q1892" i="11"/>
  <c r="O1892" i="11"/>
  <c r="N1892" i="11"/>
  <c r="L1892" i="11"/>
  <c r="G1892" i="11"/>
  <c r="M1892" i="11" s="1"/>
  <c r="S1891" i="11"/>
  <c r="R1891" i="11"/>
  <c r="Q1891" i="11"/>
  <c r="O1891" i="11"/>
  <c r="N1891" i="11"/>
  <c r="L1891" i="11"/>
  <c r="G1891" i="11"/>
  <c r="M1891" i="11" s="1"/>
  <c r="S1890" i="11"/>
  <c r="R1890" i="11"/>
  <c r="Q1890" i="11"/>
  <c r="O1890" i="11"/>
  <c r="N1890" i="11"/>
  <c r="M1890" i="11"/>
  <c r="L1890" i="11"/>
  <c r="G1890" i="11"/>
  <c r="S1889" i="11"/>
  <c r="R1889" i="11"/>
  <c r="Q1889" i="11"/>
  <c r="O1889" i="11"/>
  <c r="N1889" i="11"/>
  <c r="L1889" i="11"/>
  <c r="G1889" i="11"/>
  <c r="M1889" i="11" s="1"/>
  <c r="S1888" i="11"/>
  <c r="R1888" i="11"/>
  <c r="Q1888" i="11"/>
  <c r="O1888" i="11"/>
  <c r="N1888" i="11"/>
  <c r="L1888" i="11"/>
  <c r="G1888" i="11"/>
  <c r="M1888" i="11" s="1"/>
  <c r="S1887" i="11"/>
  <c r="R1887" i="11"/>
  <c r="Q1887" i="11"/>
  <c r="O1887" i="11"/>
  <c r="N1887" i="11"/>
  <c r="M1887" i="11"/>
  <c r="L1887" i="11"/>
  <c r="G1887" i="11"/>
  <c r="S1886" i="11"/>
  <c r="R1886" i="11"/>
  <c r="Q1886" i="11"/>
  <c r="O1886" i="11"/>
  <c r="N1886" i="11"/>
  <c r="L1886" i="11"/>
  <c r="G1886" i="11"/>
  <c r="M1886" i="11" s="1"/>
  <c r="S1885" i="11"/>
  <c r="R1885" i="11"/>
  <c r="Q1885" i="11"/>
  <c r="O1885" i="11"/>
  <c r="N1885" i="11"/>
  <c r="L1885" i="11"/>
  <c r="G1885" i="11"/>
  <c r="M1885" i="11" s="1"/>
  <c r="S1884" i="11"/>
  <c r="R1884" i="11"/>
  <c r="Q1884" i="11"/>
  <c r="O1884" i="11"/>
  <c r="N1884" i="11"/>
  <c r="M1884" i="11"/>
  <c r="L1884" i="11"/>
  <c r="G1884" i="11"/>
  <c r="S1883" i="11"/>
  <c r="R1883" i="11"/>
  <c r="Q1883" i="11"/>
  <c r="O1883" i="11"/>
  <c r="N1883" i="11"/>
  <c r="L1883" i="11"/>
  <c r="G1883" i="11"/>
  <c r="M1883" i="11" s="1"/>
  <c r="S1882" i="11"/>
  <c r="R1882" i="11"/>
  <c r="Q1882" i="11"/>
  <c r="O1882" i="11"/>
  <c r="N1882" i="11"/>
  <c r="L1882" i="11"/>
  <c r="G1882" i="11"/>
  <c r="M1882" i="11" s="1"/>
  <c r="S1881" i="11"/>
  <c r="R1881" i="11"/>
  <c r="Q1881" i="11"/>
  <c r="O1881" i="11"/>
  <c r="N1881" i="11"/>
  <c r="M1881" i="11"/>
  <c r="L1881" i="11"/>
  <c r="G1881" i="11"/>
  <c r="S1880" i="11"/>
  <c r="R1880" i="11"/>
  <c r="Q1880" i="11"/>
  <c r="O1880" i="11"/>
  <c r="N1880" i="11"/>
  <c r="L1880" i="11"/>
  <c r="G1880" i="11"/>
  <c r="M1880" i="11" s="1"/>
  <c r="S1879" i="11"/>
  <c r="R1879" i="11"/>
  <c r="Q1879" i="11"/>
  <c r="O1879" i="11"/>
  <c r="N1879" i="11"/>
  <c r="L1879" i="11"/>
  <c r="G1879" i="11"/>
  <c r="M1879" i="11" s="1"/>
  <c r="S1878" i="11"/>
  <c r="R1878" i="11"/>
  <c r="Q1878" i="11"/>
  <c r="O1878" i="11"/>
  <c r="N1878" i="11"/>
  <c r="M1878" i="11"/>
  <c r="L1878" i="11"/>
  <c r="G1878" i="11"/>
  <c r="S1877" i="11"/>
  <c r="R1877" i="11"/>
  <c r="Q1877" i="11"/>
  <c r="O1877" i="11"/>
  <c r="N1877" i="11"/>
  <c r="L1877" i="11"/>
  <c r="G1877" i="11"/>
  <c r="M1877" i="11" s="1"/>
  <c r="S1876" i="11"/>
  <c r="R1876" i="11"/>
  <c r="Q1876" i="11"/>
  <c r="O1876" i="11"/>
  <c r="N1876" i="11"/>
  <c r="L1876" i="11"/>
  <c r="G1876" i="11"/>
  <c r="M1876" i="11" s="1"/>
  <c r="S1875" i="11"/>
  <c r="R1875" i="11"/>
  <c r="Q1875" i="11"/>
  <c r="O1875" i="11"/>
  <c r="N1875" i="11"/>
  <c r="M1875" i="11"/>
  <c r="L1875" i="11"/>
  <c r="G1875" i="11"/>
  <c r="S1874" i="11"/>
  <c r="R1874" i="11"/>
  <c r="Q1874" i="11"/>
  <c r="O1874" i="11"/>
  <c r="N1874" i="11"/>
  <c r="L1874" i="11"/>
  <c r="G1874" i="11"/>
  <c r="M1874" i="11" s="1"/>
  <c r="S1873" i="11"/>
  <c r="R1873" i="11"/>
  <c r="Q1873" i="11"/>
  <c r="O1873" i="11"/>
  <c r="N1873" i="11"/>
  <c r="L1873" i="11"/>
  <c r="G1873" i="11"/>
  <c r="M1873" i="11" s="1"/>
  <c r="S1872" i="11"/>
  <c r="R1872" i="11"/>
  <c r="Q1872" i="11"/>
  <c r="O1872" i="11"/>
  <c r="N1872" i="11"/>
  <c r="M1872" i="11"/>
  <c r="L1872" i="11"/>
  <c r="G1872" i="11"/>
  <c r="S1871" i="11"/>
  <c r="R1871" i="11"/>
  <c r="Q1871" i="11"/>
  <c r="O1871" i="11"/>
  <c r="N1871" i="11"/>
  <c r="L1871" i="11"/>
  <c r="G1871" i="11"/>
  <c r="M1871" i="11" s="1"/>
  <c r="S1870" i="11"/>
  <c r="R1870" i="11"/>
  <c r="Q1870" i="11"/>
  <c r="O1870" i="11"/>
  <c r="N1870" i="11"/>
  <c r="L1870" i="11"/>
  <c r="G1870" i="11"/>
  <c r="M1870" i="11" s="1"/>
  <c r="S1869" i="11"/>
  <c r="R1869" i="11"/>
  <c r="Q1869" i="11"/>
  <c r="O1869" i="11"/>
  <c r="N1869" i="11"/>
  <c r="M1869" i="11"/>
  <c r="L1869" i="11"/>
  <c r="G1869" i="11"/>
  <c r="S1868" i="11"/>
  <c r="R1868" i="11"/>
  <c r="Q1868" i="11"/>
  <c r="O1868" i="11"/>
  <c r="N1868" i="11"/>
  <c r="L1868" i="11"/>
  <c r="G1868" i="11"/>
  <c r="M1868" i="11" s="1"/>
  <c r="S1867" i="11"/>
  <c r="R1867" i="11"/>
  <c r="Q1867" i="11"/>
  <c r="O1867" i="11"/>
  <c r="N1867" i="11"/>
  <c r="L1867" i="11"/>
  <c r="G1867" i="11"/>
  <c r="M1867" i="11" s="1"/>
  <c r="S1866" i="11"/>
  <c r="R1866" i="11"/>
  <c r="Q1866" i="11"/>
  <c r="O1866" i="11"/>
  <c r="N1866" i="11"/>
  <c r="M1866" i="11"/>
  <c r="L1866" i="11"/>
  <c r="G1866" i="11"/>
  <c r="S1865" i="11"/>
  <c r="R1865" i="11"/>
  <c r="Q1865" i="11"/>
  <c r="O1865" i="11"/>
  <c r="N1865" i="11"/>
  <c r="L1865" i="11"/>
  <c r="G1865" i="11"/>
  <c r="M1865" i="11" s="1"/>
  <c r="S1864" i="11"/>
  <c r="R1864" i="11"/>
  <c r="Q1864" i="11"/>
  <c r="O1864" i="11"/>
  <c r="N1864" i="11"/>
  <c r="L1864" i="11"/>
  <c r="G1864" i="11"/>
  <c r="M1864" i="11" s="1"/>
  <c r="S1863" i="11"/>
  <c r="R1863" i="11"/>
  <c r="Q1863" i="11"/>
  <c r="O1863" i="11"/>
  <c r="N1863" i="11"/>
  <c r="M1863" i="11"/>
  <c r="L1863" i="11"/>
  <c r="G1863" i="11"/>
  <c r="S1862" i="11"/>
  <c r="R1862" i="11"/>
  <c r="Q1862" i="11"/>
  <c r="O1862" i="11"/>
  <c r="N1862" i="11"/>
  <c r="L1862" i="11"/>
  <c r="G1862" i="11"/>
  <c r="M1862" i="11" s="1"/>
  <c r="S1861" i="11"/>
  <c r="R1861" i="11"/>
  <c r="Q1861" i="11"/>
  <c r="O1861" i="11"/>
  <c r="N1861" i="11"/>
  <c r="L1861" i="11"/>
  <c r="G1861" i="11"/>
  <c r="M1861" i="11" s="1"/>
  <c r="S1860" i="11"/>
  <c r="R1860" i="11"/>
  <c r="Q1860" i="11"/>
  <c r="O1860" i="11"/>
  <c r="N1860" i="11"/>
  <c r="M1860" i="11"/>
  <c r="L1860" i="11"/>
  <c r="G1860" i="11"/>
  <c r="S1859" i="11"/>
  <c r="R1859" i="11"/>
  <c r="Q1859" i="11"/>
  <c r="O1859" i="11"/>
  <c r="N1859" i="11"/>
  <c r="L1859" i="11"/>
  <c r="G1859" i="11"/>
  <c r="M1859" i="11" s="1"/>
  <c r="S1858" i="11"/>
  <c r="R1858" i="11"/>
  <c r="Q1858" i="11"/>
  <c r="O1858" i="11"/>
  <c r="N1858" i="11"/>
  <c r="L1858" i="11"/>
  <c r="G1858" i="11"/>
  <c r="M1858" i="11" s="1"/>
  <c r="S1857" i="11"/>
  <c r="R1857" i="11"/>
  <c r="Q1857" i="11"/>
  <c r="O1857" i="11"/>
  <c r="N1857" i="11"/>
  <c r="M1857" i="11"/>
  <c r="L1857" i="11"/>
  <c r="G1857" i="11"/>
  <c r="S1856" i="11"/>
  <c r="R1856" i="11"/>
  <c r="Q1856" i="11"/>
  <c r="O1856" i="11"/>
  <c r="N1856" i="11"/>
  <c r="L1856" i="11"/>
  <c r="G1856" i="11"/>
  <c r="M1856" i="11" s="1"/>
  <c r="S1855" i="11"/>
  <c r="R1855" i="11"/>
  <c r="Q1855" i="11"/>
  <c r="O1855" i="11"/>
  <c r="N1855" i="11"/>
  <c r="L1855" i="11"/>
  <c r="G1855" i="11"/>
  <c r="M1855" i="11" s="1"/>
  <c r="S1854" i="11"/>
  <c r="R1854" i="11"/>
  <c r="Q1854" i="11"/>
  <c r="O1854" i="11"/>
  <c r="N1854" i="11"/>
  <c r="M1854" i="11"/>
  <c r="L1854" i="11"/>
  <c r="G1854" i="11"/>
  <c r="S1853" i="11"/>
  <c r="R1853" i="11"/>
  <c r="Q1853" i="11"/>
  <c r="O1853" i="11"/>
  <c r="N1853" i="11"/>
  <c r="L1853" i="11"/>
  <c r="G1853" i="11"/>
  <c r="M1853" i="11" s="1"/>
  <c r="S1852" i="11"/>
  <c r="R1852" i="11"/>
  <c r="Q1852" i="11"/>
  <c r="O1852" i="11"/>
  <c r="N1852" i="11"/>
  <c r="L1852" i="11"/>
  <c r="G1852" i="11"/>
  <c r="M1852" i="11" s="1"/>
  <c r="S1851" i="11"/>
  <c r="R1851" i="11"/>
  <c r="Q1851" i="11"/>
  <c r="O1851" i="11"/>
  <c r="N1851" i="11"/>
  <c r="M1851" i="11"/>
  <c r="L1851" i="11"/>
  <c r="G1851" i="11"/>
  <c r="S1850" i="11"/>
  <c r="R1850" i="11"/>
  <c r="Q1850" i="11"/>
  <c r="O1850" i="11"/>
  <c r="N1850" i="11"/>
  <c r="L1850" i="11"/>
  <c r="G1850" i="11"/>
  <c r="M1850" i="11" s="1"/>
  <c r="S1849" i="11"/>
  <c r="R1849" i="11"/>
  <c r="Q1849" i="11"/>
  <c r="O1849" i="11"/>
  <c r="N1849" i="11"/>
  <c r="L1849" i="11"/>
  <c r="G1849" i="11"/>
  <c r="M1849" i="11" s="1"/>
  <c r="S1848" i="11"/>
  <c r="R1848" i="11"/>
  <c r="Q1848" i="11"/>
  <c r="O1848" i="11"/>
  <c r="N1848" i="11"/>
  <c r="M1848" i="11"/>
  <c r="L1848" i="11"/>
  <c r="G1848" i="11"/>
  <c r="S1847" i="11"/>
  <c r="R1847" i="11"/>
  <c r="Q1847" i="11"/>
  <c r="O1847" i="11"/>
  <c r="N1847" i="11"/>
  <c r="L1847" i="11"/>
  <c r="G1847" i="11"/>
  <c r="M1847" i="11" s="1"/>
  <c r="S1846" i="11"/>
  <c r="R1846" i="11"/>
  <c r="Q1846" i="11"/>
  <c r="O1846" i="11"/>
  <c r="N1846" i="11"/>
  <c r="L1846" i="11"/>
  <c r="G1846" i="11"/>
  <c r="M1846" i="11" s="1"/>
  <c r="S1845" i="11"/>
  <c r="R1845" i="11"/>
  <c r="Q1845" i="11"/>
  <c r="O1845" i="11"/>
  <c r="N1845" i="11"/>
  <c r="M1845" i="11"/>
  <c r="L1845" i="11"/>
  <c r="G1845" i="11"/>
  <c r="S1844" i="11"/>
  <c r="R1844" i="11"/>
  <c r="Q1844" i="11"/>
  <c r="O1844" i="11"/>
  <c r="N1844" i="11"/>
  <c r="M1844" i="11"/>
  <c r="L1844" i="11"/>
  <c r="G1844" i="11"/>
  <c r="S1843" i="11"/>
  <c r="R1843" i="11"/>
  <c r="Q1843" i="11"/>
  <c r="O1843" i="11"/>
  <c r="N1843" i="11"/>
  <c r="L1843" i="11"/>
  <c r="G1843" i="11"/>
  <c r="M1843" i="11" s="1"/>
  <c r="S1842" i="11"/>
  <c r="R1842" i="11"/>
  <c r="Q1842" i="11"/>
  <c r="O1842" i="11"/>
  <c r="N1842" i="11"/>
  <c r="M1842" i="11"/>
  <c r="L1842" i="11"/>
  <c r="G1842" i="11"/>
  <c r="S1841" i="11"/>
  <c r="R1841" i="11"/>
  <c r="Q1841" i="11"/>
  <c r="O1841" i="11"/>
  <c r="N1841" i="11"/>
  <c r="M1841" i="11"/>
  <c r="L1841" i="11"/>
  <c r="G1841" i="11"/>
  <c r="S1840" i="11"/>
  <c r="R1840" i="11"/>
  <c r="Q1840" i="11"/>
  <c r="O1840" i="11"/>
  <c r="N1840" i="11"/>
  <c r="L1840" i="11"/>
  <c r="G1840" i="11"/>
  <c r="M1840" i="11" s="1"/>
  <c r="S1839" i="11"/>
  <c r="R1839" i="11"/>
  <c r="Q1839" i="11"/>
  <c r="O1839" i="11"/>
  <c r="N1839" i="11"/>
  <c r="M1839" i="11"/>
  <c r="L1839" i="11"/>
  <c r="G1839" i="11"/>
  <c r="S1838" i="11"/>
  <c r="R1838" i="11"/>
  <c r="Q1838" i="11"/>
  <c r="O1838" i="11"/>
  <c r="N1838" i="11"/>
  <c r="M1838" i="11"/>
  <c r="L1838" i="11"/>
  <c r="G1838" i="11"/>
  <c r="S1837" i="11"/>
  <c r="R1837" i="11"/>
  <c r="Q1837" i="11"/>
  <c r="O1837" i="11"/>
  <c r="N1837" i="11"/>
  <c r="L1837" i="11"/>
  <c r="G1837" i="11"/>
  <c r="M1837" i="11" s="1"/>
  <c r="S1836" i="11"/>
  <c r="R1836" i="11"/>
  <c r="Q1836" i="11"/>
  <c r="O1836" i="11"/>
  <c r="N1836" i="11"/>
  <c r="M1836" i="11"/>
  <c r="L1836" i="11"/>
  <c r="G1836" i="11"/>
  <c r="S1835" i="11"/>
  <c r="R1835" i="11"/>
  <c r="Q1835" i="11"/>
  <c r="O1835" i="11"/>
  <c r="N1835" i="11"/>
  <c r="M1835" i="11"/>
  <c r="L1835" i="11"/>
  <c r="G1835" i="11"/>
  <c r="S1834" i="11"/>
  <c r="R1834" i="11"/>
  <c r="Q1834" i="11"/>
  <c r="O1834" i="11"/>
  <c r="N1834" i="11"/>
  <c r="L1834" i="11"/>
  <c r="G1834" i="11"/>
  <c r="M1834" i="11" s="1"/>
  <c r="S1833" i="11"/>
  <c r="R1833" i="11"/>
  <c r="Q1833" i="11"/>
  <c r="O1833" i="11"/>
  <c r="N1833" i="11"/>
  <c r="M1833" i="11"/>
  <c r="L1833" i="11"/>
  <c r="G1833" i="11"/>
  <c r="S1832" i="11"/>
  <c r="R1832" i="11"/>
  <c r="Q1832" i="11"/>
  <c r="O1832" i="11"/>
  <c r="N1832" i="11"/>
  <c r="M1832" i="11"/>
  <c r="L1832" i="11"/>
  <c r="G1832" i="11"/>
  <c r="S1831" i="11"/>
  <c r="R1831" i="11"/>
  <c r="Q1831" i="11"/>
  <c r="O1831" i="11"/>
  <c r="N1831" i="11"/>
  <c r="L1831" i="11"/>
  <c r="G1831" i="11"/>
  <c r="M1831" i="11" s="1"/>
  <c r="S1830" i="11"/>
  <c r="R1830" i="11"/>
  <c r="Q1830" i="11"/>
  <c r="O1830" i="11"/>
  <c r="N1830" i="11"/>
  <c r="M1830" i="11"/>
  <c r="L1830" i="11"/>
  <c r="G1830" i="11"/>
  <c r="S1829" i="11"/>
  <c r="R1829" i="11"/>
  <c r="Q1829" i="11"/>
  <c r="O1829" i="11"/>
  <c r="N1829" i="11"/>
  <c r="M1829" i="11"/>
  <c r="L1829" i="11"/>
  <c r="G1829" i="11"/>
  <c r="S1828" i="11"/>
  <c r="R1828" i="11"/>
  <c r="Q1828" i="11"/>
  <c r="O1828" i="11"/>
  <c r="N1828" i="11"/>
  <c r="L1828" i="11"/>
  <c r="G1828" i="11"/>
  <c r="M1828" i="11" s="1"/>
  <c r="S1827" i="11"/>
  <c r="R1827" i="11"/>
  <c r="Q1827" i="11"/>
  <c r="O1827" i="11"/>
  <c r="N1827" i="11"/>
  <c r="M1827" i="11"/>
  <c r="L1827" i="11"/>
  <c r="G1827" i="11"/>
  <c r="S1826" i="11"/>
  <c r="R1826" i="11"/>
  <c r="Q1826" i="11"/>
  <c r="O1826" i="11"/>
  <c r="N1826" i="11"/>
  <c r="M1826" i="11"/>
  <c r="L1826" i="11"/>
  <c r="G1826" i="11"/>
  <c r="S1825" i="11"/>
  <c r="R1825" i="11"/>
  <c r="Q1825" i="11"/>
  <c r="O1825" i="11"/>
  <c r="N1825" i="11"/>
  <c r="L1825" i="11"/>
  <c r="G1825" i="11"/>
  <c r="M1825" i="11" s="1"/>
  <c r="S1824" i="11"/>
  <c r="R1824" i="11"/>
  <c r="Q1824" i="11"/>
  <c r="O1824" i="11"/>
  <c r="N1824" i="11"/>
  <c r="M1824" i="11"/>
  <c r="L1824" i="11"/>
  <c r="G1824" i="11"/>
  <c r="S1823" i="11"/>
  <c r="R1823" i="11"/>
  <c r="Q1823" i="11"/>
  <c r="O1823" i="11"/>
  <c r="N1823" i="11"/>
  <c r="M1823" i="11"/>
  <c r="L1823" i="11"/>
  <c r="G1823" i="11"/>
  <c r="S1822" i="11"/>
  <c r="R1822" i="11"/>
  <c r="Q1822" i="11"/>
  <c r="O1822" i="11"/>
  <c r="N1822" i="11"/>
  <c r="L1822" i="11"/>
  <c r="G1822" i="11"/>
  <c r="M1822" i="11" s="1"/>
  <c r="S1821" i="11"/>
  <c r="R1821" i="11"/>
  <c r="Q1821" i="11"/>
  <c r="O1821" i="11"/>
  <c r="N1821" i="11"/>
  <c r="M1821" i="11"/>
  <c r="L1821" i="11"/>
  <c r="G1821" i="11"/>
  <c r="S1820" i="11"/>
  <c r="R1820" i="11"/>
  <c r="Q1820" i="11"/>
  <c r="O1820" i="11"/>
  <c r="N1820" i="11"/>
  <c r="M1820" i="11"/>
  <c r="L1820" i="11"/>
  <c r="G1820" i="11"/>
  <c r="S1819" i="11"/>
  <c r="R1819" i="11"/>
  <c r="Q1819" i="11"/>
  <c r="O1819" i="11"/>
  <c r="N1819" i="11"/>
  <c r="L1819" i="11"/>
  <c r="G1819" i="11"/>
  <c r="M1819" i="11" s="1"/>
  <c r="S1818" i="11"/>
  <c r="R1818" i="11"/>
  <c r="Q1818" i="11"/>
  <c r="O1818" i="11"/>
  <c r="N1818" i="11"/>
  <c r="M1818" i="11"/>
  <c r="L1818" i="11"/>
  <c r="G1818" i="11"/>
  <c r="S1817" i="11"/>
  <c r="R1817" i="11"/>
  <c r="Q1817" i="11"/>
  <c r="O1817" i="11"/>
  <c r="N1817" i="11"/>
  <c r="M1817" i="11"/>
  <c r="L1817" i="11"/>
  <c r="G1817" i="11"/>
  <c r="S1816" i="11"/>
  <c r="R1816" i="11"/>
  <c r="Q1816" i="11"/>
  <c r="O1816" i="11"/>
  <c r="N1816" i="11"/>
  <c r="L1816" i="11"/>
  <c r="G1816" i="11"/>
  <c r="M1816" i="11" s="1"/>
  <c r="S1815" i="11"/>
  <c r="R1815" i="11"/>
  <c r="Q1815" i="11"/>
  <c r="O1815" i="11"/>
  <c r="N1815" i="11"/>
  <c r="M1815" i="11"/>
  <c r="L1815" i="11"/>
  <c r="G1815" i="11"/>
  <c r="S1814" i="11"/>
  <c r="R1814" i="11"/>
  <c r="Q1814" i="11"/>
  <c r="O1814" i="11"/>
  <c r="N1814" i="11"/>
  <c r="M1814" i="11"/>
  <c r="L1814" i="11"/>
  <c r="G1814" i="11"/>
  <c r="S1813" i="11"/>
  <c r="R1813" i="11"/>
  <c r="Q1813" i="11"/>
  <c r="O1813" i="11"/>
  <c r="N1813" i="11"/>
  <c r="L1813" i="11"/>
  <c r="G1813" i="11"/>
  <c r="M1813" i="11" s="1"/>
  <c r="S1812" i="11"/>
  <c r="R1812" i="11"/>
  <c r="Q1812" i="11"/>
  <c r="O1812" i="11"/>
  <c r="N1812" i="11"/>
  <c r="M1812" i="11"/>
  <c r="L1812" i="11"/>
  <c r="G1812" i="11"/>
  <c r="S1811" i="11"/>
  <c r="R1811" i="11"/>
  <c r="Q1811" i="11"/>
  <c r="O1811" i="11"/>
  <c r="N1811" i="11"/>
  <c r="M1811" i="11"/>
  <c r="L1811" i="11"/>
  <c r="G1811" i="11"/>
  <c r="S1810" i="11"/>
  <c r="R1810" i="11"/>
  <c r="Q1810" i="11"/>
  <c r="O1810" i="11"/>
  <c r="N1810" i="11"/>
  <c r="L1810" i="11"/>
  <c r="G1810" i="11"/>
  <c r="M1810" i="11" s="1"/>
  <c r="S1809" i="11"/>
  <c r="R1809" i="11"/>
  <c r="Q1809" i="11"/>
  <c r="O1809" i="11"/>
  <c r="N1809" i="11"/>
  <c r="M1809" i="11"/>
  <c r="L1809" i="11"/>
  <c r="G1809" i="11"/>
  <c r="S1808" i="11"/>
  <c r="R1808" i="11"/>
  <c r="Q1808" i="11"/>
  <c r="O1808" i="11"/>
  <c r="N1808" i="11"/>
  <c r="M1808" i="11"/>
  <c r="L1808" i="11"/>
  <c r="G1808" i="11"/>
  <c r="S1807" i="11"/>
  <c r="R1807" i="11"/>
  <c r="Q1807" i="11"/>
  <c r="O1807" i="11"/>
  <c r="N1807" i="11"/>
  <c r="L1807" i="11"/>
  <c r="G1807" i="11"/>
  <c r="M1807" i="11" s="1"/>
  <c r="S1806" i="11"/>
  <c r="R1806" i="11"/>
  <c r="Q1806" i="11"/>
  <c r="O1806" i="11"/>
  <c r="N1806" i="11"/>
  <c r="M1806" i="11"/>
  <c r="L1806" i="11"/>
  <c r="G1806" i="11"/>
  <c r="S1805" i="11"/>
  <c r="R1805" i="11"/>
  <c r="Q1805" i="11"/>
  <c r="O1805" i="11"/>
  <c r="N1805" i="11"/>
  <c r="M1805" i="11"/>
  <c r="L1805" i="11"/>
  <c r="G1805" i="11"/>
  <c r="S1804" i="11"/>
  <c r="R1804" i="11"/>
  <c r="Q1804" i="11"/>
  <c r="O1804" i="11"/>
  <c r="N1804" i="11"/>
  <c r="L1804" i="11"/>
  <c r="G1804" i="11"/>
  <c r="M1804" i="11" s="1"/>
  <c r="S1803" i="11"/>
  <c r="R1803" i="11"/>
  <c r="Q1803" i="11"/>
  <c r="O1803" i="11"/>
  <c r="N1803" i="11"/>
  <c r="M1803" i="11"/>
  <c r="L1803" i="11"/>
  <c r="G1803" i="11"/>
  <c r="S1802" i="11"/>
  <c r="R1802" i="11"/>
  <c r="Q1802" i="11"/>
  <c r="O1802" i="11"/>
  <c r="N1802" i="11"/>
  <c r="M1802" i="11"/>
  <c r="L1802" i="11"/>
  <c r="G1802" i="11"/>
  <c r="S1801" i="11"/>
  <c r="R1801" i="11"/>
  <c r="Q1801" i="11"/>
  <c r="O1801" i="11"/>
  <c r="N1801" i="11"/>
  <c r="L1801" i="11"/>
  <c r="G1801" i="11"/>
  <c r="M1801" i="11" s="1"/>
  <c r="S1800" i="11"/>
  <c r="R1800" i="11"/>
  <c r="Q1800" i="11"/>
  <c r="O1800" i="11"/>
  <c r="N1800" i="11"/>
  <c r="M1800" i="11"/>
  <c r="L1800" i="11"/>
  <c r="G1800" i="11"/>
  <c r="S1799" i="11"/>
  <c r="R1799" i="11"/>
  <c r="Q1799" i="11"/>
  <c r="O1799" i="11"/>
  <c r="N1799" i="11"/>
  <c r="M1799" i="11"/>
  <c r="L1799" i="11"/>
  <c r="G1799" i="11"/>
  <c r="S1798" i="11"/>
  <c r="R1798" i="11"/>
  <c r="Q1798" i="11"/>
  <c r="O1798" i="11"/>
  <c r="N1798" i="11"/>
  <c r="L1798" i="11"/>
  <c r="G1798" i="11"/>
  <c r="M1798" i="11" s="1"/>
  <c r="S1797" i="11"/>
  <c r="R1797" i="11"/>
  <c r="Q1797" i="11"/>
  <c r="O1797" i="11"/>
  <c r="N1797" i="11"/>
  <c r="M1797" i="11"/>
  <c r="L1797" i="11"/>
  <c r="G1797" i="11"/>
  <c r="S1796" i="11"/>
  <c r="R1796" i="11"/>
  <c r="Q1796" i="11"/>
  <c r="O1796" i="11"/>
  <c r="N1796" i="11"/>
  <c r="M1796" i="11"/>
  <c r="L1796" i="11"/>
  <c r="G1796" i="11"/>
  <c r="S1795" i="11"/>
  <c r="R1795" i="11"/>
  <c r="Q1795" i="11"/>
  <c r="O1795" i="11"/>
  <c r="N1795" i="11"/>
  <c r="L1795" i="11"/>
  <c r="G1795" i="11"/>
  <c r="M1795" i="11" s="1"/>
  <c r="S1794" i="11"/>
  <c r="R1794" i="11"/>
  <c r="Q1794" i="11"/>
  <c r="O1794" i="11"/>
  <c r="N1794" i="11"/>
  <c r="M1794" i="11"/>
  <c r="L1794" i="11"/>
  <c r="G1794" i="11"/>
  <c r="S1793" i="11"/>
  <c r="R1793" i="11"/>
  <c r="Q1793" i="11"/>
  <c r="O1793" i="11"/>
  <c r="N1793" i="11"/>
  <c r="M1793" i="11"/>
  <c r="L1793" i="11"/>
  <c r="G1793" i="11"/>
  <c r="S1792" i="11"/>
  <c r="R1792" i="11"/>
  <c r="Q1792" i="11"/>
  <c r="O1792" i="11"/>
  <c r="N1792" i="11"/>
  <c r="L1792" i="11"/>
  <c r="G1792" i="11"/>
  <c r="M1792" i="11" s="1"/>
  <c r="S1791" i="11"/>
  <c r="R1791" i="11"/>
  <c r="Q1791" i="11"/>
  <c r="O1791" i="11"/>
  <c r="N1791" i="11"/>
  <c r="M1791" i="11"/>
  <c r="L1791" i="11"/>
  <c r="G1791" i="11"/>
  <c r="S1790" i="11"/>
  <c r="R1790" i="11"/>
  <c r="Q1790" i="11"/>
  <c r="O1790" i="11"/>
  <c r="N1790" i="11"/>
  <c r="M1790" i="11"/>
  <c r="L1790" i="11"/>
  <c r="G1790" i="11"/>
  <c r="S1789" i="11"/>
  <c r="R1789" i="11"/>
  <c r="Q1789" i="11"/>
  <c r="O1789" i="11"/>
  <c r="N1789" i="11"/>
  <c r="L1789" i="11"/>
  <c r="G1789" i="11"/>
  <c r="M1789" i="11" s="1"/>
  <c r="S1788" i="11"/>
  <c r="R1788" i="11"/>
  <c r="Q1788" i="11"/>
  <c r="O1788" i="11"/>
  <c r="N1788" i="11"/>
  <c r="M1788" i="11"/>
  <c r="L1788" i="11"/>
  <c r="G1788" i="11"/>
  <c r="S1787" i="11"/>
  <c r="R1787" i="11"/>
  <c r="Q1787" i="11"/>
  <c r="O1787" i="11"/>
  <c r="N1787" i="11"/>
  <c r="M1787" i="11"/>
  <c r="L1787" i="11"/>
  <c r="G1787" i="11"/>
  <c r="S1786" i="11"/>
  <c r="R1786" i="11"/>
  <c r="Q1786" i="11"/>
  <c r="O1786" i="11"/>
  <c r="N1786" i="11"/>
  <c r="L1786" i="11"/>
  <c r="G1786" i="11"/>
  <c r="M1786" i="11" s="1"/>
  <c r="S1785" i="11"/>
  <c r="R1785" i="11"/>
  <c r="Q1785" i="11"/>
  <c r="O1785" i="11"/>
  <c r="N1785" i="11"/>
  <c r="M1785" i="11"/>
  <c r="L1785" i="11"/>
  <c r="G1785" i="11"/>
  <c r="S1784" i="11"/>
  <c r="R1784" i="11"/>
  <c r="Q1784" i="11"/>
  <c r="O1784" i="11"/>
  <c r="N1784" i="11"/>
  <c r="M1784" i="11"/>
  <c r="L1784" i="11"/>
  <c r="G1784" i="11"/>
  <c r="S1783" i="11"/>
  <c r="R1783" i="11"/>
  <c r="Q1783" i="11"/>
  <c r="O1783" i="11"/>
  <c r="N1783" i="11"/>
  <c r="L1783" i="11"/>
  <c r="G1783" i="11"/>
  <c r="M1783" i="11" s="1"/>
  <c r="S1782" i="11"/>
  <c r="R1782" i="11"/>
  <c r="Q1782" i="11"/>
  <c r="O1782" i="11"/>
  <c r="N1782" i="11"/>
  <c r="M1782" i="11"/>
  <c r="L1782" i="11"/>
  <c r="G1782" i="11"/>
  <c r="S1781" i="11"/>
  <c r="R1781" i="11"/>
  <c r="Q1781" i="11"/>
  <c r="O1781" i="11"/>
  <c r="N1781" i="11"/>
  <c r="M1781" i="11"/>
  <c r="L1781" i="11"/>
  <c r="G1781" i="11"/>
  <c r="S1780" i="11"/>
  <c r="R1780" i="11"/>
  <c r="Q1780" i="11"/>
  <c r="O1780" i="11"/>
  <c r="N1780" i="11"/>
  <c r="L1780" i="11"/>
  <c r="G1780" i="11"/>
  <c r="M1780" i="11" s="1"/>
  <c r="S1779" i="11"/>
  <c r="R1779" i="11"/>
  <c r="Q1779" i="11"/>
  <c r="O1779" i="11"/>
  <c r="N1779" i="11"/>
  <c r="M1779" i="11"/>
  <c r="L1779" i="11"/>
  <c r="G1779" i="11"/>
  <c r="S1778" i="11"/>
  <c r="R1778" i="11"/>
  <c r="Q1778" i="11"/>
  <c r="O1778" i="11"/>
  <c r="N1778" i="11"/>
  <c r="M1778" i="11"/>
  <c r="L1778" i="11"/>
  <c r="G1778" i="11"/>
  <c r="S1777" i="11"/>
  <c r="R1777" i="11"/>
  <c r="Q1777" i="11"/>
  <c r="O1777" i="11"/>
  <c r="N1777" i="11"/>
  <c r="L1777" i="11"/>
  <c r="G1777" i="11"/>
  <c r="M1777" i="11" s="1"/>
  <c r="S1776" i="11"/>
  <c r="R1776" i="11"/>
  <c r="Q1776" i="11"/>
  <c r="O1776" i="11"/>
  <c r="N1776" i="11"/>
  <c r="M1776" i="11"/>
  <c r="L1776" i="11"/>
  <c r="G1776" i="11"/>
  <c r="S1775" i="11"/>
  <c r="R1775" i="11"/>
  <c r="Q1775" i="11"/>
  <c r="O1775" i="11"/>
  <c r="N1775" i="11"/>
  <c r="M1775" i="11"/>
  <c r="L1775" i="11"/>
  <c r="G1775" i="11"/>
  <c r="S1774" i="11"/>
  <c r="R1774" i="11"/>
  <c r="Q1774" i="11"/>
  <c r="O1774" i="11"/>
  <c r="N1774" i="11"/>
  <c r="L1774" i="11"/>
  <c r="G1774" i="11"/>
  <c r="M1774" i="11" s="1"/>
  <c r="S1773" i="11"/>
  <c r="R1773" i="11"/>
  <c r="Q1773" i="11"/>
  <c r="O1773" i="11"/>
  <c r="N1773" i="11"/>
  <c r="M1773" i="11"/>
  <c r="L1773" i="11"/>
  <c r="G1773" i="11"/>
  <c r="S1772" i="11"/>
  <c r="R1772" i="11"/>
  <c r="Q1772" i="11"/>
  <c r="O1772" i="11"/>
  <c r="N1772" i="11"/>
  <c r="M1772" i="11"/>
  <c r="L1772" i="11"/>
  <c r="G1772" i="11"/>
  <c r="S1771" i="11"/>
  <c r="R1771" i="11"/>
  <c r="Q1771" i="11"/>
  <c r="O1771" i="11"/>
  <c r="N1771" i="11"/>
  <c r="L1771" i="11"/>
  <c r="G1771" i="11"/>
  <c r="M1771" i="11" s="1"/>
  <c r="S1770" i="11"/>
  <c r="R1770" i="11"/>
  <c r="Q1770" i="11"/>
  <c r="O1770" i="11"/>
  <c r="N1770" i="11"/>
  <c r="M1770" i="11"/>
  <c r="L1770" i="11"/>
  <c r="G1770" i="11"/>
  <c r="S1769" i="11"/>
  <c r="R1769" i="11"/>
  <c r="Q1769" i="11"/>
  <c r="O1769" i="11"/>
  <c r="N1769" i="11"/>
  <c r="M1769" i="11"/>
  <c r="L1769" i="11"/>
  <c r="G1769" i="11"/>
  <c r="S1768" i="11"/>
  <c r="R1768" i="11"/>
  <c r="Q1768" i="11"/>
  <c r="O1768" i="11"/>
  <c r="N1768" i="11"/>
  <c r="L1768" i="11"/>
  <c r="G1768" i="11"/>
  <c r="M1768" i="11" s="1"/>
  <c r="S1767" i="11"/>
  <c r="R1767" i="11"/>
  <c r="Q1767" i="11"/>
  <c r="O1767" i="11"/>
  <c r="N1767" i="11"/>
  <c r="M1767" i="11"/>
  <c r="L1767" i="11"/>
  <c r="G1767" i="11"/>
  <c r="S1766" i="11"/>
  <c r="R1766" i="11"/>
  <c r="Q1766" i="11"/>
  <c r="O1766" i="11"/>
  <c r="N1766" i="11"/>
  <c r="M1766" i="11"/>
  <c r="L1766" i="11"/>
  <c r="G1766" i="11"/>
  <c r="S1765" i="11"/>
  <c r="R1765" i="11"/>
  <c r="Q1765" i="11"/>
  <c r="O1765" i="11"/>
  <c r="N1765" i="11"/>
  <c r="L1765" i="11"/>
  <c r="G1765" i="11"/>
  <c r="M1765" i="11" s="1"/>
  <c r="S1764" i="11"/>
  <c r="R1764" i="11"/>
  <c r="Q1764" i="11"/>
  <c r="O1764" i="11"/>
  <c r="N1764" i="11"/>
  <c r="M1764" i="11"/>
  <c r="L1764" i="11"/>
  <c r="G1764" i="11"/>
  <c r="S1763" i="11"/>
  <c r="R1763" i="11"/>
  <c r="Q1763" i="11"/>
  <c r="O1763" i="11"/>
  <c r="N1763" i="11"/>
  <c r="M1763" i="11"/>
  <c r="L1763" i="11"/>
  <c r="G1763" i="11"/>
  <c r="S1762" i="11"/>
  <c r="R1762" i="11"/>
  <c r="Q1762" i="11"/>
  <c r="O1762" i="11"/>
  <c r="N1762" i="11"/>
  <c r="L1762" i="11"/>
  <c r="G1762" i="11"/>
  <c r="M1762" i="11" s="1"/>
  <c r="S1761" i="11"/>
  <c r="R1761" i="11"/>
  <c r="Q1761" i="11"/>
  <c r="O1761" i="11"/>
  <c r="N1761" i="11"/>
  <c r="M1761" i="11"/>
  <c r="L1761" i="11"/>
  <c r="G1761" i="11"/>
  <c r="S1760" i="11"/>
  <c r="R1760" i="11"/>
  <c r="Q1760" i="11"/>
  <c r="O1760" i="11"/>
  <c r="N1760" i="11"/>
  <c r="M1760" i="11"/>
  <c r="L1760" i="11"/>
  <c r="G1760" i="11"/>
  <c r="S1759" i="11"/>
  <c r="R1759" i="11"/>
  <c r="Q1759" i="11"/>
  <c r="O1759" i="11"/>
  <c r="N1759" i="11"/>
  <c r="L1759" i="11"/>
  <c r="G1759" i="11"/>
  <c r="M1759" i="11" s="1"/>
  <c r="S1758" i="11"/>
  <c r="R1758" i="11"/>
  <c r="Q1758" i="11"/>
  <c r="O1758" i="11"/>
  <c r="N1758" i="11"/>
  <c r="M1758" i="11"/>
  <c r="L1758" i="11"/>
  <c r="G1758" i="11"/>
  <c r="S1757" i="11"/>
  <c r="R1757" i="11"/>
  <c r="Q1757" i="11"/>
  <c r="O1757" i="11"/>
  <c r="N1757" i="11"/>
  <c r="M1757" i="11"/>
  <c r="L1757" i="11"/>
  <c r="G1757" i="11"/>
  <c r="S1756" i="11"/>
  <c r="R1756" i="11"/>
  <c r="Q1756" i="11"/>
  <c r="O1756" i="11"/>
  <c r="N1756" i="11"/>
  <c r="L1756" i="11"/>
  <c r="G1756" i="11"/>
  <c r="M1756" i="11" s="1"/>
  <c r="S1755" i="11"/>
  <c r="R1755" i="11"/>
  <c r="Q1755" i="11"/>
  <c r="O1755" i="11"/>
  <c r="N1755" i="11"/>
  <c r="M1755" i="11"/>
  <c r="L1755" i="11"/>
  <c r="G1755" i="11"/>
  <c r="S1754" i="11"/>
  <c r="R1754" i="11"/>
  <c r="Q1754" i="11"/>
  <c r="O1754" i="11"/>
  <c r="N1754" i="11"/>
  <c r="M1754" i="11"/>
  <c r="L1754" i="11"/>
  <c r="G1754" i="11"/>
  <c r="S1753" i="11"/>
  <c r="R1753" i="11"/>
  <c r="Q1753" i="11"/>
  <c r="O1753" i="11"/>
  <c r="N1753" i="11"/>
  <c r="L1753" i="11"/>
  <c r="G1753" i="11"/>
  <c r="M1753" i="11" s="1"/>
  <c r="S1752" i="11"/>
  <c r="R1752" i="11"/>
  <c r="Q1752" i="11"/>
  <c r="O1752" i="11"/>
  <c r="N1752" i="11"/>
  <c r="M1752" i="11"/>
  <c r="L1752" i="11"/>
  <c r="G1752" i="11"/>
  <c r="S1751" i="11"/>
  <c r="R1751" i="11"/>
  <c r="Q1751" i="11"/>
  <c r="O1751" i="11"/>
  <c r="N1751" i="11"/>
  <c r="M1751" i="11"/>
  <c r="L1751" i="11"/>
  <c r="G1751" i="11"/>
  <c r="S1750" i="11"/>
  <c r="R1750" i="11"/>
  <c r="Q1750" i="11"/>
  <c r="O1750" i="11"/>
  <c r="N1750" i="11"/>
  <c r="L1750" i="11"/>
  <c r="G1750" i="11"/>
  <c r="M1750" i="11" s="1"/>
  <c r="S1749" i="11"/>
  <c r="R1749" i="11"/>
  <c r="Q1749" i="11"/>
  <c r="O1749" i="11"/>
  <c r="N1749" i="11"/>
  <c r="M1749" i="11"/>
  <c r="L1749" i="11"/>
  <c r="G1749" i="11"/>
  <c r="S1748" i="11"/>
  <c r="R1748" i="11"/>
  <c r="Q1748" i="11"/>
  <c r="O1748" i="11"/>
  <c r="N1748" i="11"/>
  <c r="M1748" i="11"/>
  <c r="L1748" i="11"/>
  <c r="G1748" i="11"/>
  <c r="S1747" i="11"/>
  <c r="R1747" i="11"/>
  <c r="Q1747" i="11"/>
  <c r="O1747" i="11"/>
  <c r="N1747" i="11"/>
  <c r="L1747" i="11"/>
  <c r="G1747" i="11"/>
  <c r="M1747" i="11" s="1"/>
  <c r="S1746" i="11"/>
  <c r="R1746" i="11"/>
  <c r="Q1746" i="11"/>
  <c r="O1746" i="11"/>
  <c r="N1746" i="11"/>
  <c r="M1746" i="11"/>
  <c r="L1746" i="11"/>
  <c r="G1746" i="11"/>
  <c r="S1745" i="11"/>
  <c r="R1745" i="11"/>
  <c r="Q1745" i="11"/>
  <c r="O1745" i="11"/>
  <c r="N1745" i="11"/>
  <c r="M1745" i="11"/>
  <c r="L1745" i="11"/>
  <c r="G1745" i="11"/>
  <c r="S1744" i="11"/>
  <c r="R1744" i="11"/>
  <c r="Q1744" i="11"/>
  <c r="O1744" i="11"/>
  <c r="N1744" i="11"/>
  <c r="L1744" i="11"/>
  <c r="G1744" i="11"/>
  <c r="M1744" i="11" s="1"/>
  <c r="S1743" i="11"/>
  <c r="R1743" i="11"/>
  <c r="Q1743" i="11"/>
  <c r="O1743" i="11"/>
  <c r="N1743" i="11"/>
  <c r="M1743" i="11"/>
  <c r="L1743" i="11"/>
  <c r="G1743" i="11"/>
  <c r="S1742" i="11"/>
  <c r="R1742" i="11"/>
  <c r="Q1742" i="11"/>
  <c r="O1742" i="11"/>
  <c r="N1742" i="11"/>
  <c r="M1742" i="11"/>
  <c r="L1742" i="11"/>
  <c r="G1742" i="11"/>
  <c r="S1741" i="11"/>
  <c r="R1741" i="11"/>
  <c r="Q1741" i="11"/>
  <c r="O1741" i="11"/>
  <c r="N1741" i="11"/>
  <c r="L1741" i="11"/>
  <c r="G1741" i="11"/>
  <c r="M1741" i="11" s="1"/>
  <c r="S1740" i="11"/>
  <c r="R1740" i="11"/>
  <c r="Q1740" i="11"/>
  <c r="O1740" i="11"/>
  <c r="N1740" i="11"/>
  <c r="M1740" i="11"/>
  <c r="L1740" i="11"/>
  <c r="G1740" i="11"/>
  <c r="S1739" i="11"/>
  <c r="R1739" i="11"/>
  <c r="Q1739" i="11"/>
  <c r="O1739" i="11"/>
  <c r="N1739" i="11"/>
  <c r="M1739" i="11"/>
  <c r="L1739" i="11"/>
  <c r="G1739" i="11"/>
  <c r="S1738" i="11"/>
  <c r="R1738" i="11"/>
  <c r="Q1738" i="11"/>
  <c r="O1738" i="11"/>
  <c r="N1738" i="11"/>
  <c r="L1738" i="11"/>
  <c r="G1738" i="11"/>
  <c r="M1738" i="11" s="1"/>
  <c r="S1737" i="11"/>
  <c r="R1737" i="11"/>
  <c r="Q1737" i="11"/>
  <c r="O1737" i="11"/>
  <c r="N1737" i="11"/>
  <c r="M1737" i="11"/>
  <c r="L1737" i="11"/>
  <c r="G1737" i="11"/>
  <c r="S1736" i="11"/>
  <c r="R1736" i="11"/>
  <c r="Q1736" i="11"/>
  <c r="O1736" i="11"/>
  <c r="N1736" i="11"/>
  <c r="M1736" i="11"/>
  <c r="L1736" i="11"/>
  <c r="G1736" i="11"/>
  <c r="S1735" i="11"/>
  <c r="R1735" i="11"/>
  <c r="Q1735" i="11"/>
  <c r="O1735" i="11"/>
  <c r="N1735" i="11"/>
  <c r="L1735" i="11"/>
  <c r="G1735" i="11"/>
  <c r="M1735" i="11" s="1"/>
  <c r="S1734" i="11"/>
  <c r="R1734" i="11"/>
  <c r="Q1734" i="11"/>
  <c r="O1734" i="11"/>
  <c r="N1734" i="11"/>
  <c r="M1734" i="11"/>
  <c r="L1734" i="11"/>
  <c r="G1734" i="11"/>
  <c r="S1733" i="11"/>
  <c r="R1733" i="11"/>
  <c r="Q1733" i="11"/>
  <c r="O1733" i="11"/>
  <c r="N1733" i="11"/>
  <c r="M1733" i="11"/>
  <c r="L1733" i="11"/>
  <c r="G1733" i="11"/>
  <c r="S1732" i="11"/>
  <c r="R1732" i="11"/>
  <c r="Q1732" i="11"/>
  <c r="O1732" i="11"/>
  <c r="N1732" i="11"/>
  <c r="L1732" i="11"/>
  <c r="G1732" i="11"/>
  <c r="M1732" i="11" s="1"/>
  <c r="S1731" i="11"/>
  <c r="R1731" i="11"/>
  <c r="Q1731" i="11"/>
  <c r="O1731" i="11"/>
  <c r="N1731" i="11"/>
  <c r="M1731" i="11"/>
  <c r="L1731" i="11"/>
  <c r="G1731" i="11"/>
  <c r="S1730" i="11"/>
  <c r="R1730" i="11"/>
  <c r="Q1730" i="11"/>
  <c r="O1730" i="11"/>
  <c r="N1730" i="11"/>
  <c r="M1730" i="11"/>
  <c r="L1730" i="11"/>
  <c r="G1730" i="11"/>
  <c r="S1729" i="11"/>
  <c r="R1729" i="11"/>
  <c r="Q1729" i="11"/>
  <c r="O1729" i="11"/>
  <c r="N1729" i="11"/>
  <c r="L1729" i="11"/>
  <c r="G1729" i="11"/>
  <c r="M1729" i="11" s="1"/>
  <c r="S1728" i="11"/>
  <c r="R1728" i="11"/>
  <c r="Q1728" i="11"/>
  <c r="O1728" i="11"/>
  <c r="N1728" i="11"/>
  <c r="M1728" i="11"/>
  <c r="L1728" i="11"/>
  <c r="G1728" i="11"/>
  <c r="S1727" i="11"/>
  <c r="R1727" i="11"/>
  <c r="Q1727" i="11"/>
  <c r="O1727" i="11"/>
  <c r="N1727" i="11"/>
  <c r="M1727" i="11"/>
  <c r="L1727" i="11"/>
  <c r="G1727" i="11"/>
  <c r="S1726" i="11"/>
  <c r="R1726" i="11"/>
  <c r="Q1726" i="11"/>
  <c r="O1726" i="11"/>
  <c r="N1726" i="11"/>
  <c r="L1726" i="11"/>
  <c r="G1726" i="11"/>
  <c r="M1726" i="11" s="1"/>
  <c r="S1725" i="11"/>
  <c r="R1725" i="11"/>
  <c r="Q1725" i="11"/>
  <c r="O1725" i="11"/>
  <c r="N1725" i="11"/>
  <c r="M1725" i="11"/>
  <c r="L1725" i="11"/>
  <c r="G1725" i="11"/>
  <c r="S1724" i="11"/>
  <c r="R1724" i="11"/>
  <c r="Q1724" i="11"/>
  <c r="O1724" i="11"/>
  <c r="N1724" i="11"/>
  <c r="M1724" i="11"/>
  <c r="L1724" i="11"/>
  <c r="G1724" i="11"/>
  <c r="S1723" i="11"/>
  <c r="R1723" i="11"/>
  <c r="Q1723" i="11"/>
  <c r="O1723" i="11"/>
  <c r="N1723" i="11"/>
  <c r="L1723" i="11"/>
  <c r="G1723" i="11"/>
  <c r="M1723" i="11" s="1"/>
  <c r="S1722" i="11"/>
  <c r="R1722" i="11"/>
  <c r="Q1722" i="11"/>
  <c r="O1722" i="11"/>
  <c r="N1722" i="11"/>
  <c r="M1722" i="11"/>
  <c r="L1722" i="11"/>
  <c r="G1722" i="11"/>
  <c r="S1721" i="11"/>
  <c r="R1721" i="11"/>
  <c r="Q1721" i="11"/>
  <c r="O1721" i="11"/>
  <c r="N1721" i="11"/>
  <c r="M1721" i="11"/>
  <c r="L1721" i="11"/>
  <c r="G1721" i="11"/>
  <c r="S1720" i="11"/>
  <c r="R1720" i="11"/>
  <c r="Q1720" i="11"/>
  <c r="O1720" i="11"/>
  <c r="N1720" i="11"/>
  <c r="L1720" i="11"/>
  <c r="G1720" i="11"/>
  <c r="M1720" i="11" s="1"/>
  <c r="S1719" i="11"/>
  <c r="R1719" i="11"/>
  <c r="Q1719" i="11"/>
  <c r="O1719" i="11"/>
  <c r="N1719" i="11"/>
  <c r="M1719" i="11"/>
  <c r="L1719" i="11"/>
  <c r="G1719" i="11"/>
  <c r="S1718" i="11"/>
  <c r="R1718" i="11"/>
  <c r="Q1718" i="11"/>
  <c r="O1718" i="11"/>
  <c r="N1718" i="11"/>
  <c r="M1718" i="11"/>
  <c r="L1718" i="11"/>
  <c r="G1718" i="11"/>
  <c r="S1717" i="11"/>
  <c r="R1717" i="11"/>
  <c r="Q1717" i="11"/>
  <c r="O1717" i="11"/>
  <c r="N1717" i="11"/>
  <c r="L1717" i="11"/>
  <c r="G1717" i="11"/>
  <c r="M1717" i="11" s="1"/>
  <c r="S1716" i="11"/>
  <c r="R1716" i="11"/>
  <c r="Q1716" i="11"/>
  <c r="O1716" i="11"/>
  <c r="N1716" i="11"/>
  <c r="M1716" i="11"/>
  <c r="L1716" i="11"/>
  <c r="G1716" i="11"/>
  <c r="S1715" i="11"/>
  <c r="R1715" i="11"/>
  <c r="Q1715" i="11"/>
  <c r="O1715" i="11"/>
  <c r="N1715" i="11"/>
  <c r="M1715" i="11"/>
  <c r="L1715" i="11"/>
  <c r="G1715" i="11"/>
  <c r="S1714" i="11"/>
  <c r="R1714" i="11"/>
  <c r="Q1714" i="11"/>
  <c r="O1714" i="11"/>
  <c r="N1714" i="11"/>
  <c r="L1714" i="11"/>
  <c r="G1714" i="11"/>
  <c r="M1714" i="11" s="1"/>
  <c r="S1713" i="11"/>
  <c r="R1713" i="11"/>
  <c r="Q1713" i="11"/>
  <c r="O1713" i="11"/>
  <c r="N1713" i="11"/>
  <c r="M1713" i="11"/>
  <c r="L1713" i="11"/>
  <c r="G1713" i="11"/>
  <c r="S1712" i="11"/>
  <c r="R1712" i="11"/>
  <c r="Q1712" i="11"/>
  <c r="O1712" i="11"/>
  <c r="N1712" i="11"/>
  <c r="M1712" i="11"/>
  <c r="L1712" i="11"/>
  <c r="G1712" i="11"/>
  <c r="S1711" i="11"/>
  <c r="R1711" i="11"/>
  <c r="Q1711" i="11"/>
  <c r="O1711" i="11"/>
  <c r="N1711" i="11"/>
  <c r="L1711" i="11"/>
  <c r="G1711" i="11"/>
  <c r="M1711" i="11" s="1"/>
  <c r="S1710" i="11"/>
  <c r="R1710" i="11"/>
  <c r="Q1710" i="11"/>
  <c r="O1710" i="11"/>
  <c r="N1710" i="11"/>
  <c r="M1710" i="11"/>
  <c r="L1710" i="11"/>
  <c r="G1710" i="11"/>
  <c r="S1709" i="11"/>
  <c r="R1709" i="11"/>
  <c r="Q1709" i="11"/>
  <c r="O1709" i="11"/>
  <c r="N1709" i="11"/>
  <c r="M1709" i="11"/>
  <c r="L1709" i="11"/>
  <c r="G1709" i="11"/>
  <c r="S1708" i="11"/>
  <c r="R1708" i="11"/>
  <c r="Q1708" i="11"/>
  <c r="O1708" i="11"/>
  <c r="N1708" i="11"/>
  <c r="L1708" i="11"/>
  <c r="G1708" i="11"/>
  <c r="M1708" i="11" s="1"/>
  <c r="S1707" i="11"/>
  <c r="R1707" i="11"/>
  <c r="Q1707" i="11"/>
  <c r="O1707" i="11"/>
  <c r="N1707" i="11"/>
  <c r="M1707" i="11"/>
  <c r="L1707" i="11"/>
  <c r="G1707" i="11"/>
  <c r="S1706" i="11"/>
  <c r="R1706" i="11"/>
  <c r="Q1706" i="11"/>
  <c r="O1706" i="11"/>
  <c r="N1706" i="11"/>
  <c r="M1706" i="11"/>
  <c r="L1706" i="11"/>
  <c r="G1706" i="11"/>
  <c r="S1705" i="11"/>
  <c r="R1705" i="11"/>
  <c r="Q1705" i="11"/>
  <c r="O1705" i="11"/>
  <c r="N1705" i="11"/>
  <c r="L1705" i="11"/>
  <c r="G1705" i="11"/>
  <c r="M1705" i="11" s="1"/>
  <c r="S1704" i="11"/>
  <c r="R1704" i="11"/>
  <c r="Q1704" i="11"/>
  <c r="O1704" i="11"/>
  <c r="N1704" i="11"/>
  <c r="M1704" i="11"/>
  <c r="L1704" i="11"/>
  <c r="G1704" i="11"/>
  <c r="S1703" i="11"/>
  <c r="R1703" i="11"/>
  <c r="Q1703" i="11"/>
  <c r="O1703" i="11"/>
  <c r="N1703" i="11"/>
  <c r="M1703" i="11"/>
  <c r="L1703" i="11"/>
  <c r="G1703" i="11"/>
  <c r="S1702" i="11"/>
  <c r="R1702" i="11"/>
  <c r="Q1702" i="11"/>
  <c r="O1702" i="11"/>
  <c r="M1702" i="11"/>
  <c r="L1702" i="11"/>
  <c r="K1702" i="11"/>
  <c r="G1702" i="11"/>
  <c r="S1701" i="11"/>
  <c r="R1701" i="11"/>
  <c r="Q1701" i="11"/>
  <c r="O1701" i="11"/>
  <c r="N1701" i="11"/>
  <c r="L1701" i="11"/>
  <c r="G1701" i="11"/>
  <c r="M1701" i="11" s="1"/>
  <c r="S1700" i="11"/>
  <c r="R1700" i="11"/>
  <c r="Q1700" i="11"/>
  <c r="O1700" i="11"/>
  <c r="N1700" i="11"/>
  <c r="L1700" i="11"/>
  <c r="G1700" i="11"/>
  <c r="M1700" i="11" s="1"/>
  <c r="S1699" i="11"/>
  <c r="R1699" i="11"/>
  <c r="Q1699" i="11"/>
  <c r="O1699" i="11"/>
  <c r="N1699" i="11"/>
  <c r="M1699" i="11"/>
  <c r="L1699" i="11"/>
  <c r="G1699" i="11"/>
  <c r="S1698" i="11"/>
  <c r="R1698" i="11"/>
  <c r="Q1698" i="11"/>
  <c r="O1698" i="11"/>
  <c r="N1698" i="11"/>
  <c r="L1698" i="11"/>
  <c r="G1698" i="11"/>
  <c r="M1698" i="11" s="1"/>
  <c r="S1697" i="11"/>
  <c r="R1697" i="11"/>
  <c r="Q1697" i="11"/>
  <c r="O1697" i="11"/>
  <c r="N1697" i="11"/>
  <c r="L1697" i="11"/>
  <c r="G1697" i="11"/>
  <c r="M1697" i="11" s="1"/>
  <c r="S1696" i="11"/>
  <c r="R1696" i="11"/>
  <c r="Q1696" i="11"/>
  <c r="O1696" i="11"/>
  <c r="N1696" i="11"/>
  <c r="M1696" i="11"/>
  <c r="L1696" i="11"/>
  <c r="G1696" i="11"/>
  <c r="S1695" i="11"/>
  <c r="R1695" i="11"/>
  <c r="Q1695" i="11"/>
  <c r="O1695" i="11"/>
  <c r="N1695" i="11"/>
  <c r="L1695" i="11"/>
  <c r="G1695" i="11"/>
  <c r="M1695" i="11" s="1"/>
  <c r="S1694" i="11"/>
  <c r="R1694" i="11"/>
  <c r="Q1694" i="11"/>
  <c r="O1694" i="11"/>
  <c r="N1694" i="11"/>
  <c r="L1694" i="11"/>
  <c r="G1694" i="11"/>
  <c r="M1694" i="11" s="1"/>
  <c r="S1693" i="11"/>
  <c r="R1693" i="11"/>
  <c r="Q1693" i="11"/>
  <c r="O1693" i="11"/>
  <c r="N1693" i="11"/>
  <c r="M1693" i="11"/>
  <c r="L1693" i="11"/>
  <c r="G1693" i="11"/>
  <c r="S1692" i="11"/>
  <c r="R1692" i="11"/>
  <c r="Q1692" i="11"/>
  <c r="O1692" i="11"/>
  <c r="N1692" i="11"/>
  <c r="L1692" i="11"/>
  <c r="G1692" i="11"/>
  <c r="M1692" i="11" s="1"/>
  <c r="S1691" i="11"/>
  <c r="R1691" i="11"/>
  <c r="Q1691" i="11"/>
  <c r="O1691" i="11"/>
  <c r="N1691" i="11"/>
  <c r="L1691" i="11"/>
  <c r="G1691" i="11"/>
  <c r="M1691" i="11" s="1"/>
  <c r="S1690" i="11"/>
  <c r="R1690" i="11"/>
  <c r="Q1690" i="11"/>
  <c r="O1690" i="11"/>
  <c r="N1690" i="11"/>
  <c r="M1690" i="11"/>
  <c r="L1690" i="11"/>
  <c r="G1690" i="11"/>
  <c r="S1689" i="11"/>
  <c r="R1689" i="11"/>
  <c r="Q1689" i="11"/>
  <c r="O1689" i="11"/>
  <c r="N1689" i="11"/>
  <c r="L1689" i="11"/>
  <c r="G1689" i="11"/>
  <c r="M1689" i="11" s="1"/>
  <c r="S1688" i="11"/>
  <c r="R1688" i="11"/>
  <c r="Q1688" i="11"/>
  <c r="O1688" i="11"/>
  <c r="N1688" i="11"/>
  <c r="L1688" i="11"/>
  <c r="G1688" i="11"/>
  <c r="M1688" i="11" s="1"/>
  <c r="S1687" i="11"/>
  <c r="R1687" i="11"/>
  <c r="Q1687" i="11"/>
  <c r="O1687" i="11"/>
  <c r="N1687" i="11"/>
  <c r="M1687" i="11"/>
  <c r="L1687" i="11"/>
  <c r="G1687" i="11"/>
  <c r="S1686" i="11"/>
  <c r="R1686" i="11"/>
  <c r="Q1686" i="11"/>
  <c r="O1686" i="11"/>
  <c r="N1686" i="11"/>
  <c r="L1686" i="11"/>
  <c r="G1686" i="11"/>
  <c r="M1686" i="11" s="1"/>
  <c r="S1685" i="11"/>
  <c r="R1685" i="11"/>
  <c r="Q1685" i="11"/>
  <c r="O1685" i="11"/>
  <c r="N1685" i="11"/>
  <c r="L1685" i="11"/>
  <c r="G1685" i="11"/>
  <c r="M1685" i="11" s="1"/>
  <c r="S1684" i="11"/>
  <c r="R1684" i="11"/>
  <c r="Q1684" i="11"/>
  <c r="O1684" i="11"/>
  <c r="N1684" i="11"/>
  <c r="M1684" i="11"/>
  <c r="L1684" i="11"/>
  <c r="G1684" i="11"/>
  <c r="S1683" i="11"/>
  <c r="R1683" i="11"/>
  <c r="Q1683" i="11"/>
  <c r="O1683" i="11"/>
  <c r="N1683" i="11"/>
  <c r="L1683" i="11"/>
  <c r="G1683" i="11"/>
  <c r="M1683" i="11" s="1"/>
  <c r="S1682" i="11"/>
  <c r="R1682" i="11"/>
  <c r="Q1682" i="11"/>
  <c r="O1682" i="11"/>
  <c r="N1682" i="11"/>
  <c r="L1682" i="11"/>
  <c r="G1682" i="11"/>
  <c r="M1682" i="11" s="1"/>
  <c r="S1681" i="11"/>
  <c r="R1681" i="11"/>
  <c r="Q1681" i="11"/>
  <c r="O1681" i="11"/>
  <c r="N1681" i="11"/>
  <c r="M1681" i="11"/>
  <c r="L1681" i="11"/>
  <c r="G1681" i="11"/>
  <c r="S1680" i="11"/>
  <c r="R1680" i="11"/>
  <c r="Q1680" i="11"/>
  <c r="O1680" i="11"/>
  <c r="N1680" i="11"/>
  <c r="L1680" i="11"/>
  <c r="G1680" i="11"/>
  <c r="M1680" i="11" s="1"/>
  <c r="S1679" i="11"/>
  <c r="R1679" i="11"/>
  <c r="Q1679" i="11"/>
  <c r="O1679" i="11"/>
  <c r="N1679" i="11"/>
  <c r="L1679" i="11"/>
  <c r="G1679" i="11"/>
  <c r="M1679" i="11" s="1"/>
  <c r="S1678" i="11"/>
  <c r="R1678" i="11"/>
  <c r="Q1678" i="11"/>
  <c r="O1678" i="11"/>
  <c r="N1678" i="11"/>
  <c r="M1678" i="11"/>
  <c r="L1678" i="11"/>
  <c r="G1678" i="11"/>
  <c r="S1677" i="11"/>
  <c r="R1677" i="11"/>
  <c r="Q1677" i="11"/>
  <c r="O1677" i="11"/>
  <c r="N1677" i="11"/>
  <c r="L1677" i="11"/>
  <c r="G1677" i="11"/>
  <c r="M1677" i="11" s="1"/>
  <c r="S1676" i="11"/>
  <c r="R1676" i="11"/>
  <c r="Q1676" i="11"/>
  <c r="O1676" i="11"/>
  <c r="N1676" i="11"/>
  <c r="L1676" i="11"/>
  <c r="G1676" i="11"/>
  <c r="M1676" i="11" s="1"/>
  <c r="S1675" i="11"/>
  <c r="R1675" i="11"/>
  <c r="Q1675" i="11"/>
  <c r="O1675" i="11"/>
  <c r="N1675" i="11"/>
  <c r="M1675" i="11"/>
  <c r="L1675" i="11"/>
  <c r="G1675" i="11"/>
  <c r="S1674" i="11"/>
  <c r="R1674" i="11"/>
  <c r="Q1674" i="11"/>
  <c r="O1674" i="11"/>
  <c r="N1674" i="11"/>
  <c r="L1674" i="11"/>
  <c r="G1674" i="11"/>
  <c r="M1674" i="11" s="1"/>
  <c r="S1673" i="11"/>
  <c r="R1673" i="11"/>
  <c r="Q1673" i="11"/>
  <c r="O1673" i="11"/>
  <c r="N1673" i="11"/>
  <c r="L1673" i="11"/>
  <c r="G1673" i="11"/>
  <c r="M1673" i="11" s="1"/>
  <c r="S1672" i="11"/>
  <c r="R1672" i="11"/>
  <c r="Q1672" i="11"/>
  <c r="O1672" i="11"/>
  <c r="N1672" i="11"/>
  <c r="M1672" i="11"/>
  <c r="L1672" i="11"/>
  <c r="G1672" i="11"/>
  <c r="S1671" i="11"/>
  <c r="R1671" i="11"/>
  <c r="Q1671" i="11"/>
  <c r="O1671" i="11"/>
  <c r="N1671" i="11"/>
  <c r="L1671" i="11"/>
  <c r="G1671" i="11"/>
  <c r="M1671" i="11" s="1"/>
  <c r="S1670" i="11"/>
  <c r="R1670" i="11"/>
  <c r="Q1670" i="11"/>
  <c r="O1670" i="11"/>
  <c r="N1670" i="11"/>
  <c r="L1670" i="11"/>
  <c r="G1670" i="11"/>
  <c r="M1670" i="11" s="1"/>
  <c r="S1669" i="11"/>
  <c r="R1669" i="11"/>
  <c r="Q1669" i="11"/>
  <c r="O1669" i="11"/>
  <c r="N1669" i="11"/>
  <c r="M1669" i="11"/>
  <c r="L1669" i="11"/>
  <c r="G1669" i="11"/>
  <c r="S1668" i="11"/>
  <c r="R1668" i="11"/>
  <c r="Q1668" i="11"/>
  <c r="O1668" i="11"/>
  <c r="N1668" i="11"/>
  <c r="L1668" i="11"/>
  <c r="G1668" i="11"/>
  <c r="M1668" i="11" s="1"/>
  <c r="S1667" i="11"/>
  <c r="R1667" i="11"/>
  <c r="Q1667" i="11"/>
  <c r="O1667" i="11"/>
  <c r="N1667" i="11"/>
  <c r="L1667" i="11"/>
  <c r="G1667" i="11"/>
  <c r="M1667" i="11" s="1"/>
  <c r="S1666" i="11"/>
  <c r="R1666" i="11"/>
  <c r="Q1666" i="11"/>
  <c r="O1666" i="11"/>
  <c r="N1666" i="11"/>
  <c r="M1666" i="11"/>
  <c r="L1666" i="11"/>
  <c r="G1666" i="11"/>
  <c r="S1665" i="11"/>
  <c r="R1665" i="11"/>
  <c r="Q1665" i="11"/>
  <c r="O1665" i="11"/>
  <c r="N1665" i="11"/>
  <c r="L1665" i="11"/>
  <c r="G1665" i="11"/>
  <c r="M1665" i="11" s="1"/>
  <c r="S1664" i="11"/>
  <c r="R1664" i="11"/>
  <c r="Q1664" i="11"/>
  <c r="O1664" i="11"/>
  <c r="N1664" i="11"/>
  <c r="L1664" i="11"/>
  <c r="G1664" i="11"/>
  <c r="M1664" i="11" s="1"/>
  <c r="S1663" i="11"/>
  <c r="R1663" i="11"/>
  <c r="Q1663" i="11"/>
  <c r="O1663" i="11"/>
  <c r="M1663" i="11"/>
  <c r="L1663" i="11"/>
  <c r="K1663" i="11"/>
  <c r="N1663" i="11" s="1"/>
  <c r="G1663" i="11"/>
  <c r="S1662" i="11"/>
  <c r="R1662" i="11"/>
  <c r="Q1662" i="11"/>
  <c r="O1662" i="11"/>
  <c r="N1662" i="11"/>
  <c r="M1662" i="11"/>
  <c r="L1662" i="11"/>
  <c r="G1662" i="11"/>
  <c r="S1661" i="11"/>
  <c r="R1661" i="11"/>
  <c r="Q1661" i="11"/>
  <c r="O1661" i="11"/>
  <c r="N1661" i="11"/>
  <c r="M1661" i="11"/>
  <c r="L1661" i="11"/>
  <c r="G1661" i="11"/>
  <c r="S1660" i="11"/>
  <c r="R1660" i="11"/>
  <c r="Q1660" i="11"/>
  <c r="O1660" i="11"/>
  <c r="N1660" i="11"/>
  <c r="L1660" i="11"/>
  <c r="G1660" i="11"/>
  <c r="M1660" i="11" s="1"/>
  <c r="S1659" i="11"/>
  <c r="R1659" i="11"/>
  <c r="Q1659" i="11"/>
  <c r="O1659" i="11"/>
  <c r="N1659" i="11"/>
  <c r="M1659" i="11"/>
  <c r="L1659" i="11"/>
  <c r="G1659" i="11"/>
  <c r="S1658" i="11"/>
  <c r="R1658" i="11"/>
  <c r="Q1658" i="11"/>
  <c r="O1658" i="11"/>
  <c r="N1658" i="11"/>
  <c r="M1658" i="11"/>
  <c r="L1658" i="11"/>
  <c r="G1658" i="11"/>
  <c r="S1657" i="11"/>
  <c r="R1657" i="11"/>
  <c r="Q1657" i="11"/>
  <c r="O1657" i="11"/>
  <c r="N1657" i="11"/>
  <c r="L1657" i="11"/>
  <c r="G1657" i="11"/>
  <c r="M1657" i="11" s="1"/>
  <c r="S1656" i="11"/>
  <c r="R1656" i="11"/>
  <c r="Q1656" i="11"/>
  <c r="O1656" i="11"/>
  <c r="N1656" i="11"/>
  <c r="M1656" i="11"/>
  <c r="L1656" i="11"/>
  <c r="G1656" i="11"/>
  <c r="S1655" i="11"/>
  <c r="R1655" i="11"/>
  <c r="Q1655" i="11"/>
  <c r="O1655" i="11"/>
  <c r="N1655" i="11"/>
  <c r="M1655" i="11"/>
  <c r="L1655" i="11"/>
  <c r="G1655" i="11"/>
  <c r="S1654" i="11"/>
  <c r="R1654" i="11"/>
  <c r="Q1654" i="11"/>
  <c r="O1654" i="11"/>
  <c r="N1654" i="11"/>
  <c r="L1654" i="11"/>
  <c r="G1654" i="11"/>
  <c r="M1654" i="11" s="1"/>
  <c r="S1653" i="11"/>
  <c r="R1653" i="11"/>
  <c r="Q1653" i="11"/>
  <c r="O1653" i="11"/>
  <c r="N1653" i="11"/>
  <c r="M1653" i="11"/>
  <c r="L1653" i="11"/>
  <c r="G1653" i="11"/>
  <c r="S1652" i="11"/>
  <c r="R1652" i="11"/>
  <c r="Q1652" i="11"/>
  <c r="O1652" i="11"/>
  <c r="N1652" i="11"/>
  <c r="M1652" i="11"/>
  <c r="L1652" i="11"/>
  <c r="G1652" i="11"/>
  <c r="S1651" i="11"/>
  <c r="R1651" i="11"/>
  <c r="Q1651" i="11"/>
  <c r="O1651" i="11"/>
  <c r="N1651" i="11"/>
  <c r="L1651" i="11"/>
  <c r="G1651" i="11"/>
  <c r="M1651" i="11" s="1"/>
  <c r="S1650" i="11"/>
  <c r="R1650" i="11"/>
  <c r="Q1650" i="11"/>
  <c r="O1650" i="11"/>
  <c r="N1650" i="11"/>
  <c r="M1650" i="11"/>
  <c r="L1650" i="11"/>
  <c r="G1650" i="11"/>
  <c r="S1649" i="11"/>
  <c r="R1649" i="11"/>
  <c r="Q1649" i="11"/>
  <c r="O1649" i="11"/>
  <c r="N1649" i="11"/>
  <c r="M1649" i="11"/>
  <c r="L1649" i="11"/>
  <c r="G1649" i="11"/>
  <c r="S1648" i="11"/>
  <c r="R1648" i="11"/>
  <c r="Q1648" i="11"/>
  <c r="O1648" i="11"/>
  <c r="N1648" i="11"/>
  <c r="L1648" i="11"/>
  <c r="G1648" i="11"/>
  <c r="M1648" i="11" s="1"/>
  <c r="S1647" i="11"/>
  <c r="R1647" i="11"/>
  <c r="Q1647" i="11"/>
  <c r="O1647" i="11"/>
  <c r="N1647" i="11"/>
  <c r="M1647" i="11"/>
  <c r="L1647" i="11"/>
  <c r="G1647" i="11"/>
  <c r="S1646" i="11"/>
  <c r="R1646" i="11"/>
  <c r="Q1646" i="11"/>
  <c r="O1646" i="11"/>
  <c r="N1646" i="11"/>
  <c r="M1646" i="11"/>
  <c r="L1646" i="11"/>
  <c r="G1646" i="11"/>
  <c r="S1645" i="11"/>
  <c r="R1645" i="11"/>
  <c r="Q1645" i="11"/>
  <c r="O1645" i="11"/>
  <c r="N1645" i="11"/>
  <c r="L1645" i="11"/>
  <c r="G1645" i="11"/>
  <c r="M1645" i="11" s="1"/>
  <c r="S1644" i="11"/>
  <c r="R1644" i="11"/>
  <c r="Q1644" i="11"/>
  <c r="O1644" i="11"/>
  <c r="N1644" i="11"/>
  <c r="M1644" i="11"/>
  <c r="L1644" i="11"/>
  <c r="G1644" i="11"/>
  <c r="S1643" i="11"/>
  <c r="R1643" i="11"/>
  <c r="Q1643" i="11"/>
  <c r="O1643" i="11"/>
  <c r="N1643" i="11"/>
  <c r="M1643" i="11"/>
  <c r="L1643" i="11"/>
  <c r="G1643" i="11"/>
  <c r="S1642" i="11"/>
  <c r="R1642" i="11"/>
  <c r="Q1642" i="11"/>
  <c r="O1642" i="11"/>
  <c r="N1642" i="11"/>
  <c r="L1642" i="11"/>
  <c r="G1642" i="11"/>
  <c r="M1642" i="11" s="1"/>
  <c r="S1641" i="11"/>
  <c r="R1641" i="11"/>
  <c r="Q1641" i="11"/>
  <c r="O1641" i="11"/>
  <c r="N1641" i="11"/>
  <c r="M1641" i="11"/>
  <c r="L1641" i="11"/>
  <c r="G1641" i="11"/>
  <c r="S1640" i="11"/>
  <c r="R1640" i="11"/>
  <c r="Q1640" i="11"/>
  <c r="O1640" i="11"/>
  <c r="N1640" i="11"/>
  <c r="M1640" i="11"/>
  <c r="L1640" i="11"/>
  <c r="G1640" i="11"/>
  <c r="S1639" i="11"/>
  <c r="R1639" i="11"/>
  <c r="Q1639" i="11"/>
  <c r="O1639" i="11"/>
  <c r="N1639" i="11"/>
  <c r="L1639" i="11"/>
  <c r="G1639" i="11"/>
  <c r="M1639" i="11" s="1"/>
  <c r="S1638" i="11"/>
  <c r="R1638" i="11"/>
  <c r="Q1638" i="11"/>
  <c r="O1638" i="11"/>
  <c r="N1638" i="11"/>
  <c r="M1638" i="11"/>
  <c r="L1638" i="11"/>
  <c r="G1638" i="11"/>
  <c r="S1637" i="11"/>
  <c r="R1637" i="11"/>
  <c r="Q1637" i="11"/>
  <c r="O1637" i="11"/>
  <c r="N1637" i="11"/>
  <c r="M1637" i="11"/>
  <c r="L1637" i="11"/>
  <c r="G1637" i="11"/>
  <c r="S1636" i="11"/>
  <c r="R1636" i="11"/>
  <c r="Q1636" i="11"/>
  <c r="O1636" i="11"/>
  <c r="N1636" i="11"/>
  <c r="L1636" i="11"/>
  <c r="G1636" i="11"/>
  <c r="M1636" i="11" s="1"/>
  <c r="S1635" i="11"/>
  <c r="R1635" i="11"/>
  <c r="Q1635" i="11"/>
  <c r="O1635" i="11"/>
  <c r="N1635" i="11"/>
  <c r="M1635" i="11"/>
  <c r="L1635" i="11"/>
  <c r="G1635" i="11"/>
  <c r="S1634" i="11"/>
  <c r="R1634" i="11"/>
  <c r="Q1634" i="11"/>
  <c r="O1634" i="11"/>
  <c r="N1634" i="11"/>
  <c r="M1634" i="11"/>
  <c r="L1634" i="11"/>
  <c r="G1634" i="11"/>
  <c r="S1633" i="11"/>
  <c r="R1633" i="11"/>
  <c r="Q1633" i="11"/>
  <c r="O1633" i="11"/>
  <c r="N1633" i="11"/>
  <c r="L1633" i="11"/>
  <c r="G1633" i="11"/>
  <c r="M1633" i="11" s="1"/>
  <c r="S1632" i="11"/>
  <c r="R1632" i="11"/>
  <c r="Q1632" i="11"/>
  <c r="O1632" i="11"/>
  <c r="N1632" i="11"/>
  <c r="M1632" i="11"/>
  <c r="L1632" i="11"/>
  <c r="G1632" i="11"/>
  <c r="S1631" i="11"/>
  <c r="R1631" i="11"/>
  <c r="Q1631" i="11"/>
  <c r="O1631" i="11"/>
  <c r="N1631" i="11"/>
  <c r="M1631" i="11"/>
  <c r="L1631" i="11"/>
  <c r="G1631" i="11"/>
  <c r="S1630" i="11"/>
  <c r="R1630" i="11"/>
  <c r="Q1630" i="11"/>
  <c r="O1630" i="11"/>
  <c r="N1630" i="11"/>
  <c r="L1630" i="11"/>
  <c r="G1630" i="11"/>
  <c r="M1630" i="11" s="1"/>
  <c r="S1629" i="11"/>
  <c r="R1629" i="11"/>
  <c r="Q1629" i="11"/>
  <c r="O1629" i="11"/>
  <c r="N1629" i="11"/>
  <c r="M1629" i="11"/>
  <c r="L1629" i="11"/>
  <c r="G1629" i="11"/>
  <c r="S1628" i="11"/>
  <c r="R1628" i="11"/>
  <c r="Q1628" i="11"/>
  <c r="O1628" i="11"/>
  <c r="N1628" i="11"/>
  <c r="M1628" i="11"/>
  <c r="L1628" i="11"/>
  <c r="G1628" i="11"/>
  <c r="S1627" i="11"/>
  <c r="R1627" i="11"/>
  <c r="Q1627" i="11"/>
  <c r="O1627" i="11"/>
  <c r="N1627" i="11"/>
  <c r="L1627" i="11"/>
  <c r="G1627" i="11"/>
  <c r="M1627" i="11" s="1"/>
  <c r="S1626" i="11"/>
  <c r="R1626" i="11"/>
  <c r="Q1626" i="11"/>
  <c r="O1626" i="11"/>
  <c r="N1626" i="11"/>
  <c r="M1626" i="11"/>
  <c r="L1626" i="11"/>
  <c r="G1626" i="11"/>
  <c r="S1625" i="11"/>
  <c r="R1625" i="11"/>
  <c r="Q1625" i="11"/>
  <c r="O1625" i="11"/>
  <c r="N1625" i="11"/>
  <c r="M1625" i="11"/>
  <c r="L1625" i="11"/>
  <c r="G1625" i="11"/>
  <c r="S1624" i="11"/>
  <c r="R1624" i="11"/>
  <c r="Q1624" i="11"/>
  <c r="O1624" i="11"/>
  <c r="N1624" i="11"/>
  <c r="L1624" i="11"/>
  <c r="G1624" i="11"/>
  <c r="M1624" i="11" s="1"/>
  <c r="S1623" i="11"/>
  <c r="R1623" i="11"/>
  <c r="Q1623" i="11"/>
  <c r="O1623" i="11"/>
  <c r="N1623" i="11"/>
  <c r="M1623" i="11"/>
  <c r="L1623" i="11"/>
  <c r="G1623" i="11"/>
  <c r="S1622" i="11"/>
  <c r="R1622" i="11"/>
  <c r="Q1622" i="11"/>
  <c r="O1622" i="11"/>
  <c r="N1622" i="11"/>
  <c r="M1622" i="11"/>
  <c r="L1622" i="11"/>
  <c r="G1622" i="11"/>
  <c r="S1621" i="11"/>
  <c r="R1621" i="11"/>
  <c r="Q1621" i="11"/>
  <c r="O1621" i="11"/>
  <c r="N1621" i="11"/>
  <c r="L1621" i="11"/>
  <c r="G1621" i="11"/>
  <c r="M1621" i="11" s="1"/>
  <c r="S1620" i="11"/>
  <c r="R1620" i="11"/>
  <c r="Q1620" i="11"/>
  <c r="O1620" i="11"/>
  <c r="N1620" i="11"/>
  <c r="M1620" i="11"/>
  <c r="L1620" i="11"/>
  <c r="G1620" i="11"/>
  <c r="S1619" i="11"/>
  <c r="R1619" i="11"/>
  <c r="Q1619" i="11"/>
  <c r="O1619" i="11"/>
  <c r="N1619" i="11"/>
  <c r="M1619" i="11"/>
  <c r="L1619" i="11"/>
  <c r="G1619" i="11"/>
  <c r="S1618" i="11"/>
  <c r="R1618" i="11"/>
  <c r="Q1618" i="11"/>
  <c r="O1618" i="11"/>
  <c r="N1618" i="11"/>
  <c r="L1618" i="11"/>
  <c r="G1618" i="11"/>
  <c r="M1618" i="11" s="1"/>
  <c r="S1617" i="11"/>
  <c r="R1617" i="11"/>
  <c r="Q1617" i="11"/>
  <c r="O1617" i="11"/>
  <c r="N1617" i="11"/>
  <c r="M1617" i="11"/>
  <c r="L1617" i="11"/>
  <c r="G1617" i="11"/>
  <c r="S1616" i="11"/>
  <c r="R1616" i="11"/>
  <c r="Q1616" i="11"/>
  <c r="O1616" i="11"/>
  <c r="N1616" i="11"/>
  <c r="M1616" i="11"/>
  <c r="L1616" i="11"/>
  <c r="G1616" i="11"/>
  <c r="S1615" i="11"/>
  <c r="R1615" i="11"/>
  <c r="Q1615" i="11"/>
  <c r="O1615" i="11"/>
  <c r="N1615" i="11"/>
  <c r="L1615" i="11"/>
  <c r="G1615" i="11"/>
  <c r="M1615" i="11" s="1"/>
  <c r="S1614" i="11"/>
  <c r="R1614" i="11"/>
  <c r="Q1614" i="11"/>
  <c r="O1614" i="11"/>
  <c r="N1614" i="11"/>
  <c r="M1614" i="11"/>
  <c r="L1614" i="11"/>
  <c r="G1614" i="11"/>
  <c r="S1613" i="11"/>
  <c r="R1613" i="11"/>
  <c r="Q1613" i="11"/>
  <c r="O1613" i="11"/>
  <c r="N1613" i="11"/>
  <c r="M1613" i="11"/>
  <c r="L1613" i="11"/>
  <c r="G1613" i="11"/>
  <c r="S1612" i="11"/>
  <c r="R1612" i="11"/>
  <c r="Q1612" i="11"/>
  <c r="O1612" i="11"/>
  <c r="N1612" i="11"/>
  <c r="L1612" i="11"/>
  <c r="G1612" i="11"/>
  <c r="M1612" i="11" s="1"/>
  <c r="S1611" i="11"/>
  <c r="R1611" i="11"/>
  <c r="Q1611" i="11"/>
  <c r="O1611" i="11"/>
  <c r="N1611" i="11"/>
  <c r="M1611" i="11"/>
  <c r="L1611" i="11"/>
  <c r="G1611" i="11"/>
  <c r="S1610" i="11"/>
  <c r="R1610" i="11"/>
  <c r="Q1610" i="11"/>
  <c r="O1610" i="11"/>
  <c r="N1610" i="11"/>
  <c r="M1610" i="11"/>
  <c r="L1610" i="11"/>
  <c r="G1610" i="11"/>
  <c r="S1609" i="11"/>
  <c r="R1609" i="11"/>
  <c r="Q1609" i="11"/>
  <c r="O1609" i="11"/>
  <c r="N1609" i="11"/>
  <c r="L1609" i="11"/>
  <c r="G1609" i="11"/>
  <c r="M1609" i="11" s="1"/>
  <c r="S1608" i="11"/>
  <c r="R1608" i="11"/>
  <c r="Q1608" i="11"/>
  <c r="O1608" i="11"/>
  <c r="N1608" i="11"/>
  <c r="M1608" i="11"/>
  <c r="L1608" i="11"/>
  <c r="G1608" i="11"/>
  <c r="S1607" i="11"/>
  <c r="R1607" i="11"/>
  <c r="Q1607" i="11"/>
  <c r="O1607" i="11"/>
  <c r="N1607" i="11"/>
  <c r="M1607" i="11"/>
  <c r="L1607" i="11"/>
  <c r="G1607" i="11"/>
  <c r="S1606" i="11"/>
  <c r="R1606" i="11"/>
  <c r="Q1606" i="11"/>
  <c r="O1606" i="11"/>
  <c r="N1606" i="11"/>
  <c r="L1606" i="11"/>
  <c r="G1606" i="11"/>
  <c r="M1606" i="11" s="1"/>
  <c r="S1605" i="11"/>
  <c r="R1605" i="11"/>
  <c r="Q1605" i="11"/>
  <c r="O1605" i="11"/>
  <c r="N1605" i="11"/>
  <c r="M1605" i="11"/>
  <c r="L1605" i="11"/>
  <c r="G1605" i="11"/>
  <c r="S1604" i="11"/>
  <c r="R1604" i="11"/>
  <c r="Q1604" i="11"/>
  <c r="O1604" i="11"/>
  <c r="N1604" i="11"/>
  <c r="M1604" i="11"/>
  <c r="L1604" i="11"/>
  <c r="G1604" i="11"/>
  <c r="S1603" i="11"/>
  <c r="R1603" i="11"/>
  <c r="Q1603" i="11"/>
  <c r="O1603" i="11"/>
  <c r="N1603" i="11"/>
  <c r="L1603" i="11"/>
  <c r="G1603" i="11"/>
  <c r="M1603" i="11" s="1"/>
  <c r="S1602" i="11"/>
  <c r="R1602" i="11"/>
  <c r="Q1602" i="11"/>
  <c r="O1602" i="11"/>
  <c r="N1602" i="11"/>
  <c r="M1602" i="11"/>
  <c r="L1602" i="11"/>
  <c r="G1602" i="11"/>
  <c r="S1601" i="11"/>
  <c r="R1601" i="11"/>
  <c r="Q1601" i="11"/>
  <c r="O1601" i="11"/>
  <c r="N1601" i="11"/>
  <c r="M1601" i="11"/>
  <c r="L1601" i="11"/>
  <c r="G1601" i="11"/>
  <c r="S1600" i="11"/>
  <c r="R1600" i="11"/>
  <c r="Q1600" i="11"/>
  <c r="O1600" i="11"/>
  <c r="N1600" i="11"/>
  <c r="L1600" i="11"/>
  <c r="G1600" i="11"/>
  <c r="M1600" i="11" s="1"/>
  <c r="S1599" i="11"/>
  <c r="R1599" i="11"/>
  <c r="Q1599" i="11"/>
  <c r="O1599" i="11"/>
  <c r="N1599" i="11"/>
  <c r="M1599" i="11"/>
  <c r="L1599" i="11"/>
  <c r="G1599" i="11"/>
  <c r="S1598" i="11"/>
  <c r="R1598" i="11"/>
  <c r="Q1598" i="11"/>
  <c r="O1598" i="11"/>
  <c r="N1598" i="11"/>
  <c r="M1598" i="11"/>
  <c r="L1598" i="11"/>
  <c r="G1598" i="11"/>
  <c r="S1597" i="11"/>
  <c r="R1597" i="11"/>
  <c r="Q1597" i="11"/>
  <c r="O1597" i="11"/>
  <c r="N1597" i="11"/>
  <c r="L1597" i="11"/>
  <c r="G1597" i="11"/>
  <c r="M1597" i="11" s="1"/>
  <c r="S1596" i="11"/>
  <c r="R1596" i="11"/>
  <c r="Q1596" i="11"/>
  <c r="O1596" i="11"/>
  <c r="N1596" i="11"/>
  <c r="M1596" i="11"/>
  <c r="L1596" i="11"/>
  <c r="G1596" i="11"/>
  <c r="S1595" i="11"/>
  <c r="R1595" i="11"/>
  <c r="Q1595" i="11"/>
  <c r="O1595" i="11"/>
  <c r="N1595" i="11"/>
  <c r="M1595" i="11"/>
  <c r="L1595" i="11"/>
  <c r="G1595" i="11"/>
  <c r="S1594" i="11"/>
  <c r="R1594" i="11"/>
  <c r="Q1594" i="11"/>
  <c r="O1594" i="11"/>
  <c r="N1594" i="11"/>
  <c r="L1594" i="11"/>
  <c r="G1594" i="11"/>
  <c r="M1594" i="11" s="1"/>
  <c r="S1593" i="11"/>
  <c r="R1593" i="11"/>
  <c r="Q1593" i="11"/>
  <c r="O1593" i="11"/>
  <c r="N1593" i="11"/>
  <c r="M1593" i="11"/>
  <c r="L1593" i="11"/>
  <c r="G1593" i="11"/>
  <c r="S1592" i="11"/>
  <c r="R1592" i="11"/>
  <c r="Q1592" i="11"/>
  <c r="O1592" i="11"/>
  <c r="N1592" i="11"/>
  <c r="M1592" i="11"/>
  <c r="L1592" i="11"/>
  <c r="G1592" i="11"/>
  <c r="S1591" i="11"/>
  <c r="R1591" i="11"/>
  <c r="Q1591" i="11"/>
  <c r="O1591" i="11"/>
  <c r="N1591" i="11"/>
  <c r="L1591" i="11"/>
  <c r="G1591" i="11"/>
  <c r="M1591" i="11" s="1"/>
  <c r="S1590" i="11"/>
  <c r="R1590" i="11"/>
  <c r="Q1590" i="11"/>
  <c r="O1590" i="11"/>
  <c r="N1590" i="11"/>
  <c r="M1590" i="11"/>
  <c r="L1590" i="11"/>
  <c r="G1590" i="11"/>
  <c r="S1589" i="11"/>
  <c r="R1589" i="11"/>
  <c r="Q1589" i="11"/>
  <c r="O1589" i="11"/>
  <c r="N1589" i="11"/>
  <c r="M1589" i="11"/>
  <c r="L1589" i="11"/>
  <c r="G1589" i="11"/>
  <c r="S1588" i="11"/>
  <c r="R1588" i="11"/>
  <c r="Q1588" i="11"/>
  <c r="O1588" i="11"/>
  <c r="N1588" i="11"/>
  <c r="L1588" i="11"/>
  <c r="G1588" i="11"/>
  <c r="M1588" i="11" s="1"/>
  <c r="S1587" i="11"/>
  <c r="R1587" i="11"/>
  <c r="Q1587" i="11"/>
  <c r="O1587" i="11"/>
  <c r="N1587" i="11"/>
  <c r="M1587" i="11"/>
  <c r="L1587" i="11"/>
  <c r="G1587" i="11"/>
  <c r="S1586" i="11"/>
  <c r="R1586" i="11"/>
  <c r="Q1586" i="11"/>
  <c r="O1586" i="11"/>
  <c r="N1586" i="11"/>
  <c r="M1586" i="11"/>
  <c r="L1586" i="11"/>
  <c r="G1586" i="11"/>
  <c r="S1585" i="11"/>
  <c r="R1585" i="11"/>
  <c r="Q1585" i="11"/>
  <c r="O1585" i="11"/>
  <c r="N1585" i="11"/>
  <c r="L1585" i="11"/>
  <c r="G1585" i="11"/>
  <c r="M1585" i="11" s="1"/>
  <c r="S1584" i="11"/>
  <c r="R1584" i="11"/>
  <c r="Q1584" i="11"/>
  <c r="O1584" i="11"/>
  <c r="N1584" i="11"/>
  <c r="M1584" i="11"/>
  <c r="L1584" i="11"/>
  <c r="G1584" i="11"/>
  <c r="S1583" i="11"/>
  <c r="R1583" i="11"/>
  <c r="Q1583" i="11"/>
  <c r="O1583" i="11"/>
  <c r="N1583" i="11"/>
  <c r="M1583" i="11"/>
  <c r="L1583" i="11"/>
  <c r="G1583" i="11"/>
  <c r="S1582" i="11"/>
  <c r="R1582" i="11"/>
  <c r="Q1582" i="11"/>
  <c r="O1582" i="11"/>
  <c r="N1582" i="11"/>
  <c r="L1582" i="11"/>
  <c r="G1582" i="11"/>
  <c r="M1582" i="11" s="1"/>
  <c r="S1581" i="11"/>
  <c r="R1581" i="11"/>
  <c r="Q1581" i="11"/>
  <c r="O1581" i="11"/>
  <c r="N1581" i="11"/>
  <c r="M1581" i="11"/>
  <c r="L1581" i="11"/>
  <c r="G1581" i="11"/>
  <c r="S1580" i="11"/>
  <c r="R1580" i="11"/>
  <c r="Q1580" i="11"/>
  <c r="O1580" i="11"/>
  <c r="N1580" i="11"/>
  <c r="M1580" i="11"/>
  <c r="L1580" i="11"/>
  <c r="G1580" i="11"/>
  <c r="S1579" i="11"/>
  <c r="R1579" i="11"/>
  <c r="Q1579" i="11"/>
  <c r="O1579" i="11"/>
  <c r="N1579" i="11"/>
  <c r="L1579" i="11"/>
  <c r="G1579" i="11"/>
  <c r="M1579" i="11" s="1"/>
  <c r="S1578" i="11"/>
  <c r="R1578" i="11"/>
  <c r="Q1578" i="11"/>
  <c r="O1578" i="11"/>
  <c r="N1578" i="11"/>
  <c r="M1578" i="11"/>
  <c r="L1578" i="11"/>
  <c r="G1578" i="11"/>
  <c r="S1577" i="11"/>
  <c r="R1577" i="11"/>
  <c r="Q1577" i="11"/>
  <c r="O1577" i="11"/>
  <c r="N1577" i="11"/>
  <c r="M1577" i="11"/>
  <c r="L1577" i="11"/>
  <c r="G1577" i="11"/>
  <c r="S1576" i="11"/>
  <c r="R1576" i="11"/>
  <c r="Q1576" i="11"/>
  <c r="O1576" i="11"/>
  <c r="N1576" i="11"/>
  <c r="L1576" i="11"/>
  <c r="G1576" i="11"/>
  <c r="M1576" i="11" s="1"/>
  <c r="S1575" i="11"/>
  <c r="R1575" i="11"/>
  <c r="Q1575" i="11"/>
  <c r="O1575" i="11"/>
  <c r="N1575" i="11"/>
  <c r="M1575" i="11"/>
  <c r="L1575" i="11"/>
  <c r="G1575" i="11"/>
  <c r="S1574" i="11"/>
  <c r="R1574" i="11"/>
  <c r="Q1574" i="11"/>
  <c r="O1574" i="11"/>
  <c r="N1574" i="11"/>
  <c r="M1574" i="11"/>
  <c r="L1574" i="11"/>
  <c r="G1574" i="11"/>
  <c r="S1573" i="11"/>
  <c r="R1573" i="11"/>
  <c r="Q1573" i="11"/>
  <c r="O1573" i="11"/>
  <c r="N1573" i="11"/>
  <c r="L1573" i="11"/>
  <c r="G1573" i="11"/>
  <c r="M1573" i="11" s="1"/>
  <c r="S1572" i="11"/>
  <c r="R1572" i="11"/>
  <c r="Q1572" i="11"/>
  <c r="O1572" i="11"/>
  <c r="N1572" i="11"/>
  <c r="M1572" i="11"/>
  <c r="L1572" i="11"/>
  <c r="G1572" i="11"/>
  <c r="S1571" i="11"/>
  <c r="R1571" i="11"/>
  <c r="Q1571" i="11"/>
  <c r="O1571" i="11"/>
  <c r="N1571" i="11"/>
  <c r="M1571" i="11"/>
  <c r="L1571" i="11"/>
  <c r="G1571" i="11"/>
  <c r="S1570" i="11"/>
  <c r="R1570" i="11"/>
  <c r="Q1570" i="11"/>
  <c r="O1570" i="11"/>
  <c r="N1570" i="11"/>
  <c r="L1570" i="11"/>
  <c r="G1570" i="11"/>
  <c r="M1570" i="11" s="1"/>
  <c r="S1569" i="11"/>
  <c r="R1569" i="11"/>
  <c r="Q1569" i="11"/>
  <c r="O1569" i="11"/>
  <c r="N1569" i="11"/>
  <c r="M1569" i="11"/>
  <c r="L1569" i="11"/>
  <c r="G1569" i="11"/>
  <c r="S1568" i="11"/>
  <c r="R1568" i="11"/>
  <c r="Q1568" i="11"/>
  <c r="O1568" i="11"/>
  <c r="N1568" i="11"/>
  <c r="M1568" i="11"/>
  <c r="L1568" i="11"/>
  <c r="G1568" i="11"/>
  <c r="S1567" i="11"/>
  <c r="R1567" i="11"/>
  <c r="Q1567" i="11"/>
  <c r="O1567" i="11"/>
  <c r="N1567" i="11"/>
  <c r="L1567" i="11"/>
  <c r="G1567" i="11"/>
  <c r="M1567" i="11" s="1"/>
  <c r="S1566" i="11"/>
  <c r="R1566" i="11"/>
  <c r="Q1566" i="11"/>
  <c r="O1566" i="11"/>
  <c r="N1566" i="11"/>
  <c r="M1566" i="11"/>
  <c r="L1566" i="11"/>
  <c r="G1566" i="11"/>
  <c r="S1565" i="11"/>
  <c r="R1565" i="11"/>
  <c r="Q1565" i="11"/>
  <c r="O1565" i="11"/>
  <c r="N1565" i="11"/>
  <c r="M1565" i="11"/>
  <c r="L1565" i="11"/>
  <c r="G1565" i="11"/>
  <c r="S1564" i="11"/>
  <c r="R1564" i="11"/>
  <c r="Q1564" i="11"/>
  <c r="O1564" i="11"/>
  <c r="N1564" i="11"/>
  <c r="L1564" i="11"/>
  <c r="G1564" i="11"/>
  <c r="M1564" i="11" s="1"/>
  <c r="S1563" i="11"/>
  <c r="R1563" i="11"/>
  <c r="Q1563" i="11"/>
  <c r="O1563" i="11"/>
  <c r="N1563" i="11"/>
  <c r="M1563" i="11"/>
  <c r="L1563" i="11"/>
  <c r="G1563" i="11"/>
  <c r="S1562" i="11"/>
  <c r="R1562" i="11"/>
  <c r="Q1562" i="11"/>
  <c r="O1562" i="11"/>
  <c r="N1562" i="11"/>
  <c r="M1562" i="11"/>
  <c r="L1562" i="11"/>
  <c r="G1562" i="11"/>
  <c r="S1561" i="11"/>
  <c r="R1561" i="11"/>
  <c r="Q1561" i="11"/>
  <c r="O1561" i="11"/>
  <c r="N1561" i="11"/>
  <c r="L1561" i="11"/>
  <c r="G1561" i="11"/>
  <c r="M1561" i="11" s="1"/>
  <c r="S1560" i="11"/>
  <c r="R1560" i="11"/>
  <c r="Q1560" i="11"/>
  <c r="O1560" i="11"/>
  <c r="N1560" i="11"/>
  <c r="M1560" i="11"/>
  <c r="L1560" i="11"/>
  <c r="G1560" i="11"/>
  <c r="S1559" i="11"/>
  <c r="R1559" i="11"/>
  <c r="Q1559" i="11"/>
  <c r="O1559" i="11"/>
  <c r="N1559" i="11"/>
  <c r="M1559" i="11"/>
  <c r="L1559" i="11"/>
  <c r="G1559" i="11"/>
  <c r="S1558" i="11"/>
  <c r="R1558" i="11"/>
  <c r="Q1558" i="11"/>
  <c r="O1558" i="11"/>
  <c r="N1558" i="11"/>
  <c r="L1558" i="11"/>
  <c r="G1558" i="11"/>
  <c r="M1558" i="11" s="1"/>
  <c r="S1557" i="11"/>
  <c r="R1557" i="11"/>
  <c r="Q1557" i="11"/>
  <c r="O1557" i="11"/>
  <c r="N1557" i="11"/>
  <c r="M1557" i="11"/>
  <c r="L1557" i="11"/>
  <c r="G1557" i="11"/>
  <c r="S1556" i="11"/>
  <c r="R1556" i="11"/>
  <c r="Q1556" i="11"/>
  <c r="O1556" i="11"/>
  <c r="N1556" i="11"/>
  <c r="M1556" i="11"/>
  <c r="L1556" i="11"/>
  <c r="G1556" i="11"/>
  <c r="S1555" i="11"/>
  <c r="R1555" i="11"/>
  <c r="Q1555" i="11"/>
  <c r="O1555" i="11"/>
  <c r="N1555" i="11"/>
  <c r="L1555" i="11"/>
  <c r="G1555" i="11"/>
  <c r="M1555" i="11" s="1"/>
  <c r="S1554" i="11"/>
  <c r="R1554" i="11"/>
  <c r="Q1554" i="11"/>
  <c r="O1554" i="11"/>
  <c r="N1554" i="11"/>
  <c r="M1554" i="11"/>
  <c r="L1554" i="11"/>
  <c r="G1554" i="11"/>
  <c r="S1553" i="11"/>
  <c r="R1553" i="11"/>
  <c r="Q1553" i="11"/>
  <c r="O1553" i="11"/>
  <c r="N1553" i="11"/>
  <c r="M1553" i="11"/>
  <c r="L1553" i="11"/>
  <c r="G1553" i="11"/>
  <c r="S1552" i="11"/>
  <c r="R1552" i="11"/>
  <c r="Q1552" i="11"/>
  <c r="O1552" i="11"/>
  <c r="N1552" i="11"/>
  <c r="L1552" i="11"/>
  <c r="G1552" i="11"/>
  <c r="M1552" i="11" s="1"/>
  <c r="S1551" i="11"/>
  <c r="R1551" i="11"/>
  <c r="Q1551" i="11"/>
  <c r="O1551" i="11"/>
  <c r="N1551" i="11"/>
  <c r="M1551" i="11"/>
  <c r="L1551" i="11"/>
  <c r="G1551" i="11"/>
  <c r="S1550" i="11"/>
  <c r="R1550" i="11"/>
  <c r="Q1550" i="11"/>
  <c r="O1550" i="11"/>
  <c r="N1550" i="11"/>
  <c r="M1550" i="11"/>
  <c r="L1550" i="11"/>
  <c r="G1550" i="11"/>
  <c r="S1549" i="11"/>
  <c r="R1549" i="11"/>
  <c r="Q1549" i="11"/>
  <c r="O1549" i="11"/>
  <c r="N1549" i="11"/>
  <c r="L1549" i="11"/>
  <c r="G1549" i="11"/>
  <c r="M1549" i="11" s="1"/>
  <c r="S1548" i="11"/>
  <c r="R1548" i="11"/>
  <c r="Q1548" i="11"/>
  <c r="O1548" i="11"/>
  <c r="N1548" i="11"/>
  <c r="M1548" i="11"/>
  <c r="L1548" i="11"/>
  <c r="G1548" i="11"/>
  <c r="S1547" i="11"/>
  <c r="R1547" i="11"/>
  <c r="Q1547" i="11"/>
  <c r="O1547" i="11"/>
  <c r="N1547" i="11"/>
  <c r="M1547" i="11"/>
  <c r="L1547" i="11"/>
  <c r="G1547" i="11"/>
  <c r="S1546" i="11"/>
  <c r="R1546" i="11"/>
  <c r="Q1546" i="11"/>
  <c r="O1546" i="11"/>
  <c r="N1546" i="11"/>
  <c r="L1546" i="11"/>
  <c r="G1546" i="11"/>
  <c r="M1546" i="11" s="1"/>
  <c r="S1545" i="11"/>
  <c r="R1545" i="11"/>
  <c r="Q1545" i="11"/>
  <c r="O1545" i="11"/>
  <c r="N1545" i="11"/>
  <c r="M1545" i="11"/>
  <c r="L1545" i="11"/>
  <c r="G1545" i="11"/>
  <c r="S1544" i="11"/>
  <c r="R1544" i="11"/>
  <c r="Q1544" i="11"/>
  <c r="O1544" i="11"/>
  <c r="N1544" i="11"/>
  <c r="M1544" i="11"/>
  <c r="L1544" i="11"/>
  <c r="G1544" i="11"/>
  <c r="S1543" i="11"/>
  <c r="R1543" i="11"/>
  <c r="Q1543" i="11"/>
  <c r="O1543" i="11"/>
  <c r="N1543" i="11"/>
  <c r="L1543" i="11"/>
  <c r="G1543" i="11"/>
  <c r="M1543" i="11" s="1"/>
  <c r="S1542" i="11"/>
  <c r="R1542" i="11"/>
  <c r="Q1542" i="11"/>
  <c r="O1542" i="11"/>
  <c r="N1542" i="11"/>
  <c r="M1542" i="11"/>
  <c r="L1542" i="11"/>
  <c r="G1542" i="11"/>
  <c r="S1541" i="11"/>
  <c r="R1541" i="11"/>
  <c r="Q1541" i="11"/>
  <c r="O1541" i="11"/>
  <c r="N1541" i="11"/>
  <c r="M1541" i="11"/>
  <c r="L1541" i="11"/>
  <c r="G1541" i="11"/>
  <c r="S1540" i="11"/>
  <c r="R1540" i="11"/>
  <c r="Q1540" i="11"/>
  <c r="O1540" i="11"/>
  <c r="N1540" i="11"/>
  <c r="M1540" i="11"/>
  <c r="L1540" i="11"/>
  <c r="G1540" i="11"/>
  <c r="S1539" i="11"/>
  <c r="R1539" i="11"/>
  <c r="Q1539" i="11"/>
  <c r="O1539" i="11"/>
  <c r="N1539" i="11"/>
  <c r="M1539" i="11"/>
  <c r="L1539" i="11"/>
  <c r="G1539" i="11"/>
  <c r="S1538" i="11"/>
  <c r="R1538" i="11"/>
  <c r="Q1538" i="11"/>
  <c r="O1538" i="11"/>
  <c r="N1538" i="11"/>
  <c r="M1538" i="11"/>
  <c r="L1538" i="11"/>
  <c r="G1538" i="11"/>
  <c r="S1537" i="11"/>
  <c r="R1537" i="11"/>
  <c r="Q1537" i="11"/>
  <c r="O1537" i="11"/>
  <c r="N1537" i="11"/>
  <c r="M1537" i="11"/>
  <c r="L1537" i="11"/>
  <c r="G1537" i="11"/>
  <c r="S1536" i="11"/>
  <c r="R1536" i="11"/>
  <c r="Q1536" i="11"/>
  <c r="O1536" i="11"/>
  <c r="N1536" i="11"/>
  <c r="M1536" i="11"/>
  <c r="L1536" i="11"/>
  <c r="G1536" i="11"/>
  <c r="S1535" i="11"/>
  <c r="R1535" i="11"/>
  <c r="Q1535" i="11"/>
  <c r="O1535" i="11"/>
  <c r="N1535" i="11"/>
  <c r="M1535" i="11"/>
  <c r="L1535" i="11"/>
  <c r="G1535" i="11"/>
  <c r="S1534" i="11"/>
  <c r="R1534" i="11"/>
  <c r="Q1534" i="11"/>
  <c r="O1534" i="11"/>
  <c r="N1534" i="11"/>
  <c r="M1534" i="11"/>
  <c r="L1534" i="11"/>
  <c r="G1534" i="11"/>
  <c r="S1533" i="11"/>
  <c r="R1533" i="11"/>
  <c r="Q1533" i="11"/>
  <c r="O1533" i="11"/>
  <c r="N1533" i="11"/>
  <c r="M1533" i="11"/>
  <c r="L1533" i="11"/>
  <c r="G1533" i="11"/>
  <c r="S1532" i="11"/>
  <c r="R1532" i="11"/>
  <c r="Q1532" i="11"/>
  <c r="O1532" i="11"/>
  <c r="N1532" i="11"/>
  <c r="M1532" i="11"/>
  <c r="L1532" i="11"/>
  <c r="G1532" i="11"/>
  <c r="S1531" i="11"/>
  <c r="R1531" i="11"/>
  <c r="Q1531" i="11"/>
  <c r="O1531" i="11"/>
  <c r="N1531" i="11"/>
  <c r="M1531" i="11"/>
  <c r="L1531" i="11"/>
  <c r="G1531" i="11"/>
  <c r="S1530" i="11"/>
  <c r="R1530" i="11"/>
  <c r="Q1530" i="11"/>
  <c r="O1530" i="11"/>
  <c r="N1530" i="11"/>
  <c r="M1530" i="11"/>
  <c r="L1530" i="11"/>
  <c r="G1530" i="11"/>
  <c r="S1529" i="11"/>
  <c r="R1529" i="11"/>
  <c r="Q1529" i="11"/>
  <c r="O1529" i="11"/>
  <c r="N1529" i="11"/>
  <c r="M1529" i="11"/>
  <c r="L1529" i="11"/>
  <c r="G1529" i="11"/>
  <c r="S1528" i="11"/>
  <c r="R1528" i="11"/>
  <c r="Q1528" i="11"/>
  <c r="O1528" i="11"/>
  <c r="N1528" i="11"/>
  <c r="M1528" i="11"/>
  <c r="L1528" i="11"/>
  <c r="G1528" i="11"/>
  <c r="S1527" i="11"/>
  <c r="R1527" i="11"/>
  <c r="Q1527" i="11"/>
  <c r="O1527" i="11"/>
  <c r="N1527" i="11"/>
  <c r="M1527" i="11"/>
  <c r="L1527" i="11"/>
  <c r="G1527" i="11"/>
  <c r="S1526" i="11"/>
  <c r="R1526" i="11"/>
  <c r="Q1526" i="11"/>
  <c r="O1526" i="11"/>
  <c r="N1526" i="11"/>
  <c r="M1526" i="11"/>
  <c r="L1526" i="11"/>
  <c r="G1526" i="11"/>
  <c r="S1525" i="11"/>
  <c r="R1525" i="11"/>
  <c r="Q1525" i="11"/>
  <c r="O1525" i="11"/>
  <c r="N1525" i="11"/>
  <c r="M1525" i="11"/>
  <c r="L1525" i="11"/>
  <c r="G1525" i="11"/>
  <c r="S1524" i="11"/>
  <c r="R1524" i="11"/>
  <c r="Q1524" i="11"/>
  <c r="O1524" i="11"/>
  <c r="N1524" i="11"/>
  <c r="M1524" i="11"/>
  <c r="L1524" i="11"/>
  <c r="G1524" i="11"/>
  <c r="S1523" i="11"/>
  <c r="R1523" i="11"/>
  <c r="Q1523" i="11"/>
  <c r="O1523" i="11"/>
  <c r="N1523" i="11"/>
  <c r="M1523" i="11"/>
  <c r="L1523" i="11"/>
  <c r="G1523" i="11"/>
  <c r="S1522" i="11"/>
  <c r="R1522" i="11"/>
  <c r="Q1522" i="11"/>
  <c r="O1522" i="11"/>
  <c r="N1522" i="11"/>
  <c r="M1522" i="11"/>
  <c r="L1522" i="11"/>
  <c r="G1522" i="11"/>
  <c r="S1521" i="11"/>
  <c r="R1521" i="11"/>
  <c r="Q1521" i="11"/>
  <c r="O1521" i="11"/>
  <c r="N1521" i="11"/>
  <c r="M1521" i="11"/>
  <c r="L1521" i="11"/>
  <c r="G1521" i="11"/>
  <c r="S1520" i="11"/>
  <c r="R1520" i="11"/>
  <c r="Q1520" i="11"/>
  <c r="O1520" i="11"/>
  <c r="N1520" i="11"/>
  <c r="M1520" i="11"/>
  <c r="L1520" i="11"/>
  <c r="G1520" i="11"/>
  <c r="S1519" i="11"/>
  <c r="R1519" i="11"/>
  <c r="Q1519" i="11"/>
  <c r="O1519" i="11"/>
  <c r="N1519" i="11"/>
  <c r="M1519" i="11"/>
  <c r="L1519" i="11"/>
  <c r="G1519" i="11"/>
  <c r="S1518" i="11"/>
  <c r="R1518" i="11"/>
  <c r="Q1518" i="11"/>
  <c r="O1518" i="11"/>
  <c r="N1518" i="11"/>
  <c r="M1518" i="11"/>
  <c r="L1518" i="11"/>
  <c r="G1518" i="11"/>
  <c r="S1517" i="11"/>
  <c r="R1517" i="11"/>
  <c r="Q1517" i="11"/>
  <c r="O1517" i="11"/>
  <c r="N1517" i="11"/>
  <c r="M1517" i="11"/>
  <c r="L1517" i="11"/>
  <c r="G1517" i="11"/>
  <c r="S1516" i="11"/>
  <c r="R1516" i="11"/>
  <c r="Q1516" i="11"/>
  <c r="O1516" i="11"/>
  <c r="N1516" i="11"/>
  <c r="M1516" i="11"/>
  <c r="L1516" i="11"/>
  <c r="G1516" i="11"/>
  <c r="S1515" i="11"/>
  <c r="R1515" i="11"/>
  <c r="Q1515" i="11"/>
  <c r="O1515" i="11"/>
  <c r="N1515" i="11"/>
  <c r="M1515" i="11"/>
  <c r="L1515" i="11"/>
  <c r="G1515" i="11"/>
  <c r="S1514" i="11"/>
  <c r="R1514" i="11"/>
  <c r="Q1514" i="11"/>
  <c r="O1514" i="11"/>
  <c r="N1514" i="11"/>
  <c r="M1514" i="11"/>
  <c r="L1514" i="11"/>
  <c r="G1514" i="11"/>
  <c r="S1513" i="11"/>
  <c r="R1513" i="11"/>
  <c r="Q1513" i="11"/>
  <c r="O1513" i="11"/>
  <c r="N1513" i="11"/>
  <c r="M1513" i="11"/>
  <c r="L1513" i="11"/>
  <c r="G1513" i="11"/>
  <c r="S1512" i="11"/>
  <c r="R1512" i="11"/>
  <c r="Q1512" i="11"/>
  <c r="O1512" i="11"/>
  <c r="N1512" i="11"/>
  <c r="M1512" i="11"/>
  <c r="L1512" i="11"/>
  <c r="G1512" i="11"/>
  <c r="S1511" i="11"/>
  <c r="R1511" i="11"/>
  <c r="Q1511" i="11"/>
  <c r="O1511" i="11"/>
  <c r="N1511" i="11"/>
  <c r="M1511" i="11"/>
  <c r="L1511" i="11"/>
  <c r="G1511" i="11"/>
  <c r="S1510" i="11"/>
  <c r="R1510" i="11"/>
  <c r="Q1510" i="11"/>
  <c r="O1510" i="11"/>
  <c r="N1510" i="11"/>
  <c r="M1510" i="11"/>
  <c r="L1510" i="11"/>
  <c r="G1510" i="11"/>
  <c r="S1509" i="11"/>
  <c r="R1509" i="11"/>
  <c r="Q1509" i="11"/>
  <c r="O1509" i="11"/>
  <c r="N1509" i="11"/>
  <c r="M1509" i="11"/>
  <c r="L1509" i="11"/>
  <c r="G1509" i="11"/>
  <c r="S1508" i="11"/>
  <c r="R1508" i="11"/>
  <c r="Q1508" i="11"/>
  <c r="O1508" i="11"/>
  <c r="N1508" i="11"/>
  <c r="M1508" i="11"/>
  <c r="L1508" i="11"/>
  <c r="G1508" i="11"/>
  <c r="S1507" i="11"/>
  <c r="R1507" i="11"/>
  <c r="Q1507" i="11"/>
  <c r="O1507" i="11"/>
  <c r="N1507" i="11"/>
  <c r="M1507" i="11"/>
  <c r="L1507" i="11"/>
  <c r="G1507" i="11"/>
  <c r="S1506" i="11"/>
  <c r="R1506" i="11"/>
  <c r="Q1506" i="11"/>
  <c r="O1506" i="11"/>
  <c r="N1506" i="11"/>
  <c r="M1506" i="11"/>
  <c r="L1506" i="11"/>
  <c r="G1506" i="11"/>
  <c r="S1505" i="11"/>
  <c r="R1505" i="11"/>
  <c r="Q1505" i="11"/>
  <c r="O1505" i="11"/>
  <c r="N1505" i="11"/>
  <c r="M1505" i="11"/>
  <c r="L1505" i="11"/>
  <c r="G1505" i="11"/>
  <c r="S1504" i="11"/>
  <c r="R1504" i="11"/>
  <c r="Q1504" i="11"/>
  <c r="O1504" i="11"/>
  <c r="N1504" i="11"/>
  <c r="M1504" i="11"/>
  <c r="L1504" i="11"/>
  <c r="G1504" i="11"/>
  <c r="S1503" i="11"/>
  <c r="R1503" i="11"/>
  <c r="Q1503" i="11"/>
  <c r="O1503" i="11"/>
  <c r="N1503" i="11"/>
  <c r="M1503" i="11"/>
  <c r="L1503" i="11"/>
  <c r="G1503" i="11"/>
  <c r="S1502" i="11"/>
  <c r="R1502" i="11"/>
  <c r="Q1502" i="11"/>
  <c r="O1502" i="11"/>
  <c r="N1502" i="11"/>
  <c r="M1502" i="11"/>
  <c r="L1502" i="11"/>
  <c r="G1502" i="11"/>
  <c r="S1501" i="11"/>
  <c r="R1501" i="11"/>
  <c r="Q1501" i="11"/>
  <c r="O1501" i="11"/>
  <c r="N1501" i="11"/>
  <c r="M1501" i="11"/>
  <c r="L1501" i="11"/>
  <c r="G1501" i="11"/>
  <c r="S1500" i="11"/>
  <c r="R1500" i="11"/>
  <c r="Q1500" i="11"/>
  <c r="O1500" i="11"/>
  <c r="N1500" i="11"/>
  <c r="M1500" i="11"/>
  <c r="L1500" i="11"/>
  <c r="G1500" i="11"/>
  <c r="S1499" i="11"/>
  <c r="R1499" i="11"/>
  <c r="Q1499" i="11"/>
  <c r="O1499" i="11"/>
  <c r="N1499" i="11"/>
  <c r="M1499" i="11"/>
  <c r="L1499" i="11"/>
  <c r="G1499" i="11"/>
  <c r="S1498" i="11"/>
  <c r="R1498" i="11"/>
  <c r="Q1498" i="11"/>
  <c r="O1498" i="11"/>
  <c r="N1498" i="11"/>
  <c r="M1498" i="11"/>
  <c r="L1498" i="11"/>
  <c r="G1498" i="11"/>
  <c r="S1497" i="11"/>
  <c r="R1497" i="11"/>
  <c r="Q1497" i="11"/>
  <c r="O1497" i="11"/>
  <c r="N1497" i="11"/>
  <c r="M1497" i="11"/>
  <c r="L1497" i="11"/>
  <c r="G1497" i="11"/>
  <c r="S1496" i="11"/>
  <c r="R1496" i="11"/>
  <c r="Q1496" i="11"/>
  <c r="O1496" i="11"/>
  <c r="N1496" i="11"/>
  <c r="M1496" i="11"/>
  <c r="L1496" i="11"/>
  <c r="G1496" i="11"/>
  <c r="S1495" i="11"/>
  <c r="R1495" i="11"/>
  <c r="Q1495" i="11"/>
  <c r="O1495" i="11"/>
  <c r="N1495" i="11"/>
  <c r="M1495" i="11"/>
  <c r="L1495" i="11"/>
  <c r="G1495" i="11"/>
  <c r="S1494" i="11"/>
  <c r="R1494" i="11"/>
  <c r="Q1494" i="11"/>
  <c r="O1494" i="11"/>
  <c r="N1494" i="11"/>
  <c r="M1494" i="11"/>
  <c r="L1494" i="11"/>
  <c r="G1494" i="11"/>
  <c r="S1493" i="11"/>
  <c r="R1493" i="11"/>
  <c r="Q1493" i="11"/>
  <c r="O1493" i="11"/>
  <c r="N1493" i="11"/>
  <c r="M1493" i="11"/>
  <c r="L1493" i="11"/>
  <c r="G1493" i="11"/>
  <c r="S1492" i="11"/>
  <c r="R1492" i="11"/>
  <c r="Q1492" i="11"/>
  <c r="O1492" i="11"/>
  <c r="N1492" i="11"/>
  <c r="M1492" i="11"/>
  <c r="L1492" i="11"/>
  <c r="G1492" i="11"/>
  <c r="S1491" i="11"/>
  <c r="R1491" i="11"/>
  <c r="Q1491" i="11"/>
  <c r="O1491" i="11"/>
  <c r="N1491" i="11"/>
  <c r="M1491" i="11"/>
  <c r="L1491" i="11"/>
  <c r="G1491" i="11"/>
  <c r="S1490" i="11"/>
  <c r="R1490" i="11"/>
  <c r="Q1490" i="11"/>
  <c r="O1490" i="11"/>
  <c r="N1490" i="11"/>
  <c r="M1490" i="11"/>
  <c r="L1490" i="11"/>
  <c r="G1490" i="11"/>
  <c r="S1489" i="11"/>
  <c r="R1489" i="11"/>
  <c r="Q1489" i="11"/>
  <c r="O1489" i="11"/>
  <c r="N1489" i="11"/>
  <c r="M1489" i="11"/>
  <c r="L1489" i="11"/>
  <c r="G1489" i="11"/>
  <c r="S1488" i="11"/>
  <c r="R1488" i="11"/>
  <c r="Q1488" i="11"/>
  <c r="O1488" i="11"/>
  <c r="N1488" i="11"/>
  <c r="M1488" i="11"/>
  <c r="L1488" i="11"/>
  <c r="G1488" i="11"/>
  <c r="S1487" i="11"/>
  <c r="R1487" i="11"/>
  <c r="Q1487" i="11"/>
  <c r="O1487" i="11"/>
  <c r="N1487" i="11"/>
  <c r="M1487" i="11"/>
  <c r="L1487" i="11"/>
  <c r="G1487" i="11"/>
  <c r="S1486" i="11"/>
  <c r="R1486" i="11"/>
  <c r="Q1486" i="11"/>
  <c r="O1486" i="11"/>
  <c r="N1486" i="11"/>
  <c r="M1486" i="11"/>
  <c r="L1486" i="11"/>
  <c r="G1486" i="11"/>
  <c r="S1485" i="11"/>
  <c r="R1485" i="11"/>
  <c r="Q1485" i="11"/>
  <c r="O1485" i="11"/>
  <c r="N1485" i="11"/>
  <c r="M1485" i="11"/>
  <c r="L1485" i="11"/>
  <c r="G1485" i="11"/>
  <c r="S1484" i="11"/>
  <c r="R1484" i="11"/>
  <c r="Q1484" i="11"/>
  <c r="O1484" i="11"/>
  <c r="N1484" i="11"/>
  <c r="M1484" i="11"/>
  <c r="L1484" i="11"/>
  <c r="G1484" i="11"/>
  <c r="S1483" i="11"/>
  <c r="R1483" i="11"/>
  <c r="Q1483" i="11"/>
  <c r="O1483" i="11"/>
  <c r="N1483" i="11"/>
  <c r="M1483" i="11"/>
  <c r="L1483" i="11"/>
  <c r="G1483" i="11"/>
  <c r="S1482" i="11"/>
  <c r="R1482" i="11"/>
  <c r="Q1482" i="11"/>
  <c r="O1482" i="11"/>
  <c r="N1482" i="11"/>
  <c r="M1482" i="11"/>
  <c r="L1482" i="11"/>
  <c r="G1482" i="11"/>
  <c r="S1481" i="11"/>
  <c r="R1481" i="11"/>
  <c r="Q1481" i="11"/>
  <c r="O1481" i="11"/>
  <c r="N1481" i="11"/>
  <c r="M1481" i="11"/>
  <c r="L1481" i="11"/>
  <c r="G1481" i="11"/>
  <c r="S1480" i="11"/>
  <c r="R1480" i="11"/>
  <c r="Q1480" i="11"/>
  <c r="O1480" i="11"/>
  <c r="N1480" i="11"/>
  <c r="M1480" i="11"/>
  <c r="L1480" i="11"/>
  <c r="G1480" i="11"/>
  <c r="S1479" i="11"/>
  <c r="R1479" i="11"/>
  <c r="Q1479" i="11"/>
  <c r="O1479" i="11"/>
  <c r="N1479" i="11"/>
  <c r="M1479" i="11"/>
  <c r="L1479" i="11"/>
  <c r="G1479" i="11"/>
  <c r="S1478" i="11"/>
  <c r="R1478" i="11"/>
  <c r="Q1478" i="11"/>
  <c r="O1478" i="11"/>
  <c r="N1478" i="11"/>
  <c r="M1478" i="11"/>
  <c r="L1478" i="11"/>
  <c r="G1478" i="11"/>
  <c r="S1477" i="11"/>
  <c r="R1477" i="11"/>
  <c r="Q1477" i="11"/>
  <c r="O1477" i="11"/>
  <c r="N1477" i="11"/>
  <c r="M1477" i="11"/>
  <c r="L1477" i="11"/>
  <c r="G1477" i="11"/>
  <c r="S1476" i="11"/>
  <c r="R1476" i="11"/>
  <c r="Q1476" i="11"/>
  <c r="O1476" i="11"/>
  <c r="N1476" i="11"/>
  <c r="M1476" i="11"/>
  <c r="L1476" i="11"/>
  <c r="G1476" i="11"/>
  <c r="S1475" i="11"/>
  <c r="R1475" i="11"/>
  <c r="Q1475" i="11"/>
  <c r="O1475" i="11"/>
  <c r="N1475" i="11"/>
  <c r="M1475" i="11"/>
  <c r="L1475" i="11"/>
  <c r="G1475" i="11"/>
  <c r="S1474" i="11"/>
  <c r="R1474" i="11"/>
  <c r="Q1474" i="11"/>
  <c r="O1474" i="11"/>
  <c r="N1474" i="11"/>
  <c r="M1474" i="11"/>
  <c r="L1474" i="11"/>
  <c r="G1474" i="11"/>
  <c r="S1473" i="11"/>
  <c r="R1473" i="11"/>
  <c r="Q1473" i="11"/>
  <c r="O1473" i="11"/>
  <c r="N1473" i="11"/>
  <c r="M1473" i="11"/>
  <c r="L1473" i="11"/>
  <c r="G1473" i="11"/>
  <c r="S1472" i="11"/>
  <c r="R1472" i="11"/>
  <c r="Q1472" i="11"/>
  <c r="O1472" i="11"/>
  <c r="N1472" i="11"/>
  <c r="M1472" i="11"/>
  <c r="L1472" i="11"/>
  <c r="G1472" i="11"/>
  <c r="S1471" i="11"/>
  <c r="R1471" i="11"/>
  <c r="Q1471" i="11"/>
  <c r="O1471" i="11"/>
  <c r="N1471" i="11"/>
  <c r="M1471" i="11"/>
  <c r="L1471" i="11"/>
  <c r="G1471" i="11"/>
  <c r="S1470" i="11"/>
  <c r="R1470" i="11"/>
  <c r="Q1470" i="11"/>
  <c r="O1470" i="11"/>
  <c r="N1470" i="11"/>
  <c r="M1470" i="11"/>
  <c r="L1470" i="11"/>
  <c r="G1470" i="11"/>
  <c r="S1469" i="11"/>
  <c r="R1469" i="11"/>
  <c r="Q1469" i="11"/>
  <c r="O1469" i="11"/>
  <c r="N1469" i="11"/>
  <c r="M1469" i="11"/>
  <c r="L1469" i="11"/>
  <c r="G1469" i="11"/>
  <c r="S1468" i="11"/>
  <c r="R1468" i="11"/>
  <c r="Q1468" i="11"/>
  <c r="O1468" i="11"/>
  <c r="N1468" i="11"/>
  <c r="M1468" i="11"/>
  <c r="L1468" i="11"/>
  <c r="G1468" i="11"/>
  <c r="S1467" i="11"/>
  <c r="R1467" i="11"/>
  <c r="Q1467" i="11"/>
  <c r="O1467" i="11"/>
  <c r="N1467" i="11"/>
  <c r="M1467" i="11"/>
  <c r="L1467" i="11"/>
  <c r="G1467" i="11"/>
  <c r="S1466" i="11"/>
  <c r="R1466" i="11"/>
  <c r="Q1466" i="11"/>
  <c r="O1466" i="11"/>
  <c r="N1466" i="11"/>
  <c r="M1466" i="11"/>
  <c r="L1466" i="11"/>
  <c r="G1466" i="11"/>
  <c r="S1465" i="11"/>
  <c r="R1465" i="11"/>
  <c r="Q1465" i="11"/>
  <c r="O1465" i="11"/>
  <c r="N1465" i="11"/>
  <c r="M1465" i="11"/>
  <c r="L1465" i="11"/>
  <c r="G1465" i="11"/>
  <c r="S1464" i="11"/>
  <c r="R1464" i="11"/>
  <c r="Q1464" i="11"/>
  <c r="O1464" i="11"/>
  <c r="N1464" i="11"/>
  <c r="M1464" i="11"/>
  <c r="L1464" i="11"/>
  <c r="G1464" i="11"/>
  <c r="S1463" i="11"/>
  <c r="R1463" i="11"/>
  <c r="Q1463" i="11"/>
  <c r="O1463" i="11"/>
  <c r="N1463" i="11"/>
  <c r="M1463" i="11"/>
  <c r="L1463" i="11"/>
  <c r="G1463" i="11"/>
  <c r="S1462" i="11"/>
  <c r="R1462" i="11"/>
  <c r="Q1462" i="11"/>
  <c r="O1462" i="11"/>
  <c r="N1462" i="11"/>
  <c r="M1462" i="11"/>
  <c r="L1462" i="11"/>
  <c r="G1462" i="11"/>
  <c r="S1461" i="11"/>
  <c r="R1461" i="11"/>
  <c r="Q1461" i="11"/>
  <c r="O1461" i="11"/>
  <c r="N1461" i="11"/>
  <c r="M1461" i="11"/>
  <c r="L1461" i="11"/>
  <c r="G1461" i="11"/>
  <c r="S1460" i="11"/>
  <c r="R1460" i="11"/>
  <c r="Q1460" i="11"/>
  <c r="O1460" i="11"/>
  <c r="N1460" i="11"/>
  <c r="M1460" i="11"/>
  <c r="L1460" i="11"/>
  <c r="G1460" i="11"/>
  <c r="S1459" i="11"/>
  <c r="R1459" i="11"/>
  <c r="Q1459" i="11"/>
  <c r="O1459" i="11"/>
  <c r="N1459" i="11"/>
  <c r="M1459" i="11"/>
  <c r="L1459" i="11"/>
  <c r="G1459" i="11"/>
  <c r="S1458" i="11"/>
  <c r="R1458" i="11"/>
  <c r="Q1458" i="11"/>
  <c r="O1458" i="11"/>
  <c r="N1458" i="11"/>
  <c r="M1458" i="11"/>
  <c r="L1458" i="11"/>
  <c r="G1458" i="11"/>
  <c r="S1457" i="11"/>
  <c r="R1457" i="11"/>
  <c r="Q1457" i="11"/>
  <c r="O1457" i="11"/>
  <c r="N1457" i="11"/>
  <c r="M1457" i="11"/>
  <c r="L1457" i="11"/>
  <c r="G1457" i="11"/>
  <c r="S1456" i="11"/>
  <c r="R1456" i="11"/>
  <c r="Q1456" i="11"/>
  <c r="O1456" i="11"/>
  <c r="N1456" i="11"/>
  <c r="M1456" i="11"/>
  <c r="L1456" i="11"/>
  <c r="G1456" i="11"/>
  <c r="S1455" i="11"/>
  <c r="R1455" i="11"/>
  <c r="Q1455" i="11"/>
  <c r="O1455" i="11"/>
  <c r="N1455" i="11"/>
  <c r="M1455" i="11"/>
  <c r="L1455" i="11"/>
  <c r="G1455" i="11"/>
  <c r="S1454" i="11"/>
  <c r="R1454" i="11"/>
  <c r="Q1454" i="11"/>
  <c r="O1454" i="11"/>
  <c r="N1454" i="11"/>
  <c r="M1454" i="11"/>
  <c r="L1454" i="11"/>
  <c r="G1454" i="11"/>
  <c r="S1453" i="11"/>
  <c r="R1453" i="11"/>
  <c r="Q1453" i="11"/>
  <c r="O1453" i="11"/>
  <c r="N1453" i="11"/>
  <c r="M1453" i="11"/>
  <c r="L1453" i="11"/>
  <c r="G1453" i="11"/>
  <c r="S1452" i="11"/>
  <c r="R1452" i="11"/>
  <c r="Q1452" i="11"/>
  <c r="O1452" i="11"/>
  <c r="N1452" i="11"/>
  <c r="M1452" i="11"/>
  <c r="L1452" i="11"/>
  <c r="G1452" i="11"/>
  <c r="S1451" i="11"/>
  <c r="R1451" i="11"/>
  <c r="Q1451" i="11"/>
  <c r="O1451" i="11"/>
  <c r="N1451" i="11"/>
  <c r="M1451" i="11"/>
  <c r="L1451" i="11"/>
  <c r="G1451" i="11"/>
  <c r="S1450" i="11"/>
  <c r="R1450" i="11"/>
  <c r="Q1450" i="11"/>
  <c r="O1450" i="11"/>
  <c r="N1450" i="11"/>
  <c r="M1450" i="11"/>
  <c r="L1450" i="11"/>
  <c r="G1450" i="11"/>
  <c r="S1449" i="11"/>
  <c r="R1449" i="11"/>
  <c r="Q1449" i="11"/>
  <c r="O1449" i="11"/>
  <c r="N1449" i="11"/>
  <c r="M1449" i="11"/>
  <c r="L1449" i="11"/>
  <c r="G1449" i="11"/>
  <c r="S1448" i="11"/>
  <c r="R1448" i="11"/>
  <c r="Q1448" i="11"/>
  <c r="O1448" i="11"/>
  <c r="N1448" i="11"/>
  <c r="M1448" i="11"/>
  <c r="L1448" i="11"/>
  <c r="G1448" i="11"/>
  <c r="S1447" i="11"/>
  <c r="R1447" i="11"/>
  <c r="Q1447" i="11"/>
  <c r="O1447" i="11"/>
  <c r="N1447" i="11"/>
  <c r="M1447" i="11"/>
  <c r="L1447" i="11"/>
  <c r="G1447" i="11"/>
  <c r="S1446" i="11"/>
  <c r="R1446" i="11"/>
  <c r="Q1446" i="11"/>
  <c r="O1446" i="11"/>
  <c r="N1446" i="11"/>
  <c r="M1446" i="11"/>
  <c r="L1446" i="11"/>
  <c r="G1446" i="11"/>
  <c r="S1445" i="11"/>
  <c r="R1445" i="11"/>
  <c r="Q1445" i="11"/>
  <c r="O1445" i="11"/>
  <c r="N1445" i="11"/>
  <c r="M1445" i="11"/>
  <c r="L1445" i="11"/>
  <c r="G1445" i="11"/>
  <c r="S1444" i="11"/>
  <c r="R1444" i="11"/>
  <c r="Q1444" i="11"/>
  <c r="O1444" i="11"/>
  <c r="N1444" i="11"/>
  <c r="M1444" i="11"/>
  <c r="L1444" i="11"/>
  <c r="G1444" i="11"/>
  <c r="S1443" i="11"/>
  <c r="R1443" i="11"/>
  <c r="Q1443" i="11"/>
  <c r="O1443" i="11"/>
  <c r="N1443" i="11"/>
  <c r="M1443" i="11"/>
  <c r="L1443" i="11"/>
  <c r="G1443" i="11"/>
  <c r="S1442" i="11"/>
  <c r="R1442" i="11"/>
  <c r="Q1442" i="11"/>
  <c r="O1442" i="11"/>
  <c r="N1442" i="11"/>
  <c r="M1442" i="11"/>
  <c r="L1442" i="11"/>
  <c r="G1442" i="11"/>
  <c r="S1441" i="11"/>
  <c r="R1441" i="11"/>
  <c r="Q1441" i="11"/>
  <c r="O1441" i="11"/>
  <c r="N1441" i="11"/>
  <c r="M1441" i="11"/>
  <c r="L1441" i="11"/>
  <c r="G1441" i="11"/>
  <c r="S1440" i="11"/>
  <c r="R1440" i="11"/>
  <c r="Q1440" i="11"/>
  <c r="O1440" i="11"/>
  <c r="N1440" i="11"/>
  <c r="M1440" i="11"/>
  <c r="L1440" i="11"/>
  <c r="G1440" i="11"/>
  <c r="S1439" i="11"/>
  <c r="R1439" i="11"/>
  <c r="Q1439" i="11"/>
  <c r="O1439" i="11"/>
  <c r="N1439" i="11"/>
  <c r="M1439" i="11"/>
  <c r="L1439" i="11"/>
  <c r="G1439" i="11"/>
  <c r="S1438" i="11"/>
  <c r="R1438" i="11"/>
  <c r="Q1438" i="11"/>
  <c r="O1438" i="11"/>
  <c r="N1438" i="11"/>
  <c r="M1438" i="11"/>
  <c r="L1438" i="11"/>
  <c r="G1438" i="11"/>
  <c r="S1437" i="11"/>
  <c r="R1437" i="11"/>
  <c r="Q1437" i="11"/>
  <c r="O1437" i="11"/>
  <c r="N1437" i="11"/>
  <c r="M1437" i="11"/>
  <c r="L1437" i="11"/>
  <c r="G1437" i="11"/>
  <c r="S1436" i="11"/>
  <c r="R1436" i="11"/>
  <c r="Q1436" i="11"/>
  <c r="O1436" i="11"/>
  <c r="N1436" i="11"/>
  <c r="M1436" i="11"/>
  <c r="L1436" i="11"/>
  <c r="G1436" i="11"/>
  <c r="S1435" i="11"/>
  <c r="R1435" i="11"/>
  <c r="Q1435" i="11"/>
  <c r="O1435" i="11"/>
  <c r="N1435" i="11"/>
  <c r="M1435" i="11"/>
  <c r="L1435" i="11"/>
  <c r="G1435" i="11"/>
  <c r="S1434" i="11"/>
  <c r="R1434" i="11"/>
  <c r="Q1434" i="11"/>
  <c r="O1434" i="11"/>
  <c r="N1434" i="11"/>
  <c r="M1434" i="11"/>
  <c r="L1434" i="11"/>
  <c r="G1434" i="11"/>
  <c r="S1433" i="11"/>
  <c r="R1433" i="11"/>
  <c r="Q1433" i="11"/>
  <c r="O1433" i="11"/>
  <c r="N1433" i="11"/>
  <c r="M1433" i="11"/>
  <c r="L1433" i="11"/>
  <c r="G1433" i="11"/>
  <c r="S1432" i="11"/>
  <c r="R1432" i="11"/>
  <c r="Q1432" i="11"/>
  <c r="O1432" i="11"/>
  <c r="N1432" i="11"/>
  <c r="M1432" i="11"/>
  <c r="L1432" i="11"/>
  <c r="G1432" i="11"/>
  <c r="S1431" i="11"/>
  <c r="R1431" i="11"/>
  <c r="Q1431" i="11"/>
  <c r="O1431" i="11"/>
  <c r="N1431" i="11"/>
  <c r="M1431" i="11"/>
  <c r="L1431" i="11"/>
  <c r="G1431" i="11"/>
  <c r="S1430" i="11"/>
  <c r="R1430" i="11"/>
  <c r="Q1430" i="11"/>
  <c r="O1430" i="11"/>
  <c r="N1430" i="11"/>
  <c r="M1430" i="11"/>
  <c r="L1430" i="11"/>
  <c r="G1430" i="11"/>
  <c r="S1429" i="11"/>
  <c r="R1429" i="11"/>
  <c r="Q1429" i="11"/>
  <c r="O1429" i="11"/>
  <c r="N1429" i="11"/>
  <c r="M1429" i="11"/>
  <c r="L1429" i="11"/>
  <c r="G1429" i="11"/>
  <c r="S1428" i="11"/>
  <c r="R1428" i="11"/>
  <c r="Q1428" i="11"/>
  <c r="O1428" i="11"/>
  <c r="N1428" i="11"/>
  <c r="M1428" i="11"/>
  <c r="L1428" i="11"/>
  <c r="G1428" i="11"/>
  <c r="S1427" i="11"/>
  <c r="R1427" i="11"/>
  <c r="Q1427" i="11"/>
  <c r="O1427" i="11"/>
  <c r="N1427" i="11"/>
  <c r="M1427" i="11"/>
  <c r="L1427" i="11"/>
  <c r="G1427" i="11"/>
  <c r="S1426" i="11"/>
  <c r="R1426" i="11"/>
  <c r="Q1426" i="11"/>
  <c r="O1426" i="11"/>
  <c r="N1426" i="11"/>
  <c r="M1426" i="11"/>
  <c r="L1426" i="11"/>
  <c r="G1426" i="11"/>
  <c r="S1425" i="11"/>
  <c r="R1425" i="11"/>
  <c r="Q1425" i="11"/>
  <c r="O1425" i="11"/>
  <c r="N1425" i="11"/>
  <c r="M1425" i="11"/>
  <c r="L1425" i="11"/>
  <c r="G1425" i="11"/>
  <c r="S1424" i="11"/>
  <c r="R1424" i="11"/>
  <c r="Q1424" i="11"/>
  <c r="O1424" i="11"/>
  <c r="N1424" i="11"/>
  <c r="M1424" i="11"/>
  <c r="L1424" i="11"/>
  <c r="G1424" i="11"/>
  <c r="S1423" i="11"/>
  <c r="R1423" i="11"/>
  <c r="Q1423" i="11"/>
  <c r="O1423" i="11"/>
  <c r="N1423" i="11"/>
  <c r="M1423" i="11"/>
  <c r="L1423" i="11"/>
  <c r="G1423" i="11"/>
  <c r="S1422" i="11"/>
  <c r="R1422" i="11"/>
  <c r="Q1422" i="11"/>
  <c r="O1422" i="11"/>
  <c r="N1422" i="11"/>
  <c r="M1422" i="11"/>
  <c r="L1422" i="11"/>
  <c r="G1422" i="11"/>
  <c r="S1421" i="11"/>
  <c r="R1421" i="11"/>
  <c r="Q1421" i="11"/>
  <c r="O1421" i="11"/>
  <c r="N1421" i="11"/>
  <c r="M1421" i="11"/>
  <c r="L1421" i="11"/>
  <c r="G1421" i="11"/>
  <c r="S1420" i="11"/>
  <c r="R1420" i="11"/>
  <c r="Q1420" i="11"/>
  <c r="O1420" i="11"/>
  <c r="N1420" i="11"/>
  <c r="M1420" i="11"/>
  <c r="L1420" i="11"/>
  <c r="G1420" i="11"/>
  <c r="S1419" i="11"/>
  <c r="R1419" i="11"/>
  <c r="Q1419" i="11"/>
  <c r="O1419" i="11"/>
  <c r="N1419" i="11"/>
  <c r="M1419" i="11"/>
  <c r="L1419" i="11"/>
  <c r="G1419" i="11"/>
  <c r="S1418" i="11"/>
  <c r="R1418" i="11"/>
  <c r="Q1418" i="11"/>
  <c r="O1418" i="11"/>
  <c r="N1418" i="11"/>
  <c r="M1418" i="11"/>
  <c r="L1418" i="11"/>
  <c r="G1418" i="11"/>
  <c r="S1417" i="11"/>
  <c r="R1417" i="11"/>
  <c r="Q1417" i="11"/>
  <c r="O1417" i="11"/>
  <c r="N1417" i="11"/>
  <c r="M1417" i="11"/>
  <c r="L1417" i="11"/>
  <c r="G1417" i="11"/>
  <c r="S1416" i="11"/>
  <c r="R1416" i="11"/>
  <c r="Q1416" i="11"/>
  <c r="O1416" i="11"/>
  <c r="N1416" i="11"/>
  <c r="M1416" i="11"/>
  <c r="L1416" i="11"/>
  <c r="G1416" i="11"/>
  <c r="S1415" i="11"/>
  <c r="R1415" i="11"/>
  <c r="Q1415" i="11"/>
  <c r="O1415" i="11"/>
  <c r="N1415" i="11"/>
  <c r="M1415" i="11"/>
  <c r="L1415" i="11"/>
  <c r="G1415" i="11"/>
  <c r="S1414" i="11"/>
  <c r="R1414" i="11"/>
  <c r="Q1414" i="11"/>
  <c r="O1414" i="11"/>
  <c r="N1414" i="11"/>
  <c r="M1414" i="11"/>
  <c r="L1414" i="11"/>
  <c r="G1414" i="11"/>
  <c r="S1413" i="11"/>
  <c r="R1413" i="11"/>
  <c r="Q1413" i="11"/>
  <c r="O1413" i="11"/>
  <c r="N1413" i="11"/>
  <c r="M1413" i="11"/>
  <c r="L1413" i="11"/>
  <c r="G1413" i="11"/>
  <c r="S1412" i="11"/>
  <c r="R1412" i="11"/>
  <c r="Q1412" i="11"/>
  <c r="O1412" i="11"/>
  <c r="N1412" i="11"/>
  <c r="M1412" i="11"/>
  <c r="L1412" i="11"/>
  <c r="G1412" i="11"/>
  <c r="S1411" i="11"/>
  <c r="R1411" i="11"/>
  <c r="Q1411" i="11"/>
  <c r="O1411" i="11"/>
  <c r="N1411" i="11"/>
  <c r="M1411" i="11"/>
  <c r="L1411" i="11"/>
  <c r="G1411" i="11"/>
  <c r="S1410" i="11"/>
  <c r="R1410" i="11"/>
  <c r="Q1410" i="11"/>
  <c r="O1410" i="11"/>
  <c r="N1410" i="11"/>
  <c r="M1410" i="11"/>
  <c r="L1410" i="11"/>
  <c r="G1410" i="11"/>
  <c r="S1409" i="11"/>
  <c r="R1409" i="11"/>
  <c r="Q1409" i="11"/>
  <c r="O1409" i="11"/>
  <c r="N1409" i="11"/>
  <c r="M1409" i="11"/>
  <c r="L1409" i="11"/>
  <c r="G1409" i="11"/>
  <c r="S1408" i="11"/>
  <c r="R1408" i="11"/>
  <c r="Q1408" i="11"/>
  <c r="O1408" i="11"/>
  <c r="N1408" i="11"/>
  <c r="M1408" i="11"/>
  <c r="L1408" i="11"/>
  <c r="G1408" i="11"/>
  <c r="S1407" i="11"/>
  <c r="R1407" i="11"/>
  <c r="Q1407" i="11"/>
  <c r="O1407" i="11"/>
  <c r="N1407" i="11"/>
  <c r="M1407" i="11"/>
  <c r="L1407" i="11"/>
  <c r="G1407" i="11"/>
  <c r="S1406" i="11"/>
  <c r="R1406" i="11"/>
  <c r="Q1406" i="11"/>
  <c r="O1406" i="11"/>
  <c r="N1406" i="11"/>
  <c r="M1406" i="11"/>
  <c r="L1406" i="11"/>
  <c r="G1406" i="11"/>
  <c r="S1405" i="11"/>
  <c r="R1405" i="11"/>
  <c r="Q1405" i="11"/>
  <c r="O1405" i="11"/>
  <c r="N1405" i="11"/>
  <c r="M1405" i="11"/>
  <c r="L1405" i="11"/>
  <c r="G1405" i="11"/>
  <c r="S1404" i="11"/>
  <c r="R1404" i="11"/>
  <c r="Q1404" i="11"/>
  <c r="O1404" i="11"/>
  <c r="N1404" i="11"/>
  <c r="M1404" i="11"/>
  <c r="L1404" i="11"/>
  <c r="G1404" i="11"/>
  <c r="S1403" i="11"/>
  <c r="R1403" i="11"/>
  <c r="Q1403" i="11"/>
  <c r="O1403" i="11"/>
  <c r="N1403" i="11"/>
  <c r="M1403" i="11"/>
  <c r="L1403" i="11"/>
  <c r="G1403" i="11"/>
  <c r="S1402" i="11"/>
  <c r="R1402" i="11"/>
  <c r="Q1402" i="11"/>
  <c r="O1402" i="11"/>
  <c r="N1402" i="11"/>
  <c r="M1402" i="11"/>
  <c r="L1402" i="11"/>
  <c r="G1402" i="11"/>
  <c r="S1401" i="11"/>
  <c r="R1401" i="11"/>
  <c r="Q1401" i="11"/>
  <c r="O1401" i="11"/>
  <c r="N1401" i="11"/>
  <c r="M1401" i="11"/>
  <c r="L1401" i="11"/>
  <c r="G1401" i="11"/>
  <c r="S1400" i="11"/>
  <c r="R1400" i="11"/>
  <c r="Q1400" i="11"/>
  <c r="O1400" i="11"/>
  <c r="N1400" i="11"/>
  <c r="M1400" i="11"/>
  <c r="L1400" i="11"/>
  <c r="G1400" i="11"/>
  <c r="S1399" i="11"/>
  <c r="R1399" i="11"/>
  <c r="Q1399" i="11"/>
  <c r="O1399" i="11"/>
  <c r="N1399" i="11"/>
  <c r="M1399" i="11"/>
  <c r="L1399" i="11"/>
  <c r="G1399" i="11"/>
  <c r="S1398" i="11"/>
  <c r="R1398" i="11"/>
  <c r="Q1398" i="11"/>
  <c r="O1398" i="11"/>
  <c r="N1398" i="11"/>
  <c r="M1398" i="11"/>
  <c r="L1398" i="11"/>
  <c r="G1398" i="11"/>
  <c r="S1397" i="11"/>
  <c r="R1397" i="11"/>
  <c r="Q1397" i="11"/>
  <c r="O1397" i="11"/>
  <c r="N1397" i="11"/>
  <c r="M1397" i="11"/>
  <c r="L1397" i="11"/>
  <c r="G1397" i="11"/>
  <c r="S1396" i="11"/>
  <c r="R1396" i="11"/>
  <c r="Q1396" i="11"/>
  <c r="O1396" i="11"/>
  <c r="N1396" i="11"/>
  <c r="M1396" i="11"/>
  <c r="L1396" i="11"/>
  <c r="G1396" i="11"/>
  <c r="S1395" i="11"/>
  <c r="R1395" i="11"/>
  <c r="Q1395" i="11"/>
  <c r="O1395" i="11"/>
  <c r="N1395" i="11"/>
  <c r="M1395" i="11"/>
  <c r="L1395" i="11"/>
  <c r="G1395" i="11"/>
  <c r="S1394" i="11"/>
  <c r="R1394" i="11"/>
  <c r="Q1394" i="11"/>
  <c r="O1394" i="11"/>
  <c r="N1394" i="11"/>
  <c r="M1394" i="11"/>
  <c r="L1394" i="11"/>
  <c r="G1394" i="11"/>
  <c r="S1393" i="11"/>
  <c r="R1393" i="11"/>
  <c r="Q1393" i="11"/>
  <c r="O1393" i="11"/>
  <c r="N1393" i="11"/>
  <c r="M1393" i="11"/>
  <c r="L1393" i="11"/>
  <c r="G1393" i="11"/>
  <c r="S1392" i="11"/>
  <c r="R1392" i="11"/>
  <c r="Q1392" i="11"/>
  <c r="O1392" i="11"/>
  <c r="N1392" i="11"/>
  <c r="L1392" i="11"/>
  <c r="K1392" i="11"/>
  <c r="J1392" i="11"/>
  <c r="G1392" i="11"/>
  <c r="M1392" i="11" s="1"/>
  <c r="S1391" i="11"/>
  <c r="R1391" i="11"/>
  <c r="Q1391" i="11"/>
  <c r="O1391" i="11"/>
  <c r="N1391" i="11"/>
  <c r="L1391" i="11"/>
  <c r="G1391" i="11"/>
  <c r="M1391" i="11" s="1"/>
  <c r="S1390" i="11"/>
  <c r="R1390" i="11"/>
  <c r="Q1390" i="11"/>
  <c r="O1390" i="11"/>
  <c r="N1390" i="11"/>
  <c r="M1390" i="11"/>
  <c r="L1390" i="11"/>
  <c r="G1390" i="11"/>
  <c r="S1389" i="11"/>
  <c r="R1389" i="11"/>
  <c r="Q1389" i="11"/>
  <c r="O1389" i="11"/>
  <c r="N1389" i="11"/>
  <c r="L1389" i="11"/>
  <c r="G1389" i="11"/>
  <c r="M1389" i="11" s="1"/>
  <c r="S1388" i="11"/>
  <c r="R1388" i="11"/>
  <c r="Q1388" i="11"/>
  <c r="O1388" i="11"/>
  <c r="N1388" i="11"/>
  <c r="L1388" i="11"/>
  <c r="G1388" i="11"/>
  <c r="M1388" i="11" s="1"/>
  <c r="S1387" i="11"/>
  <c r="R1387" i="11"/>
  <c r="Q1387" i="11"/>
  <c r="O1387" i="11"/>
  <c r="N1387" i="11"/>
  <c r="L1387" i="11"/>
  <c r="G1387" i="11"/>
  <c r="M1387" i="11" s="1"/>
  <c r="S1386" i="11"/>
  <c r="R1386" i="11"/>
  <c r="Q1386" i="11"/>
  <c r="O1386" i="11"/>
  <c r="N1386" i="11"/>
  <c r="L1386" i="11"/>
  <c r="G1386" i="11"/>
  <c r="M1386" i="11" s="1"/>
  <c r="S1385" i="11"/>
  <c r="R1385" i="11"/>
  <c r="Q1385" i="11"/>
  <c r="O1385" i="11"/>
  <c r="N1385" i="11"/>
  <c r="L1385" i="11"/>
  <c r="G1385" i="11"/>
  <c r="M1385" i="11" s="1"/>
  <c r="S1384" i="11"/>
  <c r="R1384" i="11"/>
  <c r="Q1384" i="11"/>
  <c r="O1384" i="11"/>
  <c r="N1384" i="11"/>
  <c r="M1384" i="11"/>
  <c r="L1384" i="11"/>
  <c r="G1384" i="11"/>
  <c r="S1383" i="11"/>
  <c r="R1383" i="11"/>
  <c r="Q1383" i="11"/>
  <c r="O1383" i="11"/>
  <c r="N1383" i="11"/>
  <c r="L1383" i="11"/>
  <c r="G1383" i="11"/>
  <c r="M1383" i="11" s="1"/>
  <c r="S1382" i="11"/>
  <c r="R1382" i="11"/>
  <c r="Q1382" i="11"/>
  <c r="O1382" i="11"/>
  <c r="N1382" i="11"/>
  <c r="L1382" i="11"/>
  <c r="G1382" i="11"/>
  <c r="M1382" i="11" s="1"/>
  <c r="S1381" i="11"/>
  <c r="R1381" i="11"/>
  <c r="Q1381" i="11"/>
  <c r="O1381" i="11"/>
  <c r="N1381" i="11"/>
  <c r="L1381" i="11"/>
  <c r="G1381" i="11"/>
  <c r="M1381" i="11" s="1"/>
  <c r="S1380" i="11"/>
  <c r="R1380" i="11"/>
  <c r="Q1380" i="11"/>
  <c r="O1380" i="11"/>
  <c r="N1380" i="11"/>
  <c r="L1380" i="11"/>
  <c r="G1380" i="11"/>
  <c r="M1380" i="11" s="1"/>
  <c r="S1379" i="11"/>
  <c r="R1379" i="11"/>
  <c r="Q1379" i="11"/>
  <c r="O1379" i="11"/>
  <c r="N1379" i="11"/>
  <c r="L1379" i="11"/>
  <c r="G1379" i="11"/>
  <c r="M1379" i="11" s="1"/>
  <c r="S1378" i="11"/>
  <c r="R1378" i="11"/>
  <c r="Q1378" i="11"/>
  <c r="O1378" i="11"/>
  <c r="N1378" i="11"/>
  <c r="M1378" i="11"/>
  <c r="L1378" i="11"/>
  <c r="G1378" i="11"/>
  <c r="S1377" i="11"/>
  <c r="R1377" i="11"/>
  <c r="Q1377" i="11"/>
  <c r="O1377" i="11"/>
  <c r="N1377" i="11"/>
  <c r="L1377" i="11"/>
  <c r="G1377" i="11"/>
  <c r="M1377" i="11" s="1"/>
  <c r="S1376" i="11"/>
  <c r="R1376" i="11"/>
  <c r="Q1376" i="11"/>
  <c r="O1376" i="11"/>
  <c r="N1376" i="11"/>
  <c r="L1376" i="11"/>
  <c r="G1376" i="11"/>
  <c r="M1376" i="11" s="1"/>
  <c r="S1375" i="11"/>
  <c r="R1375" i="11"/>
  <c r="Q1375" i="11"/>
  <c r="O1375" i="11"/>
  <c r="N1375" i="11"/>
  <c r="L1375" i="11"/>
  <c r="G1375" i="11"/>
  <c r="M1375" i="11" s="1"/>
  <c r="S1374" i="11"/>
  <c r="R1374" i="11"/>
  <c r="Q1374" i="11"/>
  <c r="O1374" i="11"/>
  <c r="N1374" i="11"/>
  <c r="L1374" i="11"/>
  <c r="G1374" i="11"/>
  <c r="M1374" i="11" s="1"/>
  <c r="S1373" i="11"/>
  <c r="R1373" i="11"/>
  <c r="Q1373" i="11"/>
  <c r="O1373" i="11"/>
  <c r="N1373" i="11"/>
  <c r="L1373" i="11"/>
  <c r="G1373" i="11"/>
  <c r="M1373" i="11" s="1"/>
  <c r="S1372" i="11"/>
  <c r="R1372" i="11"/>
  <c r="Q1372" i="11"/>
  <c r="O1372" i="11"/>
  <c r="N1372" i="11"/>
  <c r="M1372" i="11"/>
  <c r="L1372" i="11"/>
  <c r="G1372" i="11"/>
  <c r="S1371" i="11"/>
  <c r="R1371" i="11"/>
  <c r="Q1371" i="11"/>
  <c r="O1371" i="11"/>
  <c r="N1371" i="11"/>
  <c r="L1371" i="11"/>
  <c r="G1371" i="11"/>
  <c r="M1371" i="11" s="1"/>
  <c r="S1370" i="11"/>
  <c r="R1370" i="11"/>
  <c r="Q1370" i="11"/>
  <c r="O1370" i="11"/>
  <c r="N1370" i="11"/>
  <c r="L1370" i="11"/>
  <c r="G1370" i="11"/>
  <c r="M1370" i="11" s="1"/>
  <c r="S1369" i="11"/>
  <c r="R1369" i="11"/>
  <c r="Q1369" i="11"/>
  <c r="O1369" i="11"/>
  <c r="N1369" i="11"/>
  <c r="L1369" i="11"/>
  <c r="G1369" i="11"/>
  <c r="M1369" i="11" s="1"/>
  <c r="S1368" i="11"/>
  <c r="R1368" i="11"/>
  <c r="Q1368" i="11"/>
  <c r="O1368" i="11"/>
  <c r="N1368" i="11"/>
  <c r="L1368" i="11"/>
  <c r="G1368" i="11"/>
  <c r="M1368" i="11" s="1"/>
  <c r="S1367" i="11"/>
  <c r="R1367" i="11"/>
  <c r="Q1367" i="11"/>
  <c r="O1367" i="11"/>
  <c r="N1367" i="11"/>
  <c r="L1367" i="11"/>
  <c r="G1367" i="11"/>
  <c r="M1367" i="11" s="1"/>
  <c r="S1366" i="11"/>
  <c r="R1366" i="11"/>
  <c r="Q1366" i="11"/>
  <c r="O1366" i="11"/>
  <c r="N1366" i="11"/>
  <c r="M1366" i="11"/>
  <c r="L1366" i="11"/>
  <c r="G1366" i="11"/>
  <c r="S1365" i="11"/>
  <c r="R1365" i="11"/>
  <c r="Q1365" i="11"/>
  <c r="O1365" i="11"/>
  <c r="N1365" i="11"/>
  <c r="L1365" i="11"/>
  <c r="G1365" i="11"/>
  <c r="M1365" i="11" s="1"/>
  <c r="S1364" i="11"/>
  <c r="R1364" i="11"/>
  <c r="Q1364" i="11"/>
  <c r="O1364" i="11"/>
  <c r="N1364" i="11"/>
  <c r="L1364" i="11"/>
  <c r="G1364" i="11"/>
  <c r="M1364" i="11" s="1"/>
  <c r="S1363" i="11"/>
  <c r="R1363" i="11"/>
  <c r="Q1363" i="11"/>
  <c r="O1363" i="11"/>
  <c r="N1363" i="11"/>
  <c r="L1363" i="11"/>
  <c r="G1363" i="11"/>
  <c r="M1363" i="11" s="1"/>
  <c r="S1362" i="11"/>
  <c r="R1362" i="11"/>
  <c r="Q1362" i="11"/>
  <c r="O1362" i="11"/>
  <c r="N1362" i="11"/>
  <c r="L1362" i="11"/>
  <c r="G1362" i="11"/>
  <c r="M1362" i="11" s="1"/>
  <c r="S1361" i="11"/>
  <c r="R1361" i="11"/>
  <c r="Q1361" i="11"/>
  <c r="O1361" i="11"/>
  <c r="N1361" i="11"/>
  <c r="L1361" i="11"/>
  <c r="G1361" i="11"/>
  <c r="M1361" i="11" s="1"/>
  <c r="S1360" i="11"/>
  <c r="R1360" i="11"/>
  <c r="Q1360" i="11"/>
  <c r="O1360" i="11"/>
  <c r="N1360" i="11"/>
  <c r="M1360" i="11"/>
  <c r="L1360" i="11"/>
  <c r="G1360" i="11"/>
  <c r="S1359" i="11"/>
  <c r="R1359" i="11"/>
  <c r="Q1359" i="11"/>
  <c r="O1359" i="11"/>
  <c r="N1359" i="11"/>
  <c r="L1359" i="11"/>
  <c r="G1359" i="11"/>
  <c r="M1359" i="11" s="1"/>
  <c r="S1358" i="11"/>
  <c r="R1358" i="11"/>
  <c r="Q1358" i="11"/>
  <c r="O1358" i="11"/>
  <c r="N1358" i="11"/>
  <c r="L1358" i="11"/>
  <c r="G1358" i="11"/>
  <c r="M1358" i="11" s="1"/>
  <c r="S1357" i="11"/>
  <c r="R1357" i="11"/>
  <c r="Q1357" i="11"/>
  <c r="O1357" i="11"/>
  <c r="N1357" i="11"/>
  <c r="L1357" i="11"/>
  <c r="G1357" i="11"/>
  <c r="M1357" i="11" s="1"/>
  <c r="S1356" i="11"/>
  <c r="R1356" i="11"/>
  <c r="Q1356" i="11"/>
  <c r="O1356" i="11"/>
  <c r="N1356" i="11"/>
  <c r="L1356" i="11"/>
  <c r="G1356" i="11"/>
  <c r="M1356" i="11" s="1"/>
  <c r="S1355" i="11"/>
  <c r="R1355" i="11"/>
  <c r="Q1355" i="11"/>
  <c r="O1355" i="11"/>
  <c r="N1355" i="11"/>
  <c r="L1355" i="11"/>
  <c r="G1355" i="11"/>
  <c r="M1355" i="11" s="1"/>
  <c r="S1354" i="11"/>
  <c r="R1354" i="11"/>
  <c r="Q1354" i="11"/>
  <c r="O1354" i="11"/>
  <c r="N1354" i="11"/>
  <c r="M1354" i="11"/>
  <c r="L1354" i="11"/>
  <c r="G1354" i="11"/>
  <c r="S1353" i="11"/>
  <c r="R1353" i="11"/>
  <c r="Q1353" i="11"/>
  <c r="O1353" i="11"/>
  <c r="N1353" i="11"/>
  <c r="L1353" i="11"/>
  <c r="G1353" i="11"/>
  <c r="M1353" i="11" s="1"/>
  <c r="S1352" i="11"/>
  <c r="R1352" i="11"/>
  <c r="Q1352" i="11"/>
  <c r="O1352" i="11"/>
  <c r="N1352" i="11"/>
  <c r="L1352" i="11"/>
  <c r="G1352" i="11"/>
  <c r="M1352" i="11" s="1"/>
  <c r="S1351" i="11"/>
  <c r="R1351" i="11"/>
  <c r="Q1351" i="11"/>
  <c r="O1351" i="11"/>
  <c r="N1351" i="11"/>
  <c r="L1351" i="11"/>
  <c r="G1351" i="11"/>
  <c r="M1351" i="11" s="1"/>
  <c r="S1350" i="11"/>
  <c r="R1350" i="11"/>
  <c r="Q1350" i="11"/>
  <c r="O1350" i="11"/>
  <c r="N1350" i="11"/>
  <c r="L1350" i="11"/>
  <c r="G1350" i="11"/>
  <c r="M1350" i="11" s="1"/>
  <c r="S1349" i="11"/>
  <c r="R1349" i="11"/>
  <c r="Q1349" i="11"/>
  <c r="O1349" i="11"/>
  <c r="N1349" i="11"/>
  <c r="L1349" i="11"/>
  <c r="G1349" i="11"/>
  <c r="M1349" i="11" s="1"/>
  <c r="S1348" i="11"/>
  <c r="R1348" i="11"/>
  <c r="Q1348" i="11"/>
  <c r="O1348" i="11"/>
  <c r="N1348" i="11"/>
  <c r="L1348" i="11"/>
  <c r="G1348" i="11"/>
  <c r="M1348" i="11" s="1"/>
  <c r="S1347" i="11"/>
  <c r="R1347" i="11"/>
  <c r="Q1347" i="11"/>
  <c r="O1347" i="11"/>
  <c r="N1347" i="11"/>
  <c r="L1347" i="11"/>
  <c r="G1347" i="11"/>
  <c r="M1347" i="11" s="1"/>
  <c r="S1346" i="11"/>
  <c r="R1346" i="11"/>
  <c r="Q1346" i="11"/>
  <c r="O1346" i="11"/>
  <c r="N1346" i="11"/>
  <c r="L1346" i="11"/>
  <c r="G1346" i="11"/>
  <c r="M1346" i="11" s="1"/>
  <c r="S1345" i="11"/>
  <c r="R1345" i="11"/>
  <c r="Q1345" i="11"/>
  <c r="O1345" i="11"/>
  <c r="N1345" i="11"/>
  <c r="L1345" i="11"/>
  <c r="G1345" i="11"/>
  <c r="M1345" i="11" s="1"/>
  <c r="S1344" i="11"/>
  <c r="R1344" i="11"/>
  <c r="Q1344" i="11"/>
  <c r="O1344" i="11"/>
  <c r="N1344" i="11"/>
  <c r="L1344" i="11"/>
  <c r="G1344" i="11"/>
  <c r="M1344" i="11" s="1"/>
  <c r="S1343" i="11"/>
  <c r="R1343" i="11"/>
  <c r="Q1343" i="11"/>
  <c r="O1343" i="11"/>
  <c r="N1343" i="11"/>
  <c r="L1343" i="11"/>
  <c r="G1343" i="11"/>
  <c r="M1343" i="11" s="1"/>
  <c r="S1342" i="11"/>
  <c r="R1342" i="11"/>
  <c r="Q1342" i="11"/>
  <c r="O1342" i="11"/>
  <c r="N1342" i="11"/>
  <c r="M1342" i="11"/>
  <c r="L1342" i="11"/>
  <c r="G1342" i="11"/>
  <c r="S1341" i="11"/>
  <c r="R1341" i="11"/>
  <c r="Q1341" i="11"/>
  <c r="O1341" i="11"/>
  <c r="N1341" i="11"/>
  <c r="L1341" i="11"/>
  <c r="G1341" i="11"/>
  <c r="M1341" i="11" s="1"/>
  <c r="S1340" i="11"/>
  <c r="R1340" i="11"/>
  <c r="Q1340" i="11"/>
  <c r="O1340" i="11"/>
  <c r="N1340" i="11"/>
  <c r="L1340" i="11"/>
  <c r="G1340" i="11"/>
  <c r="M1340" i="11" s="1"/>
  <c r="S1339" i="11"/>
  <c r="R1339" i="11"/>
  <c r="Q1339" i="11"/>
  <c r="O1339" i="11"/>
  <c r="N1339" i="11"/>
  <c r="L1339" i="11"/>
  <c r="G1339" i="11"/>
  <c r="M1339" i="11" s="1"/>
  <c r="S1338" i="11"/>
  <c r="R1338" i="11"/>
  <c r="Q1338" i="11"/>
  <c r="O1338" i="11"/>
  <c r="N1338" i="11"/>
  <c r="L1338" i="11"/>
  <c r="G1338" i="11"/>
  <c r="M1338" i="11" s="1"/>
  <c r="S1337" i="11"/>
  <c r="R1337" i="11"/>
  <c r="Q1337" i="11"/>
  <c r="O1337" i="11"/>
  <c r="N1337" i="11"/>
  <c r="L1337" i="11"/>
  <c r="G1337" i="11"/>
  <c r="M1337" i="11" s="1"/>
  <c r="S1336" i="11"/>
  <c r="R1336" i="11"/>
  <c r="Q1336" i="11"/>
  <c r="O1336" i="11"/>
  <c r="N1336" i="11"/>
  <c r="M1336" i="11"/>
  <c r="L1336" i="11"/>
  <c r="G1336" i="11"/>
  <c r="S1335" i="11"/>
  <c r="R1335" i="11"/>
  <c r="Q1335" i="11"/>
  <c r="O1335" i="11"/>
  <c r="N1335" i="11"/>
  <c r="L1335" i="11"/>
  <c r="G1335" i="11"/>
  <c r="M1335" i="11" s="1"/>
  <c r="S1334" i="11"/>
  <c r="R1334" i="11"/>
  <c r="Q1334" i="11"/>
  <c r="O1334" i="11"/>
  <c r="N1334" i="11"/>
  <c r="L1334" i="11"/>
  <c r="G1334" i="11"/>
  <c r="M1334" i="11" s="1"/>
  <c r="S1333" i="11"/>
  <c r="R1333" i="11"/>
  <c r="Q1333" i="11"/>
  <c r="O1333" i="11"/>
  <c r="N1333" i="11"/>
  <c r="L1333" i="11"/>
  <c r="G1333" i="11"/>
  <c r="M1333" i="11" s="1"/>
  <c r="S1332" i="11"/>
  <c r="R1332" i="11"/>
  <c r="Q1332" i="11"/>
  <c r="O1332" i="11"/>
  <c r="N1332" i="11"/>
  <c r="L1332" i="11"/>
  <c r="G1332" i="11"/>
  <c r="M1332" i="11" s="1"/>
  <c r="S1331" i="11"/>
  <c r="R1331" i="11"/>
  <c r="Q1331" i="11"/>
  <c r="O1331" i="11"/>
  <c r="N1331" i="11"/>
  <c r="L1331" i="11"/>
  <c r="G1331" i="11"/>
  <c r="M1331" i="11" s="1"/>
  <c r="S1330" i="11"/>
  <c r="R1330" i="11"/>
  <c r="Q1330" i="11"/>
  <c r="O1330" i="11"/>
  <c r="N1330" i="11"/>
  <c r="L1330" i="11"/>
  <c r="G1330" i="11"/>
  <c r="M1330" i="11" s="1"/>
  <c r="S1329" i="11"/>
  <c r="R1329" i="11"/>
  <c r="Q1329" i="11"/>
  <c r="O1329" i="11"/>
  <c r="N1329" i="11"/>
  <c r="L1329" i="11"/>
  <c r="G1329" i="11"/>
  <c r="M1329" i="11" s="1"/>
  <c r="S1328" i="11"/>
  <c r="R1328" i="11"/>
  <c r="Q1328" i="11"/>
  <c r="O1328" i="11"/>
  <c r="N1328" i="11"/>
  <c r="L1328" i="11"/>
  <c r="G1328" i="11"/>
  <c r="M1328" i="11" s="1"/>
  <c r="S1327" i="11"/>
  <c r="R1327" i="11"/>
  <c r="Q1327" i="11"/>
  <c r="O1327" i="11"/>
  <c r="N1327" i="11"/>
  <c r="L1327" i="11"/>
  <c r="G1327" i="11"/>
  <c r="M1327" i="11" s="1"/>
  <c r="S1326" i="11"/>
  <c r="R1326" i="11"/>
  <c r="Q1326" i="11"/>
  <c r="O1326" i="11"/>
  <c r="N1326" i="11"/>
  <c r="L1326" i="11"/>
  <c r="G1326" i="11"/>
  <c r="M1326" i="11" s="1"/>
  <c r="S1325" i="11"/>
  <c r="R1325" i="11"/>
  <c r="Q1325" i="11"/>
  <c r="O1325" i="11"/>
  <c r="N1325" i="11"/>
  <c r="L1325" i="11"/>
  <c r="G1325" i="11"/>
  <c r="M1325" i="11" s="1"/>
  <c r="S1324" i="11"/>
  <c r="R1324" i="11"/>
  <c r="Q1324" i="11"/>
  <c r="O1324" i="11"/>
  <c r="N1324" i="11"/>
  <c r="M1324" i="11"/>
  <c r="L1324" i="11"/>
  <c r="G1324" i="11"/>
  <c r="S1323" i="11"/>
  <c r="R1323" i="11"/>
  <c r="Q1323" i="11"/>
  <c r="O1323" i="11"/>
  <c r="N1323" i="11"/>
  <c r="L1323" i="11"/>
  <c r="G1323" i="11"/>
  <c r="M1323" i="11" s="1"/>
  <c r="S1322" i="11"/>
  <c r="R1322" i="11"/>
  <c r="Q1322" i="11"/>
  <c r="O1322" i="11"/>
  <c r="N1322" i="11"/>
  <c r="L1322" i="11"/>
  <c r="G1322" i="11"/>
  <c r="M1322" i="11" s="1"/>
  <c r="S1321" i="11"/>
  <c r="R1321" i="11"/>
  <c r="Q1321" i="11"/>
  <c r="O1321" i="11"/>
  <c r="N1321" i="11"/>
  <c r="L1321" i="11"/>
  <c r="G1321" i="11"/>
  <c r="M1321" i="11" s="1"/>
  <c r="S1320" i="11"/>
  <c r="R1320" i="11"/>
  <c r="Q1320" i="11"/>
  <c r="O1320" i="11"/>
  <c r="N1320" i="11"/>
  <c r="L1320" i="11"/>
  <c r="G1320" i="11"/>
  <c r="M1320" i="11" s="1"/>
  <c r="S1319" i="11"/>
  <c r="R1319" i="11"/>
  <c r="Q1319" i="11"/>
  <c r="O1319" i="11"/>
  <c r="N1319" i="11"/>
  <c r="L1319" i="11"/>
  <c r="G1319" i="11"/>
  <c r="M1319" i="11" s="1"/>
  <c r="S1318" i="11"/>
  <c r="R1318" i="11"/>
  <c r="Q1318" i="11"/>
  <c r="O1318" i="11"/>
  <c r="N1318" i="11"/>
  <c r="M1318" i="11"/>
  <c r="L1318" i="11"/>
  <c r="G1318" i="11"/>
  <c r="S1317" i="11"/>
  <c r="R1317" i="11"/>
  <c r="Q1317" i="11"/>
  <c r="O1317" i="11"/>
  <c r="N1317" i="11"/>
  <c r="L1317" i="11"/>
  <c r="G1317" i="11"/>
  <c r="M1317" i="11" s="1"/>
  <c r="S1316" i="11"/>
  <c r="R1316" i="11"/>
  <c r="Q1316" i="11"/>
  <c r="O1316" i="11"/>
  <c r="N1316" i="11"/>
  <c r="L1316" i="11"/>
  <c r="G1316" i="11"/>
  <c r="M1316" i="11" s="1"/>
  <c r="S1315" i="11"/>
  <c r="R1315" i="11"/>
  <c r="Q1315" i="11"/>
  <c r="O1315" i="11"/>
  <c r="N1315" i="11"/>
  <c r="L1315" i="11"/>
  <c r="G1315" i="11"/>
  <c r="M1315" i="11" s="1"/>
  <c r="S1314" i="11"/>
  <c r="R1314" i="11"/>
  <c r="Q1314" i="11"/>
  <c r="O1314" i="11"/>
  <c r="N1314" i="11"/>
  <c r="L1314" i="11"/>
  <c r="G1314" i="11"/>
  <c r="M1314" i="11" s="1"/>
  <c r="S1313" i="11"/>
  <c r="R1313" i="11"/>
  <c r="Q1313" i="11"/>
  <c r="O1313" i="11"/>
  <c r="N1313" i="11"/>
  <c r="L1313" i="11"/>
  <c r="G1313" i="11"/>
  <c r="M1313" i="11" s="1"/>
  <c r="S1312" i="11"/>
  <c r="R1312" i="11"/>
  <c r="Q1312" i="11"/>
  <c r="O1312" i="11"/>
  <c r="N1312" i="11"/>
  <c r="L1312" i="11"/>
  <c r="G1312" i="11"/>
  <c r="M1312" i="11" s="1"/>
  <c r="S1311" i="11"/>
  <c r="R1311" i="11"/>
  <c r="Q1311" i="11"/>
  <c r="O1311" i="11"/>
  <c r="N1311" i="11"/>
  <c r="L1311" i="11"/>
  <c r="G1311" i="11"/>
  <c r="M1311" i="11" s="1"/>
  <c r="S1310" i="11"/>
  <c r="R1310" i="11"/>
  <c r="Q1310" i="11"/>
  <c r="O1310" i="11"/>
  <c r="N1310" i="11"/>
  <c r="L1310" i="11"/>
  <c r="G1310" i="11"/>
  <c r="M1310" i="11" s="1"/>
  <c r="S1309" i="11"/>
  <c r="R1309" i="11"/>
  <c r="Q1309" i="11"/>
  <c r="O1309" i="11"/>
  <c r="N1309" i="11"/>
  <c r="L1309" i="11"/>
  <c r="G1309" i="11"/>
  <c r="M1309" i="11" s="1"/>
  <c r="S1308" i="11"/>
  <c r="R1308" i="11"/>
  <c r="Q1308" i="11"/>
  <c r="O1308" i="11"/>
  <c r="N1308" i="11"/>
  <c r="L1308" i="11"/>
  <c r="G1308" i="11"/>
  <c r="M1308" i="11" s="1"/>
  <c r="S1307" i="11"/>
  <c r="R1307" i="11"/>
  <c r="Q1307" i="11"/>
  <c r="O1307" i="11"/>
  <c r="N1307" i="11"/>
  <c r="L1307" i="11"/>
  <c r="G1307" i="11"/>
  <c r="M1307" i="11" s="1"/>
  <c r="S1306" i="11"/>
  <c r="R1306" i="11"/>
  <c r="Q1306" i="11"/>
  <c r="O1306" i="11"/>
  <c r="N1306" i="11"/>
  <c r="M1306" i="11"/>
  <c r="L1306" i="11"/>
  <c r="G1306" i="11"/>
  <c r="S1305" i="11"/>
  <c r="R1305" i="11"/>
  <c r="Q1305" i="11"/>
  <c r="O1305" i="11"/>
  <c r="N1305" i="11"/>
  <c r="L1305" i="11"/>
  <c r="G1305" i="11"/>
  <c r="M1305" i="11" s="1"/>
  <c r="S1304" i="11"/>
  <c r="R1304" i="11"/>
  <c r="Q1304" i="11"/>
  <c r="O1304" i="11"/>
  <c r="N1304" i="11"/>
  <c r="L1304" i="11"/>
  <c r="G1304" i="11"/>
  <c r="M1304" i="11" s="1"/>
  <c r="S1303" i="11"/>
  <c r="R1303" i="11"/>
  <c r="Q1303" i="11"/>
  <c r="O1303" i="11"/>
  <c r="N1303" i="11"/>
  <c r="L1303" i="11"/>
  <c r="G1303" i="11"/>
  <c r="M1303" i="11" s="1"/>
  <c r="S1302" i="11"/>
  <c r="R1302" i="11"/>
  <c r="Q1302" i="11"/>
  <c r="O1302" i="11"/>
  <c r="N1302" i="11"/>
  <c r="L1302" i="11"/>
  <c r="G1302" i="11"/>
  <c r="M1302" i="11" s="1"/>
  <c r="S1301" i="11"/>
  <c r="R1301" i="11"/>
  <c r="Q1301" i="11"/>
  <c r="O1301" i="11"/>
  <c r="N1301" i="11"/>
  <c r="L1301" i="11"/>
  <c r="G1301" i="11"/>
  <c r="M1301" i="11" s="1"/>
  <c r="S1300" i="11"/>
  <c r="R1300" i="11"/>
  <c r="Q1300" i="11"/>
  <c r="O1300" i="11"/>
  <c r="N1300" i="11"/>
  <c r="M1300" i="11"/>
  <c r="L1300" i="11"/>
  <c r="G1300" i="11"/>
  <c r="S1299" i="11"/>
  <c r="R1299" i="11"/>
  <c r="Q1299" i="11"/>
  <c r="O1299" i="11"/>
  <c r="N1299" i="11"/>
  <c r="L1299" i="11"/>
  <c r="G1299" i="11"/>
  <c r="M1299" i="11" s="1"/>
  <c r="S1298" i="11"/>
  <c r="R1298" i="11"/>
  <c r="Q1298" i="11"/>
  <c r="O1298" i="11"/>
  <c r="N1298" i="11"/>
  <c r="L1298" i="11"/>
  <c r="G1298" i="11"/>
  <c r="M1298" i="11" s="1"/>
  <c r="S1297" i="11"/>
  <c r="R1297" i="11"/>
  <c r="Q1297" i="11"/>
  <c r="O1297" i="11"/>
  <c r="N1297" i="11"/>
  <c r="L1297" i="11"/>
  <c r="G1297" i="11"/>
  <c r="M1297" i="11" s="1"/>
  <c r="S1296" i="11"/>
  <c r="R1296" i="11"/>
  <c r="Q1296" i="11"/>
  <c r="O1296" i="11"/>
  <c r="N1296" i="11"/>
  <c r="L1296" i="11"/>
  <c r="G1296" i="11"/>
  <c r="M1296" i="11" s="1"/>
  <c r="S1295" i="11"/>
  <c r="R1295" i="11"/>
  <c r="Q1295" i="11"/>
  <c r="O1295" i="11"/>
  <c r="N1295" i="11"/>
  <c r="L1295" i="11"/>
  <c r="G1295" i="11"/>
  <c r="M1295" i="11" s="1"/>
  <c r="S1294" i="11"/>
  <c r="R1294" i="11"/>
  <c r="Q1294" i="11"/>
  <c r="O1294" i="11"/>
  <c r="N1294" i="11"/>
  <c r="L1294" i="11"/>
  <c r="G1294" i="11"/>
  <c r="M1294" i="11" s="1"/>
  <c r="S1293" i="11"/>
  <c r="R1293" i="11"/>
  <c r="Q1293" i="11"/>
  <c r="O1293" i="11"/>
  <c r="N1293" i="11"/>
  <c r="L1293" i="11"/>
  <c r="G1293" i="11"/>
  <c r="M1293" i="11" s="1"/>
  <c r="S1292" i="11"/>
  <c r="R1292" i="11"/>
  <c r="Q1292" i="11"/>
  <c r="O1292" i="11"/>
  <c r="N1292" i="11"/>
  <c r="L1292" i="11"/>
  <c r="G1292" i="11"/>
  <c r="M1292" i="11" s="1"/>
  <c r="S1291" i="11"/>
  <c r="R1291" i="11"/>
  <c r="Q1291" i="11"/>
  <c r="O1291" i="11"/>
  <c r="N1291" i="11"/>
  <c r="L1291" i="11"/>
  <c r="G1291" i="11"/>
  <c r="M1291" i="11" s="1"/>
  <c r="S1290" i="11"/>
  <c r="R1290" i="11"/>
  <c r="Q1290" i="11"/>
  <c r="O1290" i="11"/>
  <c r="N1290" i="11"/>
  <c r="L1290" i="11"/>
  <c r="G1290" i="11"/>
  <c r="M1290" i="11" s="1"/>
  <c r="S1289" i="11"/>
  <c r="R1289" i="11"/>
  <c r="Q1289" i="11"/>
  <c r="O1289" i="11"/>
  <c r="N1289" i="11"/>
  <c r="L1289" i="11"/>
  <c r="G1289" i="11"/>
  <c r="M1289" i="11" s="1"/>
  <c r="S1288" i="11"/>
  <c r="R1288" i="11"/>
  <c r="Q1288" i="11"/>
  <c r="O1288" i="11"/>
  <c r="N1288" i="11"/>
  <c r="M1288" i="11"/>
  <c r="L1288" i="11"/>
  <c r="G1288" i="11"/>
  <c r="S1287" i="11"/>
  <c r="R1287" i="11"/>
  <c r="Q1287" i="11"/>
  <c r="O1287" i="11"/>
  <c r="N1287" i="11"/>
  <c r="L1287" i="11"/>
  <c r="G1287" i="11"/>
  <c r="M1287" i="11" s="1"/>
  <c r="S1286" i="11"/>
  <c r="R1286" i="11"/>
  <c r="Q1286" i="11"/>
  <c r="O1286" i="11"/>
  <c r="N1286" i="11"/>
  <c r="L1286" i="11"/>
  <c r="G1286" i="11"/>
  <c r="M1286" i="11" s="1"/>
  <c r="S1285" i="11"/>
  <c r="R1285" i="11"/>
  <c r="Q1285" i="11"/>
  <c r="O1285" i="11"/>
  <c r="N1285" i="11"/>
  <c r="L1285" i="11"/>
  <c r="G1285" i="11"/>
  <c r="M1285" i="11" s="1"/>
  <c r="S1284" i="11"/>
  <c r="R1284" i="11"/>
  <c r="Q1284" i="11"/>
  <c r="O1284" i="11"/>
  <c r="N1284" i="11"/>
  <c r="L1284" i="11"/>
  <c r="G1284" i="11"/>
  <c r="M1284" i="11" s="1"/>
  <c r="S1283" i="11"/>
  <c r="R1283" i="11"/>
  <c r="Q1283" i="11"/>
  <c r="O1283" i="11"/>
  <c r="N1283" i="11"/>
  <c r="L1283" i="11"/>
  <c r="G1283" i="11"/>
  <c r="M1283" i="11" s="1"/>
  <c r="S1282" i="11"/>
  <c r="R1282" i="11"/>
  <c r="Q1282" i="11"/>
  <c r="O1282" i="11"/>
  <c r="N1282" i="11"/>
  <c r="M1282" i="11"/>
  <c r="L1282" i="11"/>
  <c r="G1282" i="11"/>
  <c r="S1281" i="11"/>
  <c r="R1281" i="11"/>
  <c r="Q1281" i="11"/>
  <c r="O1281" i="11"/>
  <c r="N1281" i="11"/>
  <c r="L1281" i="11"/>
  <c r="G1281" i="11"/>
  <c r="M1281" i="11" s="1"/>
  <c r="S1280" i="11"/>
  <c r="R1280" i="11"/>
  <c r="Q1280" i="11"/>
  <c r="O1280" i="11"/>
  <c r="N1280" i="11"/>
  <c r="L1280" i="11"/>
  <c r="G1280" i="11"/>
  <c r="M1280" i="11" s="1"/>
  <c r="S1279" i="11"/>
  <c r="R1279" i="11"/>
  <c r="Q1279" i="11"/>
  <c r="O1279" i="11"/>
  <c r="N1279" i="11"/>
  <c r="L1279" i="11"/>
  <c r="G1279" i="11"/>
  <c r="M1279" i="11" s="1"/>
  <c r="S1278" i="11"/>
  <c r="R1278" i="11"/>
  <c r="Q1278" i="11"/>
  <c r="O1278" i="11"/>
  <c r="N1278" i="11"/>
  <c r="L1278" i="11"/>
  <c r="G1278" i="11"/>
  <c r="M1278" i="11" s="1"/>
  <c r="S1277" i="11"/>
  <c r="R1277" i="11"/>
  <c r="Q1277" i="11"/>
  <c r="O1277" i="11"/>
  <c r="N1277" i="11"/>
  <c r="L1277" i="11"/>
  <c r="G1277" i="11"/>
  <c r="M1277" i="11" s="1"/>
  <c r="S1276" i="11"/>
  <c r="R1276" i="11"/>
  <c r="Q1276" i="11"/>
  <c r="O1276" i="11"/>
  <c r="N1276" i="11"/>
  <c r="L1276" i="11"/>
  <c r="G1276" i="11"/>
  <c r="M1276" i="11" s="1"/>
  <c r="S1275" i="11"/>
  <c r="R1275" i="11"/>
  <c r="Q1275" i="11"/>
  <c r="O1275" i="11"/>
  <c r="N1275" i="11"/>
  <c r="L1275" i="11"/>
  <c r="G1275" i="11"/>
  <c r="M1275" i="11" s="1"/>
  <c r="S1274" i="11"/>
  <c r="R1274" i="11"/>
  <c r="Q1274" i="11"/>
  <c r="O1274" i="11"/>
  <c r="N1274" i="11"/>
  <c r="L1274" i="11"/>
  <c r="G1274" i="11"/>
  <c r="M1274" i="11" s="1"/>
  <c r="S1273" i="11"/>
  <c r="R1273" i="11"/>
  <c r="Q1273" i="11"/>
  <c r="O1273" i="11"/>
  <c r="N1273" i="11"/>
  <c r="L1273" i="11"/>
  <c r="G1273" i="11"/>
  <c r="M1273" i="11" s="1"/>
  <c r="S1272" i="11"/>
  <c r="R1272" i="11"/>
  <c r="Q1272" i="11"/>
  <c r="O1272" i="11"/>
  <c r="N1272" i="11"/>
  <c r="L1272" i="11"/>
  <c r="G1272" i="11"/>
  <c r="M1272" i="11" s="1"/>
  <c r="S1271" i="11"/>
  <c r="R1271" i="11"/>
  <c r="Q1271" i="11"/>
  <c r="O1271" i="11"/>
  <c r="N1271" i="11"/>
  <c r="L1271" i="11"/>
  <c r="G1271" i="11"/>
  <c r="M1271" i="11" s="1"/>
  <c r="S1270" i="11"/>
  <c r="R1270" i="11"/>
  <c r="Q1270" i="11"/>
  <c r="O1270" i="11"/>
  <c r="N1270" i="11"/>
  <c r="M1270" i="11"/>
  <c r="L1270" i="11"/>
  <c r="G1270" i="11"/>
  <c r="S1269" i="11"/>
  <c r="R1269" i="11"/>
  <c r="Q1269" i="11"/>
  <c r="O1269" i="11"/>
  <c r="N1269" i="11"/>
  <c r="L1269" i="11"/>
  <c r="G1269" i="11"/>
  <c r="M1269" i="11" s="1"/>
  <c r="S1268" i="11"/>
  <c r="R1268" i="11"/>
  <c r="Q1268" i="11"/>
  <c r="O1268" i="11"/>
  <c r="N1268" i="11"/>
  <c r="L1268" i="11"/>
  <c r="G1268" i="11"/>
  <c r="M1268" i="11" s="1"/>
  <c r="S1267" i="11"/>
  <c r="R1267" i="11"/>
  <c r="Q1267" i="11"/>
  <c r="O1267" i="11"/>
  <c r="N1267" i="11"/>
  <c r="L1267" i="11"/>
  <c r="G1267" i="11"/>
  <c r="M1267" i="11" s="1"/>
  <c r="S1266" i="11"/>
  <c r="R1266" i="11"/>
  <c r="Q1266" i="11"/>
  <c r="O1266" i="11"/>
  <c r="N1266" i="11"/>
  <c r="L1266" i="11"/>
  <c r="G1266" i="11"/>
  <c r="M1266" i="11" s="1"/>
  <c r="S1265" i="11"/>
  <c r="R1265" i="11"/>
  <c r="Q1265" i="11"/>
  <c r="O1265" i="11"/>
  <c r="N1265" i="11"/>
  <c r="L1265" i="11"/>
  <c r="G1265" i="11"/>
  <c r="M1265" i="11" s="1"/>
  <c r="S1264" i="11"/>
  <c r="R1264" i="11"/>
  <c r="Q1264" i="11"/>
  <c r="O1264" i="11"/>
  <c r="N1264" i="11"/>
  <c r="M1264" i="11"/>
  <c r="L1264" i="11"/>
  <c r="G1264" i="11"/>
  <c r="S1263" i="11"/>
  <c r="R1263" i="11"/>
  <c r="Q1263" i="11"/>
  <c r="O1263" i="11"/>
  <c r="N1263" i="11"/>
  <c r="L1263" i="11"/>
  <c r="G1263" i="11"/>
  <c r="M1263" i="11" s="1"/>
  <c r="S1262" i="11"/>
  <c r="R1262" i="11"/>
  <c r="Q1262" i="11"/>
  <c r="O1262" i="11"/>
  <c r="N1262" i="11"/>
  <c r="L1262" i="11"/>
  <c r="G1262" i="11"/>
  <c r="M1262" i="11" s="1"/>
  <c r="S1261" i="11"/>
  <c r="R1261" i="11"/>
  <c r="Q1261" i="11"/>
  <c r="O1261" i="11"/>
  <c r="N1261" i="11"/>
  <c r="L1261" i="11"/>
  <c r="G1261" i="11"/>
  <c r="M1261" i="11" s="1"/>
  <c r="S1260" i="11"/>
  <c r="R1260" i="11"/>
  <c r="Q1260" i="11"/>
  <c r="O1260" i="11"/>
  <c r="N1260" i="11"/>
  <c r="L1260" i="11"/>
  <c r="G1260" i="11"/>
  <c r="M1260" i="11" s="1"/>
  <c r="S1259" i="11"/>
  <c r="R1259" i="11"/>
  <c r="Q1259" i="11"/>
  <c r="O1259" i="11"/>
  <c r="N1259" i="11"/>
  <c r="L1259" i="11"/>
  <c r="G1259" i="11"/>
  <c r="M1259" i="11" s="1"/>
  <c r="S1258" i="11"/>
  <c r="R1258" i="11"/>
  <c r="Q1258" i="11"/>
  <c r="O1258" i="11"/>
  <c r="N1258" i="11"/>
  <c r="L1258" i="11"/>
  <c r="G1258" i="11"/>
  <c r="M1258" i="11" s="1"/>
  <c r="S1257" i="11"/>
  <c r="R1257" i="11"/>
  <c r="Q1257" i="11"/>
  <c r="O1257" i="11"/>
  <c r="N1257" i="11"/>
  <c r="L1257" i="11"/>
  <c r="G1257" i="11"/>
  <c r="M1257" i="11" s="1"/>
  <c r="S1256" i="11"/>
  <c r="R1256" i="11"/>
  <c r="Q1256" i="11"/>
  <c r="O1256" i="11"/>
  <c r="N1256" i="11"/>
  <c r="L1256" i="11"/>
  <c r="G1256" i="11"/>
  <c r="M1256" i="11" s="1"/>
  <c r="S1255" i="11"/>
  <c r="R1255" i="11"/>
  <c r="Q1255" i="11"/>
  <c r="O1255" i="11"/>
  <c r="N1255" i="11"/>
  <c r="L1255" i="11"/>
  <c r="G1255" i="11"/>
  <c r="M1255" i="11" s="1"/>
  <c r="S1254" i="11"/>
  <c r="R1254" i="11"/>
  <c r="Q1254" i="11"/>
  <c r="O1254" i="11"/>
  <c r="N1254" i="11"/>
  <c r="L1254" i="11"/>
  <c r="G1254" i="11"/>
  <c r="M1254" i="11" s="1"/>
  <c r="S1253" i="11"/>
  <c r="R1253" i="11"/>
  <c r="Q1253" i="11"/>
  <c r="O1253" i="11"/>
  <c r="N1253" i="11"/>
  <c r="L1253" i="11"/>
  <c r="G1253" i="11"/>
  <c r="M1253" i="11" s="1"/>
  <c r="S1252" i="11"/>
  <c r="R1252" i="11"/>
  <c r="Q1252" i="11"/>
  <c r="O1252" i="11"/>
  <c r="N1252" i="11"/>
  <c r="M1252" i="11"/>
  <c r="L1252" i="11"/>
  <c r="G1252" i="11"/>
  <c r="S1251" i="11"/>
  <c r="R1251" i="11"/>
  <c r="Q1251" i="11"/>
  <c r="O1251" i="11"/>
  <c r="N1251" i="11"/>
  <c r="L1251" i="11"/>
  <c r="G1251" i="11"/>
  <c r="M1251" i="11" s="1"/>
  <c r="S1250" i="11"/>
  <c r="R1250" i="11"/>
  <c r="Q1250" i="11"/>
  <c r="O1250" i="11"/>
  <c r="N1250" i="11"/>
  <c r="L1250" i="11"/>
  <c r="G1250" i="11"/>
  <c r="M1250" i="11" s="1"/>
  <c r="S1249" i="11"/>
  <c r="R1249" i="11"/>
  <c r="Q1249" i="11"/>
  <c r="O1249" i="11"/>
  <c r="N1249" i="11"/>
  <c r="L1249" i="11"/>
  <c r="G1249" i="11"/>
  <c r="M1249" i="11" s="1"/>
  <c r="S1248" i="11"/>
  <c r="R1248" i="11"/>
  <c r="Q1248" i="11"/>
  <c r="O1248" i="11"/>
  <c r="N1248" i="11"/>
  <c r="L1248" i="11"/>
  <c r="G1248" i="11"/>
  <c r="M1248" i="11" s="1"/>
  <c r="S1247" i="11"/>
  <c r="R1247" i="11"/>
  <c r="Q1247" i="11"/>
  <c r="O1247" i="11"/>
  <c r="N1247" i="11"/>
  <c r="L1247" i="11"/>
  <c r="G1247" i="11"/>
  <c r="M1247" i="11" s="1"/>
  <c r="S1246" i="11"/>
  <c r="R1246" i="11"/>
  <c r="Q1246" i="11"/>
  <c r="O1246" i="11"/>
  <c r="N1246" i="11"/>
  <c r="M1246" i="11"/>
  <c r="L1246" i="11"/>
  <c r="G1246" i="11"/>
  <c r="S1245" i="11"/>
  <c r="R1245" i="11"/>
  <c r="Q1245" i="11"/>
  <c r="O1245" i="11"/>
  <c r="N1245" i="11"/>
  <c r="L1245" i="11"/>
  <c r="G1245" i="11"/>
  <c r="M1245" i="11" s="1"/>
  <c r="S1244" i="11"/>
  <c r="R1244" i="11"/>
  <c r="Q1244" i="11"/>
  <c r="O1244" i="11"/>
  <c r="N1244" i="11"/>
  <c r="L1244" i="11"/>
  <c r="K1244" i="11"/>
  <c r="G1244" i="11"/>
  <c r="M1244" i="11" s="1"/>
  <c r="S1243" i="11"/>
  <c r="R1243" i="11"/>
  <c r="Q1243" i="11"/>
  <c r="O1243" i="11"/>
  <c r="N1243" i="11"/>
  <c r="M1243" i="11"/>
  <c r="L1243" i="11"/>
  <c r="G1243" i="11"/>
  <c r="S1242" i="11"/>
  <c r="R1242" i="11"/>
  <c r="Q1242" i="11"/>
  <c r="O1242" i="11"/>
  <c r="N1242" i="11"/>
  <c r="L1242" i="11"/>
  <c r="G1242" i="11"/>
  <c r="M1242" i="11" s="1"/>
  <c r="S1241" i="11"/>
  <c r="R1241" i="11"/>
  <c r="Q1241" i="11"/>
  <c r="O1241" i="11"/>
  <c r="N1241" i="11"/>
  <c r="L1241" i="11"/>
  <c r="G1241" i="11"/>
  <c r="M1241" i="11" s="1"/>
  <c r="S1240" i="11"/>
  <c r="R1240" i="11"/>
  <c r="Q1240" i="11"/>
  <c r="O1240" i="11"/>
  <c r="N1240" i="11"/>
  <c r="L1240" i="11"/>
  <c r="G1240" i="11"/>
  <c r="M1240" i="11" s="1"/>
  <c r="S1239" i="11"/>
  <c r="R1239" i="11"/>
  <c r="Q1239" i="11"/>
  <c r="O1239" i="11"/>
  <c r="N1239" i="11"/>
  <c r="L1239" i="11"/>
  <c r="G1239" i="11"/>
  <c r="M1239" i="11" s="1"/>
  <c r="S1238" i="11"/>
  <c r="R1238" i="11"/>
  <c r="Q1238" i="11"/>
  <c r="O1238" i="11"/>
  <c r="N1238" i="11"/>
  <c r="L1238" i="11"/>
  <c r="G1238" i="11"/>
  <c r="M1238" i="11" s="1"/>
  <c r="S1237" i="11"/>
  <c r="R1237" i="11"/>
  <c r="Q1237" i="11"/>
  <c r="O1237" i="11"/>
  <c r="N1237" i="11"/>
  <c r="L1237" i="11"/>
  <c r="G1237" i="11"/>
  <c r="M1237" i="11" s="1"/>
  <c r="S1236" i="11"/>
  <c r="R1236" i="11"/>
  <c r="Q1236" i="11"/>
  <c r="O1236" i="11"/>
  <c r="N1236" i="11"/>
  <c r="M1236" i="11"/>
  <c r="L1236" i="11"/>
  <c r="G1236" i="11"/>
  <c r="S1235" i="11"/>
  <c r="R1235" i="11"/>
  <c r="Q1235" i="11"/>
  <c r="O1235" i="11"/>
  <c r="N1235" i="11"/>
  <c r="L1235" i="11"/>
  <c r="G1235" i="11"/>
  <c r="M1235" i="11" s="1"/>
  <c r="S1234" i="11"/>
  <c r="R1234" i="11"/>
  <c r="Q1234" i="11"/>
  <c r="O1234" i="11"/>
  <c r="N1234" i="11"/>
  <c r="L1234" i="11"/>
  <c r="G1234" i="11"/>
  <c r="M1234" i="11" s="1"/>
  <c r="S1233" i="11"/>
  <c r="R1233" i="11"/>
  <c r="Q1233" i="11"/>
  <c r="O1233" i="11"/>
  <c r="N1233" i="11"/>
  <c r="M1233" i="11"/>
  <c r="L1233" i="11"/>
  <c r="G1233" i="11"/>
  <c r="S1232" i="11"/>
  <c r="R1232" i="11"/>
  <c r="Q1232" i="11"/>
  <c r="O1232" i="11"/>
  <c r="N1232" i="11"/>
  <c r="L1232" i="11"/>
  <c r="G1232" i="11"/>
  <c r="M1232" i="11" s="1"/>
  <c r="S1231" i="11"/>
  <c r="R1231" i="11"/>
  <c r="Q1231" i="11"/>
  <c r="O1231" i="11"/>
  <c r="N1231" i="11"/>
  <c r="L1231" i="11"/>
  <c r="G1231" i="11"/>
  <c r="M1231" i="11" s="1"/>
  <c r="S1230" i="11"/>
  <c r="R1230" i="11"/>
  <c r="Q1230" i="11"/>
  <c r="O1230" i="11"/>
  <c r="N1230" i="11"/>
  <c r="L1230" i="11"/>
  <c r="G1230" i="11"/>
  <c r="M1230" i="11" s="1"/>
  <c r="S1229" i="11"/>
  <c r="R1229" i="11"/>
  <c r="Q1229" i="11"/>
  <c r="O1229" i="11"/>
  <c r="L1229" i="11"/>
  <c r="K1229" i="11"/>
  <c r="G1229" i="11"/>
  <c r="M1229" i="11" s="1"/>
  <c r="S1228" i="11"/>
  <c r="R1228" i="11"/>
  <c r="Q1228" i="11"/>
  <c r="O1228" i="11"/>
  <c r="N1228" i="11"/>
  <c r="M1228" i="11"/>
  <c r="L1228" i="11"/>
  <c r="G1228" i="11"/>
  <c r="S1227" i="11"/>
  <c r="R1227" i="11"/>
  <c r="Q1227" i="11"/>
  <c r="O1227" i="11"/>
  <c r="L1227" i="11"/>
  <c r="K1227" i="11"/>
  <c r="N1227" i="11" s="1"/>
  <c r="G1227" i="11"/>
  <c r="M1227" i="11" s="1"/>
  <c r="S1226" i="11"/>
  <c r="R1226" i="11"/>
  <c r="Q1226" i="11"/>
  <c r="O1226" i="11"/>
  <c r="N1226" i="11"/>
  <c r="L1226" i="11"/>
  <c r="G1226" i="11"/>
  <c r="M1226" i="11" s="1"/>
  <c r="S1225" i="11"/>
  <c r="R1225" i="11"/>
  <c r="Q1225" i="11"/>
  <c r="O1225" i="11"/>
  <c r="N1225" i="11"/>
  <c r="L1225" i="11"/>
  <c r="G1225" i="11"/>
  <c r="M1225" i="11" s="1"/>
  <c r="S1224" i="11"/>
  <c r="R1224" i="11"/>
  <c r="Q1224" i="11"/>
  <c r="O1224" i="11"/>
  <c r="N1224" i="11"/>
  <c r="L1224" i="11"/>
  <c r="G1224" i="11"/>
  <c r="M1224" i="11" s="1"/>
  <c r="S1223" i="11"/>
  <c r="R1223" i="11"/>
  <c r="Q1223" i="11"/>
  <c r="O1223" i="11"/>
  <c r="N1223" i="11"/>
  <c r="L1223" i="11"/>
  <c r="G1223" i="11"/>
  <c r="M1223" i="11" s="1"/>
  <c r="S1222" i="11"/>
  <c r="R1222" i="11"/>
  <c r="Q1222" i="11"/>
  <c r="O1222" i="11"/>
  <c r="N1222" i="11"/>
  <c r="L1222" i="11"/>
  <c r="G1222" i="11"/>
  <c r="M1222" i="11" s="1"/>
  <c r="S1221" i="11"/>
  <c r="R1221" i="11"/>
  <c r="Q1221" i="11"/>
  <c r="O1221" i="11"/>
  <c r="M1221" i="11"/>
  <c r="L1221" i="11"/>
  <c r="K1221" i="11"/>
  <c r="N1221" i="11" s="1"/>
  <c r="J1221" i="11"/>
  <c r="G1221" i="11"/>
  <c r="S1220" i="11"/>
  <c r="R1220" i="11"/>
  <c r="Q1220" i="11"/>
  <c r="O1220" i="11"/>
  <c r="N1220" i="11"/>
  <c r="L1220" i="11"/>
  <c r="G1220" i="11"/>
  <c r="M1220" i="11" s="1"/>
  <c r="S1219" i="11"/>
  <c r="R1219" i="11"/>
  <c r="Q1219" i="11"/>
  <c r="O1219" i="11"/>
  <c r="N1219" i="11"/>
  <c r="M1219" i="11"/>
  <c r="L1219" i="11"/>
  <c r="G1219" i="11"/>
  <c r="S1218" i="11"/>
  <c r="R1218" i="11"/>
  <c r="Q1218" i="11"/>
  <c r="O1218" i="11"/>
  <c r="N1218" i="11"/>
  <c r="M1218" i="11"/>
  <c r="L1218" i="11"/>
  <c r="G1218" i="11"/>
  <c r="S1217" i="11"/>
  <c r="R1217" i="11"/>
  <c r="Q1217" i="11"/>
  <c r="O1217" i="11"/>
  <c r="N1217" i="11"/>
  <c r="M1217" i="11"/>
  <c r="L1217" i="11"/>
  <c r="G1217" i="11"/>
  <c r="S1216" i="11"/>
  <c r="R1216" i="11"/>
  <c r="Q1216" i="11"/>
  <c r="O1216" i="11"/>
  <c r="N1216" i="11"/>
  <c r="M1216" i="11"/>
  <c r="L1216" i="11"/>
  <c r="G1216" i="11"/>
  <c r="S1215" i="11"/>
  <c r="R1215" i="11"/>
  <c r="Q1215" i="11"/>
  <c r="O1215" i="11"/>
  <c r="N1215" i="11"/>
  <c r="M1215" i="11"/>
  <c r="L1215" i="11"/>
  <c r="G1215" i="11"/>
  <c r="S1214" i="11"/>
  <c r="R1214" i="11"/>
  <c r="Q1214" i="11"/>
  <c r="O1214" i="11"/>
  <c r="N1214" i="11"/>
  <c r="M1214" i="11"/>
  <c r="L1214" i="11"/>
  <c r="G1214" i="11"/>
  <c r="S1213" i="11"/>
  <c r="R1213" i="11"/>
  <c r="Q1213" i="11"/>
  <c r="O1213" i="11"/>
  <c r="N1213" i="11"/>
  <c r="M1213" i="11"/>
  <c r="L1213" i="11"/>
  <c r="G1213" i="11"/>
  <c r="S1212" i="11"/>
  <c r="R1212" i="11"/>
  <c r="Q1212" i="11"/>
  <c r="O1212" i="11"/>
  <c r="N1212" i="11"/>
  <c r="M1212" i="11"/>
  <c r="L1212" i="11"/>
  <c r="G1212" i="11"/>
  <c r="S1211" i="11"/>
  <c r="R1211" i="11"/>
  <c r="Q1211" i="11"/>
  <c r="O1211" i="11"/>
  <c r="N1211" i="11"/>
  <c r="M1211" i="11"/>
  <c r="L1211" i="11"/>
  <c r="G1211" i="11"/>
  <c r="S1210" i="11"/>
  <c r="R1210" i="11"/>
  <c r="Q1210" i="11"/>
  <c r="O1210" i="11"/>
  <c r="N1210" i="11"/>
  <c r="M1210" i="11"/>
  <c r="L1210" i="11"/>
  <c r="G1210" i="11"/>
  <c r="S1209" i="11"/>
  <c r="R1209" i="11"/>
  <c r="Q1209" i="11"/>
  <c r="O1209" i="11"/>
  <c r="N1209" i="11"/>
  <c r="M1209" i="11"/>
  <c r="L1209" i="11"/>
  <c r="G1209" i="11"/>
  <c r="S1208" i="11"/>
  <c r="R1208" i="11"/>
  <c r="Q1208" i="11"/>
  <c r="O1208" i="11"/>
  <c r="N1208" i="11"/>
  <c r="M1208" i="11"/>
  <c r="L1208" i="11"/>
  <c r="G1208" i="11"/>
  <c r="S1207" i="11"/>
  <c r="R1207" i="11"/>
  <c r="Q1207" i="11"/>
  <c r="O1207" i="11"/>
  <c r="N1207" i="11"/>
  <c r="M1207" i="11"/>
  <c r="L1207" i="11"/>
  <c r="G1207" i="11"/>
  <c r="S1206" i="11"/>
  <c r="R1206" i="11"/>
  <c r="Q1206" i="11"/>
  <c r="O1206" i="11"/>
  <c r="N1206" i="11"/>
  <c r="M1206" i="11"/>
  <c r="L1206" i="11"/>
  <c r="G1206" i="11"/>
  <c r="S1205" i="11"/>
  <c r="R1205" i="11"/>
  <c r="Q1205" i="11"/>
  <c r="O1205" i="11"/>
  <c r="N1205" i="11"/>
  <c r="M1205" i="11"/>
  <c r="L1205" i="11"/>
  <c r="G1205" i="11"/>
  <c r="S1204" i="11"/>
  <c r="R1204" i="11"/>
  <c r="Q1204" i="11"/>
  <c r="O1204" i="11"/>
  <c r="N1204" i="11"/>
  <c r="M1204" i="11"/>
  <c r="L1204" i="11"/>
  <c r="G1204" i="11"/>
  <c r="S1203" i="11"/>
  <c r="R1203" i="11"/>
  <c r="Q1203" i="11"/>
  <c r="O1203" i="11"/>
  <c r="N1203" i="11"/>
  <c r="M1203" i="11"/>
  <c r="L1203" i="11"/>
  <c r="G1203" i="11"/>
  <c r="S1202" i="11"/>
  <c r="R1202" i="11"/>
  <c r="Q1202" i="11"/>
  <c r="O1202" i="11"/>
  <c r="N1202" i="11"/>
  <c r="M1202" i="11"/>
  <c r="L1202" i="11"/>
  <c r="G1202" i="11"/>
  <c r="S1201" i="11"/>
  <c r="R1201" i="11"/>
  <c r="Q1201" i="11"/>
  <c r="O1201" i="11"/>
  <c r="N1201" i="11"/>
  <c r="M1201" i="11"/>
  <c r="L1201" i="11"/>
  <c r="G1201" i="11"/>
  <c r="S1200" i="11"/>
  <c r="R1200" i="11"/>
  <c r="Q1200" i="11"/>
  <c r="O1200" i="11"/>
  <c r="N1200" i="11"/>
  <c r="M1200" i="11"/>
  <c r="L1200" i="11"/>
  <c r="G1200" i="11"/>
  <c r="S1199" i="11"/>
  <c r="R1199" i="11"/>
  <c r="Q1199" i="11"/>
  <c r="O1199" i="11"/>
  <c r="N1199" i="11"/>
  <c r="M1199" i="11"/>
  <c r="L1199" i="11"/>
  <c r="G1199" i="11"/>
  <c r="S1198" i="11"/>
  <c r="R1198" i="11"/>
  <c r="Q1198" i="11"/>
  <c r="O1198" i="11"/>
  <c r="N1198" i="11"/>
  <c r="M1198" i="11"/>
  <c r="L1198" i="11"/>
  <c r="G1198" i="11"/>
  <c r="S1197" i="11"/>
  <c r="R1197" i="11"/>
  <c r="Q1197" i="11"/>
  <c r="O1197" i="11"/>
  <c r="N1197" i="11"/>
  <c r="M1197" i="11"/>
  <c r="L1197" i="11"/>
  <c r="G1197" i="11"/>
  <c r="S1196" i="11"/>
  <c r="R1196" i="11"/>
  <c r="Q1196" i="11"/>
  <c r="O1196" i="11"/>
  <c r="N1196" i="11"/>
  <c r="M1196" i="11"/>
  <c r="L1196" i="11"/>
  <c r="G1196" i="11"/>
  <c r="S1195" i="11"/>
  <c r="R1195" i="11"/>
  <c r="Q1195" i="11"/>
  <c r="O1195" i="11"/>
  <c r="N1195" i="11"/>
  <c r="M1195" i="11"/>
  <c r="L1195" i="11"/>
  <c r="G1195" i="11"/>
  <c r="S1194" i="11"/>
  <c r="R1194" i="11"/>
  <c r="Q1194" i="11"/>
  <c r="O1194" i="11"/>
  <c r="N1194" i="11"/>
  <c r="M1194" i="11"/>
  <c r="L1194" i="11"/>
  <c r="G1194" i="11"/>
  <c r="S1193" i="11"/>
  <c r="R1193" i="11"/>
  <c r="Q1193" i="11"/>
  <c r="O1193" i="11"/>
  <c r="N1193" i="11"/>
  <c r="M1193" i="11"/>
  <c r="L1193" i="11"/>
  <c r="G1193" i="11"/>
  <c r="S1192" i="11"/>
  <c r="R1192" i="11"/>
  <c r="Q1192" i="11"/>
  <c r="O1192" i="11"/>
  <c r="N1192" i="11"/>
  <c r="M1192" i="11"/>
  <c r="L1192" i="11"/>
  <c r="G1192" i="11"/>
  <c r="S1191" i="11"/>
  <c r="R1191" i="11"/>
  <c r="Q1191" i="11"/>
  <c r="O1191" i="11"/>
  <c r="N1191" i="11"/>
  <c r="M1191" i="11"/>
  <c r="L1191" i="11"/>
  <c r="G1191" i="11"/>
  <c r="S1190" i="11"/>
  <c r="R1190" i="11"/>
  <c r="Q1190" i="11"/>
  <c r="L1190" i="11"/>
  <c r="E1190" i="11"/>
  <c r="O1190" i="11" s="1"/>
  <c r="S1189" i="11"/>
  <c r="R1189" i="11"/>
  <c r="Q1189" i="11"/>
  <c r="O1189" i="11"/>
  <c r="N1189" i="11"/>
  <c r="M1189" i="11"/>
  <c r="L1189" i="11"/>
  <c r="G1189" i="11"/>
  <c r="S1188" i="11"/>
  <c r="R1188" i="11"/>
  <c r="Q1188" i="11"/>
  <c r="O1188" i="11"/>
  <c r="N1188" i="11"/>
  <c r="M1188" i="11"/>
  <c r="L1188" i="11"/>
  <c r="G1188" i="11"/>
  <c r="S1187" i="11"/>
  <c r="R1187" i="11"/>
  <c r="Q1187" i="11"/>
  <c r="O1187" i="11"/>
  <c r="N1187" i="11"/>
  <c r="M1187" i="11"/>
  <c r="L1187" i="11"/>
  <c r="G1187" i="11"/>
  <c r="S1186" i="11"/>
  <c r="R1186" i="11"/>
  <c r="Q1186" i="11"/>
  <c r="O1186" i="11"/>
  <c r="N1186" i="11"/>
  <c r="M1186" i="11"/>
  <c r="L1186" i="11"/>
  <c r="G1186" i="11"/>
  <c r="S1185" i="11"/>
  <c r="R1185" i="11"/>
  <c r="Q1185" i="11"/>
  <c r="O1185" i="11"/>
  <c r="N1185" i="11"/>
  <c r="M1185" i="11"/>
  <c r="L1185" i="11"/>
  <c r="G1185" i="11"/>
  <c r="S1184" i="11"/>
  <c r="R1184" i="11"/>
  <c r="Q1184" i="11"/>
  <c r="O1184" i="11"/>
  <c r="N1184" i="11"/>
  <c r="M1184" i="11"/>
  <c r="L1184" i="11"/>
  <c r="G1184" i="11"/>
  <c r="S1183" i="11"/>
  <c r="R1183" i="11"/>
  <c r="Q1183" i="11"/>
  <c r="O1183" i="11"/>
  <c r="N1183" i="11"/>
  <c r="M1183" i="11"/>
  <c r="L1183" i="11"/>
  <c r="G1183" i="11"/>
  <c r="S1182" i="11"/>
  <c r="R1182" i="11"/>
  <c r="Q1182" i="11"/>
  <c r="O1182" i="11"/>
  <c r="N1182" i="11"/>
  <c r="M1182" i="11"/>
  <c r="L1182" i="11"/>
  <c r="G1182" i="11"/>
  <c r="S1181" i="11"/>
  <c r="R1181" i="11"/>
  <c r="Q1181" i="11"/>
  <c r="O1181" i="11"/>
  <c r="N1181" i="11"/>
  <c r="M1181" i="11"/>
  <c r="L1181" i="11"/>
  <c r="G1181" i="11"/>
  <c r="S1180" i="11"/>
  <c r="R1180" i="11"/>
  <c r="Q1180" i="11"/>
  <c r="O1180" i="11"/>
  <c r="N1180" i="11"/>
  <c r="M1180" i="11"/>
  <c r="L1180" i="11"/>
  <c r="G1180" i="11"/>
  <c r="S1179" i="11"/>
  <c r="R1179" i="11"/>
  <c r="Q1179" i="11"/>
  <c r="O1179" i="11"/>
  <c r="N1179" i="11"/>
  <c r="M1179" i="11"/>
  <c r="L1179" i="11"/>
  <c r="G1179" i="11"/>
  <c r="S1178" i="11"/>
  <c r="R1178" i="11"/>
  <c r="Q1178" i="11"/>
  <c r="O1178" i="11"/>
  <c r="N1178" i="11"/>
  <c r="M1178" i="11"/>
  <c r="L1178" i="11"/>
  <c r="G1178" i="11"/>
  <c r="S1177" i="11"/>
  <c r="R1177" i="11"/>
  <c r="Q1177" i="11"/>
  <c r="O1177" i="11"/>
  <c r="N1177" i="11"/>
  <c r="M1177" i="11"/>
  <c r="L1177" i="11"/>
  <c r="G1177" i="11"/>
  <c r="S1176" i="11"/>
  <c r="R1176" i="11"/>
  <c r="Q1176" i="11"/>
  <c r="O1176" i="11"/>
  <c r="N1176" i="11"/>
  <c r="M1176" i="11"/>
  <c r="L1176" i="11"/>
  <c r="G1176" i="11"/>
  <c r="S1175" i="11"/>
  <c r="R1175" i="11"/>
  <c r="Q1175" i="11"/>
  <c r="O1175" i="11"/>
  <c r="N1175" i="11"/>
  <c r="M1175" i="11"/>
  <c r="L1175" i="11"/>
  <c r="G1175" i="11"/>
  <c r="S1174" i="11"/>
  <c r="R1174" i="11"/>
  <c r="Q1174" i="11"/>
  <c r="O1174" i="11"/>
  <c r="N1174" i="11"/>
  <c r="M1174" i="11"/>
  <c r="L1174" i="11"/>
  <c r="G1174" i="11"/>
  <c r="S1173" i="11"/>
  <c r="R1173" i="11"/>
  <c r="Q1173" i="11"/>
  <c r="O1173" i="11"/>
  <c r="N1173" i="11"/>
  <c r="M1173" i="11"/>
  <c r="L1173" i="11"/>
  <c r="G1173" i="11"/>
  <c r="S1172" i="11"/>
  <c r="R1172" i="11"/>
  <c r="Q1172" i="11"/>
  <c r="O1172" i="11"/>
  <c r="N1172" i="11"/>
  <c r="M1172" i="11"/>
  <c r="L1172" i="11"/>
  <c r="G1172" i="11"/>
  <c r="S1171" i="11"/>
  <c r="R1171" i="11"/>
  <c r="Q1171" i="11"/>
  <c r="O1171" i="11"/>
  <c r="N1171" i="11"/>
  <c r="M1171" i="11"/>
  <c r="L1171" i="11"/>
  <c r="G1171" i="11"/>
  <c r="S1170" i="11"/>
  <c r="R1170" i="11"/>
  <c r="Q1170" i="11"/>
  <c r="O1170" i="11"/>
  <c r="N1170" i="11"/>
  <c r="M1170" i="11"/>
  <c r="L1170" i="11"/>
  <c r="G1170" i="11"/>
  <c r="S1169" i="11"/>
  <c r="R1169" i="11"/>
  <c r="Q1169" i="11"/>
  <c r="O1169" i="11"/>
  <c r="N1169" i="11"/>
  <c r="M1169" i="11"/>
  <c r="L1169" i="11"/>
  <c r="G1169" i="11"/>
  <c r="S1168" i="11"/>
  <c r="R1168" i="11"/>
  <c r="Q1168" i="11"/>
  <c r="O1168" i="11"/>
  <c r="N1168" i="11"/>
  <c r="M1168" i="11"/>
  <c r="L1168" i="11"/>
  <c r="G1168" i="11"/>
  <c r="S1167" i="11"/>
  <c r="R1167" i="11"/>
  <c r="Q1167" i="11"/>
  <c r="O1167" i="11"/>
  <c r="N1167" i="11"/>
  <c r="M1167" i="11"/>
  <c r="L1167" i="11"/>
  <c r="G1167" i="11"/>
  <c r="S1166" i="11"/>
  <c r="R1166" i="11"/>
  <c r="Q1166" i="11"/>
  <c r="O1166" i="11"/>
  <c r="N1166" i="11"/>
  <c r="M1166" i="11"/>
  <c r="L1166" i="11"/>
  <c r="G1166" i="11"/>
  <c r="S1165" i="11"/>
  <c r="R1165" i="11"/>
  <c r="Q1165" i="11"/>
  <c r="O1165" i="11"/>
  <c r="N1165" i="11"/>
  <c r="M1165" i="11"/>
  <c r="L1165" i="11"/>
  <c r="G1165" i="11"/>
  <c r="S1164" i="11"/>
  <c r="R1164" i="11"/>
  <c r="Q1164" i="11"/>
  <c r="O1164" i="11"/>
  <c r="N1164" i="11"/>
  <c r="M1164" i="11"/>
  <c r="L1164" i="11"/>
  <c r="G1164" i="11"/>
  <c r="S1163" i="11"/>
  <c r="R1163" i="11"/>
  <c r="Q1163" i="11"/>
  <c r="O1163" i="11"/>
  <c r="N1163" i="11"/>
  <c r="M1163" i="11"/>
  <c r="L1163" i="11"/>
  <c r="G1163" i="11"/>
  <c r="S1162" i="11"/>
  <c r="R1162" i="11"/>
  <c r="Q1162" i="11"/>
  <c r="O1162" i="11"/>
  <c r="N1162" i="11"/>
  <c r="M1162" i="11"/>
  <c r="L1162" i="11"/>
  <c r="G1162" i="11"/>
  <c r="S1161" i="11"/>
  <c r="R1161" i="11"/>
  <c r="Q1161" i="11"/>
  <c r="O1161" i="11"/>
  <c r="N1161" i="11"/>
  <c r="M1161" i="11"/>
  <c r="L1161" i="11"/>
  <c r="G1161" i="11"/>
  <c r="S1160" i="11"/>
  <c r="R1160" i="11"/>
  <c r="Q1160" i="11"/>
  <c r="O1160" i="11"/>
  <c r="N1160" i="11"/>
  <c r="M1160" i="11"/>
  <c r="L1160" i="11"/>
  <c r="G1160" i="11"/>
  <c r="S1159" i="11"/>
  <c r="R1159" i="11"/>
  <c r="Q1159" i="11"/>
  <c r="O1159" i="11"/>
  <c r="N1159" i="11"/>
  <c r="M1159" i="11"/>
  <c r="L1159" i="11"/>
  <c r="K1159" i="11"/>
  <c r="J1159" i="11" s="1"/>
  <c r="G1159" i="11"/>
  <c r="S1158" i="11"/>
  <c r="R1158" i="11"/>
  <c r="Q1158" i="11"/>
  <c r="O1158" i="11"/>
  <c r="N1158" i="11"/>
  <c r="L1158" i="11"/>
  <c r="G1158" i="11"/>
  <c r="M1158" i="11" s="1"/>
  <c r="S1157" i="11"/>
  <c r="R1157" i="11"/>
  <c r="Q1157" i="11"/>
  <c r="O1157" i="11"/>
  <c r="N1157" i="11"/>
  <c r="L1157" i="11"/>
  <c r="G1157" i="11"/>
  <c r="M1157" i="11" s="1"/>
  <c r="S1156" i="11"/>
  <c r="R1156" i="11"/>
  <c r="Q1156" i="11"/>
  <c r="O1156" i="11"/>
  <c r="N1156" i="11"/>
  <c r="L1156" i="11"/>
  <c r="G1156" i="11"/>
  <c r="M1156" i="11" s="1"/>
  <c r="S1155" i="11"/>
  <c r="R1155" i="11"/>
  <c r="Q1155" i="11"/>
  <c r="O1155" i="11"/>
  <c r="N1155" i="11"/>
  <c r="L1155" i="11"/>
  <c r="G1155" i="11"/>
  <c r="M1155" i="11" s="1"/>
  <c r="S1154" i="11"/>
  <c r="R1154" i="11"/>
  <c r="Q1154" i="11"/>
  <c r="O1154" i="11"/>
  <c r="N1154" i="11"/>
  <c r="M1154" i="11"/>
  <c r="L1154" i="11"/>
  <c r="G1154" i="11"/>
  <c r="S1153" i="11"/>
  <c r="R1153" i="11"/>
  <c r="Q1153" i="11"/>
  <c r="O1153" i="11"/>
  <c r="N1153" i="11"/>
  <c r="M1153" i="11"/>
  <c r="L1153" i="11"/>
  <c r="G1153" i="11"/>
  <c r="S1152" i="11"/>
  <c r="R1152" i="11"/>
  <c r="Q1152" i="11"/>
  <c r="O1152" i="11"/>
  <c r="N1152" i="11"/>
  <c r="L1152" i="11"/>
  <c r="G1152" i="11"/>
  <c r="M1152" i="11" s="1"/>
  <c r="S1151" i="11"/>
  <c r="R1151" i="11"/>
  <c r="Q1151" i="11"/>
  <c r="O1151" i="11"/>
  <c r="N1151" i="11"/>
  <c r="L1151" i="11"/>
  <c r="G1151" i="11"/>
  <c r="M1151" i="11" s="1"/>
  <c r="S1150" i="11"/>
  <c r="R1150" i="11"/>
  <c r="Q1150" i="11"/>
  <c r="O1150" i="11"/>
  <c r="N1150" i="11"/>
  <c r="M1150" i="11"/>
  <c r="L1150" i="11"/>
  <c r="G1150" i="11"/>
  <c r="S1149" i="11"/>
  <c r="R1149" i="11"/>
  <c r="Q1149" i="11"/>
  <c r="O1149" i="11"/>
  <c r="N1149" i="11"/>
  <c r="L1149" i="11"/>
  <c r="G1149" i="11"/>
  <c r="M1149" i="11" s="1"/>
  <c r="S1148" i="11"/>
  <c r="R1148" i="11"/>
  <c r="Q1148" i="11"/>
  <c r="O1148" i="11"/>
  <c r="M1148" i="11"/>
  <c r="L1148" i="11"/>
  <c r="K1148" i="11"/>
  <c r="J1148" i="11" s="1"/>
  <c r="G1148" i="11"/>
  <c r="S1147" i="11"/>
  <c r="R1147" i="11"/>
  <c r="Q1147" i="11"/>
  <c r="O1147" i="11"/>
  <c r="N1147" i="11"/>
  <c r="M1147" i="11"/>
  <c r="L1147" i="11"/>
  <c r="G1147" i="11"/>
  <c r="S1146" i="11"/>
  <c r="R1146" i="11"/>
  <c r="Q1146" i="11"/>
  <c r="O1146" i="11"/>
  <c r="N1146" i="11"/>
  <c r="M1146" i="11"/>
  <c r="L1146" i="11"/>
  <c r="G1146" i="11"/>
  <c r="S1145" i="11"/>
  <c r="R1145" i="11"/>
  <c r="Q1145" i="11"/>
  <c r="O1145" i="11"/>
  <c r="N1145" i="11"/>
  <c r="M1145" i="11"/>
  <c r="L1145" i="11"/>
  <c r="G1145" i="11"/>
  <c r="S1144" i="11"/>
  <c r="R1144" i="11"/>
  <c r="Q1144" i="11"/>
  <c r="O1144" i="11"/>
  <c r="N1144" i="11"/>
  <c r="M1144" i="11"/>
  <c r="L1144" i="11"/>
  <c r="G1144" i="11"/>
  <c r="S1143" i="11"/>
  <c r="R1143" i="11"/>
  <c r="Q1143" i="11"/>
  <c r="O1143" i="11"/>
  <c r="N1143" i="11"/>
  <c r="M1143" i="11"/>
  <c r="L1143" i="11"/>
  <c r="G1143" i="11"/>
  <c r="S1142" i="11"/>
  <c r="R1142" i="11"/>
  <c r="Q1142" i="11"/>
  <c r="O1142" i="11"/>
  <c r="N1142" i="11"/>
  <c r="M1142" i="11"/>
  <c r="L1142" i="11"/>
  <c r="G1142" i="11"/>
  <c r="S1141" i="11"/>
  <c r="R1141" i="11"/>
  <c r="Q1141" i="11"/>
  <c r="O1141" i="11"/>
  <c r="N1141" i="11"/>
  <c r="M1141" i="11"/>
  <c r="L1141" i="11"/>
  <c r="G1141" i="11"/>
  <c r="S1140" i="11"/>
  <c r="R1140" i="11"/>
  <c r="Q1140" i="11"/>
  <c r="O1140" i="11"/>
  <c r="N1140" i="11"/>
  <c r="M1140" i="11"/>
  <c r="L1140" i="11"/>
  <c r="G1140" i="11"/>
  <c r="S1139" i="11"/>
  <c r="R1139" i="11"/>
  <c r="Q1139" i="11"/>
  <c r="O1139" i="11"/>
  <c r="N1139" i="11"/>
  <c r="M1139" i="11"/>
  <c r="L1139" i="11"/>
  <c r="G1139" i="11"/>
  <c r="S1138" i="11"/>
  <c r="R1138" i="11"/>
  <c r="Q1138" i="11"/>
  <c r="O1138" i="11"/>
  <c r="N1138" i="11"/>
  <c r="M1138" i="11"/>
  <c r="L1138" i="11"/>
  <c r="G1138" i="11"/>
  <c r="S1137" i="11"/>
  <c r="R1137" i="11"/>
  <c r="Q1137" i="11"/>
  <c r="O1137" i="11"/>
  <c r="N1137" i="11"/>
  <c r="M1137" i="11"/>
  <c r="L1137" i="11"/>
  <c r="G1137" i="11"/>
  <c r="S1136" i="11"/>
  <c r="R1136" i="11"/>
  <c r="Q1136" i="11"/>
  <c r="O1136" i="11"/>
  <c r="N1136" i="11"/>
  <c r="M1136" i="11"/>
  <c r="L1136" i="11"/>
  <c r="G1136" i="11"/>
  <c r="S1135" i="11"/>
  <c r="R1135" i="11"/>
  <c r="Q1135" i="11"/>
  <c r="O1135" i="11"/>
  <c r="N1135" i="11"/>
  <c r="M1135" i="11"/>
  <c r="L1135" i="11"/>
  <c r="G1135" i="11"/>
  <c r="S1134" i="11"/>
  <c r="R1134" i="11"/>
  <c r="Q1134" i="11"/>
  <c r="O1134" i="11"/>
  <c r="N1134" i="11"/>
  <c r="M1134" i="11"/>
  <c r="L1134" i="11"/>
  <c r="G1134" i="11"/>
  <c r="S1133" i="11"/>
  <c r="R1133" i="11"/>
  <c r="Q1133" i="11"/>
  <c r="O1133" i="11"/>
  <c r="N1133" i="11"/>
  <c r="M1133" i="11"/>
  <c r="L1133" i="11"/>
  <c r="G1133" i="11"/>
  <c r="S1132" i="11"/>
  <c r="R1132" i="11"/>
  <c r="Q1132" i="11"/>
  <c r="O1132" i="11"/>
  <c r="N1132" i="11"/>
  <c r="M1132" i="11"/>
  <c r="L1132" i="11"/>
  <c r="G1132" i="11"/>
  <c r="S1131" i="11"/>
  <c r="R1131" i="11"/>
  <c r="Q1131" i="11"/>
  <c r="O1131" i="11"/>
  <c r="N1131" i="11"/>
  <c r="M1131" i="11"/>
  <c r="L1131" i="11"/>
  <c r="G1131" i="11"/>
  <c r="S1130" i="11"/>
  <c r="R1130" i="11"/>
  <c r="Q1130" i="11"/>
  <c r="O1130" i="11"/>
  <c r="N1130" i="11"/>
  <c r="M1130" i="11"/>
  <c r="L1130" i="11"/>
  <c r="G1130" i="11"/>
  <c r="S1129" i="11"/>
  <c r="R1129" i="11"/>
  <c r="Q1129" i="11"/>
  <c r="O1129" i="11"/>
  <c r="N1129" i="11"/>
  <c r="M1129" i="11"/>
  <c r="L1129" i="11"/>
  <c r="G1129" i="11"/>
  <c r="S1128" i="11"/>
  <c r="R1128" i="11"/>
  <c r="Q1128" i="11"/>
  <c r="O1128" i="11"/>
  <c r="N1128" i="11"/>
  <c r="M1128" i="11"/>
  <c r="L1128" i="11"/>
  <c r="G1128" i="11"/>
  <c r="S1127" i="11"/>
  <c r="R1127" i="11"/>
  <c r="Q1127" i="11"/>
  <c r="O1127" i="11"/>
  <c r="N1127" i="11"/>
  <c r="M1127" i="11"/>
  <c r="L1127" i="11"/>
  <c r="G1127" i="11"/>
  <c r="S1126" i="11"/>
  <c r="R1126" i="11"/>
  <c r="Q1126" i="11"/>
  <c r="O1126" i="11"/>
  <c r="N1126" i="11"/>
  <c r="M1126" i="11"/>
  <c r="L1126" i="11"/>
  <c r="G1126" i="11"/>
  <c r="S1125" i="11"/>
  <c r="R1125" i="11"/>
  <c r="Q1125" i="11"/>
  <c r="O1125" i="11"/>
  <c r="N1125" i="11"/>
  <c r="M1125" i="11"/>
  <c r="L1125" i="11"/>
  <c r="G1125" i="11"/>
  <c r="S1124" i="11"/>
  <c r="R1124" i="11"/>
  <c r="Q1124" i="11"/>
  <c r="O1124" i="11"/>
  <c r="N1124" i="11"/>
  <c r="M1124" i="11"/>
  <c r="L1124" i="11"/>
  <c r="G1124" i="11"/>
  <c r="S1123" i="11"/>
  <c r="R1123" i="11"/>
  <c r="Q1123" i="11"/>
  <c r="O1123" i="11"/>
  <c r="N1123" i="11"/>
  <c r="M1123" i="11"/>
  <c r="L1123" i="11"/>
  <c r="G1123" i="11"/>
  <c r="S1122" i="11"/>
  <c r="R1122" i="11"/>
  <c r="Q1122" i="11"/>
  <c r="O1122" i="11"/>
  <c r="N1122" i="11"/>
  <c r="M1122" i="11"/>
  <c r="L1122" i="11"/>
  <c r="G1122" i="11"/>
  <c r="S1121" i="11"/>
  <c r="R1121" i="11"/>
  <c r="Q1121" i="11"/>
  <c r="O1121" i="11"/>
  <c r="N1121" i="11"/>
  <c r="M1121" i="11"/>
  <c r="L1121" i="11"/>
  <c r="G1121" i="11"/>
  <c r="S1120" i="11"/>
  <c r="R1120" i="11"/>
  <c r="Q1120" i="11"/>
  <c r="O1120" i="11"/>
  <c r="N1120" i="11"/>
  <c r="M1120" i="11"/>
  <c r="L1120" i="11"/>
  <c r="G1120" i="11"/>
  <c r="S1119" i="11"/>
  <c r="R1119" i="11"/>
  <c r="Q1119" i="11"/>
  <c r="O1119" i="11"/>
  <c r="N1119" i="11"/>
  <c r="M1119" i="11"/>
  <c r="L1119" i="11"/>
  <c r="G1119" i="11"/>
  <c r="S1118" i="11"/>
  <c r="R1118" i="11"/>
  <c r="Q1118" i="11"/>
  <c r="O1118" i="11"/>
  <c r="N1118" i="11"/>
  <c r="M1118" i="11"/>
  <c r="L1118" i="11"/>
  <c r="G1118" i="11"/>
  <c r="S1117" i="11"/>
  <c r="R1117" i="11"/>
  <c r="Q1117" i="11"/>
  <c r="O1117" i="11"/>
  <c r="N1117" i="11"/>
  <c r="M1117" i="11"/>
  <c r="L1117" i="11"/>
  <c r="G1117" i="11"/>
  <c r="S1116" i="11"/>
  <c r="R1116" i="11"/>
  <c r="Q1116" i="11"/>
  <c r="O1116" i="11"/>
  <c r="N1116" i="11"/>
  <c r="M1116" i="11"/>
  <c r="L1116" i="11"/>
  <c r="G1116" i="11"/>
  <c r="S1115" i="11"/>
  <c r="R1115" i="11"/>
  <c r="Q1115" i="11"/>
  <c r="O1115" i="11"/>
  <c r="N1115" i="11"/>
  <c r="M1115" i="11"/>
  <c r="L1115" i="11"/>
  <c r="G1115" i="11"/>
  <c r="S1114" i="11"/>
  <c r="R1114" i="11"/>
  <c r="Q1114" i="11"/>
  <c r="O1114" i="11"/>
  <c r="N1114" i="11"/>
  <c r="M1114" i="11"/>
  <c r="L1114" i="11"/>
  <c r="G1114" i="11"/>
  <c r="S1113" i="11"/>
  <c r="R1113" i="11"/>
  <c r="Q1113" i="11"/>
  <c r="O1113" i="11"/>
  <c r="N1113" i="11"/>
  <c r="M1113" i="11"/>
  <c r="L1113" i="11"/>
  <c r="G1113" i="11"/>
  <c r="S1112" i="11"/>
  <c r="R1112" i="11"/>
  <c r="Q1112" i="11"/>
  <c r="O1112" i="11"/>
  <c r="N1112" i="11"/>
  <c r="M1112" i="11"/>
  <c r="L1112" i="11"/>
  <c r="G1112" i="11"/>
  <c r="S1111" i="11"/>
  <c r="R1111" i="11"/>
  <c r="Q1111" i="11"/>
  <c r="O1111" i="11"/>
  <c r="N1111" i="11"/>
  <c r="M1111" i="11"/>
  <c r="L1111" i="11"/>
  <c r="G1111" i="11"/>
  <c r="S1110" i="11"/>
  <c r="R1110" i="11"/>
  <c r="Q1110" i="11"/>
  <c r="O1110" i="11"/>
  <c r="N1110" i="11"/>
  <c r="M1110" i="11"/>
  <c r="L1110" i="11"/>
  <c r="G1110" i="11"/>
  <c r="S1109" i="11"/>
  <c r="R1109" i="11"/>
  <c r="Q1109" i="11"/>
  <c r="O1109" i="11"/>
  <c r="N1109" i="11"/>
  <c r="M1109" i="11"/>
  <c r="L1109" i="11"/>
  <c r="G1109" i="11"/>
  <c r="S1108" i="11"/>
  <c r="R1108" i="11"/>
  <c r="Q1108" i="11"/>
  <c r="O1108" i="11"/>
  <c r="N1108" i="11"/>
  <c r="M1108" i="11"/>
  <c r="L1108" i="11"/>
  <c r="G1108" i="11"/>
  <c r="S1107" i="11"/>
  <c r="R1107" i="11"/>
  <c r="Q1107" i="11"/>
  <c r="O1107" i="11"/>
  <c r="N1107" i="11"/>
  <c r="M1107" i="11"/>
  <c r="L1107" i="11"/>
  <c r="G1107" i="11"/>
  <c r="S1106" i="11"/>
  <c r="R1106" i="11"/>
  <c r="Q1106" i="11"/>
  <c r="O1106" i="11"/>
  <c r="N1106" i="11"/>
  <c r="M1106" i="11"/>
  <c r="L1106" i="11"/>
  <c r="G1106" i="11"/>
  <c r="S1105" i="11"/>
  <c r="R1105" i="11"/>
  <c r="Q1105" i="11"/>
  <c r="O1105" i="11"/>
  <c r="N1105" i="11"/>
  <c r="M1105" i="11"/>
  <c r="L1105" i="11"/>
  <c r="G1105" i="11"/>
  <c r="S1104" i="11"/>
  <c r="R1104" i="11"/>
  <c r="Q1104" i="11"/>
  <c r="O1104" i="11"/>
  <c r="N1104" i="11"/>
  <c r="M1104" i="11"/>
  <c r="L1104" i="11"/>
  <c r="G1104" i="11"/>
  <c r="S1103" i="11"/>
  <c r="R1103" i="11"/>
  <c r="Q1103" i="11"/>
  <c r="O1103" i="11"/>
  <c r="N1103" i="11"/>
  <c r="M1103" i="11"/>
  <c r="L1103" i="11"/>
  <c r="G1103" i="11"/>
  <c r="S1102" i="11"/>
  <c r="R1102" i="11"/>
  <c r="Q1102" i="11"/>
  <c r="O1102" i="11"/>
  <c r="N1102" i="11"/>
  <c r="M1102" i="11"/>
  <c r="L1102" i="11"/>
  <c r="G1102" i="11"/>
  <c r="S1101" i="11"/>
  <c r="R1101" i="11"/>
  <c r="Q1101" i="11"/>
  <c r="O1101" i="11"/>
  <c r="N1101" i="11"/>
  <c r="M1101" i="11"/>
  <c r="L1101" i="11"/>
  <c r="G1101" i="11"/>
  <c r="S1100" i="11"/>
  <c r="R1100" i="11"/>
  <c r="Q1100" i="11"/>
  <c r="O1100" i="11"/>
  <c r="N1100" i="11"/>
  <c r="M1100" i="11"/>
  <c r="L1100" i="11"/>
  <c r="G1100" i="11"/>
  <c r="S1099" i="11"/>
  <c r="R1099" i="11"/>
  <c r="Q1099" i="11"/>
  <c r="O1099" i="11"/>
  <c r="N1099" i="11"/>
  <c r="M1099" i="11"/>
  <c r="L1099" i="11"/>
  <c r="G1099" i="11"/>
  <c r="S1098" i="11"/>
  <c r="R1098" i="11"/>
  <c r="Q1098" i="11"/>
  <c r="O1098" i="11"/>
  <c r="N1098" i="11"/>
  <c r="M1098" i="11"/>
  <c r="L1098" i="11"/>
  <c r="G1098" i="11"/>
  <c r="S1097" i="11"/>
  <c r="R1097" i="11"/>
  <c r="Q1097" i="11"/>
  <c r="O1097" i="11"/>
  <c r="N1097" i="11"/>
  <c r="M1097" i="11"/>
  <c r="L1097" i="11"/>
  <c r="G1097" i="11"/>
  <c r="S1096" i="11"/>
  <c r="R1096" i="11"/>
  <c r="Q1096" i="11"/>
  <c r="O1096" i="11"/>
  <c r="N1096" i="11"/>
  <c r="M1096" i="11"/>
  <c r="L1096" i="11"/>
  <c r="G1096" i="11"/>
  <c r="S1095" i="11"/>
  <c r="R1095" i="11"/>
  <c r="Q1095" i="11"/>
  <c r="O1095" i="11"/>
  <c r="N1095" i="11"/>
  <c r="M1095" i="11"/>
  <c r="L1095" i="11"/>
  <c r="G1095" i="11"/>
  <c r="S1094" i="11"/>
  <c r="R1094" i="11"/>
  <c r="Q1094" i="11"/>
  <c r="O1094" i="11"/>
  <c r="N1094" i="11"/>
  <c r="M1094" i="11"/>
  <c r="L1094" i="11"/>
  <c r="G1094" i="11"/>
  <c r="S1093" i="11"/>
  <c r="R1093" i="11"/>
  <c r="Q1093" i="11"/>
  <c r="O1093" i="11"/>
  <c r="N1093" i="11"/>
  <c r="M1093" i="11"/>
  <c r="L1093" i="11"/>
  <c r="G1093" i="11"/>
  <c r="S1092" i="11"/>
  <c r="R1092" i="11"/>
  <c r="Q1092" i="11"/>
  <c r="O1092" i="11"/>
  <c r="N1092" i="11"/>
  <c r="M1092" i="11"/>
  <c r="L1092" i="11"/>
  <c r="G1092" i="11"/>
  <c r="S1091" i="11"/>
  <c r="R1091" i="11"/>
  <c r="Q1091" i="11"/>
  <c r="O1091" i="11"/>
  <c r="N1091" i="11"/>
  <c r="M1091" i="11"/>
  <c r="L1091" i="11"/>
  <c r="G1091" i="11"/>
  <c r="S1090" i="11"/>
  <c r="R1090" i="11"/>
  <c r="Q1090" i="11"/>
  <c r="O1090" i="11"/>
  <c r="N1090" i="11"/>
  <c r="M1090" i="11"/>
  <c r="L1090" i="11"/>
  <c r="G1090" i="11"/>
  <c r="S1089" i="11"/>
  <c r="R1089" i="11"/>
  <c r="Q1089" i="11"/>
  <c r="O1089" i="11"/>
  <c r="N1089" i="11"/>
  <c r="M1089" i="11"/>
  <c r="L1089" i="11"/>
  <c r="G1089" i="11"/>
  <c r="S1088" i="11"/>
  <c r="R1088" i="11"/>
  <c r="Q1088" i="11"/>
  <c r="O1088" i="11"/>
  <c r="N1088" i="11"/>
  <c r="M1088" i="11"/>
  <c r="L1088" i="11"/>
  <c r="G1088" i="11"/>
  <c r="S1087" i="11"/>
  <c r="R1087" i="11"/>
  <c r="Q1087" i="11"/>
  <c r="O1087" i="11"/>
  <c r="N1087" i="11"/>
  <c r="M1087" i="11"/>
  <c r="L1087" i="11"/>
  <c r="G1087" i="11"/>
  <c r="S1086" i="11"/>
  <c r="R1086" i="11"/>
  <c r="Q1086" i="11"/>
  <c r="O1086" i="11"/>
  <c r="N1086" i="11"/>
  <c r="M1086" i="11"/>
  <c r="L1086" i="11"/>
  <c r="G1086" i="11"/>
  <c r="S1085" i="11"/>
  <c r="R1085" i="11"/>
  <c r="Q1085" i="11"/>
  <c r="O1085" i="11"/>
  <c r="N1085" i="11"/>
  <c r="M1085" i="11"/>
  <c r="L1085" i="11"/>
  <c r="G1085" i="11"/>
  <c r="S1084" i="11"/>
  <c r="R1084" i="11"/>
  <c r="Q1084" i="11"/>
  <c r="O1084" i="11"/>
  <c r="N1084" i="11"/>
  <c r="M1084" i="11"/>
  <c r="L1084" i="11"/>
  <c r="G1084" i="11"/>
  <c r="S1083" i="11"/>
  <c r="R1083" i="11"/>
  <c r="Q1083" i="11"/>
  <c r="O1083" i="11"/>
  <c r="N1083" i="11"/>
  <c r="M1083" i="11"/>
  <c r="L1083" i="11"/>
  <c r="G1083" i="11"/>
  <c r="S1082" i="11"/>
  <c r="R1082" i="11"/>
  <c r="Q1082" i="11"/>
  <c r="O1082" i="11"/>
  <c r="N1082" i="11"/>
  <c r="M1082" i="11"/>
  <c r="L1082" i="11"/>
  <c r="G1082" i="11"/>
  <c r="S1081" i="11"/>
  <c r="R1081" i="11"/>
  <c r="Q1081" i="11"/>
  <c r="O1081" i="11"/>
  <c r="N1081" i="11"/>
  <c r="M1081" i="11"/>
  <c r="L1081" i="11"/>
  <c r="G1081" i="11"/>
  <c r="S1080" i="11"/>
  <c r="R1080" i="11"/>
  <c r="Q1080" i="11"/>
  <c r="O1080" i="11"/>
  <c r="N1080" i="11"/>
  <c r="M1080" i="11"/>
  <c r="L1080" i="11"/>
  <c r="G1080" i="11"/>
  <c r="S1079" i="11"/>
  <c r="R1079" i="11"/>
  <c r="Q1079" i="11"/>
  <c r="O1079" i="11"/>
  <c r="N1079" i="11"/>
  <c r="M1079" i="11"/>
  <c r="L1079" i="11"/>
  <c r="G1079" i="11"/>
  <c r="S1078" i="11"/>
  <c r="R1078" i="11"/>
  <c r="Q1078" i="11"/>
  <c r="O1078" i="11"/>
  <c r="N1078" i="11"/>
  <c r="M1078" i="11"/>
  <c r="L1078" i="11"/>
  <c r="G1078" i="11"/>
  <c r="S1077" i="11"/>
  <c r="R1077" i="11"/>
  <c r="Q1077" i="11"/>
  <c r="O1077" i="11"/>
  <c r="N1077" i="11"/>
  <c r="M1077" i="11"/>
  <c r="L1077" i="11"/>
  <c r="G1077" i="11"/>
  <c r="S1076" i="11"/>
  <c r="R1076" i="11"/>
  <c r="Q1076" i="11"/>
  <c r="O1076" i="11"/>
  <c r="N1076" i="11"/>
  <c r="M1076" i="11"/>
  <c r="L1076" i="11"/>
  <c r="G1076" i="11"/>
  <c r="S1075" i="11"/>
  <c r="R1075" i="11"/>
  <c r="Q1075" i="11"/>
  <c r="O1075" i="11"/>
  <c r="N1075" i="11"/>
  <c r="M1075" i="11"/>
  <c r="L1075" i="11"/>
  <c r="G1075" i="11"/>
  <c r="S1074" i="11"/>
  <c r="R1074" i="11"/>
  <c r="Q1074" i="11"/>
  <c r="O1074" i="11"/>
  <c r="N1074" i="11"/>
  <c r="M1074" i="11"/>
  <c r="L1074" i="11"/>
  <c r="G1074" i="11"/>
  <c r="S1073" i="11"/>
  <c r="R1073" i="11"/>
  <c r="Q1073" i="11"/>
  <c r="O1073" i="11"/>
  <c r="N1073" i="11"/>
  <c r="M1073" i="11"/>
  <c r="L1073" i="11"/>
  <c r="G1073" i="11"/>
  <c r="S1072" i="11"/>
  <c r="R1072" i="11"/>
  <c r="Q1072" i="11"/>
  <c r="O1072" i="11"/>
  <c r="N1072" i="11"/>
  <c r="M1072" i="11"/>
  <c r="L1072" i="11"/>
  <c r="G1072" i="11"/>
  <c r="S1071" i="11"/>
  <c r="R1071" i="11"/>
  <c r="Q1071" i="11"/>
  <c r="O1071" i="11"/>
  <c r="N1071" i="11"/>
  <c r="M1071" i="11"/>
  <c r="L1071" i="11"/>
  <c r="G1071" i="11"/>
  <c r="S1070" i="11"/>
  <c r="R1070" i="11"/>
  <c r="Q1070" i="11"/>
  <c r="O1070" i="11"/>
  <c r="N1070" i="11"/>
  <c r="M1070" i="11"/>
  <c r="L1070" i="11"/>
  <c r="G1070" i="11"/>
  <c r="S1069" i="11"/>
  <c r="R1069" i="11"/>
  <c r="Q1069" i="11"/>
  <c r="O1069" i="11"/>
  <c r="N1069" i="11"/>
  <c r="M1069" i="11"/>
  <c r="L1069" i="11"/>
  <c r="G1069" i="11"/>
  <c r="S1068" i="11"/>
  <c r="R1068" i="11"/>
  <c r="Q1068" i="11"/>
  <c r="O1068" i="11"/>
  <c r="N1068" i="11"/>
  <c r="M1068" i="11"/>
  <c r="L1068" i="11"/>
  <c r="G1068" i="11"/>
  <c r="S1067" i="11"/>
  <c r="R1067" i="11"/>
  <c r="Q1067" i="11"/>
  <c r="O1067" i="11"/>
  <c r="N1067" i="11"/>
  <c r="M1067" i="11"/>
  <c r="L1067" i="11"/>
  <c r="G1067" i="11"/>
  <c r="S1066" i="11"/>
  <c r="R1066" i="11"/>
  <c r="Q1066" i="11"/>
  <c r="O1066" i="11"/>
  <c r="N1066" i="11"/>
  <c r="M1066" i="11"/>
  <c r="L1066" i="11"/>
  <c r="G1066" i="11"/>
  <c r="S1065" i="11"/>
  <c r="R1065" i="11"/>
  <c r="Q1065" i="11"/>
  <c r="O1065" i="11"/>
  <c r="N1065" i="11"/>
  <c r="M1065" i="11"/>
  <c r="L1065" i="11"/>
  <c r="G1065" i="11"/>
  <c r="S1064" i="11"/>
  <c r="R1064" i="11"/>
  <c r="Q1064" i="11"/>
  <c r="O1064" i="11"/>
  <c r="N1064" i="11"/>
  <c r="M1064" i="11"/>
  <c r="L1064" i="11"/>
  <c r="G1064" i="11"/>
  <c r="S1063" i="11"/>
  <c r="R1063" i="11"/>
  <c r="Q1063" i="11"/>
  <c r="O1063" i="11"/>
  <c r="N1063" i="11"/>
  <c r="M1063" i="11"/>
  <c r="L1063" i="11"/>
  <c r="G1063" i="11"/>
  <c r="S1062" i="11"/>
  <c r="R1062" i="11"/>
  <c r="Q1062" i="11"/>
  <c r="O1062" i="11"/>
  <c r="N1062" i="11"/>
  <c r="M1062" i="11"/>
  <c r="L1062" i="11"/>
  <c r="G1062" i="11"/>
  <c r="S1061" i="11"/>
  <c r="R1061" i="11"/>
  <c r="Q1061" i="11"/>
  <c r="O1061" i="11"/>
  <c r="N1061" i="11"/>
  <c r="M1061" i="11"/>
  <c r="L1061" i="11"/>
  <c r="G1061" i="11"/>
  <c r="S1060" i="11"/>
  <c r="R1060" i="11"/>
  <c r="Q1060" i="11"/>
  <c r="O1060" i="11"/>
  <c r="N1060" i="11"/>
  <c r="M1060" i="11"/>
  <c r="L1060" i="11"/>
  <c r="G1060" i="11"/>
  <c r="S1059" i="11"/>
  <c r="R1059" i="11"/>
  <c r="Q1059" i="11"/>
  <c r="O1059" i="11"/>
  <c r="N1059" i="11"/>
  <c r="M1059" i="11"/>
  <c r="L1059" i="11"/>
  <c r="G1059" i="11"/>
  <c r="S1058" i="11"/>
  <c r="R1058" i="11"/>
  <c r="Q1058" i="11"/>
  <c r="O1058" i="11"/>
  <c r="N1058" i="11"/>
  <c r="M1058" i="11"/>
  <c r="L1058" i="11"/>
  <c r="G1058" i="11"/>
  <c r="S1057" i="11"/>
  <c r="R1057" i="11"/>
  <c r="Q1057" i="11"/>
  <c r="O1057" i="11"/>
  <c r="N1057" i="11"/>
  <c r="M1057" i="11"/>
  <c r="L1057" i="11"/>
  <c r="G1057" i="11"/>
  <c r="S1056" i="11"/>
  <c r="R1056" i="11"/>
  <c r="Q1056" i="11"/>
  <c r="O1056" i="11"/>
  <c r="N1056" i="11"/>
  <c r="M1056" i="11"/>
  <c r="L1056" i="11"/>
  <c r="G1056" i="11"/>
  <c r="S1055" i="11"/>
  <c r="R1055" i="11"/>
  <c r="Q1055" i="11"/>
  <c r="O1055" i="11"/>
  <c r="N1055" i="11"/>
  <c r="M1055" i="11"/>
  <c r="L1055" i="11"/>
  <c r="G1055" i="11"/>
  <c r="S1054" i="11"/>
  <c r="R1054" i="11"/>
  <c r="Q1054" i="11"/>
  <c r="O1054" i="11"/>
  <c r="N1054" i="11"/>
  <c r="M1054" i="11"/>
  <c r="L1054" i="11"/>
  <c r="G1054" i="11"/>
  <c r="S1053" i="11"/>
  <c r="R1053" i="11"/>
  <c r="Q1053" i="11"/>
  <c r="O1053" i="11"/>
  <c r="N1053" i="11"/>
  <c r="M1053" i="11"/>
  <c r="L1053" i="11"/>
  <c r="G1053" i="11"/>
  <c r="S1052" i="11"/>
  <c r="R1052" i="11"/>
  <c r="Q1052" i="11"/>
  <c r="O1052" i="11"/>
  <c r="N1052" i="11"/>
  <c r="M1052" i="11"/>
  <c r="L1052" i="11"/>
  <c r="G1052" i="11"/>
  <c r="S1051" i="11"/>
  <c r="R1051" i="11"/>
  <c r="Q1051" i="11"/>
  <c r="O1051" i="11"/>
  <c r="N1051" i="11"/>
  <c r="M1051" i="11"/>
  <c r="L1051" i="11"/>
  <c r="G1051" i="11"/>
  <c r="S1050" i="11"/>
  <c r="R1050" i="11"/>
  <c r="Q1050" i="11"/>
  <c r="O1050" i="11"/>
  <c r="N1050" i="11"/>
  <c r="M1050" i="11"/>
  <c r="L1050" i="11"/>
  <c r="G1050" i="11"/>
  <c r="S1049" i="11"/>
  <c r="R1049" i="11"/>
  <c r="Q1049" i="11"/>
  <c r="O1049" i="11"/>
  <c r="N1049" i="11"/>
  <c r="M1049" i="11"/>
  <c r="L1049" i="11"/>
  <c r="G1049" i="11"/>
  <c r="S1048" i="11"/>
  <c r="R1048" i="11"/>
  <c r="Q1048" i="11"/>
  <c r="O1048" i="11"/>
  <c r="N1048" i="11"/>
  <c r="M1048" i="11"/>
  <c r="L1048" i="11"/>
  <c r="G1048" i="11"/>
  <c r="S1047" i="11"/>
  <c r="R1047" i="11"/>
  <c r="Q1047" i="11"/>
  <c r="O1047" i="11"/>
  <c r="N1047" i="11"/>
  <c r="M1047" i="11"/>
  <c r="L1047" i="11"/>
  <c r="G1047" i="11"/>
  <c r="S1046" i="11"/>
  <c r="R1046" i="11"/>
  <c r="Q1046" i="11"/>
  <c r="O1046" i="11"/>
  <c r="N1046" i="11"/>
  <c r="M1046" i="11"/>
  <c r="L1046" i="11"/>
  <c r="G1046" i="11"/>
  <c r="S1045" i="11"/>
  <c r="R1045" i="11"/>
  <c r="Q1045" i="11"/>
  <c r="O1045" i="11"/>
  <c r="N1045" i="11"/>
  <c r="M1045" i="11"/>
  <c r="L1045" i="11"/>
  <c r="G1045" i="11"/>
  <c r="S1044" i="11"/>
  <c r="R1044" i="11"/>
  <c r="Q1044" i="11"/>
  <c r="O1044" i="11"/>
  <c r="N1044" i="11"/>
  <c r="M1044" i="11"/>
  <c r="L1044" i="11"/>
  <c r="G1044" i="11"/>
  <c r="S1043" i="11"/>
  <c r="R1043" i="11"/>
  <c r="Q1043" i="11"/>
  <c r="O1043" i="11"/>
  <c r="N1043" i="11"/>
  <c r="M1043" i="11"/>
  <c r="L1043" i="11"/>
  <c r="G1043" i="11"/>
  <c r="S1042" i="11"/>
  <c r="R1042" i="11"/>
  <c r="Q1042" i="11"/>
  <c r="O1042" i="11"/>
  <c r="N1042" i="11"/>
  <c r="M1042" i="11"/>
  <c r="L1042" i="11"/>
  <c r="G1042" i="11"/>
  <c r="S1041" i="11"/>
  <c r="R1041" i="11"/>
  <c r="Q1041" i="11"/>
  <c r="O1041" i="11"/>
  <c r="N1041" i="11"/>
  <c r="M1041" i="11"/>
  <c r="L1041" i="11"/>
  <c r="G1041" i="11"/>
  <c r="S1040" i="11"/>
  <c r="R1040" i="11"/>
  <c r="Q1040" i="11"/>
  <c r="O1040" i="11"/>
  <c r="N1040" i="11"/>
  <c r="M1040" i="11"/>
  <c r="L1040" i="11"/>
  <c r="G1040" i="11"/>
  <c r="S1039" i="11"/>
  <c r="R1039" i="11"/>
  <c r="Q1039" i="11"/>
  <c r="O1039" i="11"/>
  <c r="N1039" i="11"/>
  <c r="M1039" i="11"/>
  <c r="L1039" i="11"/>
  <c r="G1039" i="11"/>
  <c r="S1038" i="11"/>
  <c r="R1038" i="11"/>
  <c r="Q1038" i="11"/>
  <c r="O1038" i="11"/>
  <c r="N1038" i="11"/>
  <c r="M1038" i="11"/>
  <c r="L1038" i="11"/>
  <c r="G1038" i="11"/>
  <c r="S1037" i="11"/>
  <c r="R1037" i="11"/>
  <c r="Q1037" i="11"/>
  <c r="O1037" i="11"/>
  <c r="N1037" i="11"/>
  <c r="M1037" i="11"/>
  <c r="L1037" i="11"/>
  <c r="G1037" i="11"/>
  <c r="S1036" i="11"/>
  <c r="R1036" i="11"/>
  <c r="Q1036" i="11"/>
  <c r="O1036" i="11"/>
  <c r="N1036" i="11"/>
  <c r="M1036" i="11"/>
  <c r="L1036" i="11"/>
  <c r="G1036" i="11"/>
  <c r="S1035" i="11"/>
  <c r="R1035" i="11"/>
  <c r="Q1035" i="11"/>
  <c r="O1035" i="11"/>
  <c r="N1035" i="11"/>
  <c r="M1035" i="11"/>
  <c r="L1035" i="11"/>
  <c r="G1035" i="11"/>
  <c r="S1034" i="11"/>
  <c r="R1034" i="11"/>
  <c r="Q1034" i="11"/>
  <c r="O1034" i="11"/>
  <c r="N1034" i="11"/>
  <c r="M1034" i="11"/>
  <c r="L1034" i="11"/>
  <c r="G1034" i="11"/>
  <c r="S1033" i="11"/>
  <c r="R1033" i="11"/>
  <c r="Q1033" i="11"/>
  <c r="O1033" i="11"/>
  <c r="N1033" i="11"/>
  <c r="M1033" i="11"/>
  <c r="L1033" i="11"/>
  <c r="G1033" i="11"/>
  <c r="S1032" i="11"/>
  <c r="R1032" i="11"/>
  <c r="Q1032" i="11"/>
  <c r="O1032" i="11"/>
  <c r="N1032" i="11"/>
  <c r="M1032" i="11"/>
  <c r="L1032" i="11"/>
  <c r="G1032" i="11"/>
  <c r="S1031" i="11"/>
  <c r="R1031" i="11"/>
  <c r="Q1031" i="11"/>
  <c r="O1031" i="11"/>
  <c r="N1031" i="11"/>
  <c r="M1031" i="11"/>
  <c r="L1031" i="11"/>
  <c r="G1031" i="11"/>
  <c r="S1030" i="11"/>
  <c r="R1030" i="11"/>
  <c r="Q1030" i="11"/>
  <c r="O1030" i="11"/>
  <c r="N1030" i="11"/>
  <c r="M1030" i="11"/>
  <c r="L1030" i="11"/>
  <c r="G1030" i="11"/>
  <c r="S1029" i="11"/>
  <c r="R1029" i="11"/>
  <c r="Q1029" i="11"/>
  <c r="O1029" i="11"/>
  <c r="N1029" i="11"/>
  <c r="M1029" i="11"/>
  <c r="L1029" i="11"/>
  <c r="G1029" i="11"/>
  <c r="S1028" i="11"/>
  <c r="R1028" i="11"/>
  <c r="Q1028" i="11"/>
  <c r="O1028" i="11"/>
  <c r="N1028" i="11"/>
  <c r="M1028" i="11"/>
  <c r="L1028" i="11"/>
  <c r="G1028" i="11"/>
  <c r="S1027" i="11"/>
  <c r="R1027" i="11"/>
  <c r="Q1027" i="11"/>
  <c r="O1027" i="11"/>
  <c r="N1027" i="11"/>
  <c r="M1027" i="11"/>
  <c r="L1027" i="11"/>
  <c r="G1027" i="11"/>
  <c r="S1026" i="11"/>
  <c r="R1026" i="11"/>
  <c r="Q1026" i="11"/>
  <c r="O1026" i="11"/>
  <c r="N1026" i="11"/>
  <c r="M1026" i="11"/>
  <c r="L1026" i="11"/>
  <c r="G1026" i="11"/>
  <c r="S1025" i="11"/>
  <c r="R1025" i="11"/>
  <c r="Q1025" i="11"/>
  <c r="O1025" i="11"/>
  <c r="N1025" i="11"/>
  <c r="M1025" i="11"/>
  <c r="L1025" i="11"/>
  <c r="G1025" i="11"/>
  <c r="S1024" i="11"/>
  <c r="R1024" i="11"/>
  <c r="Q1024" i="11"/>
  <c r="O1024" i="11"/>
  <c r="N1024" i="11"/>
  <c r="M1024" i="11"/>
  <c r="L1024" i="11"/>
  <c r="G1024" i="11"/>
  <c r="S1023" i="11"/>
  <c r="R1023" i="11"/>
  <c r="Q1023" i="11"/>
  <c r="O1023" i="11"/>
  <c r="N1023" i="11"/>
  <c r="M1023" i="11"/>
  <c r="L1023" i="11"/>
  <c r="G1023" i="11"/>
  <c r="S1022" i="11"/>
  <c r="R1022" i="11"/>
  <c r="Q1022" i="11"/>
  <c r="O1022" i="11"/>
  <c r="N1022" i="11"/>
  <c r="M1022" i="11"/>
  <c r="L1022" i="11"/>
  <c r="G1022" i="11"/>
  <c r="S1021" i="11"/>
  <c r="R1021" i="11"/>
  <c r="Q1021" i="11"/>
  <c r="O1021" i="11"/>
  <c r="N1021" i="11"/>
  <c r="M1021" i="11"/>
  <c r="L1021" i="11"/>
  <c r="G1021" i="11"/>
  <c r="S1020" i="11"/>
  <c r="R1020" i="11"/>
  <c r="Q1020" i="11"/>
  <c r="O1020" i="11"/>
  <c r="N1020" i="11"/>
  <c r="M1020" i="11"/>
  <c r="L1020" i="11"/>
  <c r="G1020" i="11"/>
  <c r="S1019" i="11"/>
  <c r="R1019" i="11"/>
  <c r="Q1019" i="11"/>
  <c r="O1019" i="11"/>
  <c r="N1019" i="11"/>
  <c r="M1019" i="11"/>
  <c r="L1019" i="11"/>
  <c r="G1019" i="11"/>
  <c r="S1018" i="11"/>
  <c r="R1018" i="11"/>
  <c r="Q1018" i="11"/>
  <c r="O1018" i="11"/>
  <c r="N1018" i="11"/>
  <c r="M1018" i="11"/>
  <c r="L1018" i="11"/>
  <c r="G1018" i="11"/>
  <c r="S1017" i="11"/>
  <c r="R1017" i="11"/>
  <c r="Q1017" i="11"/>
  <c r="O1017" i="11"/>
  <c r="N1017" i="11"/>
  <c r="M1017" i="11"/>
  <c r="L1017" i="11"/>
  <c r="G1017" i="11"/>
  <c r="S1016" i="11"/>
  <c r="R1016" i="11"/>
  <c r="Q1016" i="11"/>
  <c r="O1016" i="11"/>
  <c r="N1016" i="11"/>
  <c r="M1016" i="11"/>
  <c r="L1016" i="11"/>
  <c r="G1016" i="11"/>
  <c r="S1015" i="11"/>
  <c r="R1015" i="11"/>
  <c r="Q1015" i="11"/>
  <c r="O1015" i="11"/>
  <c r="N1015" i="11"/>
  <c r="M1015" i="11"/>
  <c r="L1015" i="11"/>
  <c r="G1015" i="11"/>
  <c r="S1014" i="11"/>
  <c r="R1014" i="11"/>
  <c r="Q1014" i="11"/>
  <c r="O1014" i="11"/>
  <c r="N1014" i="11"/>
  <c r="M1014" i="11"/>
  <c r="L1014" i="11"/>
  <c r="G1014" i="11"/>
  <c r="S1013" i="11"/>
  <c r="R1013" i="11"/>
  <c r="Q1013" i="11"/>
  <c r="O1013" i="11"/>
  <c r="N1013" i="11"/>
  <c r="M1013" i="11"/>
  <c r="L1013" i="11"/>
  <c r="G1013" i="11"/>
  <c r="S1012" i="11"/>
  <c r="R1012" i="11"/>
  <c r="Q1012" i="11"/>
  <c r="O1012" i="11"/>
  <c r="N1012" i="11"/>
  <c r="M1012" i="11"/>
  <c r="L1012" i="11"/>
  <c r="G1012" i="11"/>
  <c r="S1011" i="11"/>
  <c r="R1011" i="11"/>
  <c r="Q1011" i="11"/>
  <c r="O1011" i="11"/>
  <c r="N1011" i="11"/>
  <c r="M1011" i="11"/>
  <c r="L1011" i="11"/>
  <c r="G1011" i="11"/>
  <c r="S1010" i="11"/>
  <c r="R1010" i="11"/>
  <c r="Q1010" i="11"/>
  <c r="O1010" i="11"/>
  <c r="N1010" i="11"/>
  <c r="M1010" i="11"/>
  <c r="L1010" i="11"/>
  <c r="G1010" i="11"/>
  <c r="S1009" i="11"/>
  <c r="R1009" i="11"/>
  <c r="Q1009" i="11"/>
  <c r="O1009" i="11"/>
  <c r="N1009" i="11"/>
  <c r="M1009" i="11"/>
  <c r="L1009" i="11"/>
  <c r="G1009" i="11"/>
  <c r="S1008" i="11"/>
  <c r="R1008" i="11"/>
  <c r="Q1008" i="11"/>
  <c r="O1008" i="11"/>
  <c r="N1008" i="11"/>
  <c r="M1008" i="11"/>
  <c r="L1008" i="11"/>
  <c r="G1008" i="11"/>
  <c r="S1007" i="11"/>
  <c r="R1007" i="11"/>
  <c r="Q1007" i="11"/>
  <c r="O1007" i="11"/>
  <c r="N1007" i="11"/>
  <c r="M1007" i="11"/>
  <c r="L1007" i="11"/>
  <c r="G1007" i="11"/>
  <c r="S1006" i="11"/>
  <c r="R1006" i="11"/>
  <c r="Q1006" i="11"/>
  <c r="O1006" i="11"/>
  <c r="N1006" i="11"/>
  <c r="M1006" i="11"/>
  <c r="L1006" i="11"/>
  <c r="G1006" i="11"/>
  <c r="S1005" i="11"/>
  <c r="R1005" i="11"/>
  <c r="Q1005" i="11"/>
  <c r="O1005" i="11"/>
  <c r="N1005" i="11"/>
  <c r="M1005" i="11"/>
  <c r="L1005" i="11"/>
  <c r="G1005" i="11"/>
  <c r="S1004" i="11"/>
  <c r="R1004" i="11"/>
  <c r="Q1004" i="11"/>
  <c r="O1004" i="11"/>
  <c r="N1004" i="11"/>
  <c r="M1004" i="11"/>
  <c r="L1004" i="11"/>
  <c r="G1004" i="11"/>
  <c r="S1003" i="11"/>
  <c r="R1003" i="11"/>
  <c r="Q1003" i="11"/>
  <c r="O1003" i="11"/>
  <c r="N1003" i="11"/>
  <c r="M1003" i="11"/>
  <c r="L1003" i="11"/>
  <c r="G1003" i="11"/>
  <c r="S1002" i="11"/>
  <c r="R1002" i="11"/>
  <c r="Q1002" i="11"/>
  <c r="O1002" i="11"/>
  <c r="N1002" i="11"/>
  <c r="M1002" i="11"/>
  <c r="L1002" i="11"/>
  <c r="G1002" i="11"/>
  <c r="S1001" i="11"/>
  <c r="R1001" i="11"/>
  <c r="Q1001" i="11"/>
  <c r="O1001" i="11"/>
  <c r="N1001" i="11"/>
  <c r="M1001" i="11"/>
  <c r="L1001" i="11"/>
  <c r="G1001" i="11"/>
  <c r="S1000" i="11"/>
  <c r="R1000" i="11"/>
  <c r="Q1000" i="11"/>
  <c r="O1000" i="11"/>
  <c r="N1000" i="11"/>
  <c r="M1000" i="11"/>
  <c r="L1000" i="11"/>
  <c r="G1000" i="11"/>
  <c r="S999" i="11"/>
  <c r="R999" i="11"/>
  <c r="Q999" i="11"/>
  <c r="O999" i="11"/>
  <c r="N999" i="11"/>
  <c r="M999" i="11"/>
  <c r="L999" i="11"/>
  <c r="G999" i="11"/>
  <c r="S998" i="11"/>
  <c r="R998" i="11"/>
  <c r="Q998" i="11"/>
  <c r="O998" i="11"/>
  <c r="N998" i="11"/>
  <c r="M998" i="11"/>
  <c r="L998" i="11"/>
  <c r="G998" i="11"/>
  <c r="S997" i="11"/>
  <c r="R997" i="11"/>
  <c r="Q997" i="11"/>
  <c r="O997" i="11"/>
  <c r="N997" i="11"/>
  <c r="M997" i="11"/>
  <c r="L997" i="11"/>
  <c r="G997" i="11"/>
  <c r="S996" i="11"/>
  <c r="R996" i="11"/>
  <c r="Q996" i="11"/>
  <c r="O996" i="11"/>
  <c r="N996" i="11"/>
  <c r="M996" i="11"/>
  <c r="L996" i="11"/>
  <c r="G996" i="11"/>
  <c r="S995" i="11"/>
  <c r="R995" i="11"/>
  <c r="Q995" i="11"/>
  <c r="O995" i="11"/>
  <c r="N995" i="11"/>
  <c r="M995" i="11"/>
  <c r="L995" i="11"/>
  <c r="G995" i="11"/>
  <c r="S994" i="11"/>
  <c r="R994" i="11"/>
  <c r="Q994" i="11"/>
  <c r="O994" i="11"/>
  <c r="N994" i="11"/>
  <c r="M994" i="11"/>
  <c r="L994" i="11"/>
  <c r="G994" i="11"/>
  <c r="S993" i="11"/>
  <c r="R993" i="11"/>
  <c r="Q993" i="11"/>
  <c r="O993" i="11"/>
  <c r="N993" i="11"/>
  <c r="M993" i="11"/>
  <c r="L993" i="11"/>
  <c r="G993" i="11"/>
  <c r="S992" i="11"/>
  <c r="R992" i="11"/>
  <c r="Q992" i="11"/>
  <c r="O992" i="11"/>
  <c r="N992" i="11"/>
  <c r="M992" i="11"/>
  <c r="L992" i="11"/>
  <c r="G992" i="11"/>
  <c r="S991" i="11"/>
  <c r="R991" i="11"/>
  <c r="Q991" i="11"/>
  <c r="O991" i="11"/>
  <c r="N991" i="11"/>
  <c r="M991" i="11"/>
  <c r="L991" i="11"/>
  <c r="G991" i="11"/>
  <c r="S990" i="11"/>
  <c r="R990" i="11"/>
  <c r="Q990" i="11"/>
  <c r="O990" i="11"/>
  <c r="N990" i="11"/>
  <c r="M990" i="11"/>
  <c r="L990" i="11"/>
  <c r="G990" i="11"/>
  <c r="S989" i="11"/>
  <c r="R989" i="11"/>
  <c r="Q989" i="11"/>
  <c r="O989" i="11"/>
  <c r="N989" i="11"/>
  <c r="M989" i="11"/>
  <c r="L989" i="11"/>
  <c r="G989" i="11"/>
  <c r="S988" i="11"/>
  <c r="R988" i="11"/>
  <c r="Q988" i="11"/>
  <c r="O988" i="11"/>
  <c r="N988" i="11"/>
  <c r="M988" i="11"/>
  <c r="L988" i="11"/>
  <c r="G988" i="11"/>
  <c r="S987" i="11"/>
  <c r="R987" i="11"/>
  <c r="Q987" i="11"/>
  <c r="O987" i="11"/>
  <c r="N987" i="11"/>
  <c r="M987" i="11"/>
  <c r="L987" i="11"/>
  <c r="G987" i="11"/>
  <c r="S986" i="11"/>
  <c r="R986" i="11"/>
  <c r="Q986" i="11"/>
  <c r="O986" i="11"/>
  <c r="N986" i="11"/>
  <c r="M986" i="11"/>
  <c r="L986" i="11"/>
  <c r="G986" i="11"/>
  <c r="S985" i="11"/>
  <c r="R985" i="11"/>
  <c r="Q985" i="11"/>
  <c r="O985" i="11"/>
  <c r="N985" i="11"/>
  <c r="M985" i="11"/>
  <c r="L985" i="11"/>
  <c r="G985" i="11"/>
  <c r="S984" i="11"/>
  <c r="R984" i="11"/>
  <c r="Q984" i="11"/>
  <c r="O984" i="11"/>
  <c r="N984" i="11"/>
  <c r="M984" i="11"/>
  <c r="L984" i="11"/>
  <c r="G984" i="11"/>
  <c r="S983" i="11"/>
  <c r="R983" i="11"/>
  <c r="Q983" i="11"/>
  <c r="O983" i="11"/>
  <c r="N983" i="11"/>
  <c r="M983" i="11"/>
  <c r="L983" i="11"/>
  <c r="G983" i="11"/>
  <c r="S982" i="11"/>
  <c r="R982" i="11"/>
  <c r="Q982" i="11"/>
  <c r="O982" i="11"/>
  <c r="N982" i="11"/>
  <c r="M982" i="11"/>
  <c r="L982" i="11"/>
  <c r="G982" i="11"/>
  <c r="S981" i="11"/>
  <c r="R981" i="11"/>
  <c r="Q981" i="11"/>
  <c r="O981" i="11"/>
  <c r="N981" i="11"/>
  <c r="M981" i="11"/>
  <c r="L981" i="11"/>
  <c r="G981" i="11"/>
  <c r="S980" i="11"/>
  <c r="R980" i="11"/>
  <c r="Q980" i="11"/>
  <c r="O980" i="11"/>
  <c r="N980" i="11"/>
  <c r="M980" i="11"/>
  <c r="L980" i="11"/>
  <c r="G980" i="11"/>
  <c r="S979" i="11"/>
  <c r="R979" i="11"/>
  <c r="Q979" i="11"/>
  <c r="O979" i="11"/>
  <c r="N979" i="11"/>
  <c r="M979" i="11"/>
  <c r="L979" i="11"/>
  <c r="G979" i="11"/>
  <c r="S978" i="11"/>
  <c r="R978" i="11"/>
  <c r="Q978" i="11"/>
  <c r="O978" i="11"/>
  <c r="N978" i="11"/>
  <c r="M978" i="11"/>
  <c r="L978" i="11"/>
  <c r="G978" i="11"/>
  <c r="S977" i="11"/>
  <c r="R977" i="11"/>
  <c r="Q977" i="11"/>
  <c r="O977" i="11"/>
  <c r="N977" i="11"/>
  <c r="M977" i="11"/>
  <c r="L977" i="11"/>
  <c r="G977" i="11"/>
  <c r="S976" i="11"/>
  <c r="R976" i="11"/>
  <c r="Q976" i="11"/>
  <c r="O976" i="11"/>
  <c r="N976" i="11"/>
  <c r="M976" i="11"/>
  <c r="L976" i="11"/>
  <c r="G976" i="11"/>
  <c r="S975" i="11"/>
  <c r="R975" i="11"/>
  <c r="Q975" i="11"/>
  <c r="O975" i="11"/>
  <c r="N975" i="11"/>
  <c r="M975" i="11"/>
  <c r="L975" i="11"/>
  <c r="G975" i="11"/>
  <c r="S974" i="11"/>
  <c r="R974" i="11"/>
  <c r="Q974" i="11"/>
  <c r="O974" i="11"/>
  <c r="N974" i="11"/>
  <c r="M974" i="11"/>
  <c r="L974" i="11"/>
  <c r="G974" i="11"/>
  <c r="S973" i="11"/>
  <c r="R973" i="11"/>
  <c r="Q973" i="11"/>
  <c r="O973" i="11"/>
  <c r="N973" i="11"/>
  <c r="M973" i="11"/>
  <c r="L973" i="11"/>
  <c r="G973" i="11"/>
  <c r="S972" i="11"/>
  <c r="R972" i="11"/>
  <c r="Q972" i="11"/>
  <c r="O972" i="11"/>
  <c r="N972" i="11"/>
  <c r="M972" i="11"/>
  <c r="L972" i="11"/>
  <c r="G972" i="11"/>
  <c r="S971" i="11"/>
  <c r="R971" i="11"/>
  <c r="Q971" i="11"/>
  <c r="O971" i="11"/>
  <c r="N971" i="11"/>
  <c r="M971" i="11"/>
  <c r="L971" i="11"/>
  <c r="G971" i="11"/>
  <c r="S970" i="11"/>
  <c r="R970" i="11"/>
  <c r="Q970" i="11"/>
  <c r="O970" i="11"/>
  <c r="N970" i="11"/>
  <c r="M970" i="11"/>
  <c r="L970" i="11"/>
  <c r="G970" i="11"/>
  <c r="S969" i="11"/>
  <c r="R969" i="11"/>
  <c r="Q969" i="11"/>
  <c r="O969" i="11"/>
  <c r="N969" i="11"/>
  <c r="M969" i="11"/>
  <c r="L969" i="11"/>
  <c r="G969" i="11"/>
  <c r="S968" i="11"/>
  <c r="R968" i="11"/>
  <c r="Q968" i="11"/>
  <c r="O968" i="11"/>
  <c r="N968" i="11"/>
  <c r="M968" i="11"/>
  <c r="L968" i="11"/>
  <c r="G968" i="11"/>
  <c r="S967" i="11"/>
  <c r="R967" i="11"/>
  <c r="Q967" i="11"/>
  <c r="O967" i="11"/>
  <c r="N967" i="11"/>
  <c r="M967" i="11"/>
  <c r="L967" i="11"/>
  <c r="G967" i="11"/>
  <c r="S966" i="11"/>
  <c r="R966" i="11"/>
  <c r="Q966" i="11"/>
  <c r="O966" i="11"/>
  <c r="N966" i="11"/>
  <c r="M966" i="11"/>
  <c r="L966" i="11"/>
  <c r="G966" i="11"/>
  <c r="S965" i="11"/>
  <c r="R965" i="11"/>
  <c r="Q965" i="11"/>
  <c r="O965" i="11"/>
  <c r="N965" i="11"/>
  <c r="M965" i="11"/>
  <c r="L965" i="11"/>
  <c r="G965" i="11"/>
  <c r="S964" i="11"/>
  <c r="R964" i="11"/>
  <c r="Q964" i="11"/>
  <c r="O964" i="11"/>
  <c r="N964" i="11"/>
  <c r="M964" i="11"/>
  <c r="L964" i="11"/>
  <c r="G964" i="11"/>
  <c r="S963" i="11"/>
  <c r="R963" i="11"/>
  <c r="Q963" i="11"/>
  <c r="O963" i="11"/>
  <c r="N963" i="11"/>
  <c r="M963" i="11"/>
  <c r="L963" i="11"/>
  <c r="G963" i="11"/>
  <c r="S962" i="11"/>
  <c r="R962" i="11"/>
  <c r="Q962" i="11"/>
  <c r="O962" i="11"/>
  <c r="N962" i="11"/>
  <c r="M962" i="11"/>
  <c r="L962" i="11"/>
  <c r="G962" i="11"/>
  <c r="S961" i="11"/>
  <c r="R961" i="11"/>
  <c r="Q961" i="11"/>
  <c r="O961" i="11"/>
  <c r="N961" i="11"/>
  <c r="M961" i="11"/>
  <c r="L961" i="11"/>
  <c r="G961" i="11"/>
  <c r="S960" i="11"/>
  <c r="R960" i="11"/>
  <c r="Q960" i="11"/>
  <c r="O960" i="11"/>
  <c r="N960" i="11"/>
  <c r="M960" i="11"/>
  <c r="L960" i="11"/>
  <c r="G960" i="11"/>
  <c r="S959" i="11"/>
  <c r="R959" i="11"/>
  <c r="Q959" i="11"/>
  <c r="O959" i="11"/>
  <c r="N959" i="11"/>
  <c r="M959" i="11"/>
  <c r="L959" i="11"/>
  <c r="G959" i="11"/>
  <c r="S958" i="11"/>
  <c r="R958" i="11"/>
  <c r="Q958" i="11"/>
  <c r="O958" i="11"/>
  <c r="N958" i="11"/>
  <c r="M958" i="11"/>
  <c r="L958" i="11"/>
  <c r="G958" i="11"/>
  <c r="S957" i="11"/>
  <c r="R957" i="11"/>
  <c r="Q957" i="11"/>
  <c r="O957" i="11"/>
  <c r="N957" i="11"/>
  <c r="M957" i="11"/>
  <c r="L957" i="11"/>
  <c r="G957" i="11"/>
  <c r="S956" i="11"/>
  <c r="R956" i="11"/>
  <c r="Q956" i="11"/>
  <c r="O956" i="11"/>
  <c r="N956" i="11"/>
  <c r="M956" i="11"/>
  <c r="L956" i="11"/>
  <c r="G956" i="11"/>
  <c r="S955" i="11"/>
  <c r="R955" i="11"/>
  <c r="Q955" i="11"/>
  <c r="O955" i="11"/>
  <c r="N955" i="11"/>
  <c r="M955" i="11"/>
  <c r="L955" i="11"/>
  <c r="G955" i="11"/>
  <c r="S954" i="11"/>
  <c r="R954" i="11"/>
  <c r="Q954" i="11"/>
  <c r="O954" i="11"/>
  <c r="N954" i="11"/>
  <c r="M954" i="11"/>
  <c r="L954" i="11"/>
  <c r="G954" i="11"/>
  <c r="S953" i="11"/>
  <c r="R953" i="11"/>
  <c r="Q953" i="11"/>
  <c r="O953" i="11"/>
  <c r="N953" i="11"/>
  <c r="M953" i="11"/>
  <c r="L953" i="11"/>
  <c r="G953" i="11"/>
  <c r="S952" i="11"/>
  <c r="R952" i="11"/>
  <c r="Q952" i="11"/>
  <c r="O952" i="11"/>
  <c r="N952" i="11"/>
  <c r="M952" i="11"/>
  <c r="L952" i="11"/>
  <c r="G952" i="11"/>
  <c r="S951" i="11"/>
  <c r="R951" i="11"/>
  <c r="Q951" i="11"/>
  <c r="O951" i="11"/>
  <c r="N951" i="11"/>
  <c r="M951" i="11"/>
  <c r="L951" i="11"/>
  <c r="G951" i="11"/>
  <c r="S950" i="11"/>
  <c r="R950" i="11"/>
  <c r="Q950" i="11"/>
  <c r="O950" i="11"/>
  <c r="N950" i="11"/>
  <c r="M950" i="11"/>
  <c r="L950" i="11"/>
  <c r="G950" i="11"/>
  <c r="S949" i="11"/>
  <c r="R949" i="11"/>
  <c r="Q949" i="11"/>
  <c r="O949" i="11"/>
  <c r="N949" i="11"/>
  <c r="M949" i="11"/>
  <c r="L949" i="11"/>
  <c r="G949" i="11"/>
  <c r="S948" i="11"/>
  <c r="R948" i="11"/>
  <c r="Q948" i="11"/>
  <c r="O948" i="11"/>
  <c r="N948" i="11"/>
  <c r="M948" i="11"/>
  <c r="L948" i="11"/>
  <c r="G948" i="11"/>
  <c r="S947" i="11"/>
  <c r="R947" i="11"/>
  <c r="Q947" i="11"/>
  <c r="O947" i="11"/>
  <c r="N947" i="11"/>
  <c r="M947" i="11"/>
  <c r="L947" i="11"/>
  <c r="G947" i="11"/>
  <c r="S946" i="11"/>
  <c r="R946" i="11"/>
  <c r="Q946" i="11"/>
  <c r="O946" i="11"/>
  <c r="N946" i="11"/>
  <c r="M946" i="11"/>
  <c r="L946" i="11"/>
  <c r="G946" i="11"/>
  <c r="S945" i="11"/>
  <c r="R945" i="11"/>
  <c r="Q945" i="11"/>
  <c r="O945" i="11"/>
  <c r="N945" i="11"/>
  <c r="M945" i="11"/>
  <c r="L945" i="11"/>
  <c r="G945" i="11"/>
  <c r="S944" i="11"/>
  <c r="R944" i="11"/>
  <c r="Q944" i="11"/>
  <c r="O944" i="11"/>
  <c r="N944" i="11"/>
  <c r="M944" i="11"/>
  <c r="L944" i="11"/>
  <c r="G944" i="11"/>
  <c r="S943" i="11"/>
  <c r="R943" i="11"/>
  <c r="Q943" i="11"/>
  <c r="O943" i="11"/>
  <c r="N943" i="11"/>
  <c r="M943" i="11"/>
  <c r="L943" i="11"/>
  <c r="K943" i="11"/>
  <c r="J943" i="11"/>
  <c r="G943" i="11"/>
  <c r="S942" i="11"/>
  <c r="R942" i="11"/>
  <c r="Q942" i="11"/>
  <c r="O942" i="11"/>
  <c r="N942" i="11"/>
  <c r="L942" i="11"/>
  <c r="G942" i="11"/>
  <c r="M942" i="11" s="1"/>
  <c r="S941" i="11"/>
  <c r="R941" i="11"/>
  <c r="Q941" i="11"/>
  <c r="O941" i="11"/>
  <c r="N941" i="11"/>
  <c r="L941" i="11"/>
  <c r="G941" i="11"/>
  <c r="M941" i="11" s="1"/>
  <c r="S940" i="11"/>
  <c r="R940" i="11"/>
  <c r="Q940" i="11"/>
  <c r="O940" i="11"/>
  <c r="N940" i="11"/>
  <c r="L940" i="11"/>
  <c r="G940" i="11"/>
  <c r="M940" i="11" s="1"/>
  <c r="S939" i="11"/>
  <c r="R939" i="11"/>
  <c r="Q939" i="11"/>
  <c r="O939" i="11"/>
  <c r="N939" i="11"/>
  <c r="L939" i="11"/>
  <c r="G939" i="11"/>
  <c r="M939" i="11" s="1"/>
  <c r="S938" i="11"/>
  <c r="R938" i="11"/>
  <c r="Q938" i="11"/>
  <c r="O938" i="11"/>
  <c r="L938" i="11"/>
  <c r="K938" i="11"/>
  <c r="G938" i="11"/>
  <c r="M938" i="11" s="1"/>
  <c r="S937" i="11"/>
  <c r="R937" i="11"/>
  <c r="Q937" i="11"/>
  <c r="O937" i="11"/>
  <c r="N937" i="11"/>
  <c r="M937" i="11"/>
  <c r="L937" i="11"/>
  <c r="G937" i="11"/>
  <c r="S936" i="11"/>
  <c r="R936" i="11"/>
  <c r="Q936" i="11"/>
  <c r="O936" i="11"/>
  <c r="N936" i="11"/>
  <c r="M936" i="11"/>
  <c r="L936" i="11"/>
  <c r="G936" i="11"/>
  <c r="S935" i="11"/>
  <c r="R935" i="11"/>
  <c r="Q935" i="11"/>
  <c r="O935" i="11"/>
  <c r="N935" i="11"/>
  <c r="M935" i="11"/>
  <c r="L935" i="11"/>
  <c r="G935" i="11"/>
  <c r="S934" i="11"/>
  <c r="R934" i="11"/>
  <c r="Q934" i="11"/>
  <c r="O934" i="11"/>
  <c r="N934" i="11"/>
  <c r="M934" i="11"/>
  <c r="L934" i="11"/>
  <c r="G934" i="11"/>
  <c r="S933" i="11"/>
  <c r="R933" i="11"/>
  <c r="Q933" i="11"/>
  <c r="O933" i="11"/>
  <c r="N933" i="11"/>
  <c r="M933" i="11"/>
  <c r="L933" i="11"/>
  <c r="G933" i="11"/>
  <c r="S932" i="11"/>
  <c r="R932" i="11"/>
  <c r="Q932" i="11"/>
  <c r="O932" i="11"/>
  <c r="N932" i="11"/>
  <c r="M932" i="11"/>
  <c r="L932" i="11"/>
  <c r="G932" i="11"/>
  <c r="S931" i="11"/>
  <c r="R931" i="11"/>
  <c r="Q931" i="11"/>
  <c r="O931" i="11"/>
  <c r="N931" i="11"/>
  <c r="M931" i="11"/>
  <c r="L931" i="11"/>
  <c r="G931" i="11"/>
  <c r="S930" i="11"/>
  <c r="R930" i="11"/>
  <c r="Q930" i="11"/>
  <c r="O930" i="11"/>
  <c r="N930" i="11"/>
  <c r="M930" i="11"/>
  <c r="L930" i="11"/>
  <c r="G930" i="11"/>
  <c r="S929" i="11"/>
  <c r="R929" i="11"/>
  <c r="Q929" i="11"/>
  <c r="O929" i="11"/>
  <c r="N929" i="11"/>
  <c r="M929" i="11"/>
  <c r="L929" i="11"/>
  <c r="G929" i="11"/>
  <c r="S928" i="11"/>
  <c r="R928" i="11"/>
  <c r="Q928" i="11"/>
  <c r="O928" i="11"/>
  <c r="N928" i="11"/>
  <c r="M928" i="11"/>
  <c r="L928" i="11"/>
  <c r="G928" i="11"/>
  <c r="S927" i="11"/>
  <c r="R927" i="11"/>
  <c r="Q927" i="11"/>
  <c r="O927" i="11"/>
  <c r="N927" i="11"/>
  <c r="M927" i="11"/>
  <c r="L927" i="11"/>
  <c r="G927" i="11"/>
  <c r="S926" i="11"/>
  <c r="R926" i="11"/>
  <c r="Q926" i="11"/>
  <c r="O926" i="11"/>
  <c r="N926" i="11"/>
  <c r="M926" i="11"/>
  <c r="L926" i="11"/>
  <c r="G926" i="11"/>
  <c r="S925" i="11"/>
  <c r="R925" i="11"/>
  <c r="Q925" i="11"/>
  <c r="O925" i="11"/>
  <c r="N925" i="11"/>
  <c r="M925" i="11"/>
  <c r="L925" i="11"/>
  <c r="G925" i="11"/>
  <c r="S924" i="11"/>
  <c r="R924" i="11"/>
  <c r="Q924" i="11"/>
  <c r="O924" i="11"/>
  <c r="N924" i="11"/>
  <c r="M924" i="11"/>
  <c r="L924" i="11"/>
  <c r="G924" i="11"/>
  <c r="S923" i="11"/>
  <c r="R923" i="11"/>
  <c r="Q923" i="11"/>
  <c r="O923" i="11"/>
  <c r="N923" i="11"/>
  <c r="M923" i="11"/>
  <c r="L923" i="11"/>
  <c r="G923" i="11"/>
  <c r="S922" i="11"/>
  <c r="R922" i="11"/>
  <c r="Q922" i="11"/>
  <c r="O922" i="11"/>
  <c r="N922" i="11"/>
  <c r="M922" i="11"/>
  <c r="L922" i="11"/>
  <c r="G922" i="11"/>
  <c r="S921" i="11"/>
  <c r="R921" i="11"/>
  <c r="Q921" i="11"/>
  <c r="O921" i="11"/>
  <c r="N921" i="11"/>
  <c r="M921" i="11"/>
  <c r="L921" i="11"/>
  <c r="G921" i="11"/>
  <c r="S920" i="11"/>
  <c r="R920" i="11"/>
  <c r="Q920" i="11"/>
  <c r="O920" i="11"/>
  <c r="N920" i="11"/>
  <c r="M920" i="11"/>
  <c r="L920" i="11"/>
  <c r="G920" i="11"/>
  <c r="S919" i="11"/>
  <c r="R919" i="11"/>
  <c r="Q919" i="11"/>
  <c r="O919" i="11"/>
  <c r="N919" i="11"/>
  <c r="M919" i="11"/>
  <c r="L919" i="11"/>
  <c r="G919" i="11"/>
  <c r="S918" i="11"/>
  <c r="R918" i="11"/>
  <c r="Q918" i="11"/>
  <c r="O918" i="11"/>
  <c r="N918" i="11"/>
  <c r="M918" i="11"/>
  <c r="L918" i="11"/>
  <c r="G918" i="11"/>
  <c r="S917" i="11"/>
  <c r="R917" i="11"/>
  <c r="Q917" i="11"/>
  <c r="O917" i="11"/>
  <c r="N917" i="11"/>
  <c r="M917" i="11"/>
  <c r="L917" i="11"/>
  <c r="G917" i="11"/>
  <c r="S916" i="11"/>
  <c r="R916" i="11"/>
  <c r="Q916" i="11"/>
  <c r="O916" i="11"/>
  <c r="N916" i="11"/>
  <c r="M916" i="11"/>
  <c r="L916" i="11"/>
  <c r="G916" i="11"/>
  <c r="S915" i="11"/>
  <c r="R915" i="11"/>
  <c r="Q915" i="11"/>
  <c r="O915" i="11"/>
  <c r="N915" i="11"/>
  <c r="M915" i="11"/>
  <c r="L915" i="11"/>
  <c r="G915" i="11"/>
  <c r="S914" i="11"/>
  <c r="R914" i="11"/>
  <c r="Q914" i="11"/>
  <c r="O914" i="11"/>
  <c r="N914" i="11"/>
  <c r="M914" i="11"/>
  <c r="L914" i="11"/>
  <c r="G914" i="11"/>
  <c r="S913" i="11"/>
  <c r="R913" i="11"/>
  <c r="Q913" i="11"/>
  <c r="O913" i="11"/>
  <c r="N913" i="11"/>
  <c r="M913" i="11"/>
  <c r="L913" i="11"/>
  <c r="G913" i="11"/>
  <c r="S912" i="11"/>
  <c r="R912" i="11"/>
  <c r="Q912" i="11"/>
  <c r="O912" i="11"/>
  <c r="N912" i="11"/>
  <c r="M912" i="11"/>
  <c r="L912" i="11"/>
  <c r="G912" i="11"/>
  <c r="S911" i="11"/>
  <c r="R911" i="11"/>
  <c r="Q911" i="11"/>
  <c r="O911" i="11"/>
  <c r="N911" i="11"/>
  <c r="M911" i="11"/>
  <c r="L911" i="11"/>
  <c r="G911" i="11"/>
  <c r="S910" i="11"/>
  <c r="R910" i="11"/>
  <c r="Q910" i="11"/>
  <c r="O910" i="11"/>
  <c r="N910" i="11"/>
  <c r="M910" i="11"/>
  <c r="L910" i="11"/>
  <c r="G910" i="11"/>
  <c r="S909" i="11"/>
  <c r="R909" i="11"/>
  <c r="Q909" i="11"/>
  <c r="O909" i="11"/>
  <c r="N909" i="11"/>
  <c r="M909" i="11"/>
  <c r="L909" i="11"/>
  <c r="G909" i="11"/>
  <c r="S908" i="11"/>
  <c r="R908" i="11"/>
  <c r="Q908" i="11"/>
  <c r="O908" i="11"/>
  <c r="N908" i="11"/>
  <c r="M908" i="11"/>
  <c r="L908" i="11"/>
  <c r="G908" i="11"/>
  <c r="S907" i="11"/>
  <c r="R907" i="11"/>
  <c r="Q907" i="11"/>
  <c r="O907" i="11"/>
  <c r="N907" i="11"/>
  <c r="M907" i="11"/>
  <c r="L907" i="11"/>
  <c r="G907" i="11"/>
  <c r="S906" i="11"/>
  <c r="R906" i="11"/>
  <c r="Q906" i="11"/>
  <c r="O906" i="11"/>
  <c r="N906" i="11"/>
  <c r="M906" i="11"/>
  <c r="L906" i="11"/>
  <c r="G906" i="11"/>
  <c r="S905" i="11"/>
  <c r="R905" i="11"/>
  <c r="Q905" i="11"/>
  <c r="O905" i="11"/>
  <c r="N905" i="11"/>
  <c r="M905" i="11"/>
  <c r="L905" i="11"/>
  <c r="G905" i="11"/>
  <c r="S904" i="11"/>
  <c r="R904" i="11"/>
  <c r="Q904" i="11"/>
  <c r="O904" i="11"/>
  <c r="N904" i="11"/>
  <c r="M904" i="11"/>
  <c r="L904" i="11"/>
  <c r="G904" i="11"/>
  <c r="S903" i="11"/>
  <c r="R903" i="11"/>
  <c r="Q903" i="11"/>
  <c r="O903" i="11"/>
  <c r="N903" i="11"/>
  <c r="M903" i="11"/>
  <c r="L903" i="11"/>
  <c r="G903" i="11"/>
  <c r="S902" i="11"/>
  <c r="R902" i="11"/>
  <c r="Q902" i="11"/>
  <c r="O902" i="11"/>
  <c r="N902" i="11"/>
  <c r="M902" i="11"/>
  <c r="L902" i="11"/>
  <c r="G902" i="11"/>
  <c r="S901" i="11"/>
  <c r="R901" i="11"/>
  <c r="Q901" i="11"/>
  <c r="O901" i="11"/>
  <c r="N901" i="11"/>
  <c r="M901" i="11"/>
  <c r="L901" i="11"/>
  <c r="G901" i="11"/>
  <c r="S900" i="11"/>
  <c r="R900" i="11"/>
  <c r="Q900" i="11"/>
  <c r="O900" i="11"/>
  <c r="N900" i="11"/>
  <c r="M900" i="11"/>
  <c r="L900" i="11"/>
  <c r="G900" i="11"/>
  <c r="S899" i="11"/>
  <c r="R899" i="11"/>
  <c r="Q899" i="11"/>
  <c r="O899" i="11"/>
  <c r="N899" i="11"/>
  <c r="M899" i="11"/>
  <c r="L899" i="11"/>
  <c r="G899" i="11"/>
  <c r="S898" i="11"/>
  <c r="R898" i="11"/>
  <c r="Q898" i="11"/>
  <c r="O898" i="11"/>
  <c r="N898" i="11"/>
  <c r="M898" i="11"/>
  <c r="L898" i="11"/>
  <c r="G898" i="11"/>
  <c r="S897" i="11"/>
  <c r="R897" i="11"/>
  <c r="Q897" i="11"/>
  <c r="O897" i="11"/>
  <c r="N897" i="11"/>
  <c r="M897" i="11"/>
  <c r="L897" i="11"/>
  <c r="G897" i="11"/>
  <c r="S896" i="11"/>
  <c r="R896" i="11"/>
  <c r="Q896" i="11"/>
  <c r="O896" i="11"/>
  <c r="N896" i="11"/>
  <c r="M896" i="11"/>
  <c r="L896" i="11"/>
  <c r="G896" i="11"/>
  <c r="S895" i="11"/>
  <c r="R895" i="11"/>
  <c r="Q895" i="11"/>
  <c r="O895" i="11"/>
  <c r="N895" i="11"/>
  <c r="M895" i="11"/>
  <c r="L895" i="11"/>
  <c r="G895" i="11"/>
  <c r="S894" i="11"/>
  <c r="R894" i="11"/>
  <c r="Q894" i="11"/>
  <c r="O894" i="11"/>
  <c r="N894" i="11"/>
  <c r="M894" i="11"/>
  <c r="L894" i="11"/>
  <c r="G894" i="11"/>
  <c r="S893" i="11"/>
  <c r="R893" i="11"/>
  <c r="Q893" i="11"/>
  <c r="O893" i="11"/>
  <c r="N893" i="11"/>
  <c r="M893" i="11"/>
  <c r="L893" i="11"/>
  <c r="G893" i="11"/>
  <c r="S892" i="11"/>
  <c r="R892" i="11"/>
  <c r="Q892" i="11"/>
  <c r="O892" i="11"/>
  <c r="N892" i="11"/>
  <c r="M892" i="11"/>
  <c r="L892" i="11"/>
  <c r="G892" i="11"/>
  <c r="S891" i="11"/>
  <c r="R891" i="11"/>
  <c r="Q891" i="11"/>
  <c r="O891" i="11"/>
  <c r="N891" i="11"/>
  <c r="M891" i="11"/>
  <c r="L891" i="11"/>
  <c r="G891" i="11"/>
  <c r="S890" i="11"/>
  <c r="R890" i="11"/>
  <c r="Q890" i="11"/>
  <c r="O890" i="11"/>
  <c r="N890" i="11"/>
  <c r="M890" i="11"/>
  <c r="L890" i="11"/>
  <c r="G890" i="11"/>
  <c r="S889" i="11"/>
  <c r="R889" i="11"/>
  <c r="Q889" i="11"/>
  <c r="O889" i="11"/>
  <c r="N889" i="11"/>
  <c r="M889" i="11"/>
  <c r="L889" i="11"/>
  <c r="G889" i="11"/>
  <c r="S888" i="11"/>
  <c r="R888" i="11"/>
  <c r="Q888" i="11"/>
  <c r="O888" i="11"/>
  <c r="N888" i="11"/>
  <c r="M888" i="11"/>
  <c r="L888" i="11"/>
  <c r="G888" i="11"/>
  <c r="S887" i="11"/>
  <c r="R887" i="11"/>
  <c r="Q887" i="11"/>
  <c r="O887" i="11"/>
  <c r="N887" i="11"/>
  <c r="M887" i="11"/>
  <c r="L887" i="11"/>
  <c r="G887" i="11"/>
  <c r="S886" i="11"/>
  <c r="R886" i="11"/>
  <c r="Q886" i="11"/>
  <c r="O886" i="11"/>
  <c r="N886" i="11"/>
  <c r="M886" i="11"/>
  <c r="L886" i="11"/>
  <c r="G886" i="11"/>
  <c r="S885" i="11"/>
  <c r="R885" i="11"/>
  <c r="Q885" i="11"/>
  <c r="O885" i="11"/>
  <c r="N885" i="11"/>
  <c r="M885" i="11"/>
  <c r="L885" i="11"/>
  <c r="G885" i="11"/>
  <c r="S884" i="11"/>
  <c r="R884" i="11"/>
  <c r="Q884" i="11"/>
  <c r="O884" i="11"/>
  <c r="N884" i="11"/>
  <c r="M884" i="11"/>
  <c r="L884" i="11"/>
  <c r="G884" i="11"/>
  <c r="S883" i="11"/>
  <c r="R883" i="11"/>
  <c r="Q883" i="11"/>
  <c r="O883" i="11"/>
  <c r="N883" i="11"/>
  <c r="M883" i="11"/>
  <c r="L883" i="11"/>
  <c r="G883" i="11"/>
  <c r="S882" i="11"/>
  <c r="R882" i="11"/>
  <c r="Q882" i="11"/>
  <c r="O882" i="11"/>
  <c r="N882" i="11"/>
  <c r="M882" i="11"/>
  <c r="L882" i="11"/>
  <c r="G882" i="11"/>
  <c r="S881" i="11"/>
  <c r="R881" i="11"/>
  <c r="Q881" i="11"/>
  <c r="O881" i="11"/>
  <c r="N881" i="11"/>
  <c r="M881" i="11"/>
  <c r="L881" i="11"/>
  <c r="G881" i="11"/>
  <c r="S880" i="11"/>
  <c r="R880" i="11"/>
  <c r="Q880" i="11"/>
  <c r="O880" i="11"/>
  <c r="N880" i="11"/>
  <c r="M880" i="11"/>
  <c r="L880" i="11"/>
  <c r="G880" i="11"/>
  <c r="S879" i="11"/>
  <c r="R879" i="11"/>
  <c r="Q879" i="11"/>
  <c r="O879" i="11"/>
  <c r="N879" i="11"/>
  <c r="M879" i="11"/>
  <c r="L879" i="11"/>
  <c r="G879" i="11"/>
  <c r="S878" i="11"/>
  <c r="R878" i="11"/>
  <c r="Q878" i="11"/>
  <c r="O878" i="11"/>
  <c r="N878" i="11"/>
  <c r="M878" i="11"/>
  <c r="L878" i="11"/>
  <c r="G878" i="11"/>
  <c r="S877" i="11"/>
  <c r="R877" i="11"/>
  <c r="Q877" i="11"/>
  <c r="O877" i="11"/>
  <c r="N877" i="11"/>
  <c r="M877" i="11"/>
  <c r="L877" i="11"/>
  <c r="G877" i="11"/>
  <c r="S876" i="11"/>
  <c r="R876" i="11"/>
  <c r="Q876" i="11"/>
  <c r="O876" i="11"/>
  <c r="N876" i="11"/>
  <c r="M876" i="11"/>
  <c r="L876" i="11"/>
  <c r="G876" i="11"/>
  <c r="S875" i="11"/>
  <c r="R875" i="11"/>
  <c r="Q875" i="11"/>
  <c r="O875" i="11"/>
  <c r="N875" i="11"/>
  <c r="M875" i="11"/>
  <c r="L875" i="11"/>
  <c r="G875" i="11"/>
  <c r="S874" i="11"/>
  <c r="R874" i="11"/>
  <c r="Q874" i="11"/>
  <c r="O874" i="11"/>
  <c r="N874" i="11"/>
  <c r="M874" i="11"/>
  <c r="L874" i="11"/>
  <c r="G874" i="11"/>
  <c r="S873" i="11"/>
  <c r="R873" i="11"/>
  <c r="Q873" i="11"/>
  <c r="O873" i="11"/>
  <c r="N873" i="11"/>
  <c r="M873" i="11"/>
  <c r="L873" i="11"/>
  <c r="G873" i="11"/>
  <c r="S872" i="11"/>
  <c r="R872" i="11"/>
  <c r="Q872" i="11"/>
  <c r="O872" i="11"/>
  <c r="N872" i="11"/>
  <c r="M872" i="11"/>
  <c r="L872" i="11"/>
  <c r="G872" i="11"/>
  <c r="S871" i="11"/>
  <c r="R871" i="11"/>
  <c r="Q871" i="11"/>
  <c r="O871" i="11"/>
  <c r="N871" i="11"/>
  <c r="M871" i="11"/>
  <c r="L871" i="11"/>
  <c r="G871" i="11"/>
  <c r="S870" i="11"/>
  <c r="R870" i="11"/>
  <c r="Q870" i="11"/>
  <c r="O870" i="11"/>
  <c r="N870" i="11"/>
  <c r="M870" i="11"/>
  <c r="L870" i="11"/>
  <c r="G870" i="11"/>
  <c r="S869" i="11"/>
  <c r="R869" i="11"/>
  <c r="Q869" i="11"/>
  <c r="O869" i="11"/>
  <c r="N869" i="11"/>
  <c r="M869" i="11"/>
  <c r="L869" i="11"/>
  <c r="G869" i="11"/>
  <c r="S868" i="11"/>
  <c r="R868" i="11"/>
  <c r="Q868" i="11"/>
  <c r="O868" i="11"/>
  <c r="N868" i="11"/>
  <c r="M868" i="11"/>
  <c r="L868" i="11"/>
  <c r="G868" i="11"/>
  <c r="S867" i="11"/>
  <c r="R867" i="11"/>
  <c r="Q867" i="11"/>
  <c r="O867" i="11"/>
  <c r="N867" i="11"/>
  <c r="M867" i="11"/>
  <c r="L867" i="11"/>
  <c r="G867" i="11"/>
  <c r="S866" i="11"/>
  <c r="R866" i="11"/>
  <c r="Q866" i="11"/>
  <c r="O866" i="11"/>
  <c r="N866" i="11"/>
  <c r="M866" i="11"/>
  <c r="L866" i="11"/>
  <c r="G866" i="11"/>
  <c r="S865" i="11"/>
  <c r="R865" i="11"/>
  <c r="Q865" i="11"/>
  <c r="O865" i="11"/>
  <c r="N865" i="11"/>
  <c r="M865" i="11"/>
  <c r="L865" i="11"/>
  <c r="G865" i="11"/>
  <c r="S864" i="11"/>
  <c r="R864" i="11"/>
  <c r="Q864" i="11"/>
  <c r="O864" i="11"/>
  <c r="N864" i="11"/>
  <c r="M864" i="11"/>
  <c r="L864" i="11"/>
  <c r="G864" i="11"/>
  <c r="S863" i="11"/>
  <c r="R863" i="11"/>
  <c r="Q863" i="11"/>
  <c r="O863" i="11"/>
  <c r="N863" i="11"/>
  <c r="M863" i="11"/>
  <c r="L863" i="11"/>
  <c r="G863" i="11"/>
  <c r="S862" i="11"/>
  <c r="R862" i="11"/>
  <c r="Q862" i="11"/>
  <c r="O862" i="11"/>
  <c r="N862" i="11"/>
  <c r="M862" i="11"/>
  <c r="L862" i="11"/>
  <c r="G862" i="11"/>
  <c r="S861" i="11"/>
  <c r="R861" i="11"/>
  <c r="Q861" i="11"/>
  <c r="O861" i="11"/>
  <c r="N861" i="11"/>
  <c r="M861" i="11"/>
  <c r="L861" i="11"/>
  <c r="G861" i="11"/>
  <c r="S860" i="11"/>
  <c r="R860" i="11"/>
  <c r="Q860" i="11"/>
  <c r="O860" i="11"/>
  <c r="N860" i="11"/>
  <c r="M860" i="11"/>
  <c r="L860" i="11"/>
  <c r="G860" i="11"/>
  <c r="S859" i="11"/>
  <c r="R859" i="11"/>
  <c r="Q859" i="11"/>
  <c r="O859" i="11"/>
  <c r="N859" i="11"/>
  <c r="L859" i="11"/>
  <c r="K859" i="11"/>
  <c r="J859" i="11"/>
  <c r="G859" i="11"/>
  <c r="M859" i="11" s="1"/>
  <c r="S858" i="11"/>
  <c r="R858" i="11"/>
  <c r="Q858" i="11"/>
  <c r="O858" i="11"/>
  <c r="N858" i="11"/>
  <c r="L858" i="11"/>
  <c r="G858" i="11"/>
  <c r="M858" i="11" s="1"/>
  <c r="S857" i="11"/>
  <c r="R857" i="11"/>
  <c r="Q857" i="11"/>
  <c r="O857" i="11"/>
  <c r="N857" i="11"/>
  <c r="L857" i="11"/>
  <c r="G857" i="11"/>
  <c r="M857" i="11" s="1"/>
  <c r="S856" i="11"/>
  <c r="R856" i="11"/>
  <c r="Q856" i="11"/>
  <c r="O856" i="11"/>
  <c r="N856" i="11"/>
  <c r="L856" i="11"/>
  <c r="G856" i="11"/>
  <c r="M856" i="11" s="1"/>
  <c r="S855" i="11"/>
  <c r="R855" i="11"/>
  <c r="Q855" i="11"/>
  <c r="O855" i="11"/>
  <c r="N855" i="11"/>
  <c r="L855" i="11"/>
  <c r="G855" i="11"/>
  <c r="M855" i="11" s="1"/>
  <c r="S854" i="11"/>
  <c r="R854" i="11"/>
  <c r="Q854" i="11"/>
  <c r="O854" i="11"/>
  <c r="N854" i="11"/>
  <c r="L854" i="11"/>
  <c r="G854" i="11"/>
  <c r="M854" i="11" s="1"/>
  <c r="S853" i="11"/>
  <c r="R853" i="11"/>
  <c r="Q853" i="11"/>
  <c r="O853" i="11"/>
  <c r="N853" i="11"/>
  <c r="L853" i="11"/>
  <c r="G853" i="11"/>
  <c r="M853" i="11" s="1"/>
  <c r="S852" i="11"/>
  <c r="R852" i="11"/>
  <c r="Q852" i="11"/>
  <c r="O852" i="11"/>
  <c r="N852" i="11"/>
  <c r="L852" i="11"/>
  <c r="G852" i="11"/>
  <c r="M852" i="11" s="1"/>
  <c r="S851" i="11"/>
  <c r="R851" i="11"/>
  <c r="Q851" i="11"/>
  <c r="O851" i="11"/>
  <c r="N851" i="11"/>
  <c r="L851" i="11"/>
  <c r="G851" i="11"/>
  <c r="M851" i="11" s="1"/>
  <c r="S850" i="11"/>
  <c r="R850" i="11"/>
  <c r="Q850" i="11"/>
  <c r="O850" i="11"/>
  <c r="N850" i="11"/>
  <c r="L850" i="11"/>
  <c r="G850" i="11"/>
  <c r="M850" i="11" s="1"/>
  <c r="S849" i="11"/>
  <c r="R849" i="11"/>
  <c r="Q849" i="11"/>
  <c r="O849" i="11"/>
  <c r="N849" i="11"/>
  <c r="L849" i="11"/>
  <c r="G849" i="11"/>
  <c r="M849" i="11" s="1"/>
  <c r="S848" i="11"/>
  <c r="R848" i="11"/>
  <c r="Q848" i="11"/>
  <c r="O848" i="11"/>
  <c r="N848" i="11"/>
  <c r="L848" i="11"/>
  <c r="G848" i="11"/>
  <c r="M848" i="11" s="1"/>
  <c r="S847" i="11"/>
  <c r="R847" i="11"/>
  <c r="Q847" i="11"/>
  <c r="O847" i="11"/>
  <c r="N847" i="11"/>
  <c r="L847" i="11"/>
  <c r="G847" i="11"/>
  <c r="M847" i="11" s="1"/>
  <c r="S846" i="11"/>
  <c r="R846" i="11"/>
  <c r="Q846" i="11"/>
  <c r="O846" i="11"/>
  <c r="N846" i="11"/>
  <c r="L846" i="11"/>
  <c r="G846" i="11"/>
  <c r="M846" i="11" s="1"/>
  <c r="S845" i="11"/>
  <c r="R845" i="11"/>
  <c r="Q845" i="11"/>
  <c r="O845" i="11"/>
  <c r="N845" i="11"/>
  <c r="L845" i="11"/>
  <c r="G845" i="11"/>
  <c r="M845" i="11" s="1"/>
  <c r="S844" i="11"/>
  <c r="R844" i="11"/>
  <c r="Q844" i="11"/>
  <c r="O844" i="11"/>
  <c r="N844" i="11"/>
  <c r="L844" i="11"/>
  <c r="G844" i="11"/>
  <c r="M844" i="11" s="1"/>
  <c r="S843" i="11"/>
  <c r="R843" i="11"/>
  <c r="Q843" i="11"/>
  <c r="O843" i="11"/>
  <c r="N843" i="11"/>
  <c r="L843" i="11"/>
  <c r="G843" i="11"/>
  <c r="M843" i="11" s="1"/>
  <c r="S842" i="11"/>
  <c r="R842" i="11"/>
  <c r="Q842" i="11"/>
  <c r="O842" i="11"/>
  <c r="N842" i="11"/>
  <c r="L842" i="11"/>
  <c r="G842" i="11"/>
  <c r="M842" i="11" s="1"/>
  <c r="S841" i="11"/>
  <c r="R841" i="11"/>
  <c r="Q841" i="11"/>
  <c r="O841" i="11"/>
  <c r="N841" i="11"/>
  <c r="L841" i="11"/>
  <c r="G841" i="11"/>
  <c r="M841" i="11" s="1"/>
  <c r="S840" i="11"/>
  <c r="R840" i="11"/>
  <c r="Q840" i="11"/>
  <c r="O840" i="11"/>
  <c r="N840" i="11"/>
  <c r="L840" i="11"/>
  <c r="G840" i="11"/>
  <c r="M840" i="11" s="1"/>
  <c r="S839" i="11"/>
  <c r="R839" i="11"/>
  <c r="Q839" i="11"/>
  <c r="O839" i="11"/>
  <c r="N839" i="11"/>
  <c r="L839" i="11"/>
  <c r="G839" i="11"/>
  <c r="M839" i="11" s="1"/>
  <c r="S838" i="11"/>
  <c r="R838" i="11"/>
  <c r="Q838" i="11"/>
  <c r="O838" i="11"/>
  <c r="N838" i="11"/>
  <c r="L838" i="11"/>
  <c r="G838" i="11"/>
  <c r="M838" i="11" s="1"/>
  <c r="S837" i="11"/>
  <c r="R837" i="11"/>
  <c r="Q837" i="11"/>
  <c r="O837" i="11"/>
  <c r="N837" i="11"/>
  <c r="L837" i="11"/>
  <c r="G837" i="11"/>
  <c r="M837" i="11" s="1"/>
  <c r="S836" i="11"/>
  <c r="R836" i="11"/>
  <c r="Q836" i="11"/>
  <c r="O836" i="11"/>
  <c r="N836" i="11"/>
  <c r="L836" i="11"/>
  <c r="G836" i="11"/>
  <c r="M836" i="11" s="1"/>
  <c r="S835" i="11"/>
  <c r="R835" i="11"/>
  <c r="Q835" i="11"/>
  <c r="O835" i="11"/>
  <c r="N835" i="11"/>
  <c r="L835" i="11"/>
  <c r="G835" i="11"/>
  <c r="M835" i="11" s="1"/>
  <c r="S834" i="11"/>
  <c r="R834" i="11"/>
  <c r="Q834" i="11"/>
  <c r="O834" i="11"/>
  <c r="N834" i="11"/>
  <c r="L834" i="11"/>
  <c r="G834" i="11"/>
  <c r="M834" i="11" s="1"/>
  <c r="S833" i="11"/>
  <c r="R833" i="11"/>
  <c r="Q833" i="11"/>
  <c r="O833" i="11"/>
  <c r="N833" i="11"/>
  <c r="L833" i="11"/>
  <c r="G833" i="11"/>
  <c r="M833" i="11" s="1"/>
  <c r="S832" i="11"/>
  <c r="R832" i="11"/>
  <c r="Q832" i="11"/>
  <c r="O832" i="11"/>
  <c r="N832" i="11"/>
  <c r="L832" i="11"/>
  <c r="G832" i="11"/>
  <c r="M832" i="11" s="1"/>
  <c r="S831" i="11"/>
  <c r="R831" i="11"/>
  <c r="Q831" i="11"/>
  <c r="O831" i="11"/>
  <c r="N831" i="11"/>
  <c r="L831" i="11"/>
  <c r="G831" i="11"/>
  <c r="M831" i="11" s="1"/>
  <c r="S830" i="11"/>
  <c r="R830" i="11"/>
  <c r="Q830" i="11"/>
  <c r="O830" i="11"/>
  <c r="N830" i="11"/>
  <c r="L830" i="11"/>
  <c r="G830" i="11"/>
  <c r="M830" i="11" s="1"/>
  <c r="S829" i="11"/>
  <c r="R829" i="11"/>
  <c r="Q829" i="11"/>
  <c r="O829" i="11"/>
  <c r="N829" i="11"/>
  <c r="L829" i="11"/>
  <c r="G829" i="11"/>
  <c r="M829" i="11" s="1"/>
  <c r="S828" i="11"/>
  <c r="R828" i="11"/>
  <c r="Q828" i="11"/>
  <c r="O828" i="11"/>
  <c r="N828" i="11"/>
  <c r="L828" i="11"/>
  <c r="G828" i="11"/>
  <c r="M828" i="11" s="1"/>
  <c r="S827" i="11"/>
  <c r="R827" i="11"/>
  <c r="Q827" i="11"/>
  <c r="O827" i="11"/>
  <c r="N827" i="11"/>
  <c r="L827" i="11"/>
  <c r="G827" i="11"/>
  <c r="M827" i="11" s="1"/>
  <c r="S826" i="11"/>
  <c r="R826" i="11"/>
  <c r="Q826" i="11"/>
  <c r="O826" i="11"/>
  <c r="N826" i="11"/>
  <c r="L826" i="11"/>
  <c r="G826" i="11"/>
  <c r="M826" i="11" s="1"/>
  <c r="S825" i="11"/>
  <c r="R825" i="11"/>
  <c r="Q825" i="11"/>
  <c r="O825" i="11"/>
  <c r="N825" i="11"/>
  <c r="L825" i="11"/>
  <c r="G825" i="11"/>
  <c r="M825" i="11" s="1"/>
  <c r="S824" i="11"/>
  <c r="R824" i="11"/>
  <c r="Q824" i="11"/>
  <c r="O824" i="11"/>
  <c r="N824" i="11"/>
  <c r="L824" i="11"/>
  <c r="G824" i="11"/>
  <c r="M824" i="11" s="1"/>
  <c r="S823" i="11"/>
  <c r="R823" i="11"/>
  <c r="Q823" i="11"/>
  <c r="O823" i="11"/>
  <c r="N823" i="11"/>
  <c r="L823" i="11"/>
  <c r="G823" i="11"/>
  <c r="M823" i="11" s="1"/>
  <c r="S822" i="11"/>
  <c r="R822" i="11"/>
  <c r="Q822" i="11"/>
  <c r="O822" i="11"/>
  <c r="N822" i="11"/>
  <c r="L822" i="11"/>
  <c r="G822" i="11"/>
  <c r="M822" i="11" s="1"/>
  <c r="S821" i="11"/>
  <c r="R821" i="11"/>
  <c r="Q821" i="11"/>
  <c r="O821" i="11"/>
  <c r="N821" i="11"/>
  <c r="L821" i="11"/>
  <c r="G821" i="11"/>
  <c r="M821" i="11" s="1"/>
  <c r="S820" i="11"/>
  <c r="R820" i="11"/>
  <c r="Q820" i="11"/>
  <c r="O820" i="11"/>
  <c r="N820" i="11"/>
  <c r="L820" i="11"/>
  <c r="G820" i="11"/>
  <c r="M820" i="11" s="1"/>
  <c r="S819" i="11"/>
  <c r="R819" i="11"/>
  <c r="Q819" i="11"/>
  <c r="O819" i="11"/>
  <c r="N819" i="11"/>
  <c r="L819" i="11"/>
  <c r="G819" i="11"/>
  <c r="M819" i="11" s="1"/>
  <c r="S818" i="11"/>
  <c r="R818" i="11"/>
  <c r="Q818" i="11"/>
  <c r="O818" i="11"/>
  <c r="N818" i="11"/>
  <c r="L818" i="11"/>
  <c r="G818" i="11"/>
  <c r="M818" i="11" s="1"/>
  <c r="S817" i="11"/>
  <c r="R817" i="11"/>
  <c r="Q817" i="11"/>
  <c r="O817" i="11"/>
  <c r="N817" i="11"/>
  <c r="L817" i="11"/>
  <c r="G817" i="11"/>
  <c r="M817" i="11" s="1"/>
  <c r="S816" i="11"/>
  <c r="R816" i="11"/>
  <c r="Q816" i="11"/>
  <c r="O816" i="11"/>
  <c r="N816" i="11"/>
  <c r="L816" i="11"/>
  <c r="G816" i="11"/>
  <c r="M816" i="11" s="1"/>
  <c r="S815" i="11"/>
  <c r="R815" i="11"/>
  <c r="Q815" i="11"/>
  <c r="O815" i="11"/>
  <c r="N815" i="11"/>
  <c r="L815" i="11"/>
  <c r="G815" i="11"/>
  <c r="M815" i="11" s="1"/>
  <c r="S814" i="11"/>
  <c r="R814" i="11"/>
  <c r="Q814" i="11"/>
  <c r="O814" i="11"/>
  <c r="N814" i="11"/>
  <c r="L814" i="11"/>
  <c r="G814" i="11"/>
  <c r="M814" i="11" s="1"/>
  <c r="S813" i="11"/>
  <c r="R813" i="11"/>
  <c r="Q813" i="11"/>
  <c r="O813" i="11"/>
  <c r="N813" i="11"/>
  <c r="L813" i="11"/>
  <c r="G813" i="11"/>
  <c r="M813" i="11" s="1"/>
  <c r="S812" i="11"/>
  <c r="R812" i="11"/>
  <c r="Q812" i="11"/>
  <c r="O812" i="11"/>
  <c r="N812" i="11"/>
  <c r="L812" i="11"/>
  <c r="G812" i="11"/>
  <c r="M812" i="11" s="1"/>
  <c r="S811" i="11"/>
  <c r="R811" i="11"/>
  <c r="Q811" i="11"/>
  <c r="O811" i="11"/>
  <c r="N811" i="11"/>
  <c r="L811" i="11"/>
  <c r="G811" i="11"/>
  <c r="M811" i="11" s="1"/>
  <c r="S810" i="11"/>
  <c r="R810" i="11"/>
  <c r="Q810" i="11"/>
  <c r="O810" i="11"/>
  <c r="N810" i="11"/>
  <c r="L810" i="11"/>
  <c r="G810" i="11"/>
  <c r="M810" i="11" s="1"/>
  <c r="S809" i="11"/>
  <c r="R809" i="11"/>
  <c r="Q809" i="11"/>
  <c r="O809" i="11"/>
  <c r="N809" i="11"/>
  <c r="L809" i="11"/>
  <c r="G809" i="11"/>
  <c r="M809" i="11" s="1"/>
  <c r="S808" i="11"/>
  <c r="R808" i="11"/>
  <c r="Q808" i="11"/>
  <c r="O808" i="11"/>
  <c r="N808" i="11"/>
  <c r="L808" i="11"/>
  <c r="G808" i="11"/>
  <c r="M808" i="11" s="1"/>
  <c r="S807" i="11"/>
  <c r="R807" i="11"/>
  <c r="Q807" i="11"/>
  <c r="O807" i="11"/>
  <c r="N807" i="11"/>
  <c r="L807" i="11"/>
  <c r="G807" i="11"/>
  <c r="M807" i="11" s="1"/>
  <c r="S806" i="11"/>
  <c r="R806" i="11"/>
  <c r="Q806" i="11"/>
  <c r="O806" i="11"/>
  <c r="N806" i="11"/>
  <c r="L806" i="11"/>
  <c r="G806" i="11"/>
  <c r="M806" i="11" s="1"/>
  <c r="S805" i="11"/>
  <c r="R805" i="11"/>
  <c r="Q805" i="11"/>
  <c r="O805" i="11"/>
  <c r="N805" i="11"/>
  <c r="L805" i="11"/>
  <c r="G805" i="11"/>
  <c r="M805" i="11" s="1"/>
  <c r="S804" i="11"/>
  <c r="R804" i="11"/>
  <c r="Q804" i="11"/>
  <c r="O804" i="11"/>
  <c r="N804" i="11"/>
  <c r="L804" i="11"/>
  <c r="G804" i="11"/>
  <c r="M804" i="11" s="1"/>
  <c r="S803" i="11"/>
  <c r="R803" i="11"/>
  <c r="Q803" i="11"/>
  <c r="O803" i="11"/>
  <c r="N803" i="11"/>
  <c r="L803" i="11"/>
  <c r="G803" i="11"/>
  <c r="M803" i="11" s="1"/>
  <c r="S802" i="11"/>
  <c r="R802" i="11"/>
  <c r="Q802" i="11"/>
  <c r="O802" i="11"/>
  <c r="N802" i="11"/>
  <c r="L802" i="11"/>
  <c r="G802" i="11"/>
  <c r="M802" i="11" s="1"/>
  <c r="S801" i="11"/>
  <c r="R801" i="11"/>
  <c r="Q801" i="11"/>
  <c r="O801" i="11"/>
  <c r="N801" i="11"/>
  <c r="L801" i="11"/>
  <c r="G801" i="11"/>
  <c r="M801" i="11" s="1"/>
  <c r="S800" i="11"/>
  <c r="R800" i="11"/>
  <c r="Q800" i="11"/>
  <c r="O800" i="11"/>
  <c r="N800" i="11"/>
  <c r="L800" i="11"/>
  <c r="G800" i="11"/>
  <c r="M800" i="11" s="1"/>
  <c r="S799" i="11"/>
  <c r="R799" i="11"/>
  <c r="Q799" i="11"/>
  <c r="O799" i="11"/>
  <c r="N799" i="11"/>
  <c r="L799" i="11"/>
  <c r="G799" i="11"/>
  <c r="M799" i="11" s="1"/>
  <c r="S798" i="11"/>
  <c r="R798" i="11"/>
  <c r="Q798" i="11"/>
  <c r="O798" i="11"/>
  <c r="N798" i="11"/>
  <c r="L798" i="11"/>
  <c r="G798" i="11"/>
  <c r="M798" i="11" s="1"/>
  <c r="S797" i="11"/>
  <c r="R797" i="11"/>
  <c r="Q797" i="11"/>
  <c r="O797" i="11"/>
  <c r="N797" i="11"/>
  <c r="L797" i="11"/>
  <c r="G797" i="11"/>
  <c r="M797" i="11" s="1"/>
  <c r="S796" i="11"/>
  <c r="R796" i="11"/>
  <c r="Q796" i="11"/>
  <c r="O796" i="11"/>
  <c r="N796" i="11"/>
  <c r="L796" i="11"/>
  <c r="G796" i="11"/>
  <c r="M796" i="11" s="1"/>
  <c r="S795" i="11"/>
  <c r="R795" i="11"/>
  <c r="Q795" i="11"/>
  <c r="O795" i="11"/>
  <c r="N795" i="11"/>
  <c r="L795" i="11"/>
  <c r="G795" i="11"/>
  <c r="M795" i="11" s="1"/>
  <c r="S794" i="11"/>
  <c r="R794" i="11"/>
  <c r="Q794" i="11"/>
  <c r="O794" i="11"/>
  <c r="N794" i="11"/>
  <c r="L794" i="11"/>
  <c r="G794" i="11"/>
  <c r="M794" i="11" s="1"/>
  <c r="S793" i="11"/>
  <c r="R793" i="11"/>
  <c r="Q793" i="11"/>
  <c r="O793" i="11"/>
  <c r="N793" i="11"/>
  <c r="L793" i="11"/>
  <c r="G793" i="11"/>
  <c r="M793" i="11" s="1"/>
  <c r="S792" i="11"/>
  <c r="R792" i="11"/>
  <c r="Q792" i="11"/>
  <c r="O792" i="11"/>
  <c r="N792" i="11"/>
  <c r="L792" i="11"/>
  <c r="G792" i="11"/>
  <c r="M792" i="11" s="1"/>
  <c r="S791" i="11"/>
  <c r="R791" i="11"/>
  <c r="Q791" i="11"/>
  <c r="O791" i="11"/>
  <c r="N791" i="11"/>
  <c r="L791" i="11"/>
  <c r="G791" i="11"/>
  <c r="M791" i="11" s="1"/>
  <c r="S790" i="11"/>
  <c r="R790" i="11"/>
  <c r="Q790" i="11"/>
  <c r="O790" i="11"/>
  <c r="N790" i="11"/>
  <c r="L790" i="11"/>
  <c r="G790" i="11"/>
  <c r="M790" i="11" s="1"/>
  <c r="S789" i="11"/>
  <c r="R789" i="11"/>
  <c r="Q789" i="11"/>
  <c r="O789" i="11"/>
  <c r="N789" i="11"/>
  <c r="L789" i="11"/>
  <c r="G789" i="11"/>
  <c r="M789" i="11" s="1"/>
  <c r="S788" i="11"/>
  <c r="R788" i="11"/>
  <c r="Q788" i="11"/>
  <c r="O788" i="11"/>
  <c r="N788" i="11"/>
  <c r="L788" i="11"/>
  <c r="G788" i="11"/>
  <c r="M788" i="11" s="1"/>
  <c r="S787" i="11"/>
  <c r="R787" i="11"/>
  <c r="Q787" i="11"/>
  <c r="O787" i="11"/>
  <c r="N787" i="11"/>
  <c r="L787" i="11"/>
  <c r="G787" i="11"/>
  <c r="M787" i="11" s="1"/>
  <c r="S786" i="11"/>
  <c r="R786" i="11"/>
  <c r="Q786" i="11"/>
  <c r="O786" i="11"/>
  <c r="N786" i="11"/>
  <c r="L786" i="11"/>
  <c r="G786" i="11"/>
  <c r="M786" i="11" s="1"/>
  <c r="S785" i="11"/>
  <c r="R785" i="11"/>
  <c r="Q785" i="11"/>
  <c r="O785" i="11"/>
  <c r="N785" i="11"/>
  <c r="L785" i="11"/>
  <c r="G785" i="11"/>
  <c r="M785" i="11" s="1"/>
  <c r="S784" i="11"/>
  <c r="R784" i="11"/>
  <c r="Q784" i="11"/>
  <c r="O784" i="11"/>
  <c r="N784" i="11"/>
  <c r="L784" i="11"/>
  <c r="G784" i="11"/>
  <c r="M784" i="11" s="1"/>
  <c r="S783" i="11"/>
  <c r="R783" i="11"/>
  <c r="Q783" i="11"/>
  <c r="O783" i="11"/>
  <c r="N783" i="11"/>
  <c r="L783" i="11"/>
  <c r="G783" i="11"/>
  <c r="M783" i="11" s="1"/>
  <c r="S782" i="11"/>
  <c r="R782" i="11"/>
  <c r="Q782" i="11"/>
  <c r="O782" i="11"/>
  <c r="N782" i="11"/>
  <c r="L782" i="11"/>
  <c r="G782" i="11"/>
  <c r="M782" i="11" s="1"/>
  <c r="S781" i="11"/>
  <c r="R781" i="11"/>
  <c r="Q781" i="11"/>
  <c r="O781" i="11"/>
  <c r="N781" i="11"/>
  <c r="L781" i="11"/>
  <c r="G781" i="11"/>
  <c r="M781" i="11" s="1"/>
  <c r="S780" i="11"/>
  <c r="R780" i="11"/>
  <c r="Q780" i="11"/>
  <c r="O780" i="11"/>
  <c r="N780" i="11"/>
  <c r="L780" i="11"/>
  <c r="G780" i="11"/>
  <c r="M780" i="11" s="1"/>
  <c r="S779" i="11"/>
  <c r="R779" i="11"/>
  <c r="Q779" i="11"/>
  <c r="O779" i="11"/>
  <c r="N779" i="11"/>
  <c r="L779" i="11"/>
  <c r="G779" i="11"/>
  <c r="M779" i="11" s="1"/>
  <c r="S778" i="11"/>
  <c r="R778" i="11"/>
  <c r="Q778" i="11"/>
  <c r="O778" i="11"/>
  <c r="N778" i="11"/>
  <c r="L778" i="11"/>
  <c r="G778" i="11"/>
  <c r="M778" i="11" s="1"/>
  <c r="S777" i="11"/>
  <c r="R777" i="11"/>
  <c r="Q777" i="11"/>
  <c r="O777" i="11"/>
  <c r="N777" i="11"/>
  <c r="L777" i="11"/>
  <c r="G777" i="11"/>
  <c r="M777" i="11" s="1"/>
  <c r="S776" i="11"/>
  <c r="R776" i="11"/>
  <c r="Q776" i="11"/>
  <c r="O776" i="11"/>
  <c r="N776" i="11"/>
  <c r="L776" i="11"/>
  <c r="G776" i="11"/>
  <c r="M776" i="11" s="1"/>
  <c r="S775" i="11"/>
  <c r="R775" i="11"/>
  <c r="Q775" i="11"/>
  <c r="O775" i="11"/>
  <c r="N775" i="11"/>
  <c r="L775" i="11"/>
  <c r="G775" i="11"/>
  <c r="M775" i="11" s="1"/>
  <c r="S774" i="11"/>
  <c r="R774" i="11"/>
  <c r="Q774" i="11"/>
  <c r="O774" i="11"/>
  <c r="N774" i="11"/>
  <c r="L774" i="11"/>
  <c r="G774" i="11"/>
  <c r="M774" i="11" s="1"/>
  <c r="S773" i="11"/>
  <c r="R773" i="11"/>
  <c r="Q773" i="11"/>
  <c r="O773" i="11"/>
  <c r="N773" i="11"/>
  <c r="L773" i="11"/>
  <c r="G773" i="11"/>
  <c r="M773" i="11" s="1"/>
  <c r="S772" i="11"/>
  <c r="R772" i="11"/>
  <c r="Q772" i="11"/>
  <c r="O772" i="11"/>
  <c r="N772" i="11"/>
  <c r="L772" i="11"/>
  <c r="G772" i="11"/>
  <c r="M772" i="11" s="1"/>
  <c r="S771" i="11"/>
  <c r="R771" i="11"/>
  <c r="Q771" i="11"/>
  <c r="O771" i="11"/>
  <c r="N771" i="11"/>
  <c r="L771" i="11"/>
  <c r="G771" i="11"/>
  <c r="M771" i="11" s="1"/>
  <c r="S770" i="11"/>
  <c r="R770" i="11"/>
  <c r="Q770" i="11"/>
  <c r="O770" i="11"/>
  <c r="N770" i="11"/>
  <c r="L770" i="11"/>
  <c r="G770" i="11"/>
  <c r="M770" i="11" s="1"/>
  <c r="S769" i="11"/>
  <c r="R769" i="11"/>
  <c r="Q769" i="11"/>
  <c r="O769" i="11"/>
  <c r="N769" i="11"/>
  <c r="L769" i="11"/>
  <c r="G769" i="11"/>
  <c r="M769" i="11" s="1"/>
  <c r="S768" i="11"/>
  <c r="R768" i="11"/>
  <c r="Q768" i="11"/>
  <c r="O768" i="11"/>
  <c r="N768" i="11"/>
  <c r="L768" i="11"/>
  <c r="G768" i="11"/>
  <c r="M768" i="11" s="1"/>
  <c r="S767" i="11"/>
  <c r="R767" i="11"/>
  <c r="Q767" i="11"/>
  <c r="O767" i="11"/>
  <c r="N767" i="11"/>
  <c r="L767" i="11"/>
  <c r="G767" i="11"/>
  <c r="M767" i="11" s="1"/>
  <c r="S766" i="11"/>
  <c r="R766" i="11"/>
  <c r="Q766" i="11"/>
  <c r="O766" i="11"/>
  <c r="N766" i="11"/>
  <c r="L766" i="11"/>
  <c r="G766" i="11"/>
  <c r="M766" i="11" s="1"/>
  <c r="S765" i="11"/>
  <c r="R765" i="11"/>
  <c r="Q765" i="11"/>
  <c r="O765" i="11"/>
  <c r="N765" i="11"/>
  <c r="L765" i="11"/>
  <c r="G765" i="11"/>
  <c r="M765" i="11" s="1"/>
  <c r="S764" i="11"/>
  <c r="R764" i="11"/>
  <c r="Q764" i="11"/>
  <c r="O764" i="11"/>
  <c r="N764" i="11"/>
  <c r="L764" i="11"/>
  <c r="G764" i="11"/>
  <c r="M764" i="11" s="1"/>
  <c r="S763" i="11"/>
  <c r="R763" i="11"/>
  <c r="Q763" i="11"/>
  <c r="O763" i="11"/>
  <c r="N763" i="11"/>
  <c r="L763" i="11"/>
  <c r="G763" i="11"/>
  <c r="M763" i="11" s="1"/>
  <c r="S762" i="11"/>
  <c r="R762" i="11"/>
  <c r="Q762" i="11"/>
  <c r="O762" i="11"/>
  <c r="N762" i="11"/>
  <c r="L762" i="11"/>
  <c r="G762" i="11"/>
  <c r="M762" i="11" s="1"/>
  <c r="S761" i="11"/>
  <c r="R761" i="11"/>
  <c r="Q761" i="11"/>
  <c r="O761" i="11"/>
  <c r="N761" i="11"/>
  <c r="L761" i="11"/>
  <c r="G761" i="11"/>
  <c r="M761" i="11" s="1"/>
  <c r="S760" i="11"/>
  <c r="R760" i="11"/>
  <c r="Q760" i="11"/>
  <c r="O760" i="11"/>
  <c r="N760" i="11"/>
  <c r="L760" i="11"/>
  <c r="G760" i="11"/>
  <c r="M760" i="11" s="1"/>
  <c r="S759" i="11"/>
  <c r="R759" i="11"/>
  <c r="Q759" i="11"/>
  <c r="O759" i="11"/>
  <c r="N759" i="11"/>
  <c r="L759" i="11"/>
  <c r="G759" i="11"/>
  <c r="M759" i="11" s="1"/>
  <c r="S758" i="11"/>
  <c r="R758" i="11"/>
  <c r="Q758" i="11"/>
  <c r="O758" i="11"/>
  <c r="N758" i="11"/>
  <c r="L758" i="11"/>
  <c r="G758" i="11"/>
  <c r="M758" i="11" s="1"/>
  <c r="S757" i="11"/>
  <c r="R757" i="11"/>
  <c r="Q757" i="11"/>
  <c r="O757" i="11"/>
  <c r="N757" i="11"/>
  <c r="L757" i="11"/>
  <c r="G757" i="11"/>
  <c r="M757" i="11" s="1"/>
  <c r="S756" i="11"/>
  <c r="R756" i="11"/>
  <c r="Q756" i="11"/>
  <c r="O756" i="11"/>
  <c r="N756" i="11"/>
  <c r="L756" i="11"/>
  <c r="G756" i="11"/>
  <c r="M756" i="11" s="1"/>
  <c r="S755" i="11"/>
  <c r="R755" i="11"/>
  <c r="Q755" i="11"/>
  <c r="O755" i="11"/>
  <c r="N755" i="11"/>
  <c r="L755" i="11"/>
  <c r="G755" i="11"/>
  <c r="M755" i="11" s="1"/>
  <c r="S754" i="11"/>
  <c r="R754" i="11"/>
  <c r="Q754" i="11"/>
  <c r="O754" i="11"/>
  <c r="N754" i="11"/>
  <c r="L754" i="11"/>
  <c r="G754" i="11"/>
  <c r="M754" i="11" s="1"/>
  <c r="S753" i="11"/>
  <c r="R753" i="11"/>
  <c r="Q753" i="11"/>
  <c r="O753" i="11"/>
  <c r="N753" i="11"/>
  <c r="L753" i="11"/>
  <c r="G753" i="11"/>
  <c r="M753" i="11" s="1"/>
  <c r="S752" i="11"/>
  <c r="R752" i="11"/>
  <c r="Q752" i="11"/>
  <c r="O752" i="11"/>
  <c r="N752" i="11"/>
  <c r="L752" i="11"/>
  <c r="G752" i="11"/>
  <c r="M752" i="11" s="1"/>
  <c r="S751" i="11"/>
  <c r="R751" i="11"/>
  <c r="Q751" i="11"/>
  <c r="O751" i="11"/>
  <c r="N751" i="11"/>
  <c r="L751" i="11"/>
  <c r="G751" i="11"/>
  <c r="M751" i="11" s="1"/>
  <c r="S750" i="11"/>
  <c r="R750" i="11"/>
  <c r="Q750" i="11"/>
  <c r="O750" i="11"/>
  <c r="N750" i="11"/>
  <c r="L750" i="11"/>
  <c r="G750" i="11"/>
  <c r="M750" i="11" s="1"/>
  <c r="S749" i="11"/>
  <c r="R749" i="11"/>
  <c r="Q749" i="11"/>
  <c r="O749" i="11"/>
  <c r="N749" i="11"/>
  <c r="L749" i="11"/>
  <c r="G749" i="11"/>
  <c r="M749" i="11" s="1"/>
  <c r="S748" i="11"/>
  <c r="R748" i="11"/>
  <c r="Q748" i="11"/>
  <c r="O748" i="11"/>
  <c r="N748" i="11"/>
  <c r="L748" i="11"/>
  <c r="K748" i="11"/>
  <c r="J748" i="11" s="1"/>
  <c r="G748" i="11"/>
  <c r="M748" i="11" s="1"/>
  <c r="S747" i="11"/>
  <c r="R747" i="11"/>
  <c r="Q747" i="11"/>
  <c r="O747" i="11"/>
  <c r="N747" i="11"/>
  <c r="M747" i="11"/>
  <c r="L747" i="11"/>
  <c r="G747" i="11"/>
  <c r="S746" i="11"/>
  <c r="R746" i="11"/>
  <c r="Q746" i="11"/>
  <c r="O746" i="11"/>
  <c r="N746" i="11"/>
  <c r="M746" i="11"/>
  <c r="L746" i="11"/>
  <c r="G746" i="11"/>
  <c r="S745" i="11"/>
  <c r="R745" i="11"/>
  <c r="Q745" i="11"/>
  <c r="O745" i="11"/>
  <c r="N745" i="11"/>
  <c r="M745" i="11"/>
  <c r="L745" i="11"/>
  <c r="G745" i="11"/>
  <c r="S744" i="11"/>
  <c r="R744" i="11"/>
  <c r="Q744" i="11"/>
  <c r="O744" i="11"/>
  <c r="N744" i="11"/>
  <c r="M744" i="11"/>
  <c r="L744" i="11"/>
  <c r="G744" i="11"/>
  <c r="S743" i="11"/>
  <c r="R743" i="11"/>
  <c r="Q743" i="11"/>
  <c r="O743" i="11"/>
  <c r="N743" i="11"/>
  <c r="M743" i="11"/>
  <c r="L743" i="11"/>
  <c r="G743" i="11"/>
  <c r="S742" i="11"/>
  <c r="R742" i="11"/>
  <c r="Q742" i="11"/>
  <c r="O742" i="11"/>
  <c r="N742" i="11"/>
  <c r="M742" i="11"/>
  <c r="L742" i="11"/>
  <c r="G742" i="11"/>
  <c r="S741" i="11"/>
  <c r="R741" i="11"/>
  <c r="Q741" i="11"/>
  <c r="O741" i="11"/>
  <c r="N741" i="11"/>
  <c r="M741" i="11"/>
  <c r="L741" i="11"/>
  <c r="G741" i="11"/>
  <c r="S740" i="11"/>
  <c r="R740" i="11"/>
  <c r="Q740" i="11"/>
  <c r="O740" i="11"/>
  <c r="N740" i="11"/>
  <c r="M740" i="11"/>
  <c r="L740" i="11"/>
  <c r="G740" i="11"/>
  <c r="S739" i="11"/>
  <c r="R739" i="11"/>
  <c r="Q739" i="11"/>
  <c r="O739" i="11"/>
  <c r="N739" i="11"/>
  <c r="M739" i="11"/>
  <c r="L739" i="11"/>
  <c r="G739" i="11"/>
  <c r="S738" i="11"/>
  <c r="R738" i="11"/>
  <c r="Q738" i="11"/>
  <c r="O738" i="11"/>
  <c r="N738" i="11"/>
  <c r="M738" i="11"/>
  <c r="L738" i="11"/>
  <c r="G738" i="11"/>
  <c r="S737" i="11"/>
  <c r="R737" i="11"/>
  <c r="Q737" i="11"/>
  <c r="O737" i="11"/>
  <c r="N737" i="11"/>
  <c r="M737" i="11"/>
  <c r="L737" i="11"/>
  <c r="G737" i="11"/>
  <c r="S736" i="11"/>
  <c r="R736" i="11"/>
  <c r="Q736" i="11"/>
  <c r="O736" i="11"/>
  <c r="N736" i="11"/>
  <c r="M736" i="11"/>
  <c r="L736" i="11"/>
  <c r="G736" i="11"/>
  <c r="S735" i="11"/>
  <c r="R735" i="11"/>
  <c r="Q735" i="11"/>
  <c r="O735" i="11"/>
  <c r="N735" i="11"/>
  <c r="M735" i="11"/>
  <c r="L735" i="11"/>
  <c r="G735" i="11"/>
  <c r="S734" i="11"/>
  <c r="R734" i="11"/>
  <c r="Q734" i="11"/>
  <c r="O734" i="11"/>
  <c r="N734" i="11"/>
  <c r="M734" i="11"/>
  <c r="L734" i="11"/>
  <c r="G734" i="11"/>
  <c r="S733" i="11"/>
  <c r="R733" i="11"/>
  <c r="Q733" i="11"/>
  <c r="O733" i="11"/>
  <c r="N733" i="11"/>
  <c r="M733" i="11"/>
  <c r="L733" i="11"/>
  <c r="G733" i="11"/>
  <c r="S732" i="11"/>
  <c r="R732" i="11"/>
  <c r="Q732" i="11"/>
  <c r="O732" i="11"/>
  <c r="N732" i="11"/>
  <c r="M732" i="11"/>
  <c r="L732" i="11"/>
  <c r="G732" i="11"/>
  <c r="S731" i="11"/>
  <c r="R731" i="11"/>
  <c r="Q731" i="11"/>
  <c r="O731" i="11"/>
  <c r="N731" i="11"/>
  <c r="M731" i="11"/>
  <c r="L731" i="11"/>
  <c r="G731" i="11"/>
  <c r="S730" i="11"/>
  <c r="R730" i="11"/>
  <c r="Q730" i="11"/>
  <c r="O730" i="11"/>
  <c r="N730" i="11"/>
  <c r="M730" i="11"/>
  <c r="L730" i="11"/>
  <c r="G730" i="11"/>
  <c r="S729" i="11"/>
  <c r="R729" i="11"/>
  <c r="Q729" i="11"/>
  <c r="O729" i="11"/>
  <c r="N729" i="11"/>
  <c r="M729" i="11"/>
  <c r="L729" i="11"/>
  <c r="G729" i="11"/>
  <c r="S728" i="11"/>
  <c r="R728" i="11"/>
  <c r="Q728" i="11"/>
  <c r="O728" i="11"/>
  <c r="N728" i="11"/>
  <c r="M728" i="11"/>
  <c r="L728" i="11"/>
  <c r="G728" i="11"/>
  <c r="S727" i="11"/>
  <c r="R727" i="11"/>
  <c r="Q727" i="11"/>
  <c r="O727" i="11"/>
  <c r="N727" i="11"/>
  <c r="M727" i="11"/>
  <c r="L727" i="11"/>
  <c r="G727" i="11"/>
  <c r="S726" i="11"/>
  <c r="R726" i="11"/>
  <c r="Q726" i="11"/>
  <c r="O726" i="11"/>
  <c r="N726" i="11"/>
  <c r="M726" i="11"/>
  <c r="L726" i="11"/>
  <c r="G726" i="11"/>
  <c r="S725" i="11"/>
  <c r="R725" i="11"/>
  <c r="Q725" i="11"/>
  <c r="O725" i="11"/>
  <c r="N725" i="11"/>
  <c r="M725" i="11"/>
  <c r="L725" i="11"/>
  <c r="G725" i="11"/>
  <c r="S724" i="11"/>
  <c r="R724" i="11"/>
  <c r="Q724" i="11"/>
  <c r="O724" i="11"/>
  <c r="N724" i="11"/>
  <c r="M724" i="11"/>
  <c r="L724" i="11"/>
  <c r="G724" i="11"/>
  <c r="S723" i="11"/>
  <c r="R723" i="11"/>
  <c r="Q723" i="11"/>
  <c r="O723" i="11"/>
  <c r="N723" i="11"/>
  <c r="M723" i="11"/>
  <c r="L723" i="11"/>
  <c r="G723" i="11"/>
  <c r="S722" i="11"/>
  <c r="R722" i="11"/>
  <c r="Q722" i="11"/>
  <c r="O722" i="11"/>
  <c r="N722" i="11"/>
  <c r="M722" i="11"/>
  <c r="L722" i="11"/>
  <c r="G722" i="11"/>
  <c r="S721" i="11"/>
  <c r="R721" i="11"/>
  <c r="Q721" i="11"/>
  <c r="O721" i="11"/>
  <c r="N721" i="11"/>
  <c r="M721" i="11"/>
  <c r="L721" i="11"/>
  <c r="G721" i="11"/>
  <c r="S720" i="11"/>
  <c r="R720" i="11"/>
  <c r="Q720" i="11"/>
  <c r="O720" i="11"/>
  <c r="N720" i="11"/>
  <c r="M720" i="11"/>
  <c r="L720" i="11"/>
  <c r="G720" i="11"/>
  <c r="S719" i="11"/>
  <c r="R719" i="11"/>
  <c r="Q719" i="11"/>
  <c r="O719" i="11"/>
  <c r="N719" i="11"/>
  <c r="M719" i="11"/>
  <c r="L719" i="11"/>
  <c r="G719" i="11"/>
  <c r="S718" i="11"/>
  <c r="R718" i="11"/>
  <c r="Q718" i="11"/>
  <c r="O718" i="11"/>
  <c r="N718" i="11"/>
  <c r="M718" i="11"/>
  <c r="L718" i="11"/>
  <c r="G718" i="11"/>
  <c r="S717" i="11"/>
  <c r="R717" i="11"/>
  <c r="Q717" i="11"/>
  <c r="O717" i="11"/>
  <c r="N717" i="11"/>
  <c r="M717" i="11"/>
  <c r="L717" i="11"/>
  <c r="G717" i="11"/>
  <c r="S716" i="11"/>
  <c r="R716" i="11"/>
  <c r="Q716" i="11"/>
  <c r="O716" i="11"/>
  <c r="N716" i="11"/>
  <c r="M716" i="11"/>
  <c r="L716" i="11"/>
  <c r="G716" i="11"/>
  <c r="S715" i="11"/>
  <c r="R715" i="11"/>
  <c r="Q715" i="11"/>
  <c r="O715" i="11"/>
  <c r="N715" i="11"/>
  <c r="M715" i="11"/>
  <c r="L715" i="11"/>
  <c r="G715" i="11"/>
  <c r="S714" i="11"/>
  <c r="R714" i="11"/>
  <c r="Q714" i="11"/>
  <c r="O714" i="11"/>
  <c r="N714" i="11"/>
  <c r="M714" i="11"/>
  <c r="L714" i="11"/>
  <c r="G714" i="11"/>
  <c r="S713" i="11"/>
  <c r="R713" i="11"/>
  <c r="Q713" i="11"/>
  <c r="O713" i="11"/>
  <c r="N713" i="11"/>
  <c r="M713" i="11"/>
  <c r="L713" i="11"/>
  <c r="G713" i="11"/>
  <c r="S712" i="11"/>
  <c r="R712" i="11"/>
  <c r="Q712" i="11"/>
  <c r="O712" i="11"/>
  <c r="N712" i="11"/>
  <c r="M712" i="11"/>
  <c r="L712" i="11"/>
  <c r="G712" i="11"/>
  <c r="S711" i="11"/>
  <c r="R711" i="11"/>
  <c r="Q711" i="11"/>
  <c r="O711" i="11"/>
  <c r="N711" i="11"/>
  <c r="M711" i="11"/>
  <c r="L711" i="11"/>
  <c r="G711" i="11"/>
  <c r="S710" i="11"/>
  <c r="R710" i="11"/>
  <c r="Q710" i="11"/>
  <c r="O710" i="11"/>
  <c r="N710" i="11"/>
  <c r="M710" i="11"/>
  <c r="L710" i="11"/>
  <c r="G710" i="11"/>
  <c r="S709" i="11"/>
  <c r="R709" i="11"/>
  <c r="Q709" i="11"/>
  <c r="O709" i="11"/>
  <c r="N709" i="11"/>
  <c r="M709" i="11"/>
  <c r="L709" i="11"/>
  <c r="G709" i="11"/>
  <c r="S708" i="11"/>
  <c r="R708" i="11"/>
  <c r="Q708" i="11"/>
  <c r="O708" i="11"/>
  <c r="N708" i="11"/>
  <c r="M708" i="11"/>
  <c r="L708" i="11"/>
  <c r="G708" i="11"/>
  <c r="S707" i="11"/>
  <c r="R707" i="11"/>
  <c r="Q707" i="11"/>
  <c r="O707" i="11"/>
  <c r="N707" i="11"/>
  <c r="M707" i="11"/>
  <c r="L707" i="11"/>
  <c r="G707" i="11"/>
  <c r="S706" i="11"/>
  <c r="R706" i="11"/>
  <c r="Q706" i="11"/>
  <c r="O706" i="11"/>
  <c r="N706" i="11"/>
  <c r="M706" i="11"/>
  <c r="L706" i="11"/>
  <c r="G706" i="11"/>
  <c r="S705" i="11"/>
  <c r="R705" i="11"/>
  <c r="Q705" i="11"/>
  <c r="O705" i="11"/>
  <c r="N705" i="11"/>
  <c r="M705" i="11"/>
  <c r="L705" i="11"/>
  <c r="G705" i="11"/>
  <c r="S704" i="11"/>
  <c r="R704" i="11"/>
  <c r="Q704" i="11"/>
  <c r="O704" i="11"/>
  <c r="N704" i="11"/>
  <c r="M704" i="11"/>
  <c r="L704" i="11"/>
  <c r="G704" i="11"/>
  <c r="S703" i="11"/>
  <c r="R703" i="11"/>
  <c r="Q703" i="11"/>
  <c r="O703" i="11"/>
  <c r="N703" i="11"/>
  <c r="M703" i="11"/>
  <c r="L703" i="11"/>
  <c r="G703" i="11"/>
  <c r="S702" i="11"/>
  <c r="R702" i="11"/>
  <c r="Q702" i="11"/>
  <c r="O702" i="11"/>
  <c r="N702" i="11"/>
  <c r="M702" i="11"/>
  <c r="L702" i="11"/>
  <c r="G702" i="11"/>
  <c r="S701" i="11"/>
  <c r="R701" i="11"/>
  <c r="Q701" i="11"/>
  <c r="O701" i="11"/>
  <c r="N701" i="11"/>
  <c r="M701" i="11"/>
  <c r="L701" i="11"/>
  <c r="G701" i="11"/>
  <c r="S700" i="11"/>
  <c r="R700" i="11"/>
  <c r="Q700" i="11"/>
  <c r="O700" i="11"/>
  <c r="N700" i="11"/>
  <c r="M700" i="11"/>
  <c r="L700" i="11"/>
  <c r="G700" i="11"/>
  <c r="S699" i="11"/>
  <c r="R699" i="11"/>
  <c r="Q699" i="11"/>
  <c r="O699" i="11"/>
  <c r="N699" i="11"/>
  <c r="M699" i="11"/>
  <c r="L699" i="11"/>
  <c r="G699" i="11"/>
  <c r="S698" i="11"/>
  <c r="R698" i="11"/>
  <c r="Q698" i="11"/>
  <c r="O698" i="11"/>
  <c r="N698" i="11"/>
  <c r="M698" i="11"/>
  <c r="L698" i="11"/>
  <c r="G698" i="11"/>
  <c r="S697" i="11"/>
  <c r="R697" i="11"/>
  <c r="Q697" i="11"/>
  <c r="O697" i="11"/>
  <c r="N697" i="11"/>
  <c r="M697" i="11"/>
  <c r="L697" i="11"/>
  <c r="G697" i="11"/>
  <c r="S696" i="11"/>
  <c r="R696" i="11"/>
  <c r="Q696" i="11"/>
  <c r="O696" i="11"/>
  <c r="N696" i="11"/>
  <c r="M696" i="11"/>
  <c r="L696" i="11"/>
  <c r="G696" i="11"/>
  <c r="S695" i="11"/>
  <c r="R695" i="11"/>
  <c r="Q695" i="11"/>
  <c r="O695" i="11"/>
  <c r="N695" i="11"/>
  <c r="M695" i="11"/>
  <c r="L695" i="11"/>
  <c r="G695" i="11"/>
  <c r="S694" i="11"/>
  <c r="R694" i="11"/>
  <c r="Q694" i="11"/>
  <c r="O694" i="11"/>
  <c r="N694" i="11"/>
  <c r="M694" i="11"/>
  <c r="L694" i="11"/>
  <c r="G694" i="11"/>
  <c r="S693" i="11"/>
  <c r="R693" i="11"/>
  <c r="Q693" i="11"/>
  <c r="O693" i="11"/>
  <c r="N693" i="11"/>
  <c r="M693" i="11"/>
  <c r="L693" i="11"/>
  <c r="G693" i="11"/>
  <c r="S692" i="11"/>
  <c r="R692" i="11"/>
  <c r="Q692" i="11"/>
  <c r="O692" i="11"/>
  <c r="N692" i="11"/>
  <c r="M692" i="11"/>
  <c r="L692" i="11"/>
  <c r="G692" i="11"/>
  <c r="S691" i="11"/>
  <c r="R691" i="11"/>
  <c r="Q691" i="11"/>
  <c r="O691" i="11"/>
  <c r="N691" i="11"/>
  <c r="M691" i="11"/>
  <c r="L691" i="11"/>
  <c r="G691" i="11"/>
  <c r="S690" i="11"/>
  <c r="R690" i="11"/>
  <c r="Q690" i="11"/>
  <c r="O690" i="11"/>
  <c r="N690" i="11"/>
  <c r="M690" i="11"/>
  <c r="L690" i="11"/>
  <c r="G690" i="11"/>
  <c r="S689" i="11"/>
  <c r="R689" i="11"/>
  <c r="Q689" i="11"/>
  <c r="O689" i="11"/>
  <c r="N689" i="11"/>
  <c r="M689" i="11"/>
  <c r="L689" i="11"/>
  <c r="G689" i="11"/>
  <c r="S688" i="11"/>
  <c r="R688" i="11"/>
  <c r="Q688" i="11"/>
  <c r="O688" i="11"/>
  <c r="N688" i="11"/>
  <c r="M688" i="11"/>
  <c r="L688" i="11"/>
  <c r="G688" i="11"/>
  <c r="S687" i="11"/>
  <c r="R687" i="11"/>
  <c r="Q687" i="11"/>
  <c r="O687" i="11"/>
  <c r="N687" i="11"/>
  <c r="M687" i="11"/>
  <c r="L687" i="11"/>
  <c r="G687" i="11"/>
  <c r="S686" i="11"/>
  <c r="R686" i="11"/>
  <c r="Q686" i="11"/>
  <c r="O686" i="11"/>
  <c r="N686" i="11"/>
  <c r="M686" i="11"/>
  <c r="L686" i="11"/>
  <c r="G686" i="11"/>
  <c r="S685" i="11"/>
  <c r="R685" i="11"/>
  <c r="Q685" i="11"/>
  <c r="O685" i="11"/>
  <c r="N685" i="11"/>
  <c r="M685" i="11"/>
  <c r="L685" i="11"/>
  <c r="G685" i="11"/>
  <c r="S684" i="11"/>
  <c r="R684" i="11"/>
  <c r="Q684" i="11"/>
  <c r="O684" i="11"/>
  <c r="N684" i="11"/>
  <c r="M684" i="11"/>
  <c r="L684" i="11"/>
  <c r="G684" i="11"/>
  <c r="S683" i="11"/>
  <c r="R683" i="11"/>
  <c r="Q683" i="11"/>
  <c r="O683" i="11"/>
  <c r="N683" i="11"/>
  <c r="M683" i="11"/>
  <c r="L683" i="11"/>
  <c r="G683" i="11"/>
  <c r="S682" i="11"/>
  <c r="R682" i="11"/>
  <c r="Q682" i="11"/>
  <c r="O682" i="11"/>
  <c r="N682" i="11"/>
  <c r="M682" i="11"/>
  <c r="L682" i="11"/>
  <c r="G682" i="11"/>
  <c r="S681" i="11"/>
  <c r="R681" i="11"/>
  <c r="Q681" i="11"/>
  <c r="O681" i="11"/>
  <c r="N681" i="11"/>
  <c r="M681" i="11"/>
  <c r="L681" i="11"/>
  <c r="G681" i="11"/>
  <c r="S680" i="11"/>
  <c r="R680" i="11"/>
  <c r="Q680" i="11"/>
  <c r="O680" i="11"/>
  <c r="N680" i="11"/>
  <c r="M680" i="11"/>
  <c r="L680" i="11"/>
  <c r="G680" i="11"/>
  <c r="S679" i="11"/>
  <c r="R679" i="11"/>
  <c r="Q679" i="11"/>
  <c r="O679" i="11"/>
  <c r="N679" i="11"/>
  <c r="M679" i="11"/>
  <c r="L679" i="11"/>
  <c r="G679" i="11"/>
  <c r="S678" i="11"/>
  <c r="R678" i="11"/>
  <c r="Q678" i="11"/>
  <c r="O678" i="11"/>
  <c r="N678" i="11"/>
  <c r="M678" i="11"/>
  <c r="L678" i="11"/>
  <c r="G678" i="11"/>
  <c r="S677" i="11"/>
  <c r="R677" i="11"/>
  <c r="Q677" i="11"/>
  <c r="O677" i="11"/>
  <c r="N677" i="11"/>
  <c r="M677" i="11"/>
  <c r="L677" i="11"/>
  <c r="G677" i="11"/>
  <c r="S676" i="11"/>
  <c r="R676" i="11"/>
  <c r="Q676" i="11"/>
  <c r="O676" i="11"/>
  <c r="N676" i="11"/>
  <c r="M676" i="11"/>
  <c r="L676" i="11"/>
  <c r="G676" i="11"/>
  <c r="S675" i="11"/>
  <c r="R675" i="11"/>
  <c r="Q675" i="11"/>
  <c r="O675" i="11"/>
  <c r="N675" i="11"/>
  <c r="M675" i="11"/>
  <c r="L675" i="11"/>
  <c r="G675" i="11"/>
  <c r="S674" i="11"/>
  <c r="R674" i="11"/>
  <c r="Q674" i="11"/>
  <c r="O674" i="11"/>
  <c r="N674" i="11"/>
  <c r="M674" i="11"/>
  <c r="L674" i="11"/>
  <c r="G674" i="11"/>
  <c r="S673" i="11"/>
  <c r="R673" i="11"/>
  <c r="Q673" i="11"/>
  <c r="O673" i="11"/>
  <c r="N673" i="11"/>
  <c r="M673" i="11"/>
  <c r="L673" i="11"/>
  <c r="G673" i="11"/>
  <c r="S672" i="11"/>
  <c r="R672" i="11"/>
  <c r="Q672" i="11"/>
  <c r="O672" i="11"/>
  <c r="N672" i="11"/>
  <c r="M672" i="11"/>
  <c r="L672" i="11"/>
  <c r="G672" i="11"/>
  <c r="S671" i="11"/>
  <c r="R671" i="11"/>
  <c r="Q671" i="11"/>
  <c r="O671" i="11"/>
  <c r="N671" i="11"/>
  <c r="M671" i="11"/>
  <c r="L671" i="11"/>
  <c r="G671" i="11"/>
  <c r="S670" i="11"/>
  <c r="R670" i="11"/>
  <c r="Q670" i="11"/>
  <c r="O670" i="11"/>
  <c r="N670" i="11"/>
  <c r="M670" i="11"/>
  <c r="L670" i="11"/>
  <c r="G670" i="11"/>
  <c r="S669" i="11"/>
  <c r="R669" i="11"/>
  <c r="Q669" i="11"/>
  <c r="O669" i="11"/>
  <c r="N669" i="11"/>
  <c r="M669" i="11"/>
  <c r="L669" i="11"/>
  <c r="G669" i="11"/>
  <c r="S668" i="11"/>
  <c r="R668" i="11"/>
  <c r="Q668" i="11"/>
  <c r="O668" i="11"/>
  <c r="N668" i="11"/>
  <c r="M668" i="11"/>
  <c r="L668" i="11"/>
  <c r="G668" i="11"/>
  <c r="S667" i="11"/>
  <c r="R667" i="11"/>
  <c r="Q667" i="11"/>
  <c r="O667" i="11"/>
  <c r="N667" i="11"/>
  <c r="M667" i="11"/>
  <c r="L667" i="11"/>
  <c r="G667" i="11"/>
  <c r="S666" i="11"/>
  <c r="R666" i="11"/>
  <c r="Q666" i="11"/>
  <c r="O666" i="11"/>
  <c r="N666" i="11"/>
  <c r="M666" i="11"/>
  <c r="L666" i="11"/>
  <c r="G666" i="11"/>
  <c r="S665" i="11"/>
  <c r="R665" i="11"/>
  <c r="Q665" i="11"/>
  <c r="O665" i="11"/>
  <c r="N665" i="11"/>
  <c r="M665" i="11"/>
  <c r="L665" i="11"/>
  <c r="G665" i="11"/>
  <c r="S664" i="11"/>
  <c r="R664" i="11"/>
  <c r="Q664" i="11"/>
  <c r="O664" i="11"/>
  <c r="N664" i="11"/>
  <c r="M664" i="11"/>
  <c r="L664" i="11"/>
  <c r="G664" i="11"/>
  <c r="S663" i="11"/>
  <c r="R663" i="11"/>
  <c r="Q663" i="11"/>
  <c r="O663" i="11"/>
  <c r="N663" i="11"/>
  <c r="M663" i="11"/>
  <c r="L663" i="11"/>
  <c r="G663" i="11"/>
  <c r="S662" i="11"/>
  <c r="R662" i="11"/>
  <c r="Q662" i="11"/>
  <c r="O662" i="11"/>
  <c r="N662" i="11"/>
  <c r="M662" i="11"/>
  <c r="L662" i="11"/>
  <c r="G662" i="11"/>
  <c r="S661" i="11"/>
  <c r="R661" i="11"/>
  <c r="Q661" i="11"/>
  <c r="O661" i="11"/>
  <c r="N661" i="11"/>
  <c r="M661" i="11"/>
  <c r="L661" i="11"/>
  <c r="G661" i="11"/>
  <c r="S660" i="11"/>
  <c r="R660" i="11"/>
  <c r="Q660" i="11"/>
  <c r="O660" i="11"/>
  <c r="N660" i="11"/>
  <c r="M660" i="11"/>
  <c r="L660" i="11"/>
  <c r="G660" i="11"/>
  <c r="S659" i="11"/>
  <c r="R659" i="11"/>
  <c r="Q659" i="11"/>
  <c r="O659" i="11"/>
  <c r="N659" i="11"/>
  <c r="M659" i="11"/>
  <c r="L659" i="11"/>
  <c r="G659" i="11"/>
  <c r="S658" i="11"/>
  <c r="R658" i="11"/>
  <c r="Q658" i="11"/>
  <c r="O658" i="11"/>
  <c r="N658" i="11"/>
  <c r="M658" i="11"/>
  <c r="L658" i="11"/>
  <c r="G658" i="11"/>
  <c r="S657" i="11"/>
  <c r="R657" i="11"/>
  <c r="Q657" i="11"/>
  <c r="O657" i="11"/>
  <c r="N657" i="11"/>
  <c r="M657" i="11"/>
  <c r="L657" i="11"/>
  <c r="G657" i="11"/>
  <c r="S656" i="11"/>
  <c r="R656" i="11"/>
  <c r="Q656" i="11"/>
  <c r="O656" i="11"/>
  <c r="N656" i="11"/>
  <c r="M656" i="11"/>
  <c r="L656" i="11"/>
  <c r="G656" i="11"/>
  <c r="S655" i="11"/>
  <c r="R655" i="11"/>
  <c r="Q655" i="11"/>
  <c r="O655" i="11"/>
  <c r="N655" i="11"/>
  <c r="M655" i="11"/>
  <c r="L655" i="11"/>
  <c r="G655" i="11"/>
  <c r="S654" i="11"/>
  <c r="R654" i="11"/>
  <c r="Q654" i="11"/>
  <c r="O654" i="11"/>
  <c r="N654" i="11"/>
  <c r="M654" i="11"/>
  <c r="L654" i="11"/>
  <c r="G654" i="11"/>
  <c r="S653" i="11"/>
  <c r="R653" i="11"/>
  <c r="Q653" i="11"/>
  <c r="O653" i="11"/>
  <c r="N653" i="11"/>
  <c r="M653" i="11"/>
  <c r="L653" i="11"/>
  <c r="G653" i="11"/>
  <c r="S652" i="11"/>
  <c r="R652" i="11"/>
  <c r="Q652" i="11"/>
  <c r="O652" i="11"/>
  <c r="N652" i="11"/>
  <c r="M652" i="11"/>
  <c r="L652" i="11"/>
  <c r="G652" i="11"/>
  <c r="S651" i="11"/>
  <c r="R651" i="11"/>
  <c r="Q651" i="11"/>
  <c r="O651" i="11"/>
  <c r="N651" i="11"/>
  <c r="M651" i="11"/>
  <c r="L651" i="11"/>
  <c r="G651" i="11"/>
  <c r="S650" i="11"/>
  <c r="R650" i="11"/>
  <c r="Q650" i="11"/>
  <c r="O650" i="11"/>
  <c r="N650" i="11"/>
  <c r="M650" i="11"/>
  <c r="L650" i="11"/>
  <c r="G650" i="11"/>
  <c r="S649" i="11"/>
  <c r="R649" i="11"/>
  <c r="Q649" i="11"/>
  <c r="O649" i="11"/>
  <c r="N649" i="11"/>
  <c r="M649" i="11"/>
  <c r="L649" i="11"/>
  <c r="G649" i="11"/>
  <c r="S648" i="11"/>
  <c r="R648" i="11"/>
  <c r="Q648" i="11"/>
  <c r="O648" i="11"/>
  <c r="N648" i="11"/>
  <c r="M648" i="11"/>
  <c r="L648" i="11"/>
  <c r="G648" i="11"/>
  <c r="S647" i="11"/>
  <c r="R647" i="11"/>
  <c r="Q647" i="11"/>
  <c r="O647" i="11"/>
  <c r="N647" i="11"/>
  <c r="M647" i="11"/>
  <c r="L647" i="11"/>
  <c r="G647" i="11"/>
  <c r="S646" i="11"/>
  <c r="R646" i="11"/>
  <c r="Q646" i="11"/>
  <c r="O646" i="11"/>
  <c r="N646" i="11"/>
  <c r="M646" i="11"/>
  <c r="L646" i="11"/>
  <c r="G646" i="11"/>
  <c r="S645" i="11"/>
  <c r="R645" i="11"/>
  <c r="Q645" i="11"/>
  <c r="O645" i="11"/>
  <c r="N645" i="11"/>
  <c r="M645" i="11"/>
  <c r="L645" i="11"/>
  <c r="G645" i="11"/>
  <c r="S644" i="11"/>
  <c r="R644" i="11"/>
  <c r="Q644" i="11"/>
  <c r="O644" i="11"/>
  <c r="N644" i="11"/>
  <c r="M644" i="11"/>
  <c r="L644" i="11"/>
  <c r="G644" i="11"/>
  <c r="S643" i="11"/>
  <c r="R643" i="11"/>
  <c r="Q643" i="11"/>
  <c r="O643" i="11"/>
  <c r="N643" i="11"/>
  <c r="M643" i="11"/>
  <c r="L643" i="11"/>
  <c r="G643" i="11"/>
  <c r="S642" i="11"/>
  <c r="R642" i="11"/>
  <c r="Q642" i="11"/>
  <c r="O642" i="11"/>
  <c r="N642" i="11"/>
  <c r="M642" i="11"/>
  <c r="L642" i="11"/>
  <c r="G642" i="11"/>
  <c r="S641" i="11"/>
  <c r="R641" i="11"/>
  <c r="Q641" i="11"/>
  <c r="O641" i="11"/>
  <c r="N641" i="11"/>
  <c r="M641" i="11"/>
  <c r="L641" i="11"/>
  <c r="G641" i="11"/>
  <c r="S640" i="11"/>
  <c r="R640" i="11"/>
  <c r="Q640" i="11"/>
  <c r="O640" i="11"/>
  <c r="N640" i="11"/>
  <c r="M640" i="11"/>
  <c r="L640" i="11"/>
  <c r="G640" i="11"/>
  <c r="S639" i="11"/>
  <c r="R639" i="11"/>
  <c r="Q639" i="11"/>
  <c r="O639" i="11"/>
  <c r="N639" i="11"/>
  <c r="M639" i="11"/>
  <c r="L639" i="11"/>
  <c r="G639" i="11"/>
  <c r="S638" i="11"/>
  <c r="R638" i="11"/>
  <c r="Q638" i="11"/>
  <c r="O638" i="11"/>
  <c r="N638" i="11"/>
  <c r="M638" i="11"/>
  <c r="L638" i="11"/>
  <c r="G638" i="11"/>
  <c r="S637" i="11"/>
  <c r="R637" i="11"/>
  <c r="Q637" i="11"/>
  <c r="O637" i="11"/>
  <c r="N637" i="11"/>
  <c r="M637" i="11"/>
  <c r="L637" i="11"/>
  <c r="G637" i="11"/>
  <c r="S636" i="11"/>
  <c r="R636" i="11"/>
  <c r="Q636" i="11"/>
  <c r="O636" i="11"/>
  <c r="N636" i="11"/>
  <c r="M636" i="11"/>
  <c r="L636" i="11"/>
  <c r="G636" i="11"/>
  <c r="S635" i="11"/>
  <c r="R635" i="11"/>
  <c r="Q635" i="11"/>
  <c r="O635" i="11"/>
  <c r="N635" i="11"/>
  <c r="M635" i="11"/>
  <c r="L635" i="11"/>
  <c r="G635" i="11"/>
  <c r="S634" i="11"/>
  <c r="R634" i="11"/>
  <c r="Q634" i="11"/>
  <c r="O634" i="11"/>
  <c r="N634" i="11"/>
  <c r="M634" i="11"/>
  <c r="L634" i="11"/>
  <c r="G634" i="11"/>
  <c r="S633" i="11"/>
  <c r="R633" i="11"/>
  <c r="Q633" i="11"/>
  <c r="O633" i="11"/>
  <c r="N633" i="11"/>
  <c r="M633" i="11"/>
  <c r="L633" i="11"/>
  <c r="G633" i="11"/>
  <c r="S632" i="11"/>
  <c r="R632" i="11"/>
  <c r="Q632" i="11"/>
  <c r="O632" i="11"/>
  <c r="N632" i="11"/>
  <c r="M632" i="11"/>
  <c r="L632" i="11"/>
  <c r="G632" i="11"/>
  <c r="S631" i="11"/>
  <c r="R631" i="11"/>
  <c r="Q631" i="11"/>
  <c r="O631" i="11"/>
  <c r="N631" i="11"/>
  <c r="M631" i="11"/>
  <c r="L631" i="11"/>
  <c r="G631" i="11"/>
  <c r="S630" i="11"/>
  <c r="R630" i="11"/>
  <c r="Q630" i="11"/>
  <c r="O630" i="11"/>
  <c r="N630" i="11"/>
  <c r="M630" i="11"/>
  <c r="L630" i="11"/>
  <c r="G630" i="11"/>
  <c r="S629" i="11"/>
  <c r="R629" i="11"/>
  <c r="Q629" i="11"/>
  <c r="O629" i="11"/>
  <c r="N629" i="11"/>
  <c r="M629" i="11"/>
  <c r="L629" i="11"/>
  <c r="G629" i="11"/>
  <c r="S628" i="11"/>
  <c r="R628" i="11"/>
  <c r="Q628" i="11"/>
  <c r="O628" i="11"/>
  <c r="N628" i="11"/>
  <c r="M628" i="11"/>
  <c r="L628" i="11"/>
  <c r="G628" i="11"/>
  <c r="S627" i="11"/>
  <c r="R627" i="11"/>
  <c r="Q627" i="11"/>
  <c r="O627" i="11"/>
  <c r="N627" i="11"/>
  <c r="M627" i="11"/>
  <c r="L627" i="11"/>
  <c r="G627" i="11"/>
  <c r="S626" i="11"/>
  <c r="R626" i="11"/>
  <c r="Q626" i="11"/>
  <c r="O626" i="11"/>
  <c r="N626" i="11"/>
  <c r="M626" i="11"/>
  <c r="L626" i="11"/>
  <c r="G626" i="11"/>
  <c r="S625" i="11"/>
  <c r="R625" i="11"/>
  <c r="Q625" i="11"/>
  <c r="O625" i="11"/>
  <c r="N625" i="11"/>
  <c r="M625" i="11"/>
  <c r="L625" i="11"/>
  <c r="G625" i="11"/>
  <c r="S624" i="11"/>
  <c r="R624" i="11"/>
  <c r="Q624" i="11"/>
  <c r="O624" i="11"/>
  <c r="N624" i="11"/>
  <c r="M624" i="11"/>
  <c r="L624" i="11"/>
  <c r="G624" i="11"/>
  <c r="S623" i="11"/>
  <c r="R623" i="11"/>
  <c r="Q623" i="11"/>
  <c r="O623" i="11"/>
  <c r="N623" i="11"/>
  <c r="M623" i="11"/>
  <c r="L623" i="11"/>
  <c r="G623" i="11"/>
  <c r="S622" i="11"/>
  <c r="R622" i="11"/>
  <c r="Q622" i="11"/>
  <c r="O622" i="11"/>
  <c r="N622" i="11"/>
  <c r="M622" i="11"/>
  <c r="L622" i="11"/>
  <c r="G622" i="11"/>
  <c r="S621" i="11"/>
  <c r="R621" i="11"/>
  <c r="Q621" i="11"/>
  <c r="O621" i="11"/>
  <c r="N621" i="11"/>
  <c r="M621" i="11"/>
  <c r="L621" i="11"/>
  <c r="G621" i="11"/>
  <c r="S620" i="11"/>
  <c r="R620" i="11"/>
  <c r="Q620" i="11"/>
  <c r="O620" i="11"/>
  <c r="N620" i="11"/>
  <c r="M620" i="11"/>
  <c r="L620" i="11"/>
  <c r="G620" i="11"/>
  <c r="S619" i="11"/>
  <c r="R619" i="11"/>
  <c r="Q619" i="11"/>
  <c r="O619" i="11"/>
  <c r="N619" i="11"/>
  <c r="M619" i="11"/>
  <c r="L619" i="11"/>
  <c r="G619" i="11"/>
  <c r="S618" i="11"/>
  <c r="R618" i="11"/>
  <c r="Q618" i="11"/>
  <c r="O618" i="11"/>
  <c r="N618" i="11"/>
  <c r="M618" i="11"/>
  <c r="L618" i="11"/>
  <c r="G618" i="11"/>
  <c r="S617" i="11"/>
  <c r="R617" i="11"/>
  <c r="Q617" i="11"/>
  <c r="O617" i="11"/>
  <c r="N617" i="11"/>
  <c r="M617" i="11"/>
  <c r="L617" i="11"/>
  <c r="G617" i="11"/>
  <c r="S616" i="11"/>
  <c r="R616" i="11"/>
  <c r="Q616" i="11"/>
  <c r="O616" i="11"/>
  <c r="N616" i="11"/>
  <c r="M616" i="11"/>
  <c r="L616" i="11"/>
  <c r="G616" i="11"/>
  <c r="S615" i="11"/>
  <c r="R615" i="11"/>
  <c r="Q615" i="11"/>
  <c r="O615" i="11"/>
  <c r="N615" i="11"/>
  <c r="M615" i="11"/>
  <c r="L615" i="11"/>
  <c r="G615" i="11"/>
  <c r="S614" i="11"/>
  <c r="R614" i="11"/>
  <c r="Q614" i="11"/>
  <c r="O614" i="11"/>
  <c r="N614" i="11"/>
  <c r="M614" i="11"/>
  <c r="L614" i="11"/>
  <c r="G614" i="11"/>
  <c r="S613" i="11"/>
  <c r="R613" i="11"/>
  <c r="Q613" i="11"/>
  <c r="O613" i="11"/>
  <c r="N613" i="11"/>
  <c r="M613" i="11"/>
  <c r="L613" i="11"/>
  <c r="G613" i="11"/>
  <c r="S612" i="11"/>
  <c r="R612" i="11"/>
  <c r="Q612" i="11"/>
  <c r="O612" i="11"/>
  <c r="N612" i="11"/>
  <c r="M612" i="11"/>
  <c r="L612" i="11"/>
  <c r="G612" i="11"/>
  <c r="S611" i="11"/>
  <c r="R611" i="11"/>
  <c r="Q611" i="11"/>
  <c r="O611" i="11"/>
  <c r="N611" i="11"/>
  <c r="M611" i="11"/>
  <c r="L611" i="11"/>
  <c r="G611" i="11"/>
  <c r="S610" i="11"/>
  <c r="R610" i="11"/>
  <c r="Q610" i="11"/>
  <c r="O610" i="11"/>
  <c r="N610" i="11"/>
  <c r="M610" i="11"/>
  <c r="L610" i="11"/>
  <c r="G610" i="11"/>
  <c r="S609" i="11"/>
  <c r="R609" i="11"/>
  <c r="Q609" i="11"/>
  <c r="O609" i="11"/>
  <c r="N609" i="11"/>
  <c r="M609" i="11"/>
  <c r="L609" i="11"/>
  <c r="G609" i="11"/>
  <c r="S608" i="11"/>
  <c r="R608" i="11"/>
  <c r="Q608" i="11"/>
  <c r="O608" i="11"/>
  <c r="N608" i="11"/>
  <c r="M608" i="11"/>
  <c r="L608" i="11"/>
  <c r="G608" i="11"/>
  <c r="S607" i="11"/>
  <c r="R607" i="11"/>
  <c r="Q607" i="11"/>
  <c r="O607" i="11"/>
  <c r="N607" i="11"/>
  <c r="M607" i="11"/>
  <c r="L607" i="11"/>
  <c r="G607" i="11"/>
  <c r="S606" i="11"/>
  <c r="R606" i="11"/>
  <c r="Q606" i="11"/>
  <c r="O606" i="11"/>
  <c r="N606" i="11"/>
  <c r="M606" i="11"/>
  <c r="L606" i="11"/>
  <c r="G606" i="11"/>
  <c r="S605" i="11"/>
  <c r="R605" i="11"/>
  <c r="Q605" i="11"/>
  <c r="O605" i="11"/>
  <c r="N605" i="11"/>
  <c r="M605" i="11"/>
  <c r="L605" i="11"/>
  <c r="G605" i="11"/>
  <c r="S604" i="11"/>
  <c r="R604" i="11"/>
  <c r="Q604" i="11"/>
  <c r="O604" i="11"/>
  <c r="N604" i="11"/>
  <c r="M604" i="11"/>
  <c r="L604" i="11"/>
  <c r="G604" i="11"/>
  <c r="S603" i="11"/>
  <c r="R603" i="11"/>
  <c r="Q603" i="11"/>
  <c r="O603" i="11"/>
  <c r="N603" i="11"/>
  <c r="M603" i="11"/>
  <c r="L603" i="11"/>
  <c r="G603" i="11"/>
  <c r="S602" i="11"/>
  <c r="R602" i="11"/>
  <c r="Q602" i="11"/>
  <c r="O602" i="11"/>
  <c r="N602" i="11"/>
  <c r="M602" i="11"/>
  <c r="L602" i="11"/>
  <c r="G602" i="11"/>
  <c r="S601" i="11"/>
  <c r="R601" i="11"/>
  <c r="Q601" i="11"/>
  <c r="O601" i="11"/>
  <c r="N601" i="11"/>
  <c r="M601" i="11"/>
  <c r="L601" i="11"/>
  <c r="G601" i="11"/>
  <c r="S600" i="11"/>
  <c r="R600" i="11"/>
  <c r="Q600" i="11"/>
  <c r="O600" i="11"/>
  <c r="N600" i="11"/>
  <c r="M600" i="11"/>
  <c r="L600" i="11"/>
  <c r="G600" i="11"/>
  <c r="S599" i="11"/>
  <c r="R599" i="11"/>
  <c r="Q599" i="11"/>
  <c r="O599" i="11"/>
  <c r="N599" i="11"/>
  <c r="M599" i="11"/>
  <c r="L599" i="11"/>
  <c r="G599" i="11"/>
  <c r="S598" i="11"/>
  <c r="R598" i="11"/>
  <c r="Q598" i="11"/>
  <c r="O598" i="11"/>
  <c r="N598" i="11"/>
  <c r="M598" i="11"/>
  <c r="L598" i="11"/>
  <c r="G598" i="11"/>
  <c r="S597" i="11"/>
  <c r="R597" i="11"/>
  <c r="Q597" i="11"/>
  <c r="O597" i="11"/>
  <c r="N597" i="11"/>
  <c r="M597" i="11"/>
  <c r="L597" i="11"/>
  <c r="G597" i="11"/>
  <c r="S596" i="11"/>
  <c r="R596" i="11"/>
  <c r="Q596" i="11"/>
  <c r="O596" i="11"/>
  <c r="N596" i="11"/>
  <c r="M596" i="11"/>
  <c r="L596" i="11"/>
  <c r="G596" i="11"/>
  <c r="S595" i="11"/>
  <c r="R595" i="11"/>
  <c r="Q595" i="11"/>
  <c r="O595" i="11"/>
  <c r="N595" i="11"/>
  <c r="M595" i="11"/>
  <c r="L595" i="11"/>
  <c r="G595" i="11"/>
  <c r="S594" i="11"/>
  <c r="R594" i="11"/>
  <c r="Q594" i="11"/>
  <c r="O594" i="11"/>
  <c r="N594" i="11"/>
  <c r="M594" i="11"/>
  <c r="L594" i="11"/>
  <c r="G594" i="11"/>
  <c r="S593" i="11"/>
  <c r="R593" i="11"/>
  <c r="Q593" i="11"/>
  <c r="O593" i="11"/>
  <c r="N593" i="11"/>
  <c r="M593" i="11"/>
  <c r="L593" i="11"/>
  <c r="G593" i="11"/>
  <c r="S592" i="11"/>
  <c r="R592" i="11"/>
  <c r="Q592" i="11"/>
  <c r="O592" i="11"/>
  <c r="N592" i="11"/>
  <c r="M592" i="11"/>
  <c r="L592" i="11"/>
  <c r="G592" i="11"/>
  <c r="S591" i="11"/>
  <c r="R591" i="11"/>
  <c r="Q591" i="11"/>
  <c r="O591" i="11"/>
  <c r="N591" i="11"/>
  <c r="M591" i="11"/>
  <c r="L591" i="11"/>
  <c r="G591" i="11"/>
  <c r="S590" i="11"/>
  <c r="R590" i="11"/>
  <c r="Q590" i="11"/>
  <c r="O590" i="11"/>
  <c r="N590" i="11"/>
  <c r="M590" i="11"/>
  <c r="L590" i="11"/>
  <c r="G590" i="11"/>
  <c r="S589" i="11"/>
  <c r="R589" i="11"/>
  <c r="Q589" i="11"/>
  <c r="O589" i="11"/>
  <c r="N589" i="11"/>
  <c r="M589" i="11"/>
  <c r="L589" i="11"/>
  <c r="G589" i="11"/>
  <c r="S588" i="11"/>
  <c r="R588" i="11"/>
  <c r="Q588" i="11"/>
  <c r="O588" i="11"/>
  <c r="N588" i="11"/>
  <c r="M588" i="11"/>
  <c r="L588" i="11"/>
  <c r="G588" i="11"/>
  <c r="S587" i="11"/>
  <c r="R587" i="11"/>
  <c r="Q587" i="11"/>
  <c r="O587" i="11"/>
  <c r="N587" i="11"/>
  <c r="M587" i="11"/>
  <c r="L587" i="11"/>
  <c r="G587" i="11"/>
  <c r="S586" i="11"/>
  <c r="R586" i="11"/>
  <c r="Q586" i="11"/>
  <c r="O586" i="11"/>
  <c r="N586" i="11"/>
  <c r="M586" i="11"/>
  <c r="L586" i="11"/>
  <c r="G586" i="11"/>
  <c r="S585" i="11"/>
  <c r="R585" i="11"/>
  <c r="Q585" i="11"/>
  <c r="O585" i="11"/>
  <c r="N585" i="11"/>
  <c r="L585" i="11"/>
  <c r="K585" i="11"/>
  <c r="J585" i="11"/>
  <c r="G585" i="11"/>
  <c r="M585" i="11" s="1"/>
  <c r="S584" i="11"/>
  <c r="R584" i="11"/>
  <c r="Q584" i="11"/>
  <c r="O584" i="11"/>
  <c r="N584" i="11"/>
  <c r="L584" i="11"/>
  <c r="G584" i="11"/>
  <c r="M584" i="11" s="1"/>
  <c r="S583" i="11"/>
  <c r="R583" i="11"/>
  <c r="Q583" i="11"/>
  <c r="O583" i="11"/>
  <c r="N583" i="11"/>
  <c r="L583" i="11"/>
  <c r="G583" i="11"/>
  <c r="M583" i="11" s="1"/>
  <c r="S582" i="11"/>
  <c r="R582" i="11"/>
  <c r="Q582" i="11"/>
  <c r="O582" i="11"/>
  <c r="N582" i="11"/>
  <c r="M582" i="11"/>
  <c r="L582" i="11"/>
  <c r="G582" i="11"/>
  <c r="S581" i="11"/>
  <c r="R581" i="11"/>
  <c r="Q581" i="11"/>
  <c r="O581" i="11"/>
  <c r="N581" i="11"/>
  <c r="L581" i="11"/>
  <c r="G581" i="11"/>
  <c r="M581" i="11" s="1"/>
  <c r="S580" i="11"/>
  <c r="R580" i="11"/>
  <c r="Q580" i="11"/>
  <c r="O580" i="11"/>
  <c r="N580" i="11"/>
  <c r="L580" i="11"/>
  <c r="G580" i="11"/>
  <c r="M580" i="11" s="1"/>
  <c r="S579" i="11"/>
  <c r="R579" i="11"/>
  <c r="Q579" i="11"/>
  <c r="O579" i="11"/>
  <c r="N579" i="11"/>
  <c r="M579" i="11"/>
  <c r="L579" i="11"/>
  <c r="G579" i="11"/>
  <c r="S578" i="11"/>
  <c r="R578" i="11"/>
  <c r="Q578" i="11"/>
  <c r="O578" i="11"/>
  <c r="N578" i="11"/>
  <c r="M578" i="11"/>
  <c r="L578" i="11"/>
  <c r="G578" i="11"/>
  <c r="S577" i="11"/>
  <c r="R577" i="11"/>
  <c r="Q577" i="11"/>
  <c r="O577" i="11"/>
  <c r="N577" i="11"/>
  <c r="L577" i="11"/>
  <c r="G577" i="11"/>
  <c r="M577" i="11" s="1"/>
  <c r="S576" i="11"/>
  <c r="R576" i="11"/>
  <c r="Q576" i="11"/>
  <c r="O576" i="11"/>
  <c r="N576" i="11"/>
  <c r="M576" i="11"/>
  <c r="L576" i="11"/>
  <c r="G576" i="11"/>
  <c r="S575" i="11"/>
  <c r="R575" i="11"/>
  <c r="Q575" i="11"/>
  <c r="O575" i="11"/>
  <c r="N575" i="11"/>
  <c r="M575" i="11"/>
  <c r="L575" i="11"/>
  <c r="G575" i="11"/>
  <c r="S574" i="11"/>
  <c r="R574" i="11"/>
  <c r="Q574" i="11"/>
  <c r="O574" i="11"/>
  <c r="N574" i="11"/>
  <c r="L574" i="11"/>
  <c r="G574" i="11"/>
  <c r="M574" i="11" s="1"/>
  <c r="S573" i="11"/>
  <c r="R573" i="11"/>
  <c r="Q573" i="11"/>
  <c r="O573" i="11"/>
  <c r="N573" i="11"/>
  <c r="L573" i="11"/>
  <c r="G573" i="11"/>
  <c r="M573" i="11" s="1"/>
  <c r="S572" i="11"/>
  <c r="R572" i="11"/>
  <c r="Q572" i="11"/>
  <c r="O572" i="11"/>
  <c r="N572" i="11"/>
  <c r="L572" i="11"/>
  <c r="G572" i="11"/>
  <c r="M572" i="11" s="1"/>
  <c r="S571" i="11"/>
  <c r="R571" i="11"/>
  <c r="Q571" i="11"/>
  <c r="O571" i="11"/>
  <c r="N571" i="11"/>
  <c r="L571" i="11"/>
  <c r="G571" i="11"/>
  <c r="M571" i="11" s="1"/>
  <c r="S570" i="11"/>
  <c r="R570" i="11"/>
  <c r="Q570" i="11"/>
  <c r="O570" i="11"/>
  <c r="N570" i="11"/>
  <c r="L570" i="11"/>
  <c r="G570" i="11"/>
  <c r="M570" i="11" s="1"/>
  <c r="S569" i="11"/>
  <c r="R569" i="11"/>
  <c r="Q569" i="11"/>
  <c r="O569" i="11"/>
  <c r="N569" i="11"/>
  <c r="M569" i="11"/>
  <c r="L569" i="11"/>
  <c r="G569" i="11"/>
  <c r="S568" i="11"/>
  <c r="R568" i="11"/>
  <c r="Q568" i="11"/>
  <c r="O568" i="11"/>
  <c r="N568" i="11"/>
  <c r="L568" i="11"/>
  <c r="G568" i="11"/>
  <c r="M568" i="11" s="1"/>
  <c r="S567" i="11"/>
  <c r="R567" i="11"/>
  <c r="Q567" i="11"/>
  <c r="O567" i="11"/>
  <c r="N567" i="11"/>
  <c r="M567" i="11"/>
  <c r="L567" i="11"/>
  <c r="G567" i="11"/>
  <c r="S566" i="11"/>
  <c r="R566" i="11"/>
  <c r="Q566" i="11"/>
  <c r="O566" i="11"/>
  <c r="N566" i="11"/>
  <c r="M566" i="11"/>
  <c r="L566" i="11"/>
  <c r="G566" i="11"/>
  <c r="S565" i="11"/>
  <c r="R565" i="11"/>
  <c r="Q565" i="11"/>
  <c r="O565" i="11"/>
  <c r="N565" i="11"/>
  <c r="L565" i="11"/>
  <c r="G565" i="11"/>
  <c r="M565" i="11" s="1"/>
  <c r="S564" i="11"/>
  <c r="R564" i="11"/>
  <c r="Q564" i="11"/>
  <c r="O564" i="11"/>
  <c r="N564" i="11"/>
  <c r="M564" i="11"/>
  <c r="L564" i="11"/>
  <c r="G564" i="11"/>
  <c r="S563" i="11"/>
  <c r="R563" i="11"/>
  <c r="Q563" i="11"/>
  <c r="O563" i="11"/>
  <c r="N563" i="11"/>
  <c r="M563" i="11"/>
  <c r="L563" i="11"/>
  <c r="G563" i="11"/>
  <c r="S562" i="11"/>
  <c r="R562" i="11"/>
  <c r="Q562" i="11"/>
  <c r="O562" i="11"/>
  <c r="N562" i="11"/>
  <c r="L562" i="11"/>
  <c r="G562" i="11"/>
  <c r="M562" i="11" s="1"/>
  <c r="S561" i="11"/>
  <c r="R561" i="11"/>
  <c r="Q561" i="11"/>
  <c r="O561" i="11"/>
  <c r="N561" i="11"/>
  <c r="L561" i="11"/>
  <c r="G561" i="11"/>
  <c r="M561" i="11" s="1"/>
  <c r="S560" i="11"/>
  <c r="R560" i="11"/>
  <c r="Q560" i="11"/>
  <c r="O560" i="11"/>
  <c r="N560" i="11"/>
  <c r="L560" i="11"/>
  <c r="G560" i="11"/>
  <c r="M560" i="11" s="1"/>
  <c r="S559" i="11"/>
  <c r="R559" i="11"/>
  <c r="Q559" i="11"/>
  <c r="O559" i="11"/>
  <c r="N559" i="11"/>
  <c r="L559" i="11"/>
  <c r="G559" i="11"/>
  <c r="M559" i="11" s="1"/>
  <c r="S558" i="11"/>
  <c r="R558" i="11"/>
  <c r="Q558" i="11"/>
  <c r="O558" i="11"/>
  <c r="N558" i="11"/>
  <c r="M558" i="11"/>
  <c r="L558" i="11"/>
  <c r="G558" i="11"/>
  <c r="S557" i="11"/>
  <c r="R557" i="11"/>
  <c r="Q557" i="11"/>
  <c r="O557" i="11"/>
  <c r="N557" i="11"/>
  <c r="M557" i="11"/>
  <c r="L557" i="11"/>
  <c r="G557" i="11"/>
  <c r="S556" i="11"/>
  <c r="R556" i="11"/>
  <c r="Q556" i="11"/>
  <c r="O556" i="11"/>
  <c r="N556" i="11"/>
  <c r="L556" i="11"/>
  <c r="G556" i="11"/>
  <c r="M556" i="11" s="1"/>
  <c r="S555" i="11"/>
  <c r="R555" i="11"/>
  <c r="Q555" i="11"/>
  <c r="O555" i="11"/>
  <c r="N555" i="11"/>
  <c r="M555" i="11"/>
  <c r="L555" i="11"/>
  <c r="G555" i="11"/>
  <c r="S554" i="11"/>
  <c r="R554" i="11"/>
  <c r="Q554" i="11"/>
  <c r="O554" i="11"/>
  <c r="N554" i="11"/>
  <c r="M554" i="11"/>
  <c r="L554" i="11"/>
  <c r="G554" i="11"/>
  <c r="S553" i="11"/>
  <c r="R553" i="11"/>
  <c r="Q553" i="11"/>
  <c r="O553" i="11"/>
  <c r="N553" i="11"/>
  <c r="L553" i="11"/>
  <c r="G553" i="11"/>
  <c r="M553" i="11" s="1"/>
  <c r="S552" i="11"/>
  <c r="R552" i="11"/>
  <c r="Q552" i="11"/>
  <c r="O552" i="11"/>
  <c r="N552" i="11"/>
  <c r="M552" i="11"/>
  <c r="L552" i="11"/>
  <c r="G552" i="11"/>
  <c r="S551" i="11"/>
  <c r="R551" i="11"/>
  <c r="Q551" i="11"/>
  <c r="O551" i="11"/>
  <c r="N551" i="11"/>
  <c r="L551" i="11"/>
  <c r="G551" i="11"/>
  <c r="M551" i="11" s="1"/>
  <c r="S550" i="11"/>
  <c r="R550" i="11"/>
  <c r="Q550" i="11"/>
  <c r="O550" i="11"/>
  <c r="N550" i="11"/>
  <c r="L550" i="11"/>
  <c r="G550" i="11"/>
  <c r="M550" i="11" s="1"/>
  <c r="S549" i="11"/>
  <c r="R549" i="11"/>
  <c r="Q549" i="11"/>
  <c r="O549" i="11"/>
  <c r="N549" i="11"/>
  <c r="L549" i="11"/>
  <c r="G549" i="11"/>
  <c r="M549" i="11" s="1"/>
  <c r="S548" i="11"/>
  <c r="R548" i="11"/>
  <c r="Q548" i="11"/>
  <c r="O548" i="11"/>
  <c r="N548" i="11"/>
  <c r="L548" i="11"/>
  <c r="G548" i="11"/>
  <c r="M548" i="11" s="1"/>
  <c r="S547" i="11"/>
  <c r="R547" i="11"/>
  <c r="Q547" i="11"/>
  <c r="O547" i="11"/>
  <c r="N547" i="11"/>
  <c r="L547" i="11"/>
  <c r="G547" i="11"/>
  <c r="M547" i="11" s="1"/>
  <c r="S546" i="11"/>
  <c r="R546" i="11"/>
  <c r="Q546" i="11"/>
  <c r="O546" i="11"/>
  <c r="N546" i="11"/>
  <c r="M546" i="11"/>
  <c r="L546" i="11"/>
  <c r="G546" i="11"/>
  <c r="S545" i="11"/>
  <c r="R545" i="11"/>
  <c r="Q545" i="11"/>
  <c r="O545" i="11"/>
  <c r="N545" i="11"/>
  <c r="L545" i="11"/>
  <c r="G545" i="11"/>
  <c r="M545" i="11" s="1"/>
  <c r="S544" i="11"/>
  <c r="R544" i="11"/>
  <c r="Q544" i="11"/>
  <c r="O544" i="11"/>
  <c r="N544" i="11"/>
  <c r="L544" i="11"/>
  <c r="G544" i="11"/>
  <c r="M544" i="11" s="1"/>
  <c r="S543" i="11"/>
  <c r="R543" i="11"/>
  <c r="Q543" i="11"/>
  <c r="O543" i="11"/>
  <c r="N543" i="11"/>
  <c r="M543" i="11"/>
  <c r="L543" i="11"/>
  <c r="G543" i="11"/>
  <c r="S542" i="11"/>
  <c r="R542" i="11"/>
  <c r="Q542" i="11"/>
  <c r="O542" i="11"/>
  <c r="N542" i="11"/>
  <c r="M542" i="11"/>
  <c r="L542" i="11"/>
  <c r="G542" i="11"/>
  <c r="S541" i="11"/>
  <c r="R541" i="11"/>
  <c r="Q541" i="11"/>
  <c r="O541" i="11"/>
  <c r="N541" i="11"/>
  <c r="L541" i="11"/>
  <c r="G541" i="11"/>
  <c r="M541" i="11" s="1"/>
  <c r="S540" i="11"/>
  <c r="R540" i="11"/>
  <c r="Q540" i="11"/>
  <c r="O540" i="11"/>
  <c r="N540" i="11"/>
  <c r="L540" i="11"/>
  <c r="G540" i="11"/>
  <c r="M540" i="11" s="1"/>
  <c r="S539" i="11"/>
  <c r="R539" i="11"/>
  <c r="Q539" i="11"/>
  <c r="O539" i="11"/>
  <c r="N539" i="11"/>
  <c r="M539" i="11"/>
  <c r="L539" i="11"/>
  <c r="G539" i="11"/>
  <c r="S538" i="11"/>
  <c r="R538" i="11"/>
  <c r="Q538" i="11"/>
  <c r="O538" i="11"/>
  <c r="N538" i="11"/>
  <c r="L538" i="11"/>
  <c r="G538" i="11"/>
  <c r="M538" i="11" s="1"/>
  <c r="S537" i="11"/>
  <c r="R537" i="11"/>
  <c r="Q537" i="11"/>
  <c r="O537" i="11"/>
  <c r="N537" i="11"/>
  <c r="L537" i="11"/>
  <c r="G537" i="11"/>
  <c r="M537" i="11" s="1"/>
  <c r="S536" i="11"/>
  <c r="R536" i="11"/>
  <c r="Q536" i="11"/>
  <c r="O536" i="11"/>
  <c r="N536" i="11"/>
  <c r="L536" i="11"/>
  <c r="G536" i="11"/>
  <c r="M536" i="11" s="1"/>
  <c r="S535" i="11"/>
  <c r="R535" i="11"/>
  <c r="Q535" i="11"/>
  <c r="O535" i="11"/>
  <c r="N535" i="11"/>
  <c r="L535" i="11"/>
  <c r="G535" i="11"/>
  <c r="M535" i="11" s="1"/>
  <c r="S534" i="11"/>
  <c r="R534" i="11"/>
  <c r="Q534" i="11"/>
  <c r="O534" i="11"/>
  <c r="N534" i="11"/>
  <c r="L534" i="11"/>
  <c r="G534" i="11"/>
  <c r="M534" i="11" s="1"/>
  <c r="S533" i="11"/>
  <c r="R533" i="11"/>
  <c r="Q533" i="11"/>
  <c r="O533" i="11"/>
  <c r="N533" i="11"/>
  <c r="M533" i="11"/>
  <c r="L533" i="11"/>
  <c r="G533" i="11"/>
  <c r="S532" i="11"/>
  <c r="R532" i="11"/>
  <c r="Q532" i="11"/>
  <c r="O532" i="11"/>
  <c r="N532" i="11"/>
  <c r="L532" i="11"/>
  <c r="G532" i="11"/>
  <c r="M532" i="11" s="1"/>
  <c r="S531" i="11"/>
  <c r="R531" i="11"/>
  <c r="Q531" i="11"/>
  <c r="O531" i="11"/>
  <c r="N531" i="11"/>
  <c r="M531" i="11"/>
  <c r="L531" i="11"/>
  <c r="G531" i="11"/>
  <c r="S530" i="11"/>
  <c r="R530" i="11"/>
  <c r="Q530" i="11"/>
  <c r="O530" i="11"/>
  <c r="N530" i="11"/>
  <c r="M530" i="11"/>
  <c r="L530" i="11"/>
  <c r="G530" i="11"/>
  <c r="S529" i="11"/>
  <c r="R529" i="11"/>
  <c r="Q529" i="11"/>
  <c r="O529" i="11"/>
  <c r="N529" i="11"/>
  <c r="L529" i="11"/>
  <c r="G529" i="11"/>
  <c r="M529" i="11" s="1"/>
  <c r="S528" i="11"/>
  <c r="R528" i="11"/>
  <c r="Q528" i="11"/>
  <c r="O528" i="11"/>
  <c r="N528" i="11"/>
  <c r="M528" i="11"/>
  <c r="L528" i="11"/>
  <c r="G528" i="11"/>
  <c r="S527" i="11"/>
  <c r="R527" i="11"/>
  <c r="Q527" i="11"/>
  <c r="O527" i="11"/>
  <c r="N527" i="11"/>
  <c r="M527" i="11"/>
  <c r="L527" i="11"/>
  <c r="G527" i="11"/>
  <c r="S526" i="11"/>
  <c r="R526" i="11"/>
  <c r="Q526" i="11"/>
  <c r="O526" i="11"/>
  <c r="N526" i="11"/>
  <c r="L526" i="11"/>
  <c r="G526" i="11"/>
  <c r="M526" i="11" s="1"/>
  <c r="S525" i="11"/>
  <c r="R525" i="11"/>
  <c r="Q525" i="11"/>
  <c r="O525" i="11"/>
  <c r="N525" i="11"/>
  <c r="L525" i="11"/>
  <c r="G525" i="11"/>
  <c r="M525" i="11" s="1"/>
  <c r="S524" i="11"/>
  <c r="R524" i="11"/>
  <c r="Q524" i="11"/>
  <c r="O524" i="11"/>
  <c r="N524" i="11"/>
  <c r="L524" i="11"/>
  <c r="G524" i="11"/>
  <c r="M524" i="11" s="1"/>
  <c r="S523" i="11"/>
  <c r="R523" i="11"/>
  <c r="Q523" i="11"/>
  <c r="O523" i="11"/>
  <c r="N523" i="11"/>
  <c r="L523" i="11"/>
  <c r="G523" i="11"/>
  <c r="M523" i="11" s="1"/>
  <c r="S522" i="11"/>
  <c r="R522" i="11"/>
  <c r="Q522" i="11"/>
  <c r="O522" i="11"/>
  <c r="N522" i="11"/>
  <c r="M522" i="11"/>
  <c r="L522" i="11"/>
  <c r="G522" i="11"/>
  <c r="S521" i="11"/>
  <c r="R521" i="11"/>
  <c r="Q521" i="11"/>
  <c r="O521" i="11"/>
  <c r="N521" i="11"/>
  <c r="M521" i="11"/>
  <c r="L521" i="11"/>
  <c r="G521" i="11"/>
  <c r="S520" i="11"/>
  <c r="R520" i="11"/>
  <c r="Q520" i="11"/>
  <c r="O520" i="11"/>
  <c r="N520" i="11"/>
  <c r="L520" i="11"/>
  <c r="G520" i="11"/>
  <c r="M520" i="11" s="1"/>
  <c r="S519" i="11"/>
  <c r="R519" i="11"/>
  <c r="Q519" i="11"/>
  <c r="O519" i="11"/>
  <c r="N519" i="11"/>
  <c r="M519" i="11"/>
  <c r="L519" i="11"/>
  <c r="G519" i="11"/>
  <c r="S518" i="11"/>
  <c r="R518" i="11"/>
  <c r="Q518" i="11"/>
  <c r="O518" i="11"/>
  <c r="N518" i="11"/>
  <c r="M518" i="11"/>
  <c r="L518" i="11"/>
  <c r="G518" i="11"/>
  <c r="S517" i="11"/>
  <c r="R517" i="11"/>
  <c r="Q517" i="11"/>
  <c r="O517" i="11"/>
  <c r="N517" i="11"/>
  <c r="L517" i="11"/>
  <c r="G517" i="11"/>
  <c r="M517" i="11" s="1"/>
  <c r="S516" i="11"/>
  <c r="R516" i="11"/>
  <c r="Q516" i="11"/>
  <c r="O516" i="11"/>
  <c r="N516" i="11"/>
  <c r="M516" i="11"/>
  <c r="L516" i="11"/>
  <c r="G516" i="11"/>
  <c r="S515" i="11"/>
  <c r="R515" i="11"/>
  <c r="Q515" i="11"/>
  <c r="O515" i="11"/>
  <c r="N515" i="11"/>
  <c r="M515" i="11"/>
  <c r="L515" i="11"/>
  <c r="G515" i="11"/>
  <c r="S514" i="11"/>
  <c r="R514" i="11"/>
  <c r="Q514" i="11"/>
  <c r="O514" i="11"/>
  <c r="N514" i="11"/>
  <c r="L514" i="11"/>
  <c r="G514" i="11"/>
  <c r="M514" i="11" s="1"/>
  <c r="S513" i="11"/>
  <c r="R513" i="11"/>
  <c r="Q513" i="11"/>
  <c r="O513" i="11"/>
  <c r="N513" i="11"/>
  <c r="L513" i="11"/>
  <c r="G513" i="11"/>
  <c r="M513" i="11" s="1"/>
  <c r="S512" i="11"/>
  <c r="R512" i="11"/>
  <c r="Q512" i="11"/>
  <c r="O512" i="11"/>
  <c r="N512" i="11"/>
  <c r="L512" i="11"/>
  <c r="G512" i="11"/>
  <c r="M512" i="11" s="1"/>
  <c r="S511" i="11"/>
  <c r="R511" i="11"/>
  <c r="Q511" i="11"/>
  <c r="O511" i="11"/>
  <c r="N511" i="11"/>
  <c r="L511" i="11"/>
  <c r="G511" i="11"/>
  <c r="M511" i="11" s="1"/>
  <c r="S510" i="11"/>
  <c r="R510" i="11"/>
  <c r="Q510" i="11"/>
  <c r="O510" i="11"/>
  <c r="N510" i="11"/>
  <c r="M510" i="11"/>
  <c r="L510" i="11"/>
  <c r="G510" i="11"/>
  <c r="S509" i="11"/>
  <c r="R509" i="11"/>
  <c r="Q509" i="11"/>
  <c r="O509" i="11"/>
  <c r="N509" i="11"/>
  <c r="L509" i="11"/>
  <c r="G509" i="11"/>
  <c r="M509" i="11" s="1"/>
  <c r="S508" i="11"/>
  <c r="R508" i="11"/>
  <c r="Q508" i="11"/>
  <c r="O508" i="11"/>
  <c r="N508" i="11"/>
  <c r="L508" i="11"/>
  <c r="G508" i="11"/>
  <c r="M508" i="11" s="1"/>
  <c r="S507" i="11"/>
  <c r="R507" i="11"/>
  <c r="Q507" i="11"/>
  <c r="O507" i="11"/>
  <c r="N507" i="11"/>
  <c r="M507" i="11"/>
  <c r="L507" i="11"/>
  <c r="G507" i="11"/>
  <c r="S506" i="11"/>
  <c r="R506" i="11"/>
  <c r="Q506" i="11"/>
  <c r="O506" i="11"/>
  <c r="N506" i="11"/>
  <c r="M506" i="11"/>
  <c r="L506" i="11"/>
  <c r="G506" i="11"/>
  <c r="S505" i="11"/>
  <c r="R505" i="11"/>
  <c r="Q505" i="11"/>
  <c r="O505" i="11"/>
  <c r="N505" i="11"/>
  <c r="L505" i="11"/>
  <c r="G505" i="11"/>
  <c r="M505" i="11" s="1"/>
  <c r="S504" i="11"/>
  <c r="R504" i="11"/>
  <c r="Q504" i="11"/>
  <c r="O504" i="11"/>
  <c r="N504" i="11"/>
  <c r="M504" i="11"/>
  <c r="L504" i="11"/>
  <c r="G504" i="11"/>
  <c r="S503" i="11"/>
  <c r="R503" i="11"/>
  <c r="Q503" i="11"/>
  <c r="O503" i="11"/>
  <c r="N503" i="11"/>
  <c r="M503" i="11"/>
  <c r="L503" i="11"/>
  <c r="G503" i="11"/>
  <c r="S502" i="11"/>
  <c r="R502" i="11"/>
  <c r="Q502" i="11"/>
  <c r="O502" i="11"/>
  <c r="N502" i="11"/>
  <c r="L502" i="11"/>
  <c r="G502" i="11"/>
  <c r="M502" i="11" s="1"/>
  <c r="S501" i="11"/>
  <c r="R501" i="11"/>
  <c r="Q501" i="11"/>
  <c r="O501" i="11"/>
  <c r="N501" i="11"/>
  <c r="L501" i="11"/>
  <c r="G501" i="11"/>
  <c r="M501" i="11" s="1"/>
  <c r="S500" i="11"/>
  <c r="R500" i="11"/>
  <c r="Q500" i="11"/>
  <c r="O500" i="11"/>
  <c r="N500" i="11"/>
  <c r="L500" i="11"/>
  <c r="G500" i="11"/>
  <c r="M500" i="11" s="1"/>
  <c r="S499" i="11"/>
  <c r="R499" i="11"/>
  <c r="Q499" i="11"/>
  <c r="O499" i="11"/>
  <c r="N499" i="11"/>
  <c r="L499" i="11"/>
  <c r="G499" i="11"/>
  <c r="M499" i="11" s="1"/>
  <c r="S498" i="11"/>
  <c r="R498" i="11"/>
  <c r="Q498" i="11"/>
  <c r="O498" i="11"/>
  <c r="N498" i="11"/>
  <c r="L498" i="11"/>
  <c r="G498" i="11"/>
  <c r="M498" i="11" s="1"/>
  <c r="S497" i="11"/>
  <c r="R497" i="11"/>
  <c r="Q497" i="11"/>
  <c r="O497" i="11"/>
  <c r="N497" i="11"/>
  <c r="M497" i="11"/>
  <c r="L497" i="11"/>
  <c r="G497" i="11"/>
  <c r="S496" i="11"/>
  <c r="R496" i="11"/>
  <c r="Q496" i="11"/>
  <c r="O496" i="11"/>
  <c r="N496" i="11"/>
  <c r="L496" i="11"/>
  <c r="G496" i="11"/>
  <c r="M496" i="11" s="1"/>
  <c r="S495" i="11"/>
  <c r="R495" i="11"/>
  <c r="Q495" i="11"/>
  <c r="O495" i="11"/>
  <c r="N495" i="11"/>
  <c r="M495" i="11"/>
  <c r="L495" i="11"/>
  <c r="G495" i="11"/>
  <c r="S494" i="11"/>
  <c r="R494" i="11"/>
  <c r="Q494" i="11"/>
  <c r="O494" i="11"/>
  <c r="N494" i="11"/>
  <c r="M494" i="11"/>
  <c r="L494" i="11"/>
  <c r="G494" i="11"/>
  <c r="S493" i="11"/>
  <c r="R493" i="11"/>
  <c r="Q493" i="11"/>
  <c r="O493" i="11"/>
  <c r="N493" i="11"/>
  <c r="L493" i="11"/>
  <c r="G493" i="11"/>
  <c r="M493" i="11" s="1"/>
  <c r="S492" i="11"/>
  <c r="R492" i="11"/>
  <c r="Q492" i="11"/>
  <c r="O492" i="11"/>
  <c r="N492" i="11"/>
  <c r="M492" i="11"/>
  <c r="L492" i="11"/>
  <c r="G492" i="11"/>
  <c r="S491" i="11"/>
  <c r="R491" i="11"/>
  <c r="Q491" i="11"/>
  <c r="O491" i="11"/>
  <c r="N491" i="11"/>
  <c r="M491" i="11"/>
  <c r="L491" i="11"/>
  <c r="G491" i="11"/>
  <c r="S490" i="11"/>
  <c r="R490" i="11"/>
  <c r="Q490" i="11"/>
  <c r="O490" i="11"/>
  <c r="N490" i="11"/>
  <c r="L490" i="11"/>
  <c r="G490" i="11"/>
  <c r="M490" i="11" s="1"/>
  <c r="S489" i="11"/>
  <c r="R489" i="11"/>
  <c r="Q489" i="11"/>
  <c r="O489" i="11"/>
  <c r="N489" i="11"/>
  <c r="L489" i="11"/>
  <c r="G489" i="11"/>
  <c r="M489" i="11" s="1"/>
  <c r="S488" i="11"/>
  <c r="R488" i="11"/>
  <c r="Q488" i="11"/>
  <c r="O488" i="11"/>
  <c r="N488" i="11"/>
  <c r="L488" i="11"/>
  <c r="G488" i="11"/>
  <c r="M488" i="11" s="1"/>
  <c r="S487" i="11"/>
  <c r="R487" i="11"/>
  <c r="Q487" i="11"/>
  <c r="O487" i="11"/>
  <c r="N487" i="11"/>
  <c r="L487" i="11"/>
  <c r="G487" i="11"/>
  <c r="M487" i="11" s="1"/>
  <c r="S486" i="11"/>
  <c r="R486" i="11"/>
  <c r="Q486" i="11"/>
  <c r="O486" i="11"/>
  <c r="N486" i="11"/>
  <c r="M486" i="11"/>
  <c r="L486" i="11"/>
  <c r="G486" i="11"/>
  <c r="S485" i="11"/>
  <c r="R485" i="11"/>
  <c r="Q485" i="11"/>
  <c r="O485" i="11"/>
  <c r="N485" i="11"/>
  <c r="M485" i="11"/>
  <c r="L485" i="11"/>
  <c r="G485" i="11"/>
  <c r="S484" i="11"/>
  <c r="R484" i="11"/>
  <c r="Q484" i="11"/>
  <c r="O484" i="11"/>
  <c r="N484" i="11"/>
  <c r="L484" i="11"/>
  <c r="G484" i="11"/>
  <c r="M484" i="11" s="1"/>
  <c r="S483" i="11"/>
  <c r="R483" i="11"/>
  <c r="Q483" i="11"/>
  <c r="O483" i="11"/>
  <c r="N483" i="11"/>
  <c r="M483" i="11"/>
  <c r="L483" i="11"/>
  <c r="G483" i="11"/>
  <c r="S482" i="11"/>
  <c r="R482" i="11"/>
  <c r="Q482" i="11"/>
  <c r="O482" i="11"/>
  <c r="N482" i="11"/>
  <c r="M482" i="11"/>
  <c r="L482" i="11"/>
  <c r="G482" i="11"/>
  <c r="S481" i="11"/>
  <c r="R481" i="11"/>
  <c r="Q481" i="11"/>
  <c r="O481" i="11"/>
  <c r="N481" i="11"/>
  <c r="L481" i="11"/>
  <c r="G481" i="11"/>
  <c r="M481" i="11" s="1"/>
  <c r="S480" i="11"/>
  <c r="R480" i="11"/>
  <c r="Q480" i="11"/>
  <c r="O480" i="11"/>
  <c r="N480" i="11"/>
  <c r="M480" i="11"/>
  <c r="L480" i="11"/>
  <c r="G480" i="11"/>
  <c r="S479" i="11"/>
  <c r="R479" i="11"/>
  <c r="Q479" i="11"/>
  <c r="O479" i="11"/>
  <c r="N479" i="11"/>
  <c r="M479" i="11"/>
  <c r="L479" i="11"/>
  <c r="G479" i="11"/>
  <c r="S478" i="11"/>
  <c r="R478" i="11"/>
  <c r="Q478" i="11"/>
  <c r="O478" i="11"/>
  <c r="N478" i="11"/>
  <c r="L478" i="11"/>
  <c r="G478" i="11"/>
  <c r="M478" i="11" s="1"/>
  <c r="S477" i="11"/>
  <c r="R477" i="11"/>
  <c r="Q477" i="11"/>
  <c r="O477" i="11"/>
  <c r="N477" i="11"/>
  <c r="L477" i="11"/>
  <c r="G477" i="11"/>
  <c r="M477" i="11" s="1"/>
  <c r="S476" i="11"/>
  <c r="R476" i="11"/>
  <c r="Q476" i="11"/>
  <c r="O476" i="11"/>
  <c r="N476" i="11"/>
  <c r="L476" i="11"/>
  <c r="G476" i="11"/>
  <c r="M476" i="11" s="1"/>
  <c r="S475" i="11"/>
  <c r="R475" i="11"/>
  <c r="Q475" i="11"/>
  <c r="O475" i="11"/>
  <c r="N475" i="11"/>
  <c r="L475" i="11"/>
  <c r="G475" i="11"/>
  <c r="M475" i="11" s="1"/>
  <c r="S474" i="11"/>
  <c r="R474" i="11"/>
  <c r="Q474" i="11"/>
  <c r="O474" i="11"/>
  <c r="N474" i="11"/>
  <c r="M474" i="11"/>
  <c r="L474" i="11"/>
  <c r="G474" i="11"/>
  <c r="S473" i="11"/>
  <c r="R473" i="11"/>
  <c r="Q473" i="11"/>
  <c r="O473" i="11"/>
  <c r="N473" i="11"/>
  <c r="L473" i="11"/>
  <c r="G473" i="11"/>
  <c r="M473" i="11" s="1"/>
  <c r="S472" i="11"/>
  <c r="R472" i="11"/>
  <c r="Q472" i="11"/>
  <c r="O472" i="11"/>
  <c r="N472" i="11"/>
  <c r="M472" i="11"/>
  <c r="L472" i="11"/>
  <c r="G472" i="11"/>
  <c r="S471" i="11"/>
  <c r="R471" i="11"/>
  <c r="Q471" i="11"/>
  <c r="O471" i="11"/>
  <c r="N471" i="11"/>
  <c r="L471" i="11"/>
  <c r="G471" i="11"/>
  <c r="M471" i="11" s="1"/>
  <c r="S470" i="11"/>
  <c r="R470" i="11"/>
  <c r="Q470" i="11"/>
  <c r="O470" i="11"/>
  <c r="N470" i="11"/>
  <c r="L470" i="11"/>
  <c r="G470" i="11"/>
  <c r="M470" i="11" s="1"/>
  <c r="S469" i="11"/>
  <c r="R469" i="11"/>
  <c r="Q469" i="11"/>
  <c r="O469" i="11"/>
  <c r="N469" i="11"/>
  <c r="M469" i="11"/>
  <c r="L469" i="11"/>
  <c r="G469" i="11"/>
  <c r="S468" i="11"/>
  <c r="R468" i="11"/>
  <c r="Q468" i="11"/>
  <c r="O468" i="11"/>
  <c r="N468" i="11"/>
  <c r="L468" i="11"/>
  <c r="G468" i="11"/>
  <c r="M468" i="11" s="1"/>
  <c r="S467" i="11"/>
  <c r="R467" i="11"/>
  <c r="Q467" i="11"/>
  <c r="O467" i="11"/>
  <c r="N467" i="11"/>
  <c r="L467" i="11"/>
  <c r="G467" i="11"/>
  <c r="M467" i="11" s="1"/>
  <c r="S466" i="11"/>
  <c r="R466" i="11"/>
  <c r="Q466" i="11"/>
  <c r="O466" i="11"/>
  <c r="N466" i="11"/>
  <c r="M466" i="11"/>
  <c r="L466" i="11"/>
  <c r="G466" i="11"/>
  <c r="S465" i="11"/>
  <c r="R465" i="11"/>
  <c r="Q465" i="11"/>
  <c r="O465" i="11"/>
  <c r="N465" i="11"/>
  <c r="M465" i="11"/>
  <c r="L465" i="11"/>
  <c r="G465" i="11"/>
  <c r="S464" i="11"/>
  <c r="R464" i="11"/>
  <c r="Q464" i="11"/>
  <c r="O464" i="11"/>
  <c r="N464" i="11"/>
  <c r="L464" i="11"/>
  <c r="G464" i="11"/>
  <c r="M464" i="11" s="1"/>
  <c r="S463" i="11"/>
  <c r="R463" i="11"/>
  <c r="Q463" i="11"/>
  <c r="O463" i="11"/>
  <c r="N463" i="11"/>
  <c r="M463" i="11"/>
  <c r="L463" i="11"/>
  <c r="G463" i="11"/>
  <c r="S462" i="11"/>
  <c r="R462" i="11"/>
  <c r="Q462" i="11"/>
  <c r="O462" i="11"/>
  <c r="N462" i="11"/>
  <c r="M462" i="11"/>
  <c r="L462" i="11"/>
  <c r="G462" i="11"/>
  <c r="S461" i="11"/>
  <c r="R461" i="11"/>
  <c r="Q461" i="11"/>
  <c r="O461" i="11"/>
  <c r="N461" i="11"/>
  <c r="L461" i="11"/>
  <c r="G461" i="11"/>
  <c r="M461" i="11" s="1"/>
  <c r="S460" i="11"/>
  <c r="R460" i="11"/>
  <c r="Q460" i="11"/>
  <c r="O460" i="11"/>
  <c r="N460" i="11"/>
  <c r="M460" i="11"/>
  <c r="L460" i="11"/>
  <c r="G460" i="11"/>
  <c r="S459" i="11"/>
  <c r="R459" i="11"/>
  <c r="Q459" i="11"/>
  <c r="O459" i="11"/>
  <c r="N459" i="11"/>
  <c r="L459" i="11"/>
  <c r="G459" i="11"/>
  <c r="M459" i="11" s="1"/>
  <c r="S458" i="11"/>
  <c r="R458" i="11"/>
  <c r="Q458" i="11"/>
  <c r="O458" i="11"/>
  <c r="N458" i="11"/>
  <c r="L458" i="11"/>
  <c r="G458" i="11"/>
  <c r="M458" i="11" s="1"/>
  <c r="S457" i="11"/>
  <c r="R457" i="11"/>
  <c r="Q457" i="11"/>
  <c r="O457" i="11"/>
  <c r="N457" i="11"/>
  <c r="M457" i="11"/>
  <c r="L457" i="11"/>
  <c r="G457" i="11"/>
  <c r="S456" i="11"/>
  <c r="R456" i="11"/>
  <c r="Q456" i="11"/>
  <c r="O456" i="11"/>
  <c r="N456" i="11"/>
  <c r="M456" i="11"/>
  <c r="L456" i="11"/>
  <c r="G456" i="11"/>
  <c r="S455" i="11"/>
  <c r="R455" i="11"/>
  <c r="Q455" i="11"/>
  <c r="O455" i="11"/>
  <c r="N455" i="11"/>
  <c r="L455" i="11"/>
  <c r="G455" i="11"/>
  <c r="M455" i="11" s="1"/>
  <c r="S454" i="11"/>
  <c r="R454" i="11"/>
  <c r="Q454" i="11"/>
  <c r="O454" i="11"/>
  <c r="N454" i="11"/>
  <c r="M454" i="11"/>
  <c r="L454" i="11"/>
  <c r="G454" i="11"/>
  <c r="S453" i="11"/>
  <c r="R453" i="11"/>
  <c r="Q453" i="11"/>
  <c r="O453" i="11"/>
  <c r="N453" i="11"/>
  <c r="M453" i="11"/>
  <c r="L453" i="11"/>
  <c r="G453" i="11"/>
  <c r="S452" i="11"/>
  <c r="R452" i="11"/>
  <c r="Q452" i="11"/>
  <c r="O452" i="11"/>
  <c r="N452" i="11"/>
  <c r="L452" i="11"/>
  <c r="G452" i="11"/>
  <c r="M452" i="11" s="1"/>
  <c r="S451" i="11"/>
  <c r="R451" i="11"/>
  <c r="Q451" i="11"/>
  <c r="O451" i="11"/>
  <c r="N451" i="11"/>
  <c r="M451" i="11"/>
  <c r="L451" i="11"/>
  <c r="G451" i="11"/>
  <c r="S450" i="11"/>
  <c r="R450" i="11"/>
  <c r="Q450" i="11"/>
  <c r="O450" i="11"/>
  <c r="N450" i="11"/>
  <c r="M450" i="11"/>
  <c r="L450" i="11"/>
  <c r="G450" i="11"/>
  <c r="S449" i="11"/>
  <c r="R449" i="11"/>
  <c r="Q449" i="11"/>
  <c r="O449" i="11"/>
  <c r="N449" i="11"/>
  <c r="L449" i="11"/>
  <c r="G449" i="11"/>
  <c r="M449" i="11" s="1"/>
  <c r="S448" i="11"/>
  <c r="R448" i="11"/>
  <c r="Q448" i="11"/>
  <c r="O448" i="11"/>
  <c r="N448" i="11"/>
  <c r="M448" i="11"/>
  <c r="L448" i="11"/>
  <c r="G448" i="11"/>
  <c r="S447" i="11"/>
  <c r="R447" i="11"/>
  <c r="Q447" i="11"/>
  <c r="O447" i="11"/>
  <c r="N447" i="11"/>
  <c r="L447" i="11"/>
  <c r="G447" i="11"/>
  <c r="M447" i="11" s="1"/>
  <c r="S446" i="11"/>
  <c r="R446" i="11"/>
  <c r="Q446" i="11"/>
  <c r="O446" i="11"/>
  <c r="N446" i="11"/>
  <c r="L446" i="11"/>
  <c r="G446" i="11"/>
  <c r="M446" i="11" s="1"/>
  <c r="S445" i="11"/>
  <c r="R445" i="11"/>
  <c r="Q445" i="11"/>
  <c r="O445" i="11"/>
  <c r="N445" i="11"/>
  <c r="M445" i="11"/>
  <c r="L445" i="11"/>
  <c r="G445" i="11"/>
  <c r="S444" i="11"/>
  <c r="R444" i="11"/>
  <c r="Q444" i="11"/>
  <c r="O444" i="11"/>
  <c r="N444" i="11"/>
  <c r="M444" i="11"/>
  <c r="L444" i="11"/>
  <c r="G444" i="11"/>
  <c r="S443" i="11"/>
  <c r="R443" i="11"/>
  <c r="Q443" i="11"/>
  <c r="O443" i="11"/>
  <c r="N443" i="11"/>
  <c r="L443" i="11"/>
  <c r="G443" i="11"/>
  <c r="M443" i="11" s="1"/>
  <c r="S442" i="11"/>
  <c r="R442" i="11"/>
  <c r="Q442" i="11"/>
  <c r="O442" i="11"/>
  <c r="N442" i="11"/>
  <c r="M442" i="11"/>
  <c r="L442" i="11"/>
  <c r="G442" i="11"/>
  <c r="S441" i="11"/>
  <c r="R441" i="11"/>
  <c r="Q441" i="11"/>
  <c r="O441" i="11"/>
  <c r="N441" i="11"/>
  <c r="L441" i="11"/>
  <c r="G441" i="11"/>
  <c r="M441" i="11" s="1"/>
  <c r="S440" i="11"/>
  <c r="R440" i="11"/>
  <c r="Q440" i="11"/>
  <c r="O440" i="11"/>
  <c r="N440" i="11"/>
  <c r="L440" i="11"/>
  <c r="G440" i="11"/>
  <c r="M440" i="11" s="1"/>
  <c r="S439" i="11"/>
  <c r="R439" i="11"/>
  <c r="Q439" i="11"/>
  <c r="O439" i="11"/>
  <c r="N439" i="11"/>
  <c r="M439" i="11"/>
  <c r="L439" i="11"/>
  <c r="G439" i="11"/>
  <c r="S438" i="11"/>
  <c r="R438" i="11"/>
  <c r="Q438" i="11"/>
  <c r="O438" i="11"/>
  <c r="N438" i="11"/>
  <c r="M438" i="11"/>
  <c r="L438" i="11"/>
  <c r="G438" i="11"/>
  <c r="S437" i="11"/>
  <c r="R437" i="11"/>
  <c r="Q437" i="11"/>
  <c r="O437" i="11"/>
  <c r="N437" i="11"/>
  <c r="L437" i="11"/>
  <c r="G437" i="11"/>
  <c r="M437" i="11" s="1"/>
  <c r="S436" i="11"/>
  <c r="R436" i="11"/>
  <c r="Q436" i="11"/>
  <c r="O436" i="11"/>
  <c r="N436" i="11"/>
  <c r="M436" i="11"/>
  <c r="L436" i="11"/>
  <c r="G436" i="11"/>
  <c r="S435" i="11"/>
  <c r="R435" i="11"/>
  <c r="Q435" i="11"/>
  <c r="O435" i="11"/>
  <c r="N435" i="11"/>
  <c r="L435" i="11"/>
  <c r="G435" i="11"/>
  <c r="M435" i="11" s="1"/>
  <c r="S434" i="11"/>
  <c r="R434" i="11"/>
  <c r="Q434" i="11"/>
  <c r="O434" i="11"/>
  <c r="N434" i="11"/>
  <c r="L434" i="11"/>
  <c r="G434" i="11"/>
  <c r="M434" i="11" s="1"/>
  <c r="S433" i="11"/>
  <c r="R433" i="11"/>
  <c r="Q433" i="11"/>
  <c r="O433" i="11"/>
  <c r="N433" i="11"/>
  <c r="M433" i="11"/>
  <c r="L433" i="11"/>
  <c r="G433" i="11"/>
  <c r="S432" i="11"/>
  <c r="R432" i="11"/>
  <c r="Q432" i="11"/>
  <c r="O432" i="11"/>
  <c r="N432" i="11"/>
  <c r="L432" i="11"/>
  <c r="G432" i="11"/>
  <c r="M432" i="11" s="1"/>
  <c r="S431" i="11"/>
  <c r="R431" i="11"/>
  <c r="Q431" i="11"/>
  <c r="O431" i="11"/>
  <c r="N431" i="11"/>
  <c r="L431" i="11"/>
  <c r="G431" i="11"/>
  <c r="M431" i="11" s="1"/>
  <c r="S430" i="11"/>
  <c r="R430" i="11"/>
  <c r="Q430" i="11"/>
  <c r="O430" i="11"/>
  <c r="N430" i="11"/>
  <c r="M430" i="11"/>
  <c r="L430" i="11"/>
  <c r="G430" i="11"/>
  <c r="S429" i="11"/>
  <c r="R429" i="11"/>
  <c r="Q429" i="11"/>
  <c r="O429" i="11"/>
  <c r="N429" i="11"/>
  <c r="M429" i="11"/>
  <c r="L429" i="11"/>
  <c r="G429" i="11"/>
  <c r="S428" i="11"/>
  <c r="R428" i="11"/>
  <c r="Q428" i="11"/>
  <c r="O428" i="11"/>
  <c r="N428" i="11"/>
  <c r="L428" i="11"/>
  <c r="G428" i="11"/>
  <c r="M428" i="11" s="1"/>
  <c r="S427" i="11"/>
  <c r="R427" i="11"/>
  <c r="Q427" i="11"/>
  <c r="O427" i="11"/>
  <c r="N427" i="11"/>
  <c r="M427" i="11"/>
  <c r="L427" i="11"/>
  <c r="G427" i="11"/>
  <c r="S426" i="11"/>
  <c r="R426" i="11"/>
  <c r="Q426" i="11"/>
  <c r="O426" i="11"/>
  <c r="N426" i="11"/>
  <c r="M426" i="11"/>
  <c r="L426" i="11"/>
  <c r="G426" i="11"/>
  <c r="S425" i="11"/>
  <c r="R425" i="11"/>
  <c r="Q425" i="11"/>
  <c r="O425" i="11"/>
  <c r="N425" i="11"/>
  <c r="L425" i="11"/>
  <c r="G425" i="11"/>
  <c r="M425" i="11" s="1"/>
  <c r="S424" i="11"/>
  <c r="R424" i="11"/>
  <c r="Q424" i="11"/>
  <c r="O424" i="11"/>
  <c r="N424" i="11"/>
  <c r="M424" i="11"/>
  <c r="L424" i="11"/>
  <c r="G424" i="11"/>
  <c r="S423" i="11"/>
  <c r="R423" i="11"/>
  <c r="Q423" i="11"/>
  <c r="O423" i="11"/>
  <c r="N423" i="11"/>
  <c r="L423" i="11"/>
  <c r="G423" i="11"/>
  <c r="M423" i="11" s="1"/>
  <c r="S422" i="11"/>
  <c r="R422" i="11"/>
  <c r="Q422" i="11"/>
  <c r="O422" i="11"/>
  <c r="N422" i="11"/>
  <c r="L422" i="11"/>
  <c r="G422" i="11"/>
  <c r="M422" i="11" s="1"/>
  <c r="S421" i="11"/>
  <c r="R421" i="11"/>
  <c r="Q421" i="11"/>
  <c r="O421" i="11"/>
  <c r="N421" i="11"/>
  <c r="M421" i="11"/>
  <c r="L421" i="11"/>
  <c r="G421" i="11"/>
  <c r="S420" i="11"/>
  <c r="R420" i="11"/>
  <c r="Q420" i="11"/>
  <c r="O420" i="11"/>
  <c r="N420" i="11"/>
  <c r="M420" i="11"/>
  <c r="L420" i="11"/>
  <c r="G420" i="11"/>
  <c r="S419" i="11"/>
  <c r="R419" i="11"/>
  <c r="Q419" i="11"/>
  <c r="O419" i="11"/>
  <c r="N419" i="11"/>
  <c r="L419" i="11"/>
  <c r="G419" i="11"/>
  <c r="M419" i="11" s="1"/>
  <c r="S418" i="11"/>
  <c r="R418" i="11"/>
  <c r="Q418" i="11"/>
  <c r="O418" i="11"/>
  <c r="N418" i="11"/>
  <c r="M418" i="11"/>
  <c r="L418" i="11"/>
  <c r="G418" i="11"/>
  <c r="S417" i="11"/>
  <c r="R417" i="11"/>
  <c r="Q417" i="11"/>
  <c r="O417" i="11"/>
  <c r="N417" i="11"/>
  <c r="M417" i="11"/>
  <c r="L417" i="11"/>
  <c r="G417" i="11"/>
  <c r="S416" i="11"/>
  <c r="R416" i="11"/>
  <c r="Q416" i="11"/>
  <c r="O416" i="11"/>
  <c r="N416" i="11"/>
  <c r="L416" i="11"/>
  <c r="G416" i="11"/>
  <c r="M416" i="11" s="1"/>
  <c r="S415" i="11"/>
  <c r="R415" i="11"/>
  <c r="Q415" i="11"/>
  <c r="O415" i="11"/>
  <c r="N415" i="11"/>
  <c r="M415" i="11"/>
  <c r="L415" i="11"/>
  <c r="G415" i="11"/>
  <c r="S414" i="11"/>
  <c r="R414" i="11"/>
  <c r="Q414" i="11"/>
  <c r="O414" i="11"/>
  <c r="N414" i="11"/>
  <c r="M414" i="11"/>
  <c r="L414" i="11"/>
  <c r="G414" i="11"/>
  <c r="S413" i="11"/>
  <c r="R413" i="11"/>
  <c r="Q413" i="11"/>
  <c r="O413" i="11"/>
  <c r="N413" i="11"/>
  <c r="L413" i="11"/>
  <c r="G413" i="11"/>
  <c r="M413" i="11" s="1"/>
  <c r="S412" i="11"/>
  <c r="R412" i="11"/>
  <c r="Q412" i="11"/>
  <c r="O412" i="11"/>
  <c r="N412" i="11"/>
  <c r="M412" i="11"/>
  <c r="L412" i="11"/>
  <c r="G412" i="11"/>
  <c r="S411" i="11"/>
  <c r="R411" i="11"/>
  <c r="Q411" i="11"/>
  <c r="O411" i="11"/>
  <c r="N411" i="11"/>
  <c r="L411" i="11"/>
  <c r="G411" i="11"/>
  <c r="M411" i="11" s="1"/>
  <c r="S410" i="11"/>
  <c r="R410" i="11"/>
  <c r="Q410" i="11"/>
  <c r="O410" i="11"/>
  <c r="N410" i="11"/>
  <c r="L410" i="11"/>
  <c r="G410" i="11"/>
  <c r="M410" i="11" s="1"/>
  <c r="S409" i="11"/>
  <c r="R409" i="11"/>
  <c r="Q409" i="11"/>
  <c r="O409" i="11"/>
  <c r="N409" i="11"/>
  <c r="M409" i="11"/>
  <c r="L409" i="11"/>
  <c r="G409" i="11"/>
  <c r="S408" i="11"/>
  <c r="R408" i="11"/>
  <c r="Q408" i="11"/>
  <c r="O408" i="11"/>
  <c r="N408" i="11"/>
  <c r="M408" i="11"/>
  <c r="L408" i="11"/>
  <c r="G408" i="11"/>
  <c r="S407" i="11"/>
  <c r="R407" i="11"/>
  <c r="Q407" i="11"/>
  <c r="O407" i="11"/>
  <c r="N407" i="11"/>
  <c r="L407" i="11"/>
  <c r="G407" i="11"/>
  <c r="M407" i="11" s="1"/>
  <c r="S406" i="11"/>
  <c r="R406" i="11"/>
  <c r="Q406" i="11"/>
  <c r="O406" i="11"/>
  <c r="N406" i="11"/>
  <c r="M406" i="11"/>
  <c r="L406" i="11"/>
  <c r="G406" i="11"/>
  <c r="S405" i="11"/>
  <c r="R405" i="11"/>
  <c r="Q405" i="11"/>
  <c r="O405" i="11"/>
  <c r="N405" i="11"/>
  <c r="L405" i="11"/>
  <c r="G405" i="11"/>
  <c r="M405" i="11" s="1"/>
  <c r="S404" i="11"/>
  <c r="R404" i="11"/>
  <c r="Q404" i="11"/>
  <c r="O404" i="11"/>
  <c r="N404" i="11"/>
  <c r="L404" i="11"/>
  <c r="G404" i="11"/>
  <c r="M404" i="11" s="1"/>
  <c r="S403" i="11"/>
  <c r="R403" i="11"/>
  <c r="Q403" i="11"/>
  <c r="O403" i="11"/>
  <c r="N403" i="11"/>
  <c r="M403" i="11"/>
  <c r="L403" i="11"/>
  <c r="G403" i="11"/>
  <c r="S402" i="11"/>
  <c r="R402" i="11"/>
  <c r="Q402" i="11"/>
  <c r="O402" i="11"/>
  <c r="N402" i="11"/>
  <c r="M402" i="11"/>
  <c r="L402" i="11"/>
  <c r="G402" i="11"/>
  <c r="S401" i="11"/>
  <c r="R401" i="11"/>
  <c r="Q401" i="11"/>
  <c r="O401" i="11"/>
  <c r="N401" i="11"/>
  <c r="L401" i="11"/>
  <c r="G401" i="11"/>
  <c r="M401" i="11" s="1"/>
  <c r="S400" i="11"/>
  <c r="R400" i="11"/>
  <c r="Q400" i="11"/>
  <c r="O400" i="11"/>
  <c r="N400" i="11"/>
  <c r="M400" i="11"/>
  <c r="L400" i="11"/>
  <c r="G400" i="11"/>
  <c r="S399" i="11"/>
  <c r="R399" i="11"/>
  <c r="Q399" i="11"/>
  <c r="O399" i="11"/>
  <c r="N399" i="11"/>
  <c r="L399" i="11"/>
  <c r="G399" i="11"/>
  <c r="M399" i="11" s="1"/>
  <c r="S398" i="11"/>
  <c r="R398" i="11"/>
  <c r="Q398" i="11"/>
  <c r="O398" i="11"/>
  <c r="N398" i="11"/>
  <c r="L398" i="11"/>
  <c r="G398" i="11"/>
  <c r="M398" i="11" s="1"/>
  <c r="S397" i="11"/>
  <c r="R397" i="11"/>
  <c r="Q397" i="11"/>
  <c r="O397" i="11"/>
  <c r="N397" i="11"/>
  <c r="M397" i="11"/>
  <c r="L397" i="11"/>
  <c r="G397" i="11"/>
  <c r="S396" i="11"/>
  <c r="R396" i="11"/>
  <c r="Q396" i="11"/>
  <c r="O396" i="11"/>
  <c r="N396" i="11"/>
  <c r="L396" i="11"/>
  <c r="G396" i="11"/>
  <c r="M396" i="11" s="1"/>
  <c r="S395" i="11"/>
  <c r="R395" i="11"/>
  <c r="Q395" i="11"/>
  <c r="O395" i="11"/>
  <c r="N395" i="11"/>
  <c r="L395" i="11"/>
  <c r="G395" i="11"/>
  <c r="M395" i="11" s="1"/>
  <c r="S394" i="11"/>
  <c r="R394" i="11"/>
  <c r="Q394" i="11"/>
  <c r="O394" i="11"/>
  <c r="N394" i="11"/>
  <c r="M394" i="11"/>
  <c r="L394" i="11"/>
  <c r="G394" i="11"/>
  <c r="S393" i="11"/>
  <c r="R393" i="11"/>
  <c r="Q393" i="11"/>
  <c r="O393" i="11"/>
  <c r="N393" i="11"/>
  <c r="M393" i="11"/>
  <c r="L393" i="11"/>
  <c r="G393" i="11"/>
  <c r="S392" i="11"/>
  <c r="R392" i="11"/>
  <c r="Q392" i="11"/>
  <c r="O392" i="11"/>
  <c r="N392" i="11"/>
  <c r="L392" i="11"/>
  <c r="G392" i="11"/>
  <c r="M392" i="11" s="1"/>
  <c r="S391" i="11"/>
  <c r="R391" i="11"/>
  <c r="Q391" i="11"/>
  <c r="O391" i="11"/>
  <c r="N391" i="11"/>
  <c r="M391" i="11"/>
  <c r="L391" i="11"/>
  <c r="G391" i="11"/>
  <c r="S390" i="11"/>
  <c r="R390" i="11"/>
  <c r="Q390" i="11"/>
  <c r="O390" i="11"/>
  <c r="N390" i="11"/>
  <c r="M390" i="11"/>
  <c r="L390" i="11"/>
  <c r="G390" i="11"/>
  <c r="S389" i="11"/>
  <c r="R389" i="11"/>
  <c r="Q389" i="11"/>
  <c r="O389" i="11"/>
  <c r="N389" i="11"/>
  <c r="L389" i="11"/>
  <c r="G389" i="11"/>
  <c r="M389" i="11" s="1"/>
  <c r="S388" i="11"/>
  <c r="R388" i="11"/>
  <c r="Q388" i="11"/>
  <c r="O388" i="11"/>
  <c r="N388" i="11"/>
  <c r="M388" i="11"/>
  <c r="L388" i="11"/>
  <c r="G388" i="11"/>
  <c r="S387" i="11"/>
  <c r="R387" i="11"/>
  <c r="Q387" i="11"/>
  <c r="O387" i="11"/>
  <c r="N387" i="11"/>
  <c r="L387" i="11"/>
  <c r="G387" i="11"/>
  <c r="M387" i="11" s="1"/>
  <c r="S386" i="11"/>
  <c r="R386" i="11"/>
  <c r="Q386" i="11"/>
  <c r="O386" i="11"/>
  <c r="N386" i="11"/>
  <c r="L386" i="11"/>
  <c r="G386" i="11"/>
  <c r="M386" i="11" s="1"/>
  <c r="S385" i="11"/>
  <c r="R385" i="11"/>
  <c r="Q385" i="11"/>
  <c r="O385" i="11"/>
  <c r="N385" i="11"/>
  <c r="M385" i="11"/>
  <c r="L385" i="11"/>
  <c r="G385" i="11"/>
  <c r="S384" i="11"/>
  <c r="R384" i="11"/>
  <c r="Q384" i="11"/>
  <c r="O384" i="11"/>
  <c r="N384" i="11"/>
  <c r="M384" i="11"/>
  <c r="L384" i="11"/>
  <c r="G384" i="11"/>
  <c r="S383" i="11"/>
  <c r="R383" i="11"/>
  <c r="Q383" i="11"/>
  <c r="O383" i="11"/>
  <c r="N383" i="11"/>
  <c r="L383" i="11"/>
  <c r="G383" i="11"/>
  <c r="M383" i="11" s="1"/>
  <c r="S382" i="11"/>
  <c r="R382" i="11"/>
  <c r="Q382" i="11"/>
  <c r="O382" i="11"/>
  <c r="N382" i="11"/>
  <c r="M382" i="11"/>
  <c r="L382" i="11"/>
  <c r="K382" i="11"/>
  <c r="J382" i="11" s="1"/>
  <c r="G382" i="11"/>
  <c r="S381" i="11"/>
  <c r="R381" i="11"/>
  <c r="Q381" i="11"/>
  <c r="O381" i="11"/>
  <c r="N381" i="11"/>
  <c r="M381" i="11"/>
  <c r="L381" i="11"/>
  <c r="G381" i="11"/>
  <c r="S380" i="11"/>
  <c r="R380" i="11"/>
  <c r="Q380" i="11"/>
  <c r="O380" i="11"/>
  <c r="N380" i="11"/>
  <c r="M380" i="11"/>
  <c r="L380" i="11"/>
  <c r="G380" i="11"/>
  <c r="S379" i="11"/>
  <c r="R379" i="11"/>
  <c r="Q379" i="11"/>
  <c r="O379" i="11"/>
  <c r="N379" i="11"/>
  <c r="L379" i="11"/>
  <c r="G379" i="11"/>
  <c r="M379" i="11" s="1"/>
  <c r="S378" i="11"/>
  <c r="R378" i="11"/>
  <c r="Q378" i="11"/>
  <c r="O378" i="11"/>
  <c r="N378" i="11"/>
  <c r="M378" i="11"/>
  <c r="L378" i="11"/>
  <c r="G378" i="11"/>
  <c r="S377" i="11"/>
  <c r="R377" i="11"/>
  <c r="Q377" i="11"/>
  <c r="O377" i="11"/>
  <c r="N377" i="11"/>
  <c r="L377" i="11"/>
  <c r="G377" i="11"/>
  <c r="M377" i="11" s="1"/>
  <c r="S376" i="11"/>
  <c r="R376" i="11"/>
  <c r="Q376" i="11"/>
  <c r="O376" i="11"/>
  <c r="N376" i="11"/>
  <c r="L376" i="11"/>
  <c r="G376" i="11"/>
  <c r="M376" i="11" s="1"/>
  <c r="S375" i="11"/>
  <c r="R375" i="11"/>
  <c r="Q375" i="11"/>
  <c r="O375" i="11"/>
  <c r="N375" i="11"/>
  <c r="L375" i="11"/>
  <c r="G375" i="11"/>
  <c r="M375" i="11" s="1"/>
  <c r="S374" i="11"/>
  <c r="R374" i="11"/>
  <c r="Q374" i="11"/>
  <c r="O374" i="11"/>
  <c r="N374" i="11"/>
  <c r="M374" i="11"/>
  <c r="L374" i="11"/>
  <c r="G374" i="11"/>
  <c r="S373" i="11"/>
  <c r="R373" i="11"/>
  <c r="Q373" i="11"/>
  <c r="O373" i="11"/>
  <c r="N373" i="11"/>
  <c r="L373" i="11"/>
  <c r="G373" i="11"/>
  <c r="M373" i="11" s="1"/>
  <c r="S372" i="11"/>
  <c r="R372" i="11"/>
  <c r="Q372" i="11"/>
  <c r="O372" i="11"/>
  <c r="N372" i="11"/>
  <c r="L372" i="11"/>
  <c r="G372" i="11"/>
  <c r="M372" i="11" s="1"/>
  <c r="S371" i="11"/>
  <c r="R371" i="11"/>
  <c r="Q371" i="11"/>
  <c r="O371" i="11"/>
  <c r="N371" i="11"/>
  <c r="L371" i="11"/>
  <c r="G371" i="11"/>
  <c r="M371" i="11" s="1"/>
  <c r="S370" i="11"/>
  <c r="R370" i="11"/>
  <c r="Q370" i="11"/>
  <c r="O370" i="11"/>
  <c r="N370" i="11"/>
  <c r="L370" i="11"/>
  <c r="G370" i="11"/>
  <c r="M370" i="11" s="1"/>
  <c r="S369" i="11"/>
  <c r="R369" i="11"/>
  <c r="Q369" i="11"/>
  <c r="O369" i="11"/>
  <c r="N369" i="11"/>
  <c r="M369" i="11"/>
  <c r="L369" i="11"/>
  <c r="G369" i="11"/>
  <c r="S368" i="11"/>
  <c r="R368" i="11"/>
  <c r="Q368" i="11"/>
  <c r="O368" i="11"/>
  <c r="N368" i="11"/>
  <c r="L368" i="11"/>
  <c r="G368" i="11"/>
  <c r="M368" i="11" s="1"/>
  <c r="S367" i="11"/>
  <c r="R367" i="11"/>
  <c r="Q367" i="11"/>
  <c r="O367" i="11"/>
  <c r="N367" i="11"/>
  <c r="L367" i="11"/>
  <c r="G367" i="11"/>
  <c r="M367" i="11" s="1"/>
  <c r="S366" i="11"/>
  <c r="R366" i="11"/>
  <c r="Q366" i="11"/>
  <c r="O366" i="11"/>
  <c r="N366" i="11"/>
  <c r="L366" i="11"/>
  <c r="G366" i="11"/>
  <c r="M366" i="11" s="1"/>
  <c r="S365" i="11"/>
  <c r="R365" i="11"/>
  <c r="Q365" i="11"/>
  <c r="O365" i="11"/>
  <c r="N365" i="11"/>
  <c r="M365" i="11"/>
  <c r="L365" i="11"/>
  <c r="G365" i="11"/>
  <c r="S364" i="11"/>
  <c r="R364" i="11"/>
  <c r="Q364" i="11"/>
  <c r="O364" i="11"/>
  <c r="N364" i="11"/>
  <c r="M364" i="11"/>
  <c r="L364" i="11"/>
  <c r="G364" i="11"/>
  <c r="S363" i="11"/>
  <c r="R363" i="11"/>
  <c r="Q363" i="11"/>
  <c r="O363" i="11"/>
  <c r="N363" i="11"/>
  <c r="L363" i="11"/>
  <c r="G363" i="11"/>
  <c r="M363" i="11" s="1"/>
  <c r="S362" i="11"/>
  <c r="R362" i="11"/>
  <c r="Q362" i="11"/>
  <c r="O362" i="11"/>
  <c r="N362" i="11"/>
  <c r="M362" i="11"/>
  <c r="L362" i="11"/>
  <c r="G362" i="11"/>
  <c r="S361" i="11"/>
  <c r="R361" i="11"/>
  <c r="Q361" i="11"/>
  <c r="O361" i="11"/>
  <c r="N361" i="11"/>
  <c r="M361" i="11"/>
  <c r="L361" i="11"/>
  <c r="G361" i="11"/>
  <c r="S360" i="11"/>
  <c r="R360" i="11"/>
  <c r="Q360" i="11"/>
  <c r="O360" i="11"/>
  <c r="N360" i="11"/>
  <c r="L360" i="11"/>
  <c r="G360" i="11"/>
  <c r="M360" i="11" s="1"/>
  <c r="S359" i="11"/>
  <c r="R359" i="11"/>
  <c r="Q359" i="11"/>
  <c r="O359" i="11"/>
  <c r="N359" i="11"/>
  <c r="M359" i="11"/>
  <c r="L359" i="11"/>
  <c r="G359" i="11"/>
  <c r="S358" i="11"/>
  <c r="R358" i="11"/>
  <c r="Q358" i="11"/>
  <c r="O358" i="11"/>
  <c r="N358" i="11"/>
  <c r="M358" i="11"/>
  <c r="L358" i="11"/>
  <c r="G358" i="11"/>
  <c r="S357" i="11"/>
  <c r="R357" i="11"/>
  <c r="Q357" i="11"/>
  <c r="O357" i="11"/>
  <c r="N357" i="11"/>
  <c r="L357" i="11"/>
  <c r="G357" i="11"/>
  <c r="M357" i="11" s="1"/>
  <c r="S356" i="11"/>
  <c r="R356" i="11"/>
  <c r="Q356" i="11"/>
  <c r="O356" i="11"/>
  <c r="N356" i="11"/>
  <c r="M356" i="11"/>
  <c r="L356" i="11"/>
  <c r="G356" i="11"/>
  <c r="S355" i="11"/>
  <c r="R355" i="11"/>
  <c r="Q355" i="11"/>
  <c r="O355" i="11"/>
  <c r="N355" i="11"/>
  <c r="M355" i="11"/>
  <c r="L355" i="11"/>
  <c r="G355" i="11"/>
  <c r="S354" i="11"/>
  <c r="R354" i="11"/>
  <c r="Q354" i="11"/>
  <c r="O354" i="11"/>
  <c r="N354" i="11"/>
  <c r="M354" i="11"/>
  <c r="L354" i="11"/>
  <c r="K354" i="11"/>
  <c r="J354" i="11" s="1"/>
  <c r="G354" i="11"/>
  <c r="S353" i="11"/>
  <c r="R353" i="11"/>
  <c r="Q353" i="11"/>
  <c r="O353" i="11"/>
  <c r="N353" i="11"/>
  <c r="L353" i="11"/>
  <c r="G353" i="11"/>
  <c r="M353" i="11" s="1"/>
  <c r="S352" i="11"/>
  <c r="R352" i="11"/>
  <c r="Q352" i="11"/>
  <c r="O352" i="11"/>
  <c r="N352" i="11"/>
  <c r="L352" i="11"/>
  <c r="G352" i="11"/>
  <c r="M352" i="11" s="1"/>
  <c r="S351" i="11"/>
  <c r="R351" i="11"/>
  <c r="Q351" i="11"/>
  <c r="O351" i="11"/>
  <c r="N351" i="11"/>
  <c r="M351" i="11"/>
  <c r="L351" i="11"/>
  <c r="G351" i="11"/>
  <c r="S350" i="11"/>
  <c r="R350" i="11"/>
  <c r="Q350" i="11"/>
  <c r="O350" i="11"/>
  <c r="N350" i="11"/>
  <c r="M350" i="11"/>
  <c r="L350" i="11"/>
  <c r="G350" i="11"/>
  <c r="S349" i="11"/>
  <c r="R349" i="11"/>
  <c r="Q349" i="11"/>
  <c r="O349" i="11"/>
  <c r="N349" i="11"/>
  <c r="L349" i="11"/>
  <c r="G349" i="11"/>
  <c r="M349" i="11" s="1"/>
  <c r="S348" i="11"/>
  <c r="R348" i="11"/>
  <c r="Q348" i="11"/>
  <c r="O348" i="11"/>
  <c r="N348" i="11"/>
  <c r="M348" i="11"/>
  <c r="L348" i="11"/>
  <c r="G348" i="11"/>
  <c r="S347" i="11"/>
  <c r="R347" i="11"/>
  <c r="Q347" i="11"/>
  <c r="O347" i="11"/>
  <c r="N347" i="11"/>
  <c r="M347" i="11"/>
  <c r="L347" i="11"/>
  <c r="G347" i="11"/>
  <c r="S346" i="11"/>
  <c r="R346" i="11"/>
  <c r="Q346" i="11"/>
  <c r="O346" i="11"/>
  <c r="N346" i="11"/>
  <c r="L346" i="11"/>
  <c r="G346" i="11"/>
  <c r="M346" i="11" s="1"/>
  <c r="S345" i="11"/>
  <c r="R345" i="11"/>
  <c r="Q345" i="11"/>
  <c r="O345" i="11"/>
  <c r="N345" i="11"/>
  <c r="M345" i="11"/>
  <c r="L345" i="11"/>
  <c r="G345" i="11"/>
  <c r="S344" i="11"/>
  <c r="R344" i="11"/>
  <c r="Q344" i="11"/>
  <c r="O344" i="11"/>
  <c r="N344" i="11"/>
  <c r="L344" i="11"/>
  <c r="G344" i="11"/>
  <c r="M344" i="11" s="1"/>
  <c r="S343" i="11"/>
  <c r="R343" i="11"/>
  <c r="Q343" i="11"/>
  <c r="O343" i="11"/>
  <c r="N343" i="11"/>
  <c r="L343" i="11"/>
  <c r="G343" i="11"/>
  <c r="M343" i="11" s="1"/>
  <c r="S342" i="11"/>
  <c r="R342" i="11"/>
  <c r="Q342" i="11"/>
  <c r="O342" i="11"/>
  <c r="N342" i="11"/>
  <c r="M342" i="11"/>
  <c r="L342" i="11"/>
  <c r="G342" i="11"/>
  <c r="S341" i="11"/>
  <c r="R341" i="11"/>
  <c r="Q341" i="11"/>
  <c r="O341" i="11"/>
  <c r="N341" i="11"/>
  <c r="M341" i="11"/>
  <c r="L341" i="11"/>
  <c r="G341" i="11"/>
  <c r="S340" i="11"/>
  <c r="R340" i="11"/>
  <c r="Q340" i="11"/>
  <c r="O340" i="11"/>
  <c r="N340" i="11"/>
  <c r="L340" i="11"/>
  <c r="G340" i="11"/>
  <c r="M340" i="11" s="1"/>
  <c r="S339" i="11"/>
  <c r="R339" i="11"/>
  <c r="Q339" i="11"/>
  <c r="O339" i="11"/>
  <c r="N339" i="11"/>
  <c r="M339" i="11"/>
  <c r="L339" i="11"/>
  <c r="G339" i="11"/>
  <c r="S338" i="11"/>
  <c r="R338" i="11"/>
  <c r="Q338" i="11"/>
  <c r="O338" i="11"/>
  <c r="N338" i="11"/>
  <c r="M338" i="11"/>
  <c r="L338" i="11"/>
  <c r="G338" i="11"/>
  <c r="S337" i="11"/>
  <c r="R337" i="11"/>
  <c r="Q337" i="11"/>
  <c r="O337" i="11"/>
  <c r="N337" i="11"/>
  <c r="L337" i="11"/>
  <c r="G337" i="11"/>
  <c r="M337" i="11" s="1"/>
  <c r="S336" i="11"/>
  <c r="R336" i="11"/>
  <c r="Q336" i="11"/>
  <c r="O336" i="11"/>
  <c r="N336" i="11"/>
  <c r="M336" i="11"/>
  <c r="L336" i="11"/>
  <c r="G336" i="11"/>
  <c r="S335" i="11"/>
  <c r="R335" i="11"/>
  <c r="Q335" i="11"/>
  <c r="O335" i="11"/>
  <c r="N335" i="11"/>
  <c r="M335" i="11"/>
  <c r="L335" i="11"/>
  <c r="G335" i="11"/>
  <c r="S334" i="11"/>
  <c r="R334" i="11"/>
  <c r="Q334" i="11"/>
  <c r="O334" i="11"/>
  <c r="N334" i="11"/>
  <c r="L334" i="11"/>
  <c r="G334" i="11"/>
  <c r="M334" i="11" s="1"/>
  <c r="S333" i="11"/>
  <c r="R333" i="11"/>
  <c r="Q333" i="11"/>
  <c r="O333" i="11"/>
  <c r="N333" i="11"/>
  <c r="M333" i="11"/>
  <c r="L333" i="11"/>
  <c r="G333" i="11"/>
  <c r="S332" i="11"/>
  <c r="R332" i="11"/>
  <c r="Q332" i="11"/>
  <c r="O332" i="11"/>
  <c r="N332" i="11"/>
  <c r="L332" i="11"/>
  <c r="G332" i="11"/>
  <c r="M332" i="11" s="1"/>
  <c r="S331" i="11"/>
  <c r="R331" i="11"/>
  <c r="Q331" i="11"/>
  <c r="O331" i="11"/>
  <c r="N331" i="11"/>
  <c r="L331" i="11"/>
  <c r="G331" i="11"/>
  <c r="M331" i="11" s="1"/>
  <c r="S330" i="11"/>
  <c r="R330" i="11"/>
  <c r="Q330" i="11"/>
  <c r="O330" i="11"/>
  <c r="N330" i="11"/>
  <c r="M330" i="11"/>
  <c r="L330" i="11"/>
  <c r="G330" i="11"/>
  <c r="S329" i="11"/>
  <c r="R329" i="11"/>
  <c r="Q329" i="11"/>
  <c r="O329" i="11"/>
  <c r="N329" i="11"/>
  <c r="M329" i="11"/>
  <c r="L329" i="11"/>
  <c r="G329" i="11"/>
  <c r="S328" i="11"/>
  <c r="R328" i="11"/>
  <c r="Q328" i="11"/>
  <c r="O328" i="11"/>
  <c r="N328" i="11"/>
  <c r="L328" i="11"/>
  <c r="G328" i="11"/>
  <c r="M328" i="11" s="1"/>
  <c r="S327" i="11"/>
  <c r="R327" i="11"/>
  <c r="Q327" i="11"/>
  <c r="O327" i="11"/>
  <c r="N327" i="11"/>
  <c r="M327" i="11"/>
  <c r="L327" i="11"/>
  <c r="G327" i="11"/>
  <c r="S326" i="11"/>
  <c r="R326" i="11"/>
  <c r="Q326" i="11"/>
  <c r="O326" i="11"/>
  <c r="N326" i="11"/>
  <c r="L326" i="11"/>
  <c r="G326" i="11"/>
  <c r="M326" i="11" s="1"/>
  <c r="S325" i="11"/>
  <c r="R325" i="11"/>
  <c r="Q325" i="11"/>
  <c r="O325" i="11"/>
  <c r="N325" i="11"/>
  <c r="L325" i="11"/>
  <c r="G325" i="11"/>
  <c r="M325" i="11" s="1"/>
  <c r="S324" i="11"/>
  <c r="R324" i="11"/>
  <c r="Q324" i="11"/>
  <c r="O324" i="11"/>
  <c r="N324" i="11"/>
  <c r="M324" i="11"/>
  <c r="L324" i="11"/>
  <c r="G324" i="11"/>
  <c r="S323" i="11"/>
  <c r="R323" i="11"/>
  <c r="Q323" i="11"/>
  <c r="O323" i="11"/>
  <c r="N323" i="11"/>
  <c r="M323" i="11"/>
  <c r="L323" i="11"/>
  <c r="G323" i="11"/>
  <c r="S322" i="11"/>
  <c r="R322" i="11"/>
  <c r="Q322" i="11"/>
  <c r="O322" i="11"/>
  <c r="N322" i="11"/>
  <c r="L322" i="11"/>
  <c r="G322" i="11"/>
  <c r="M322" i="11" s="1"/>
  <c r="S321" i="11"/>
  <c r="R321" i="11"/>
  <c r="Q321" i="11"/>
  <c r="O321" i="11"/>
  <c r="N321" i="11"/>
  <c r="L321" i="11"/>
  <c r="G321" i="11"/>
  <c r="M321" i="11" s="1"/>
  <c r="S320" i="11"/>
  <c r="R320" i="11"/>
  <c r="Q320" i="11"/>
  <c r="O320" i="11"/>
  <c r="N320" i="11"/>
  <c r="L320" i="11"/>
  <c r="G320" i="11"/>
  <c r="M320" i="11" s="1"/>
  <c r="S319" i="11"/>
  <c r="R319" i="11"/>
  <c r="Q319" i="11"/>
  <c r="O319" i="11"/>
  <c r="N319" i="11"/>
  <c r="L319" i="11"/>
  <c r="G319" i="11"/>
  <c r="M319" i="11" s="1"/>
  <c r="S318" i="11"/>
  <c r="R318" i="11"/>
  <c r="Q318" i="11"/>
  <c r="O318" i="11"/>
  <c r="N318" i="11"/>
  <c r="M318" i="11"/>
  <c r="L318" i="11"/>
  <c r="G318" i="11"/>
  <c r="S317" i="11"/>
  <c r="R317" i="11"/>
  <c r="Q317" i="11"/>
  <c r="O317" i="11"/>
  <c r="N317" i="11"/>
  <c r="L317" i="11"/>
  <c r="G317" i="11"/>
  <c r="M317" i="11" s="1"/>
  <c r="S316" i="11"/>
  <c r="R316" i="11"/>
  <c r="Q316" i="11"/>
  <c r="O316" i="11"/>
  <c r="N316" i="11"/>
  <c r="L316" i="11"/>
  <c r="G316" i="11"/>
  <c r="M316" i="11" s="1"/>
  <c r="S315" i="11"/>
  <c r="R315" i="11"/>
  <c r="Q315" i="11"/>
  <c r="O315" i="11"/>
  <c r="N315" i="11"/>
  <c r="L315" i="11"/>
  <c r="G315" i="11"/>
  <c r="M315" i="11" s="1"/>
  <c r="S314" i="11"/>
  <c r="R314" i="11"/>
  <c r="Q314" i="11"/>
  <c r="O314" i="11"/>
  <c r="N314" i="11"/>
  <c r="M314" i="11"/>
  <c r="L314" i="11"/>
  <c r="G314" i="11"/>
  <c r="S313" i="11"/>
  <c r="R313" i="11"/>
  <c r="Q313" i="11"/>
  <c r="O313" i="11"/>
  <c r="N313" i="11"/>
  <c r="L313" i="11"/>
  <c r="G313" i="11"/>
  <c r="M313" i="11" s="1"/>
  <c r="S312" i="11"/>
  <c r="R312" i="11"/>
  <c r="Q312" i="11"/>
  <c r="O312" i="11"/>
  <c r="N312" i="11"/>
  <c r="M312" i="11"/>
  <c r="L312" i="11"/>
  <c r="G312" i="11"/>
  <c r="S311" i="11"/>
  <c r="R311" i="11"/>
  <c r="Q311" i="11"/>
  <c r="O311" i="11"/>
  <c r="N311" i="11"/>
  <c r="M311" i="11"/>
  <c r="L311" i="11"/>
  <c r="G311" i="11"/>
  <c r="S310" i="11"/>
  <c r="R310" i="11"/>
  <c r="Q310" i="11"/>
  <c r="O310" i="11"/>
  <c r="N310" i="11"/>
  <c r="L310" i="11"/>
  <c r="G310" i="11"/>
  <c r="M310" i="11" s="1"/>
  <c r="S309" i="11"/>
  <c r="R309" i="11"/>
  <c r="Q309" i="11"/>
  <c r="O309" i="11"/>
  <c r="N309" i="11"/>
  <c r="L309" i="11"/>
  <c r="G309" i="11"/>
  <c r="M309" i="11" s="1"/>
  <c r="S308" i="11"/>
  <c r="R308" i="11"/>
  <c r="Q308" i="11"/>
  <c r="O308" i="11"/>
  <c r="N308" i="11"/>
  <c r="L308" i="11"/>
  <c r="G308" i="11"/>
  <c r="M308" i="11" s="1"/>
  <c r="S307" i="11"/>
  <c r="R307" i="11"/>
  <c r="Q307" i="11"/>
  <c r="O307" i="11"/>
  <c r="N307" i="11"/>
  <c r="L307" i="11"/>
  <c r="G307" i="11"/>
  <c r="M307" i="11" s="1"/>
  <c r="S306" i="11"/>
  <c r="R306" i="11"/>
  <c r="Q306" i="11"/>
  <c r="O306" i="11"/>
  <c r="N306" i="11"/>
  <c r="L306" i="11"/>
  <c r="G306" i="11"/>
  <c r="M306" i="11" s="1"/>
  <c r="S305" i="11"/>
  <c r="R305" i="11"/>
  <c r="Q305" i="11"/>
  <c r="O305" i="11"/>
  <c r="N305" i="11"/>
  <c r="M305" i="11"/>
  <c r="L305" i="11"/>
  <c r="G305" i="11"/>
  <c r="S304" i="11"/>
  <c r="R304" i="11"/>
  <c r="Q304" i="11"/>
  <c r="O304" i="11"/>
  <c r="N304" i="11"/>
  <c r="L304" i="11"/>
  <c r="G304" i="11"/>
  <c r="M304" i="11" s="1"/>
  <c r="S303" i="11"/>
  <c r="R303" i="11"/>
  <c r="Q303" i="11"/>
  <c r="O303" i="11"/>
  <c r="N303" i="11"/>
  <c r="M303" i="11"/>
  <c r="L303" i="11"/>
  <c r="G303" i="11"/>
  <c r="S302" i="11"/>
  <c r="R302" i="11"/>
  <c r="Q302" i="11"/>
  <c r="O302" i="11"/>
  <c r="N302" i="11"/>
  <c r="M302" i="11"/>
  <c r="L302" i="11"/>
  <c r="G302" i="11"/>
  <c r="S301" i="11"/>
  <c r="R301" i="11"/>
  <c r="Q301" i="11"/>
  <c r="O301" i="11"/>
  <c r="N301" i="11"/>
  <c r="L301" i="11"/>
  <c r="G301" i="11"/>
  <c r="M301" i="11" s="1"/>
  <c r="S300" i="11"/>
  <c r="R300" i="11"/>
  <c r="Q300" i="11"/>
  <c r="O300" i="11"/>
  <c r="N300" i="11"/>
  <c r="M300" i="11"/>
  <c r="L300" i="11"/>
  <c r="G300" i="11"/>
  <c r="S299" i="11"/>
  <c r="R299" i="11"/>
  <c r="Q299" i="11"/>
  <c r="O299" i="11"/>
  <c r="N299" i="11"/>
  <c r="M299" i="11"/>
  <c r="L299" i="11"/>
  <c r="G299" i="11"/>
  <c r="S298" i="11"/>
  <c r="R298" i="11"/>
  <c r="Q298" i="11"/>
  <c r="O298" i="11"/>
  <c r="L298" i="11"/>
  <c r="K298" i="11"/>
  <c r="N298" i="11" s="1"/>
  <c r="G298" i="11"/>
  <c r="M298" i="11" s="1"/>
  <c r="S297" i="11"/>
  <c r="R297" i="11"/>
  <c r="Q297" i="11"/>
  <c r="O297" i="11"/>
  <c r="N297" i="11"/>
  <c r="M297" i="11"/>
  <c r="L297" i="11"/>
  <c r="G297" i="11"/>
  <c r="S296" i="11"/>
  <c r="R296" i="11"/>
  <c r="Q296" i="11"/>
  <c r="O296" i="11"/>
  <c r="N296" i="11"/>
  <c r="L296" i="11"/>
  <c r="G296" i="11"/>
  <c r="M296" i="11" s="1"/>
  <c r="S295" i="11"/>
  <c r="R295" i="11"/>
  <c r="Q295" i="11"/>
  <c r="O295" i="11"/>
  <c r="N295" i="11"/>
  <c r="L295" i="11"/>
  <c r="G295" i="11"/>
  <c r="M295" i="11" s="1"/>
  <c r="S294" i="11"/>
  <c r="R294" i="11"/>
  <c r="Q294" i="11"/>
  <c r="O294" i="11"/>
  <c r="N294" i="11"/>
  <c r="M294" i="11"/>
  <c r="L294" i="11"/>
  <c r="G294" i="11"/>
  <c r="S293" i="11"/>
  <c r="R293" i="11"/>
  <c r="Q293" i="11"/>
  <c r="O293" i="11"/>
  <c r="N293" i="11"/>
  <c r="M293" i="11"/>
  <c r="L293" i="11"/>
  <c r="G293" i="11"/>
  <c r="S292" i="11"/>
  <c r="R292" i="11"/>
  <c r="Q292" i="11"/>
  <c r="O292" i="11"/>
  <c r="N292" i="11"/>
  <c r="L292" i="11"/>
  <c r="G292" i="11"/>
  <c r="M292" i="11" s="1"/>
  <c r="S291" i="11"/>
  <c r="R291" i="11"/>
  <c r="Q291" i="11"/>
  <c r="O291" i="11"/>
  <c r="N291" i="11"/>
  <c r="M291" i="11"/>
  <c r="L291" i="11"/>
  <c r="G291" i="11"/>
  <c r="S290" i="11"/>
  <c r="R290" i="11"/>
  <c r="Q290" i="11"/>
  <c r="O290" i="11"/>
  <c r="N290" i="11"/>
  <c r="L290" i="11"/>
  <c r="G290" i="11"/>
  <c r="M290" i="11" s="1"/>
  <c r="S289" i="11"/>
  <c r="R289" i="11"/>
  <c r="Q289" i="11"/>
  <c r="O289" i="11"/>
  <c r="N289" i="11"/>
  <c r="L289" i="11"/>
  <c r="G289" i="11"/>
  <c r="M289" i="11" s="1"/>
  <c r="S288" i="11"/>
  <c r="R288" i="11"/>
  <c r="Q288" i="11"/>
  <c r="O288" i="11"/>
  <c r="N288" i="11"/>
  <c r="M288" i="11"/>
  <c r="L288" i="11"/>
  <c r="G288" i="11"/>
  <c r="S287" i="11"/>
  <c r="R287" i="11"/>
  <c r="Q287" i="11"/>
  <c r="O287" i="11"/>
  <c r="N287" i="11"/>
  <c r="M287" i="11"/>
  <c r="L287" i="11"/>
  <c r="G287" i="11"/>
  <c r="S286" i="11"/>
  <c r="R286" i="11"/>
  <c r="Q286" i="11"/>
  <c r="O286" i="11"/>
  <c r="L286" i="11"/>
  <c r="K286" i="11"/>
  <c r="N286" i="11" s="1"/>
  <c r="J286" i="11"/>
  <c r="G286" i="11"/>
  <c r="M286" i="11" s="1"/>
  <c r="S285" i="11"/>
  <c r="R285" i="11"/>
  <c r="Q285" i="11"/>
  <c r="O285" i="11"/>
  <c r="N285" i="11"/>
  <c r="M285" i="11"/>
  <c r="L285" i="11"/>
  <c r="G285" i="11"/>
  <c r="S284" i="11"/>
  <c r="R284" i="11"/>
  <c r="Q284" i="11"/>
  <c r="O284" i="11"/>
  <c r="N284" i="11"/>
  <c r="M284" i="11"/>
  <c r="L284" i="11"/>
  <c r="G284" i="11"/>
  <c r="S283" i="11"/>
  <c r="R283" i="11"/>
  <c r="Q283" i="11"/>
  <c r="O283" i="11"/>
  <c r="N283" i="11"/>
  <c r="M283" i="11"/>
  <c r="L283" i="11"/>
  <c r="G283" i="11"/>
  <c r="S282" i="11"/>
  <c r="R282" i="11"/>
  <c r="Q282" i="11"/>
  <c r="O282" i="11"/>
  <c r="N282" i="11"/>
  <c r="M282" i="11"/>
  <c r="L282" i="11"/>
  <c r="G282" i="11"/>
  <c r="S281" i="11"/>
  <c r="R281" i="11"/>
  <c r="Q281" i="11"/>
  <c r="O281" i="11"/>
  <c r="N281" i="11"/>
  <c r="M281" i="11"/>
  <c r="L281" i="11"/>
  <c r="G281" i="11"/>
  <c r="S280" i="11"/>
  <c r="R280" i="11"/>
  <c r="Q280" i="11"/>
  <c r="O280" i="11"/>
  <c r="N280" i="11"/>
  <c r="M280" i="11"/>
  <c r="L280" i="11"/>
  <c r="G280" i="11"/>
  <c r="S279" i="11"/>
  <c r="R279" i="11"/>
  <c r="Q279" i="11"/>
  <c r="O279" i="11"/>
  <c r="N279" i="11"/>
  <c r="M279" i="11"/>
  <c r="L279" i="11"/>
  <c r="G279" i="11"/>
  <c r="S278" i="11"/>
  <c r="R278" i="11"/>
  <c r="Q278" i="11"/>
  <c r="O278" i="11"/>
  <c r="N278" i="11"/>
  <c r="M278" i="11"/>
  <c r="L278" i="11"/>
  <c r="G278" i="11"/>
  <c r="S277" i="11"/>
  <c r="R277" i="11"/>
  <c r="Q277" i="11"/>
  <c r="O277" i="11"/>
  <c r="N277" i="11"/>
  <c r="M277" i="11"/>
  <c r="L277" i="11"/>
  <c r="G277" i="11"/>
  <c r="S276" i="11"/>
  <c r="R276" i="11"/>
  <c r="Q276" i="11"/>
  <c r="O276" i="11"/>
  <c r="N276" i="11"/>
  <c r="M276" i="11"/>
  <c r="L276" i="11"/>
  <c r="G276" i="11"/>
  <c r="S275" i="11"/>
  <c r="R275" i="11"/>
  <c r="Q275" i="11"/>
  <c r="O275" i="11"/>
  <c r="N275" i="11"/>
  <c r="M275" i="11"/>
  <c r="L275" i="11"/>
  <c r="G275" i="11"/>
  <c r="S274" i="11"/>
  <c r="R274" i="11"/>
  <c r="Q274" i="11"/>
  <c r="O274" i="11"/>
  <c r="N274" i="11"/>
  <c r="M274" i="11"/>
  <c r="L274" i="11"/>
  <c r="G274" i="11"/>
  <c r="S273" i="11"/>
  <c r="R273" i="11"/>
  <c r="Q273" i="11"/>
  <c r="O273" i="11"/>
  <c r="N273" i="11"/>
  <c r="M273" i="11"/>
  <c r="L273" i="11"/>
  <c r="G273" i="11"/>
  <c r="S272" i="11"/>
  <c r="R272" i="11"/>
  <c r="Q272" i="11"/>
  <c r="O272" i="11"/>
  <c r="N272" i="11"/>
  <c r="M272" i="11"/>
  <c r="L272" i="11"/>
  <c r="G272" i="11"/>
  <c r="S271" i="11"/>
  <c r="R271" i="11"/>
  <c r="Q271" i="11"/>
  <c r="O271" i="11"/>
  <c r="N271" i="11"/>
  <c r="M271" i="11"/>
  <c r="L271" i="11"/>
  <c r="G271" i="11"/>
  <c r="S270" i="11"/>
  <c r="R270" i="11"/>
  <c r="Q270" i="11"/>
  <c r="O270" i="11"/>
  <c r="N270" i="11"/>
  <c r="M270" i="11"/>
  <c r="L270" i="11"/>
  <c r="G270" i="11"/>
  <c r="S269" i="11"/>
  <c r="R269" i="11"/>
  <c r="Q269" i="11"/>
  <c r="O269" i="11"/>
  <c r="N269" i="11"/>
  <c r="M269" i="11"/>
  <c r="L269" i="11"/>
  <c r="G269" i="11"/>
  <c r="S268" i="11"/>
  <c r="R268" i="11"/>
  <c r="Q268" i="11"/>
  <c r="O268" i="11"/>
  <c r="N268" i="11"/>
  <c r="M268" i="11"/>
  <c r="L268" i="11"/>
  <c r="G268" i="11"/>
  <c r="S267" i="11"/>
  <c r="R267" i="11"/>
  <c r="Q267" i="11"/>
  <c r="O267" i="11"/>
  <c r="N267" i="11"/>
  <c r="M267" i="11"/>
  <c r="L267" i="11"/>
  <c r="G267" i="11"/>
  <c r="S266" i="11"/>
  <c r="R266" i="11"/>
  <c r="Q266" i="11"/>
  <c r="O266" i="11"/>
  <c r="N266" i="11"/>
  <c r="M266" i="11"/>
  <c r="L266" i="11"/>
  <c r="G266" i="11"/>
  <c r="S265" i="11"/>
  <c r="R265" i="11"/>
  <c r="Q265" i="11"/>
  <c r="O265" i="11"/>
  <c r="N265" i="11"/>
  <c r="M265" i="11"/>
  <c r="L265" i="11"/>
  <c r="G265" i="11"/>
  <c r="S264" i="11"/>
  <c r="R264" i="11"/>
  <c r="Q264" i="11"/>
  <c r="O264" i="11"/>
  <c r="N264" i="11"/>
  <c r="M264" i="11"/>
  <c r="L264" i="11"/>
  <c r="G264" i="11"/>
  <c r="S263" i="11"/>
  <c r="R263" i="11"/>
  <c r="Q263" i="11"/>
  <c r="O263" i="11"/>
  <c r="N263" i="11"/>
  <c r="M263" i="11"/>
  <c r="L263" i="11"/>
  <c r="G263" i="11"/>
  <c r="S262" i="11"/>
  <c r="R262" i="11"/>
  <c r="Q262" i="11"/>
  <c r="O262" i="11"/>
  <c r="N262" i="11"/>
  <c r="M262" i="11"/>
  <c r="L262" i="11"/>
  <c r="G262" i="11"/>
  <c r="S261" i="11"/>
  <c r="R261" i="11"/>
  <c r="Q261" i="11"/>
  <c r="O261" i="11"/>
  <c r="N261" i="11"/>
  <c r="M261" i="11"/>
  <c r="L261" i="11"/>
  <c r="G261" i="11"/>
  <c r="S260" i="11"/>
  <c r="R260" i="11"/>
  <c r="Q260" i="11"/>
  <c r="O260" i="11"/>
  <c r="N260" i="11"/>
  <c r="M260" i="11"/>
  <c r="L260" i="11"/>
  <c r="G260" i="11"/>
  <c r="S259" i="11"/>
  <c r="R259" i="11"/>
  <c r="Q259" i="11"/>
  <c r="O259" i="11"/>
  <c r="N259" i="11"/>
  <c r="M259" i="11"/>
  <c r="L259" i="11"/>
  <c r="G259" i="11"/>
  <c r="S258" i="11"/>
  <c r="R258" i="11"/>
  <c r="Q258" i="11"/>
  <c r="O258" i="11"/>
  <c r="N258" i="11"/>
  <c r="M258" i="11"/>
  <c r="L258" i="11"/>
  <c r="G258" i="11"/>
  <c r="S257" i="11"/>
  <c r="R257" i="11"/>
  <c r="Q257" i="11"/>
  <c r="O257" i="11"/>
  <c r="N257" i="11"/>
  <c r="M257" i="11"/>
  <c r="L257" i="11"/>
  <c r="G257" i="11"/>
  <c r="S256" i="11"/>
  <c r="R256" i="11"/>
  <c r="Q256" i="11"/>
  <c r="O256" i="11"/>
  <c r="N256" i="11"/>
  <c r="M256" i="11"/>
  <c r="L256" i="11"/>
  <c r="G256" i="11"/>
  <c r="S255" i="11"/>
  <c r="R255" i="11"/>
  <c r="Q255" i="11"/>
  <c r="O255" i="11"/>
  <c r="N255" i="11"/>
  <c r="M255" i="11"/>
  <c r="L255" i="11"/>
  <c r="G255" i="11"/>
  <c r="S254" i="11"/>
  <c r="R254" i="11"/>
  <c r="Q254" i="11"/>
  <c r="O254" i="11"/>
  <c r="N254" i="11"/>
  <c r="M254" i="11"/>
  <c r="L254" i="11"/>
  <c r="G254" i="11"/>
  <c r="S253" i="11"/>
  <c r="R253" i="11"/>
  <c r="Q253" i="11"/>
  <c r="O253" i="11"/>
  <c r="N253" i="11"/>
  <c r="M253" i="11"/>
  <c r="L253" i="11"/>
  <c r="G253" i="11"/>
  <c r="S252" i="11"/>
  <c r="R252" i="11"/>
  <c r="Q252" i="11"/>
  <c r="O252" i="11"/>
  <c r="N252" i="11"/>
  <c r="M252" i="11"/>
  <c r="L252" i="11"/>
  <c r="G252" i="11"/>
  <c r="S251" i="11"/>
  <c r="R251" i="11"/>
  <c r="Q251" i="11"/>
  <c r="O251" i="11"/>
  <c r="N251" i="11"/>
  <c r="M251" i="11"/>
  <c r="L251" i="11"/>
  <c r="G251" i="11"/>
  <c r="S250" i="11"/>
  <c r="R250" i="11"/>
  <c r="Q250" i="11"/>
  <c r="O250" i="11"/>
  <c r="N250" i="11"/>
  <c r="M250" i="11"/>
  <c r="L250" i="11"/>
  <c r="G250" i="11"/>
  <c r="S249" i="11"/>
  <c r="R249" i="11"/>
  <c r="Q249" i="11"/>
  <c r="O249" i="11"/>
  <c r="N249" i="11"/>
  <c r="M249" i="11"/>
  <c r="L249" i="11"/>
  <c r="G249" i="11"/>
  <c r="S248" i="11"/>
  <c r="R248" i="11"/>
  <c r="Q248" i="11"/>
  <c r="O248" i="11"/>
  <c r="N248" i="11"/>
  <c r="M248" i="11"/>
  <c r="L248" i="11"/>
  <c r="G248" i="11"/>
  <c r="S247" i="11"/>
  <c r="R247" i="11"/>
  <c r="Q247" i="11"/>
  <c r="O247" i="11"/>
  <c r="N247" i="11"/>
  <c r="M247" i="11"/>
  <c r="L247" i="11"/>
  <c r="G247" i="11"/>
  <c r="S246" i="11"/>
  <c r="R246" i="11"/>
  <c r="Q246" i="11"/>
  <c r="O246" i="11"/>
  <c r="N246" i="11"/>
  <c r="M246" i="11"/>
  <c r="L246" i="11"/>
  <c r="G246" i="11"/>
  <c r="S245" i="11"/>
  <c r="R245" i="11"/>
  <c r="Q245" i="11"/>
  <c r="O245" i="11"/>
  <c r="N245" i="11"/>
  <c r="M245" i="11"/>
  <c r="L245" i="11"/>
  <c r="G245" i="11"/>
  <c r="S244" i="11"/>
  <c r="R244" i="11"/>
  <c r="Q244" i="11"/>
  <c r="O244" i="11"/>
  <c r="N244" i="11"/>
  <c r="M244" i="11"/>
  <c r="L244" i="11"/>
  <c r="G244" i="11"/>
  <c r="S243" i="11"/>
  <c r="R243" i="11"/>
  <c r="Q243" i="11"/>
  <c r="O243" i="11"/>
  <c r="N243" i="11"/>
  <c r="M243" i="11"/>
  <c r="L243" i="11"/>
  <c r="G243" i="11"/>
  <c r="S242" i="11"/>
  <c r="R242" i="11"/>
  <c r="Q242" i="11"/>
  <c r="O242" i="11"/>
  <c r="N242" i="11"/>
  <c r="M242" i="11"/>
  <c r="L242" i="11"/>
  <c r="G242" i="11"/>
  <c r="S241" i="11"/>
  <c r="R241" i="11"/>
  <c r="Q241" i="11"/>
  <c r="O241" i="11"/>
  <c r="N241" i="11"/>
  <c r="M241" i="11"/>
  <c r="L241" i="11"/>
  <c r="G241" i="11"/>
  <c r="S240" i="11"/>
  <c r="R240" i="11"/>
  <c r="Q240" i="11"/>
  <c r="O240" i="11"/>
  <c r="N240" i="11"/>
  <c r="M240" i="11"/>
  <c r="L240" i="11"/>
  <c r="G240" i="11"/>
  <c r="S239" i="11"/>
  <c r="R239" i="11"/>
  <c r="Q239" i="11"/>
  <c r="O239" i="11"/>
  <c r="N239" i="11"/>
  <c r="M239" i="11"/>
  <c r="L239" i="11"/>
  <c r="G239" i="11"/>
  <c r="S238" i="11"/>
  <c r="R238" i="11"/>
  <c r="Q238" i="11"/>
  <c r="O238" i="11"/>
  <c r="N238" i="11"/>
  <c r="M238" i="11"/>
  <c r="L238" i="11"/>
  <c r="G238" i="11"/>
  <c r="S237" i="11"/>
  <c r="R237" i="11"/>
  <c r="Q237" i="11"/>
  <c r="O237" i="11"/>
  <c r="N237" i="11"/>
  <c r="M237" i="11"/>
  <c r="L237" i="11"/>
  <c r="G237" i="11"/>
  <c r="S236" i="11"/>
  <c r="R236" i="11"/>
  <c r="Q236" i="11"/>
  <c r="O236" i="11"/>
  <c r="N236" i="11"/>
  <c r="M236" i="11"/>
  <c r="L236" i="11"/>
  <c r="G236" i="11"/>
  <c r="S235" i="11"/>
  <c r="R235" i="11"/>
  <c r="Q235" i="11"/>
  <c r="O235" i="11"/>
  <c r="N235" i="11"/>
  <c r="M235" i="11"/>
  <c r="L235" i="11"/>
  <c r="G235" i="11"/>
  <c r="S234" i="11"/>
  <c r="R234" i="11"/>
  <c r="Q234" i="11"/>
  <c r="O234" i="11"/>
  <c r="N234" i="11"/>
  <c r="M234" i="11"/>
  <c r="L234" i="11"/>
  <c r="G234" i="11"/>
  <c r="S233" i="11"/>
  <c r="R233" i="11"/>
  <c r="Q233" i="11"/>
  <c r="O233" i="11"/>
  <c r="N233" i="11"/>
  <c r="M233" i="11"/>
  <c r="L233" i="11"/>
  <c r="G233" i="11"/>
  <c r="S232" i="11"/>
  <c r="R232" i="11"/>
  <c r="Q232" i="11"/>
  <c r="O232" i="11"/>
  <c r="N232" i="11"/>
  <c r="M232" i="11"/>
  <c r="L232" i="11"/>
  <c r="G232" i="11"/>
  <c r="S231" i="11"/>
  <c r="R231" i="11"/>
  <c r="Q231" i="11"/>
  <c r="O231" i="11"/>
  <c r="N231" i="11"/>
  <c r="M231" i="11"/>
  <c r="L231" i="11"/>
  <c r="G231" i="11"/>
  <c r="S230" i="11"/>
  <c r="R230" i="11"/>
  <c r="Q230" i="11"/>
  <c r="O230" i="11"/>
  <c r="N230" i="11"/>
  <c r="M230" i="11"/>
  <c r="L230" i="11"/>
  <c r="G230" i="11"/>
  <c r="S229" i="11"/>
  <c r="R229" i="11"/>
  <c r="Q229" i="11"/>
  <c r="O229" i="11"/>
  <c r="N229" i="11"/>
  <c r="M229" i="11"/>
  <c r="L229" i="11"/>
  <c r="G229" i="11"/>
  <c r="S228" i="11"/>
  <c r="R228" i="11"/>
  <c r="Q228" i="11"/>
  <c r="O228" i="11"/>
  <c r="N228" i="11"/>
  <c r="M228" i="11"/>
  <c r="L228" i="11"/>
  <c r="G228" i="11"/>
  <c r="S227" i="11"/>
  <c r="R227" i="11"/>
  <c r="Q227" i="11"/>
  <c r="O227" i="11"/>
  <c r="N227" i="11"/>
  <c r="M227" i="11"/>
  <c r="L227" i="11"/>
  <c r="G227" i="11"/>
  <c r="S226" i="11"/>
  <c r="R226" i="11"/>
  <c r="Q226" i="11"/>
  <c r="O226" i="11"/>
  <c r="N226" i="11"/>
  <c r="M226" i="11"/>
  <c r="L226" i="11"/>
  <c r="G226" i="11"/>
  <c r="S225" i="11"/>
  <c r="R225" i="11"/>
  <c r="Q225" i="11"/>
  <c r="O225" i="11"/>
  <c r="N225" i="11"/>
  <c r="M225" i="11"/>
  <c r="L225" i="11"/>
  <c r="G225" i="11"/>
  <c r="S224" i="11"/>
  <c r="R224" i="11"/>
  <c r="Q224" i="11"/>
  <c r="O224" i="11"/>
  <c r="N224" i="11"/>
  <c r="M224" i="11"/>
  <c r="L224" i="11"/>
  <c r="G224" i="11"/>
  <c r="S223" i="11"/>
  <c r="R223" i="11"/>
  <c r="Q223" i="11"/>
  <c r="O223" i="11"/>
  <c r="N223" i="11"/>
  <c r="M223" i="11"/>
  <c r="L223" i="11"/>
  <c r="G223" i="11"/>
  <c r="S222" i="11"/>
  <c r="R222" i="11"/>
  <c r="Q222" i="11"/>
  <c r="L222" i="11"/>
  <c r="E222" i="11"/>
  <c r="G222" i="11" s="1"/>
  <c r="M222" i="11" s="1"/>
  <c r="S221" i="11"/>
  <c r="R221" i="11"/>
  <c r="Q221" i="11"/>
  <c r="O221" i="11"/>
  <c r="N221" i="11"/>
  <c r="L221" i="11"/>
  <c r="G221" i="11"/>
  <c r="M221" i="11" s="1"/>
  <c r="E221" i="11"/>
  <c r="S220" i="11"/>
  <c r="R220" i="11"/>
  <c r="Q220" i="11"/>
  <c r="O220" i="11"/>
  <c r="N220" i="11"/>
  <c r="M220" i="11"/>
  <c r="L220" i="11"/>
  <c r="G220" i="11"/>
  <c r="S219" i="11"/>
  <c r="R219" i="11"/>
  <c r="Q219" i="11"/>
  <c r="O219" i="11"/>
  <c r="N219" i="11"/>
  <c r="L219" i="11"/>
  <c r="G219" i="11"/>
  <c r="M219" i="11" s="1"/>
  <c r="S218" i="11"/>
  <c r="R218" i="11"/>
  <c r="Q218" i="11"/>
  <c r="O218" i="11"/>
  <c r="N218" i="11"/>
  <c r="M218" i="11"/>
  <c r="L218" i="11"/>
  <c r="G218" i="11"/>
  <c r="S217" i="11"/>
  <c r="R217" i="11"/>
  <c r="Q217" i="11"/>
  <c r="O217" i="11"/>
  <c r="N217" i="11"/>
  <c r="L217" i="11"/>
  <c r="G217" i="11"/>
  <c r="M217" i="11" s="1"/>
  <c r="S216" i="11"/>
  <c r="R216" i="11"/>
  <c r="Q216" i="11"/>
  <c r="O216" i="11"/>
  <c r="N216" i="11"/>
  <c r="L216" i="11"/>
  <c r="G216" i="11"/>
  <c r="M216" i="11" s="1"/>
  <c r="S215" i="11"/>
  <c r="R215" i="11"/>
  <c r="Q215" i="11"/>
  <c r="O215" i="11"/>
  <c r="N215" i="11"/>
  <c r="M215" i="11"/>
  <c r="L215" i="11"/>
  <c r="G215" i="11"/>
  <c r="S214" i="11"/>
  <c r="R214" i="11"/>
  <c r="Q214" i="11"/>
  <c r="O214" i="11"/>
  <c r="N214" i="11"/>
  <c r="L214" i="11"/>
  <c r="G214" i="11"/>
  <c r="M214" i="11" s="1"/>
  <c r="S213" i="11"/>
  <c r="R213" i="11"/>
  <c r="Q213" i="11"/>
  <c r="O213" i="11"/>
  <c r="N213" i="11"/>
  <c r="L213" i="11"/>
  <c r="G213" i="11"/>
  <c r="M213" i="11" s="1"/>
  <c r="S212" i="11"/>
  <c r="R212" i="11"/>
  <c r="Q212" i="11"/>
  <c r="O212" i="11"/>
  <c r="N212" i="11"/>
  <c r="M212" i="11"/>
  <c r="L212" i="11"/>
  <c r="G212" i="11"/>
  <c r="S211" i="11"/>
  <c r="R211" i="11"/>
  <c r="Q211" i="11"/>
  <c r="O211" i="11"/>
  <c r="N211" i="11"/>
  <c r="M211" i="11"/>
  <c r="L211" i="11"/>
  <c r="G211" i="11"/>
  <c r="S210" i="11"/>
  <c r="R210" i="11"/>
  <c r="Q210" i="11"/>
  <c r="O210" i="11"/>
  <c r="N210" i="11"/>
  <c r="L210" i="11"/>
  <c r="G210" i="11"/>
  <c r="M210" i="11" s="1"/>
  <c r="S209" i="11"/>
  <c r="R209" i="11"/>
  <c r="Q209" i="11"/>
  <c r="O209" i="11"/>
  <c r="N209" i="11"/>
  <c r="M209" i="11"/>
  <c r="L209" i="11"/>
  <c r="G209" i="11"/>
  <c r="S208" i="11"/>
  <c r="R208" i="11"/>
  <c r="Q208" i="11"/>
  <c r="O208" i="11"/>
  <c r="N208" i="11"/>
  <c r="L208" i="11"/>
  <c r="G208" i="11"/>
  <c r="M208" i="11" s="1"/>
  <c r="S207" i="11"/>
  <c r="R207" i="11"/>
  <c r="Q207" i="11"/>
  <c r="O207" i="11"/>
  <c r="N207" i="11"/>
  <c r="L207" i="11"/>
  <c r="G207" i="11"/>
  <c r="M207" i="11" s="1"/>
  <c r="S206" i="11"/>
  <c r="R206" i="11"/>
  <c r="Q206" i="11"/>
  <c r="O206" i="11"/>
  <c r="N206" i="11"/>
  <c r="M206" i="11"/>
  <c r="L206" i="11"/>
  <c r="G206" i="11"/>
  <c r="S205" i="11"/>
  <c r="R205" i="11"/>
  <c r="Q205" i="11"/>
  <c r="O205" i="11"/>
  <c r="N205" i="11"/>
  <c r="L205" i="11"/>
  <c r="G205" i="11"/>
  <c r="M205" i="11" s="1"/>
  <c r="S204" i="11"/>
  <c r="R204" i="11"/>
  <c r="Q204" i="11"/>
  <c r="O204" i="11"/>
  <c r="N204" i="11"/>
  <c r="L204" i="11"/>
  <c r="G204" i="11"/>
  <c r="M204" i="11" s="1"/>
  <c r="S203" i="11"/>
  <c r="R203" i="11"/>
  <c r="Q203" i="11"/>
  <c r="O203" i="11"/>
  <c r="N203" i="11"/>
  <c r="M203" i="11"/>
  <c r="L203" i="11"/>
  <c r="G203" i="11"/>
  <c r="S202" i="11"/>
  <c r="R202" i="11"/>
  <c r="Q202" i="11"/>
  <c r="O202" i="11"/>
  <c r="N202" i="11"/>
  <c r="M202" i="11"/>
  <c r="L202" i="11"/>
  <c r="G202" i="11"/>
  <c r="S201" i="11"/>
  <c r="R201" i="11"/>
  <c r="Q201" i="11"/>
  <c r="O201" i="11"/>
  <c r="N201" i="11"/>
  <c r="L201" i="11"/>
  <c r="G201" i="11"/>
  <c r="M201" i="11" s="1"/>
  <c r="S200" i="11"/>
  <c r="R200" i="11"/>
  <c r="Q200" i="11"/>
  <c r="O200" i="11"/>
  <c r="N200" i="11"/>
  <c r="M200" i="11"/>
  <c r="L200" i="11"/>
  <c r="G200" i="11"/>
  <c r="S199" i="11"/>
  <c r="R199" i="11"/>
  <c r="Q199" i="11"/>
  <c r="O199" i="11"/>
  <c r="N199" i="11"/>
  <c r="L199" i="11"/>
  <c r="G199" i="11"/>
  <c r="M199" i="11" s="1"/>
  <c r="S198" i="11"/>
  <c r="R198" i="11"/>
  <c r="Q198" i="11"/>
  <c r="O198" i="11"/>
  <c r="N198" i="11"/>
  <c r="L198" i="11"/>
  <c r="G198" i="11"/>
  <c r="M198" i="11" s="1"/>
  <c r="S197" i="11"/>
  <c r="R197" i="11"/>
  <c r="Q197" i="11"/>
  <c r="O197" i="11"/>
  <c r="N197" i="11"/>
  <c r="M197" i="11"/>
  <c r="L197" i="11"/>
  <c r="G197" i="11"/>
  <c r="S196" i="11"/>
  <c r="R196" i="11"/>
  <c r="Q196" i="11"/>
  <c r="O196" i="11"/>
  <c r="N196" i="11"/>
  <c r="M196" i="11"/>
  <c r="L196" i="11"/>
  <c r="G196" i="11"/>
  <c r="S195" i="11"/>
  <c r="R195" i="11"/>
  <c r="Q195" i="11"/>
  <c r="O195" i="11"/>
  <c r="N195" i="11"/>
  <c r="L195" i="11"/>
  <c r="G195" i="11"/>
  <c r="M195" i="11" s="1"/>
  <c r="S194" i="11"/>
  <c r="R194" i="11"/>
  <c r="Q194" i="11"/>
  <c r="O194" i="11"/>
  <c r="N194" i="11"/>
  <c r="M194" i="11"/>
  <c r="L194" i="11"/>
  <c r="G194" i="11"/>
  <c r="S193" i="11"/>
  <c r="R193" i="11"/>
  <c r="Q193" i="11"/>
  <c r="O193" i="11"/>
  <c r="N193" i="11"/>
  <c r="L193" i="11"/>
  <c r="G193" i="11"/>
  <c r="M193" i="11" s="1"/>
  <c r="S192" i="11"/>
  <c r="R192" i="11"/>
  <c r="Q192" i="11"/>
  <c r="O192" i="11"/>
  <c r="N192" i="11"/>
  <c r="L192" i="11"/>
  <c r="G192" i="11"/>
  <c r="M192" i="11" s="1"/>
  <c r="S191" i="11"/>
  <c r="R191" i="11"/>
  <c r="Q191" i="11"/>
  <c r="O191" i="11"/>
  <c r="N191" i="11"/>
  <c r="M191" i="11"/>
  <c r="L191" i="11"/>
  <c r="G191" i="11"/>
  <c r="S190" i="11"/>
  <c r="R190" i="11"/>
  <c r="Q190" i="11"/>
  <c r="O190" i="11"/>
  <c r="N190" i="11"/>
  <c r="L190" i="11"/>
  <c r="G190" i="11"/>
  <c r="M190" i="11" s="1"/>
  <c r="S189" i="11"/>
  <c r="R189" i="11"/>
  <c r="Q189" i="11"/>
  <c r="O189" i="11"/>
  <c r="N189" i="11"/>
  <c r="L189" i="11"/>
  <c r="G189" i="11"/>
  <c r="M189" i="11" s="1"/>
  <c r="S188" i="11"/>
  <c r="R188" i="11"/>
  <c r="Q188" i="11"/>
  <c r="O188" i="11"/>
  <c r="N188" i="11"/>
  <c r="M188" i="11"/>
  <c r="L188" i="11"/>
  <c r="G188" i="11"/>
  <c r="S187" i="11"/>
  <c r="R187" i="11"/>
  <c r="Q187" i="11"/>
  <c r="O187" i="11"/>
  <c r="N187" i="11"/>
  <c r="M187" i="11"/>
  <c r="L187" i="11"/>
  <c r="G187" i="11"/>
  <c r="S186" i="11"/>
  <c r="R186" i="11"/>
  <c r="Q186" i="11"/>
  <c r="O186" i="11"/>
  <c r="N186" i="11"/>
  <c r="L186" i="11"/>
  <c r="G186" i="11"/>
  <c r="M186" i="11" s="1"/>
  <c r="S185" i="11"/>
  <c r="R185" i="11"/>
  <c r="Q185" i="11"/>
  <c r="O185" i="11"/>
  <c r="N185" i="11"/>
  <c r="M185" i="11"/>
  <c r="L185" i="11"/>
  <c r="G185" i="11"/>
  <c r="S184" i="11"/>
  <c r="R184" i="11"/>
  <c r="Q184" i="11"/>
  <c r="O184" i="11"/>
  <c r="N184" i="11"/>
  <c r="M184" i="11"/>
  <c r="L184" i="11"/>
  <c r="G184" i="11"/>
  <c r="S183" i="11"/>
  <c r="R183" i="11"/>
  <c r="Q183" i="11"/>
  <c r="O183" i="11"/>
  <c r="N183" i="11"/>
  <c r="L183" i="11"/>
  <c r="G183" i="11"/>
  <c r="M183" i="11" s="1"/>
  <c r="S182" i="11"/>
  <c r="R182" i="11"/>
  <c r="Q182" i="11"/>
  <c r="O182" i="11"/>
  <c r="N182" i="11"/>
  <c r="M182" i="11"/>
  <c r="L182" i="11"/>
  <c r="G182" i="11"/>
  <c r="S181" i="11"/>
  <c r="R181" i="11"/>
  <c r="Q181" i="11"/>
  <c r="O181" i="11"/>
  <c r="N181" i="11"/>
  <c r="L181" i="11"/>
  <c r="G181" i="11"/>
  <c r="M181" i="11" s="1"/>
  <c r="S180" i="11"/>
  <c r="R180" i="11"/>
  <c r="Q180" i="11"/>
  <c r="O180" i="11"/>
  <c r="N180" i="11"/>
  <c r="L180" i="11"/>
  <c r="G180" i="11"/>
  <c r="M180" i="11" s="1"/>
  <c r="S179" i="11"/>
  <c r="R179" i="11"/>
  <c r="Q179" i="11"/>
  <c r="O179" i="11"/>
  <c r="N179" i="11"/>
  <c r="M179" i="11"/>
  <c r="L179" i="11"/>
  <c r="G179" i="11"/>
  <c r="S178" i="11"/>
  <c r="R178" i="11"/>
  <c r="Q178" i="11"/>
  <c r="O178" i="11"/>
  <c r="N178" i="11"/>
  <c r="L178" i="11"/>
  <c r="G178" i="11"/>
  <c r="M178" i="11" s="1"/>
  <c r="S177" i="11"/>
  <c r="R177" i="11"/>
  <c r="Q177" i="11"/>
  <c r="O177" i="11"/>
  <c r="N177" i="11"/>
  <c r="L177" i="11"/>
  <c r="G177" i="11"/>
  <c r="M177" i="11" s="1"/>
  <c r="S176" i="11"/>
  <c r="R176" i="11"/>
  <c r="Q176" i="11"/>
  <c r="O176" i="11"/>
  <c r="N176" i="11"/>
  <c r="M176" i="11"/>
  <c r="L176" i="11"/>
  <c r="G176" i="11"/>
  <c r="S175" i="11"/>
  <c r="R175" i="11"/>
  <c r="Q175" i="11"/>
  <c r="O175" i="11"/>
  <c r="N175" i="11"/>
  <c r="M175" i="11"/>
  <c r="L175" i="11"/>
  <c r="G175" i="11"/>
  <c r="S174" i="11"/>
  <c r="R174" i="11"/>
  <c r="Q174" i="11"/>
  <c r="O174" i="11"/>
  <c r="N174" i="11"/>
  <c r="L174" i="11"/>
  <c r="G174" i="11"/>
  <c r="M174" i="11" s="1"/>
  <c r="S173" i="11"/>
  <c r="R173" i="11"/>
  <c r="Q173" i="11"/>
  <c r="O173" i="11"/>
  <c r="N173" i="11"/>
  <c r="M173" i="11"/>
  <c r="L173" i="11"/>
  <c r="G173" i="11"/>
  <c r="S172" i="11"/>
  <c r="R172" i="11"/>
  <c r="Q172" i="11"/>
  <c r="O172" i="11"/>
  <c r="N172" i="11"/>
  <c r="L172" i="11"/>
  <c r="G172" i="11"/>
  <c r="M172" i="11" s="1"/>
  <c r="S171" i="11"/>
  <c r="R171" i="11"/>
  <c r="Q171" i="11"/>
  <c r="O171" i="11"/>
  <c r="N171" i="11"/>
  <c r="L171" i="11"/>
  <c r="G171" i="11"/>
  <c r="M171" i="11" s="1"/>
  <c r="S170" i="11"/>
  <c r="R170" i="11"/>
  <c r="Q170" i="11"/>
  <c r="O170" i="11"/>
  <c r="N170" i="11"/>
  <c r="M170" i="11"/>
  <c r="L170" i="11"/>
  <c r="G170" i="11"/>
  <c r="S169" i="11"/>
  <c r="R169" i="11"/>
  <c r="Q169" i="11"/>
  <c r="O169" i="11"/>
  <c r="N169" i="11"/>
  <c r="L169" i="11"/>
  <c r="G169" i="11"/>
  <c r="M169" i="11" s="1"/>
  <c r="S168" i="11"/>
  <c r="R168" i="11"/>
  <c r="Q168" i="11"/>
  <c r="O168" i="11"/>
  <c r="N168" i="11"/>
  <c r="L168" i="11"/>
  <c r="G168" i="11"/>
  <c r="M168" i="11" s="1"/>
  <c r="S167" i="11"/>
  <c r="R167" i="11"/>
  <c r="Q167" i="11"/>
  <c r="O167" i="11"/>
  <c r="N167" i="11"/>
  <c r="M167" i="11"/>
  <c r="L167" i="11"/>
  <c r="G167" i="11"/>
  <c r="S166" i="11"/>
  <c r="R166" i="11"/>
  <c r="Q166" i="11"/>
  <c r="O166" i="11"/>
  <c r="N166" i="11"/>
  <c r="M166" i="11"/>
  <c r="L166" i="11"/>
  <c r="G166" i="11"/>
  <c r="S165" i="11"/>
  <c r="R165" i="11"/>
  <c r="Q165" i="11"/>
  <c r="O165" i="11"/>
  <c r="N165" i="11"/>
  <c r="L165" i="11"/>
  <c r="G165" i="11"/>
  <c r="M165" i="11" s="1"/>
  <c r="S164" i="11"/>
  <c r="R164" i="11"/>
  <c r="Q164" i="11"/>
  <c r="O164" i="11"/>
  <c r="N164" i="11"/>
  <c r="M164" i="11"/>
  <c r="L164" i="11"/>
  <c r="G164" i="11"/>
  <c r="S163" i="11"/>
  <c r="R163" i="11"/>
  <c r="Q163" i="11"/>
  <c r="O163" i="11"/>
  <c r="N163" i="11"/>
  <c r="L163" i="11"/>
  <c r="G163" i="11"/>
  <c r="M163" i="11" s="1"/>
  <c r="S162" i="11"/>
  <c r="R162" i="11"/>
  <c r="Q162" i="11"/>
  <c r="O162" i="11"/>
  <c r="N162" i="11"/>
  <c r="L162" i="11"/>
  <c r="G162" i="11"/>
  <c r="M162" i="11" s="1"/>
  <c r="S161" i="11"/>
  <c r="R161" i="11"/>
  <c r="Q161" i="11"/>
  <c r="O161" i="11"/>
  <c r="N161" i="11"/>
  <c r="M161" i="11"/>
  <c r="L161" i="11"/>
  <c r="G161" i="11"/>
  <c r="S160" i="11"/>
  <c r="R160" i="11"/>
  <c r="Q160" i="11"/>
  <c r="O160" i="11"/>
  <c r="N160" i="11"/>
  <c r="M160" i="11"/>
  <c r="L160" i="11"/>
  <c r="G160" i="11"/>
  <c r="S159" i="11"/>
  <c r="R159" i="11"/>
  <c r="Q159" i="11"/>
  <c r="O159" i="11"/>
  <c r="N159" i="11"/>
  <c r="L159" i="11"/>
  <c r="G159" i="11"/>
  <c r="M159" i="11" s="1"/>
  <c r="S158" i="11"/>
  <c r="R158" i="11"/>
  <c r="Q158" i="11"/>
  <c r="O158" i="11"/>
  <c r="N158" i="11"/>
  <c r="M158" i="11"/>
  <c r="L158" i="11"/>
  <c r="G158" i="11"/>
  <c r="S157" i="11"/>
  <c r="R157" i="11"/>
  <c r="Q157" i="11"/>
  <c r="O157" i="11"/>
  <c r="N157" i="11"/>
  <c r="L157" i="11"/>
  <c r="G157" i="11"/>
  <c r="M157" i="11" s="1"/>
  <c r="S156" i="11"/>
  <c r="R156" i="11"/>
  <c r="Q156" i="11"/>
  <c r="O156" i="11"/>
  <c r="N156" i="11"/>
  <c r="L156" i="11"/>
  <c r="G156" i="11"/>
  <c r="M156" i="11" s="1"/>
  <c r="S155" i="11"/>
  <c r="R155" i="11"/>
  <c r="Q155" i="11"/>
  <c r="O155" i="11"/>
  <c r="N155" i="11"/>
  <c r="M155" i="11"/>
  <c r="L155" i="11"/>
  <c r="G155" i="11"/>
  <c r="S154" i="11"/>
  <c r="R154" i="11"/>
  <c r="Q154" i="11"/>
  <c r="O154" i="11"/>
  <c r="N154" i="11"/>
  <c r="L154" i="11"/>
  <c r="G154" i="11"/>
  <c r="M154" i="11" s="1"/>
  <c r="S153" i="11"/>
  <c r="R153" i="11"/>
  <c r="Q153" i="11"/>
  <c r="O153" i="11"/>
  <c r="N153" i="11"/>
  <c r="L153" i="11"/>
  <c r="G153" i="11"/>
  <c r="M153" i="11" s="1"/>
  <c r="S152" i="11"/>
  <c r="R152" i="11"/>
  <c r="Q152" i="11"/>
  <c r="O152" i="11"/>
  <c r="N152" i="11"/>
  <c r="M152" i="11"/>
  <c r="L152" i="11"/>
  <c r="G152" i="11"/>
  <c r="S151" i="11"/>
  <c r="R151" i="11"/>
  <c r="Q151" i="11"/>
  <c r="O151" i="11"/>
  <c r="N151" i="11"/>
  <c r="M151" i="11"/>
  <c r="L151" i="11"/>
  <c r="G151" i="11"/>
  <c r="S150" i="11"/>
  <c r="R150" i="11"/>
  <c r="Q150" i="11"/>
  <c r="O150" i="11"/>
  <c r="N150" i="11"/>
  <c r="L150" i="11"/>
  <c r="G150" i="11"/>
  <c r="M150" i="11" s="1"/>
  <c r="S149" i="11"/>
  <c r="R149" i="11"/>
  <c r="Q149" i="11"/>
  <c r="O149" i="11"/>
  <c r="N149" i="11"/>
  <c r="M149" i="11"/>
  <c r="L149" i="11"/>
  <c r="G149" i="11"/>
  <c r="S148" i="11"/>
  <c r="R148" i="11"/>
  <c r="Q148" i="11"/>
  <c r="O148" i="11"/>
  <c r="N148" i="11"/>
  <c r="M148" i="11"/>
  <c r="L148" i="11"/>
  <c r="G148" i="11"/>
  <c r="S147" i="11"/>
  <c r="R147" i="11"/>
  <c r="Q147" i="11"/>
  <c r="O147" i="11"/>
  <c r="N147" i="11"/>
  <c r="L147" i="11"/>
  <c r="G147" i="11"/>
  <c r="M147" i="11" s="1"/>
  <c r="S146" i="11"/>
  <c r="R146" i="11"/>
  <c r="Q146" i="11"/>
  <c r="O146" i="11"/>
  <c r="N146" i="11"/>
  <c r="M146" i="11"/>
  <c r="L146" i="11"/>
  <c r="G146" i="11"/>
  <c r="S145" i="11"/>
  <c r="R145" i="11"/>
  <c r="Q145" i="11"/>
  <c r="O145" i="11"/>
  <c r="N145" i="11"/>
  <c r="L145" i="11"/>
  <c r="G145" i="11"/>
  <c r="M145" i="11" s="1"/>
  <c r="S144" i="11"/>
  <c r="R144" i="11"/>
  <c r="Q144" i="11"/>
  <c r="O144" i="11"/>
  <c r="N144" i="11"/>
  <c r="L144" i="11"/>
  <c r="G144" i="11"/>
  <c r="M144" i="11" s="1"/>
  <c r="S143" i="11"/>
  <c r="R143" i="11"/>
  <c r="Q143" i="11"/>
  <c r="O143" i="11"/>
  <c r="N143" i="11"/>
  <c r="M143" i="11"/>
  <c r="L143" i="11"/>
  <c r="G143" i="11"/>
  <c r="S142" i="11"/>
  <c r="R142" i="11"/>
  <c r="Q142" i="11"/>
  <c r="O142" i="11"/>
  <c r="N142" i="11"/>
  <c r="L142" i="11"/>
  <c r="G142" i="11"/>
  <c r="M142" i="11" s="1"/>
  <c r="S141" i="11"/>
  <c r="R141" i="11"/>
  <c r="Q141" i="11"/>
  <c r="O141" i="11"/>
  <c r="N141" i="11"/>
  <c r="L141" i="11"/>
  <c r="G141" i="11"/>
  <c r="M141" i="11" s="1"/>
  <c r="S140" i="11"/>
  <c r="R140" i="11"/>
  <c r="Q140" i="11"/>
  <c r="O140" i="11"/>
  <c r="N140" i="11"/>
  <c r="M140" i="11"/>
  <c r="L140" i="11"/>
  <c r="G140" i="11"/>
  <c r="S139" i="11"/>
  <c r="R139" i="11"/>
  <c r="Q139" i="11"/>
  <c r="O139" i="11"/>
  <c r="N139" i="11"/>
  <c r="M139" i="11"/>
  <c r="L139" i="11"/>
  <c r="G139" i="11"/>
  <c r="S138" i="11"/>
  <c r="R138" i="11"/>
  <c r="Q138" i="11"/>
  <c r="O138" i="11"/>
  <c r="N138" i="11"/>
  <c r="L138" i="11"/>
  <c r="G138" i="11"/>
  <c r="M138" i="11" s="1"/>
  <c r="S137" i="11"/>
  <c r="R137" i="11"/>
  <c r="Q137" i="11"/>
  <c r="O137" i="11"/>
  <c r="N137" i="11"/>
  <c r="M137" i="11"/>
  <c r="L137" i="11"/>
  <c r="G137" i="11"/>
  <c r="S136" i="11"/>
  <c r="R136" i="11"/>
  <c r="Q136" i="11"/>
  <c r="O136" i="11"/>
  <c r="N136" i="11"/>
  <c r="M136" i="11"/>
  <c r="L136" i="11"/>
  <c r="G136" i="11"/>
  <c r="S135" i="11"/>
  <c r="R135" i="11"/>
  <c r="Q135" i="11"/>
  <c r="O135" i="11"/>
  <c r="N135" i="11"/>
  <c r="L135" i="11"/>
  <c r="G135" i="11"/>
  <c r="M135" i="11" s="1"/>
  <c r="S134" i="11"/>
  <c r="R134" i="11"/>
  <c r="Q134" i="11"/>
  <c r="O134" i="11"/>
  <c r="N134" i="11"/>
  <c r="M134" i="11"/>
  <c r="L134" i="11"/>
  <c r="G134" i="11"/>
  <c r="S133" i="11"/>
  <c r="R133" i="11"/>
  <c r="Q133" i="11"/>
  <c r="O133" i="11"/>
  <c r="N133" i="11"/>
  <c r="L133" i="11"/>
  <c r="G133" i="11"/>
  <c r="M133" i="11" s="1"/>
  <c r="S132" i="11"/>
  <c r="R132" i="11"/>
  <c r="Q132" i="11"/>
  <c r="O132" i="11"/>
  <c r="N132" i="11"/>
  <c r="L132" i="11"/>
  <c r="G132" i="11"/>
  <c r="M132" i="11" s="1"/>
  <c r="S131" i="11"/>
  <c r="R131" i="11"/>
  <c r="Q131" i="11"/>
  <c r="O131" i="11"/>
  <c r="N131" i="11"/>
  <c r="M131" i="11"/>
  <c r="L131" i="11"/>
  <c r="G131" i="11"/>
  <c r="S130" i="11"/>
  <c r="R130" i="11"/>
  <c r="Q130" i="11"/>
  <c r="O130" i="11"/>
  <c r="N130" i="11"/>
  <c r="M130" i="11"/>
  <c r="L130" i="11"/>
  <c r="G130" i="11"/>
  <c r="S129" i="11"/>
  <c r="R129" i="11"/>
  <c r="Q129" i="11"/>
  <c r="O129" i="11"/>
  <c r="N129" i="11"/>
  <c r="L129" i="11"/>
  <c r="G129" i="11"/>
  <c r="M129" i="11" s="1"/>
  <c r="S128" i="11"/>
  <c r="R128" i="11"/>
  <c r="Q128" i="11"/>
  <c r="O128" i="11"/>
  <c r="N128" i="11"/>
  <c r="M128" i="11"/>
  <c r="L128" i="11"/>
  <c r="G128" i="11"/>
  <c r="S127" i="11"/>
  <c r="R127" i="11"/>
  <c r="Q127" i="11"/>
  <c r="O127" i="11"/>
  <c r="N127" i="11"/>
  <c r="L127" i="11"/>
  <c r="G127" i="11"/>
  <c r="M127" i="11" s="1"/>
  <c r="S126" i="11"/>
  <c r="R126" i="11"/>
  <c r="Q126" i="11"/>
  <c r="O126" i="11"/>
  <c r="N126" i="11"/>
  <c r="L126" i="11"/>
  <c r="G126" i="11"/>
  <c r="M126" i="11" s="1"/>
  <c r="S125" i="11"/>
  <c r="R125" i="11"/>
  <c r="Q125" i="11"/>
  <c r="O125" i="11"/>
  <c r="N125" i="11"/>
  <c r="M125" i="11"/>
  <c r="L125" i="11"/>
  <c r="G125" i="11"/>
  <c r="S124" i="11"/>
  <c r="R124" i="11"/>
  <c r="Q124" i="11"/>
  <c r="O124" i="11"/>
  <c r="N124" i="11"/>
  <c r="M124" i="11"/>
  <c r="L124" i="11"/>
  <c r="G124" i="11"/>
  <c r="S123" i="11"/>
  <c r="R123" i="11"/>
  <c r="Q123" i="11"/>
  <c r="O123" i="11"/>
  <c r="N123" i="11"/>
  <c r="L123" i="11"/>
  <c r="G123" i="11"/>
  <c r="M123" i="11" s="1"/>
  <c r="S122" i="11"/>
  <c r="R122" i="11"/>
  <c r="Q122" i="11"/>
  <c r="O122" i="11"/>
  <c r="N122" i="11"/>
  <c r="M122" i="11"/>
  <c r="L122" i="11"/>
  <c r="G122" i="11"/>
  <c r="S121" i="11"/>
  <c r="R121" i="11"/>
  <c r="Q121" i="11"/>
  <c r="O121" i="11"/>
  <c r="N121" i="11"/>
  <c r="L121" i="11"/>
  <c r="G121" i="11"/>
  <c r="M121" i="11" s="1"/>
  <c r="S120" i="11"/>
  <c r="R120" i="11"/>
  <c r="Q120" i="11"/>
  <c r="O120" i="11"/>
  <c r="N120" i="11"/>
  <c r="L120" i="11"/>
  <c r="G120" i="11"/>
  <c r="M120" i="11" s="1"/>
  <c r="S119" i="11"/>
  <c r="R119" i="11"/>
  <c r="Q119" i="11"/>
  <c r="O119" i="11"/>
  <c r="N119" i="11"/>
  <c r="M119" i="11"/>
  <c r="L119" i="11"/>
  <c r="G119" i="11"/>
  <c r="S118" i="11"/>
  <c r="R118" i="11"/>
  <c r="Q118" i="11"/>
  <c r="O118" i="11"/>
  <c r="N118" i="11"/>
  <c r="L118" i="11"/>
  <c r="G118" i="11"/>
  <c r="M118" i="11" s="1"/>
  <c r="S117" i="11"/>
  <c r="R117" i="11"/>
  <c r="Q117" i="11"/>
  <c r="O117" i="11"/>
  <c r="N117" i="11"/>
  <c r="L117" i="11"/>
  <c r="G117" i="11"/>
  <c r="M117" i="11" s="1"/>
  <c r="S116" i="11"/>
  <c r="R116" i="11"/>
  <c r="Q116" i="11"/>
  <c r="O116" i="11"/>
  <c r="N116" i="11"/>
  <c r="M116" i="11"/>
  <c r="L116" i="11"/>
  <c r="G116" i="11"/>
  <c r="S115" i="11"/>
  <c r="R115" i="11"/>
  <c r="Q115" i="11"/>
  <c r="O115" i="11"/>
  <c r="N115" i="11"/>
  <c r="M115" i="11"/>
  <c r="L115" i="11"/>
  <c r="G115" i="11"/>
  <c r="S114" i="11"/>
  <c r="R114" i="11"/>
  <c r="Q114" i="11"/>
  <c r="O114" i="11"/>
  <c r="N114" i="11"/>
  <c r="L114" i="11"/>
  <c r="G114" i="11"/>
  <c r="M114" i="11" s="1"/>
  <c r="S113" i="11"/>
  <c r="R113" i="11"/>
  <c r="Q113" i="11"/>
  <c r="O113" i="11"/>
  <c r="N113" i="11"/>
  <c r="M113" i="11"/>
  <c r="L113" i="11"/>
  <c r="G113" i="11"/>
  <c r="S112" i="11"/>
  <c r="R112" i="11"/>
  <c r="Q112" i="11"/>
  <c r="O112" i="11"/>
  <c r="N112" i="11"/>
  <c r="M112" i="11"/>
  <c r="L112" i="11"/>
  <c r="G112" i="11"/>
  <c r="S111" i="11"/>
  <c r="R111" i="11"/>
  <c r="Q111" i="11"/>
  <c r="O111" i="11"/>
  <c r="N111" i="11"/>
  <c r="L111" i="11"/>
  <c r="G111" i="11"/>
  <c r="M111" i="11" s="1"/>
  <c r="S110" i="11"/>
  <c r="R110" i="11"/>
  <c r="Q110" i="11"/>
  <c r="O110" i="11"/>
  <c r="N110" i="11"/>
  <c r="M110" i="11"/>
  <c r="L110" i="11"/>
  <c r="G110" i="11"/>
  <c r="S109" i="11"/>
  <c r="R109" i="11"/>
  <c r="Q109" i="11"/>
  <c r="O109" i="11"/>
  <c r="N109" i="11"/>
  <c r="L109" i="11"/>
  <c r="G109" i="11"/>
  <c r="M109" i="11" s="1"/>
  <c r="S108" i="11"/>
  <c r="R108" i="11"/>
  <c r="Q108" i="11"/>
  <c r="O108" i="11"/>
  <c r="N108" i="11"/>
  <c r="L108" i="11"/>
  <c r="G108" i="11"/>
  <c r="M108" i="11" s="1"/>
  <c r="S107" i="11"/>
  <c r="R107" i="11"/>
  <c r="Q107" i="11"/>
  <c r="O107" i="11"/>
  <c r="N107" i="11"/>
  <c r="M107" i="11"/>
  <c r="L107" i="11"/>
  <c r="G107" i="11"/>
  <c r="S106" i="11"/>
  <c r="R106" i="11"/>
  <c r="Q106" i="11"/>
  <c r="O106" i="11"/>
  <c r="N106" i="11"/>
  <c r="L106" i="11"/>
  <c r="G106" i="11"/>
  <c r="M106" i="11" s="1"/>
  <c r="S105" i="11"/>
  <c r="R105" i="11"/>
  <c r="Q105" i="11"/>
  <c r="O105" i="11"/>
  <c r="N105" i="11"/>
  <c r="L105" i="11"/>
  <c r="G105" i="11"/>
  <c r="M105" i="11" s="1"/>
  <c r="S104" i="11"/>
  <c r="R104" i="11"/>
  <c r="Q104" i="11"/>
  <c r="O104" i="11"/>
  <c r="N104" i="11"/>
  <c r="M104" i="11"/>
  <c r="L104" i="11"/>
  <c r="G104" i="11"/>
  <c r="S103" i="11"/>
  <c r="R103" i="11"/>
  <c r="Q103" i="11"/>
  <c r="O103" i="11"/>
  <c r="N103" i="11"/>
  <c r="M103" i="11"/>
  <c r="L103" i="11"/>
  <c r="G103" i="11"/>
  <c r="S102" i="11"/>
  <c r="R102" i="11"/>
  <c r="Q102" i="11"/>
  <c r="O102" i="11"/>
  <c r="N102" i="11"/>
  <c r="L102" i="11"/>
  <c r="G102" i="11"/>
  <c r="M102" i="11" s="1"/>
  <c r="S101" i="11"/>
  <c r="R101" i="11"/>
  <c r="Q101" i="11"/>
  <c r="O101" i="11"/>
  <c r="N101" i="11"/>
  <c r="M101" i="11"/>
  <c r="L101" i="11"/>
  <c r="G101" i="11"/>
  <c r="S100" i="11"/>
  <c r="R100" i="11"/>
  <c r="Q100" i="11"/>
  <c r="O100" i="11"/>
  <c r="N100" i="11"/>
  <c r="M100" i="11"/>
  <c r="L100" i="11"/>
  <c r="G100" i="11"/>
  <c r="S99" i="11"/>
  <c r="R99" i="11"/>
  <c r="Q99" i="11"/>
  <c r="O99" i="11"/>
  <c r="N99" i="11"/>
  <c r="L99" i="11"/>
  <c r="G99" i="11"/>
  <c r="M99" i="11" s="1"/>
  <c r="S98" i="11"/>
  <c r="R98" i="11"/>
  <c r="Q98" i="11"/>
  <c r="O98" i="11"/>
  <c r="N98" i="11"/>
  <c r="M98" i="11"/>
  <c r="L98" i="11"/>
  <c r="G98" i="11"/>
  <c r="S97" i="11"/>
  <c r="R97" i="11"/>
  <c r="Q97" i="11"/>
  <c r="O97" i="11"/>
  <c r="N97" i="11"/>
  <c r="L97" i="11"/>
  <c r="G97" i="11"/>
  <c r="M97" i="11" s="1"/>
  <c r="S96" i="11"/>
  <c r="R96" i="11"/>
  <c r="Q96" i="11"/>
  <c r="O96" i="11"/>
  <c r="N96" i="11"/>
  <c r="L96" i="11"/>
  <c r="G96" i="11"/>
  <c r="M96" i="11" s="1"/>
  <c r="S95" i="11"/>
  <c r="R95" i="11"/>
  <c r="Q95" i="11"/>
  <c r="O95" i="11"/>
  <c r="N95" i="11"/>
  <c r="M95" i="11"/>
  <c r="L95" i="11"/>
  <c r="G95" i="11"/>
  <c r="S94" i="11"/>
  <c r="R94" i="11"/>
  <c r="Q94" i="11"/>
  <c r="O94" i="11"/>
  <c r="N94" i="11"/>
  <c r="M94" i="11"/>
  <c r="L94" i="11"/>
  <c r="G94" i="11"/>
  <c r="S93" i="11"/>
  <c r="R93" i="11"/>
  <c r="Q93" i="11"/>
  <c r="O93" i="11"/>
  <c r="N93" i="11"/>
  <c r="L93" i="11"/>
  <c r="G93" i="11"/>
  <c r="M93" i="11" s="1"/>
  <c r="S92" i="11"/>
  <c r="R92" i="11"/>
  <c r="Q92" i="11"/>
  <c r="O92" i="11"/>
  <c r="N92" i="11"/>
  <c r="M92" i="11"/>
  <c r="L92" i="11"/>
  <c r="G92" i="11"/>
  <c r="S91" i="11"/>
  <c r="R91" i="11"/>
  <c r="Q91" i="11"/>
  <c r="O91" i="11"/>
  <c r="N91" i="11"/>
  <c r="L91" i="11"/>
  <c r="G91" i="11"/>
  <c r="M91" i="11" s="1"/>
  <c r="S90" i="11"/>
  <c r="R90" i="11"/>
  <c r="Q90" i="11"/>
  <c r="O90" i="11"/>
  <c r="N90" i="11"/>
  <c r="L90" i="11"/>
  <c r="G90" i="11"/>
  <c r="M90" i="11" s="1"/>
  <c r="S89" i="11"/>
  <c r="R89" i="11"/>
  <c r="Q89" i="11"/>
  <c r="O89" i="11"/>
  <c r="N89" i="11"/>
  <c r="M89" i="11"/>
  <c r="L89" i="11"/>
  <c r="G89" i="11"/>
  <c r="S88" i="11"/>
  <c r="R88" i="11"/>
  <c r="Q88" i="11"/>
  <c r="O88" i="11"/>
  <c r="N88" i="11"/>
  <c r="M88" i="11"/>
  <c r="L88" i="11"/>
  <c r="G88" i="11"/>
  <c r="S87" i="11"/>
  <c r="R87" i="11"/>
  <c r="Q87" i="11"/>
  <c r="O87" i="11"/>
  <c r="N87" i="11"/>
  <c r="L87" i="11"/>
  <c r="G87" i="11"/>
  <c r="M87" i="11" s="1"/>
  <c r="S86" i="11"/>
  <c r="R86" i="11"/>
  <c r="Q86" i="11"/>
  <c r="O86" i="11"/>
  <c r="N86" i="11"/>
  <c r="M86" i="11"/>
  <c r="L86" i="11"/>
  <c r="G86" i="11"/>
  <c r="S85" i="11"/>
  <c r="R85" i="11"/>
  <c r="Q85" i="11"/>
  <c r="O85" i="11"/>
  <c r="N85" i="11"/>
  <c r="L85" i="11"/>
  <c r="G85" i="11"/>
  <c r="M85" i="11" s="1"/>
  <c r="S84" i="11"/>
  <c r="R84" i="11"/>
  <c r="Q84" i="11"/>
  <c r="O84" i="11"/>
  <c r="N84" i="11"/>
  <c r="L84" i="11"/>
  <c r="G84" i="11"/>
  <c r="M84" i="11" s="1"/>
  <c r="S83" i="11"/>
  <c r="R83" i="11"/>
  <c r="Q83" i="11"/>
  <c r="O83" i="11"/>
  <c r="N83" i="11"/>
  <c r="M83" i="11"/>
  <c r="L83" i="11"/>
  <c r="G83" i="11"/>
  <c r="S82" i="11"/>
  <c r="R82" i="11"/>
  <c r="Q82" i="11"/>
  <c r="O82" i="11"/>
  <c r="N82" i="11"/>
  <c r="L82" i="11"/>
  <c r="G82" i="11"/>
  <c r="M82" i="11" s="1"/>
  <c r="S81" i="11"/>
  <c r="R81" i="11"/>
  <c r="Q81" i="11"/>
  <c r="O81" i="11"/>
  <c r="N81" i="11"/>
  <c r="L81" i="11"/>
  <c r="G81" i="11"/>
  <c r="M81" i="11" s="1"/>
  <c r="S80" i="11"/>
  <c r="R80" i="11"/>
  <c r="Q80" i="11"/>
  <c r="O80" i="11"/>
  <c r="N80" i="11"/>
  <c r="M80" i="11"/>
  <c r="L80" i="11"/>
  <c r="G80" i="11"/>
  <c r="S79" i="11"/>
  <c r="R79" i="11"/>
  <c r="Q79" i="11"/>
  <c r="O79" i="11"/>
  <c r="N79" i="11"/>
  <c r="M79" i="11"/>
  <c r="L79" i="11"/>
  <c r="G79" i="11"/>
  <c r="S78" i="11"/>
  <c r="R78" i="11"/>
  <c r="Q78" i="11"/>
  <c r="O78" i="11"/>
  <c r="N78" i="11"/>
  <c r="L78" i="11"/>
  <c r="G78" i="11"/>
  <c r="M78" i="11" s="1"/>
  <c r="S77" i="11"/>
  <c r="R77" i="11"/>
  <c r="Q77" i="11"/>
  <c r="O77" i="11"/>
  <c r="N77" i="11"/>
  <c r="M77" i="11"/>
  <c r="L77" i="11"/>
  <c r="G77" i="11"/>
  <c r="S76" i="11"/>
  <c r="R76" i="11"/>
  <c r="Q76" i="11"/>
  <c r="O76" i="11"/>
  <c r="N76" i="11"/>
  <c r="M76" i="11"/>
  <c r="L76" i="11"/>
  <c r="G76" i="11"/>
  <c r="S75" i="11"/>
  <c r="R75" i="11"/>
  <c r="Q75" i="11"/>
  <c r="O75" i="11"/>
  <c r="N75" i="11"/>
  <c r="L75" i="11"/>
  <c r="G75" i="11"/>
  <c r="M75" i="11" s="1"/>
  <c r="S74" i="11"/>
  <c r="R74" i="11"/>
  <c r="Q74" i="11"/>
  <c r="O74" i="11"/>
  <c r="N74" i="11"/>
  <c r="M74" i="11"/>
  <c r="L74" i="11"/>
  <c r="G74" i="11"/>
  <c r="S73" i="11"/>
  <c r="R73" i="11"/>
  <c r="Q73" i="11"/>
  <c r="O73" i="11"/>
  <c r="N73" i="11"/>
  <c r="L73" i="11"/>
  <c r="G73" i="11"/>
  <c r="M73" i="11" s="1"/>
  <c r="S72" i="11"/>
  <c r="R72" i="11"/>
  <c r="Q72" i="11"/>
  <c r="O72" i="11"/>
  <c r="N72" i="11"/>
  <c r="L72" i="11"/>
  <c r="G72" i="11"/>
  <c r="M72" i="11" s="1"/>
  <c r="S71" i="11"/>
  <c r="R71" i="11"/>
  <c r="Q71" i="11"/>
  <c r="O71" i="11"/>
  <c r="N71" i="11"/>
  <c r="M71" i="11"/>
  <c r="L71" i="11"/>
  <c r="G71" i="11"/>
  <c r="S70" i="11"/>
  <c r="R70" i="11"/>
  <c r="Q70" i="11"/>
  <c r="O70" i="11"/>
  <c r="N70" i="11"/>
  <c r="L70" i="11"/>
  <c r="G70" i="11"/>
  <c r="M70" i="11" s="1"/>
  <c r="S69" i="11"/>
  <c r="R69" i="11"/>
  <c r="Q69" i="11"/>
  <c r="O69" i="11"/>
  <c r="N69" i="11"/>
  <c r="L69" i="11"/>
  <c r="G69" i="11"/>
  <c r="M69" i="11" s="1"/>
  <c r="S68" i="11"/>
  <c r="R68" i="11"/>
  <c r="Q68" i="11"/>
  <c r="O68" i="11"/>
  <c r="N68" i="11"/>
  <c r="M68" i="11"/>
  <c r="L68" i="11"/>
  <c r="G68" i="11"/>
  <c r="S67" i="11"/>
  <c r="R67" i="11"/>
  <c r="Q67" i="11"/>
  <c r="O67" i="11"/>
  <c r="N67" i="11"/>
  <c r="M67" i="11"/>
  <c r="L67" i="11"/>
  <c r="G67" i="11"/>
  <c r="S66" i="11"/>
  <c r="R66" i="11"/>
  <c r="Q66" i="11"/>
  <c r="O66" i="11"/>
  <c r="N66" i="11"/>
  <c r="L66" i="11"/>
  <c r="G66" i="11"/>
  <c r="M66" i="11" s="1"/>
  <c r="S65" i="11"/>
  <c r="R65" i="11"/>
  <c r="Q65" i="11"/>
  <c r="O65" i="11"/>
  <c r="N65" i="11"/>
  <c r="M65" i="11"/>
  <c r="L65" i="11"/>
  <c r="G65" i="11"/>
  <c r="S64" i="11"/>
  <c r="R64" i="11"/>
  <c r="Q64" i="11"/>
  <c r="O64" i="11"/>
  <c r="N64" i="11"/>
  <c r="M64" i="11"/>
  <c r="L64" i="11"/>
  <c r="G64" i="11"/>
  <c r="S63" i="11"/>
  <c r="R63" i="11"/>
  <c r="Q63" i="11"/>
  <c r="O63" i="11"/>
  <c r="N63" i="11"/>
  <c r="L63" i="11"/>
  <c r="G63" i="11"/>
  <c r="M63" i="11" s="1"/>
  <c r="S62" i="11"/>
  <c r="R62" i="11"/>
  <c r="Q62" i="11"/>
  <c r="O62" i="11"/>
  <c r="N62" i="11"/>
  <c r="M62" i="11"/>
  <c r="L62" i="11"/>
  <c r="G62" i="11"/>
  <c r="S61" i="11"/>
  <c r="R61" i="11"/>
  <c r="Q61" i="11"/>
  <c r="O61" i="11"/>
  <c r="N61" i="11"/>
  <c r="L61" i="11"/>
  <c r="G61" i="11"/>
  <c r="M61" i="11" s="1"/>
  <c r="S60" i="11"/>
  <c r="R60" i="11"/>
  <c r="Q60" i="11"/>
  <c r="O60" i="11"/>
  <c r="N60" i="11"/>
  <c r="L60" i="11"/>
  <c r="G60" i="11"/>
  <c r="M60" i="11" s="1"/>
  <c r="S59" i="11"/>
  <c r="R59" i="11"/>
  <c r="Q59" i="11"/>
  <c r="O59" i="11"/>
  <c r="N59" i="11"/>
  <c r="M59" i="11"/>
  <c r="L59" i="11"/>
  <c r="G59" i="11"/>
  <c r="S58" i="11"/>
  <c r="R58" i="11"/>
  <c r="Q58" i="11"/>
  <c r="O58" i="11"/>
  <c r="N58" i="11"/>
  <c r="M58" i="11"/>
  <c r="L58" i="11"/>
  <c r="G58" i="11"/>
  <c r="S57" i="11"/>
  <c r="R57" i="11"/>
  <c r="Q57" i="11"/>
  <c r="O57" i="11"/>
  <c r="N57" i="11"/>
  <c r="L57" i="11"/>
  <c r="G57" i="11"/>
  <c r="M57" i="11" s="1"/>
  <c r="S56" i="11"/>
  <c r="R56" i="11"/>
  <c r="Q56" i="11"/>
  <c r="O56" i="11"/>
  <c r="N56" i="11"/>
  <c r="M56" i="11"/>
  <c r="L56" i="11"/>
  <c r="G56" i="11"/>
  <c r="S55" i="11"/>
  <c r="R55" i="11"/>
  <c r="Q55" i="11"/>
  <c r="O55" i="11"/>
  <c r="N55" i="11"/>
  <c r="L55" i="11"/>
  <c r="G55" i="11"/>
  <c r="M55" i="11" s="1"/>
  <c r="S54" i="11"/>
  <c r="R54" i="11"/>
  <c r="Q54" i="11"/>
  <c r="O54" i="11"/>
  <c r="N54" i="11"/>
  <c r="L54" i="11"/>
  <c r="G54" i="11"/>
  <c r="M54" i="11" s="1"/>
  <c r="S53" i="11"/>
  <c r="R53" i="11"/>
  <c r="Q53" i="11"/>
  <c r="O53" i="11"/>
  <c r="N53" i="11"/>
  <c r="M53" i="11"/>
  <c r="L53" i="11"/>
  <c r="G53" i="11"/>
  <c r="S52" i="11"/>
  <c r="R52" i="11"/>
  <c r="Q52" i="11"/>
  <c r="O52" i="11"/>
  <c r="N52" i="11"/>
  <c r="M52" i="11"/>
  <c r="L52" i="11"/>
  <c r="G52" i="11"/>
  <c r="S51" i="11"/>
  <c r="R51" i="11"/>
  <c r="Q51" i="11"/>
  <c r="O51" i="11"/>
  <c r="N51" i="11"/>
  <c r="L51" i="11"/>
  <c r="G51" i="11"/>
  <c r="M51" i="11" s="1"/>
  <c r="S50" i="11"/>
  <c r="R50" i="11"/>
  <c r="Q50" i="11"/>
  <c r="O50" i="11"/>
  <c r="N50" i="11"/>
  <c r="M50" i="11"/>
  <c r="L50" i="11"/>
  <c r="G50" i="11"/>
  <c r="S49" i="11"/>
  <c r="R49" i="11"/>
  <c r="Q49" i="11"/>
  <c r="O49" i="11"/>
  <c r="N49" i="11"/>
  <c r="L49" i="11"/>
  <c r="G49" i="11"/>
  <c r="M49" i="11" s="1"/>
  <c r="S48" i="11"/>
  <c r="R48" i="11"/>
  <c r="Q48" i="11"/>
  <c r="O48" i="11"/>
  <c r="N48" i="11"/>
  <c r="L48" i="11"/>
  <c r="G48" i="11"/>
  <c r="M48" i="11" s="1"/>
  <c r="S47" i="11"/>
  <c r="R47" i="11"/>
  <c r="Q47" i="11"/>
  <c r="O47" i="11"/>
  <c r="N47" i="11"/>
  <c r="M47" i="11"/>
  <c r="L47" i="11"/>
  <c r="G47" i="11"/>
  <c r="S46" i="11"/>
  <c r="R46" i="11"/>
  <c r="Q46" i="11"/>
  <c r="O46" i="11"/>
  <c r="N46" i="11"/>
  <c r="L46" i="11"/>
  <c r="G46" i="11"/>
  <c r="M46" i="11" s="1"/>
  <c r="S45" i="11"/>
  <c r="R45" i="11"/>
  <c r="Q45" i="11"/>
  <c r="O45" i="11"/>
  <c r="N45" i="11"/>
  <c r="L45" i="11"/>
  <c r="G45" i="11"/>
  <c r="M45" i="11" s="1"/>
  <c r="S44" i="11"/>
  <c r="R44" i="11"/>
  <c r="Q44" i="11"/>
  <c r="O44" i="11"/>
  <c r="N44" i="11"/>
  <c r="M44" i="11"/>
  <c r="L44" i="11"/>
  <c r="G44" i="11"/>
  <c r="S43" i="11"/>
  <c r="R43" i="11"/>
  <c r="Q43" i="11"/>
  <c r="O43" i="11"/>
  <c r="N43" i="11"/>
  <c r="M43" i="11"/>
  <c r="L43" i="11"/>
  <c r="G43" i="11"/>
  <c r="S42" i="11"/>
  <c r="R42" i="11"/>
  <c r="Q42" i="11"/>
  <c r="O42" i="11"/>
  <c r="N42" i="11"/>
  <c r="L42" i="11"/>
  <c r="G42" i="11"/>
  <c r="M42" i="11" s="1"/>
  <c r="S41" i="11"/>
  <c r="R41" i="11"/>
  <c r="Q41" i="11"/>
  <c r="O41" i="11"/>
  <c r="N41" i="11"/>
  <c r="M41" i="11"/>
  <c r="L41" i="11"/>
  <c r="G41" i="11"/>
  <c r="S40" i="11"/>
  <c r="R40" i="11"/>
  <c r="Q40" i="11"/>
  <c r="O40" i="11"/>
  <c r="N40" i="11"/>
  <c r="M40" i="11"/>
  <c r="L40" i="11"/>
  <c r="G40" i="11"/>
  <c r="S39" i="11"/>
  <c r="R39" i="11"/>
  <c r="Q39" i="11"/>
  <c r="O39" i="11"/>
  <c r="N39" i="11"/>
  <c r="L39" i="11"/>
  <c r="G39" i="11"/>
  <c r="M39" i="11" s="1"/>
  <c r="S38" i="11"/>
  <c r="R38" i="11"/>
  <c r="Q38" i="11"/>
  <c r="O38" i="11"/>
  <c r="N38" i="11"/>
  <c r="M38" i="11"/>
  <c r="L38" i="11"/>
  <c r="G38" i="11"/>
  <c r="S37" i="11"/>
  <c r="R37" i="11"/>
  <c r="Q37" i="11"/>
  <c r="O37" i="11"/>
  <c r="N37" i="11"/>
  <c r="L37" i="11"/>
  <c r="G37" i="11"/>
  <c r="M37" i="11" s="1"/>
  <c r="S36" i="11"/>
  <c r="R36" i="11"/>
  <c r="Q36" i="11"/>
  <c r="O36" i="11"/>
  <c r="N36" i="11"/>
  <c r="L36" i="11"/>
  <c r="G36" i="11"/>
  <c r="M36" i="11" s="1"/>
  <c r="S35" i="11"/>
  <c r="R35" i="11"/>
  <c r="Q35" i="11"/>
  <c r="O35" i="11"/>
  <c r="N35" i="11"/>
  <c r="M35" i="11"/>
  <c r="L35" i="11"/>
  <c r="G35" i="11"/>
  <c r="S34" i="11"/>
  <c r="R34" i="11"/>
  <c r="Q34" i="11"/>
  <c r="O34" i="11"/>
  <c r="N34" i="11"/>
  <c r="L34" i="11"/>
  <c r="G34" i="11"/>
  <c r="M34" i="11" s="1"/>
  <c r="S33" i="11"/>
  <c r="R33" i="11"/>
  <c r="Q33" i="11"/>
  <c r="O33" i="11"/>
  <c r="N33" i="11"/>
  <c r="L33" i="11"/>
  <c r="G33" i="11"/>
  <c r="M33" i="11" s="1"/>
  <c r="S32" i="11"/>
  <c r="R32" i="11"/>
  <c r="Q32" i="11"/>
  <c r="O32" i="11"/>
  <c r="N32" i="11"/>
  <c r="M32" i="11"/>
  <c r="L32" i="11"/>
  <c r="G32" i="11"/>
  <c r="S31" i="11"/>
  <c r="R31" i="11"/>
  <c r="Q31" i="11"/>
  <c r="O31" i="11"/>
  <c r="N31" i="11"/>
  <c r="M31" i="11"/>
  <c r="L31" i="11"/>
  <c r="G31" i="11"/>
  <c r="S30" i="11"/>
  <c r="R30" i="11"/>
  <c r="Q30" i="11"/>
  <c r="O30" i="11"/>
  <c r="N30" i="11"/>
  <c r="L30" i="11"/>
  <c r="G30" i="11"/>
  <c r="M30" i="11" s="1"/>
  <c r="S29" i="11"/>
  <c r="R29" i="11"/>
  <c r="Q29" i="11"/>
  <c r="O29" i="11"/>
  <c r="N29" i="11"/>
  <c r="M29" i="11"/>
  <c r="L29" i="11"/>
  <c r="G29" i="11"/>
  <c r="S28" i="11"/>
  <c r="R28" i="11"/>
  <c r="Q28" i="11"/>
  <c r="O28" i="11"/>
  <c r="N28" i="11"/>
  <c r="M28" i="11"/>
  <c r="L28" i="11"/>
  <c r="G28" i="11"/>
  <c r="S27" i="11"/>
  <c r="R27" i="11"/>
  <c r="Q27" i="11"/>
  <c r="O27" i="11"/>
  <c r="N27" i="11"/>
  <c r="L27" i="11"/>
  <c r="G27" i="11"/>
  <c r="M27" i="11" s="1"/>
  <c r="S26" i="11"/>
  <c r="R26" i="11"/>
  <c r="Q26" i="11"/>
  <c r="O26" i="11"/>
  <c r="N26" i="11"/>
  <c r="M26" i="11"/>
  <c r="L26" i="11"/>
  <c r="G26" i="11"/>
  <c r="S25" i="11"/>
  <c r="R25" i="11"/>
  <c r="Q25" i="11"/>
  <c r="O25" i="11"/>
  <c r="N25" i="11"/>
  <c r="L25" i="11"/>
  <c r="G25" i="11"/>
  <c r="M25" i="11" s="1"/>
  <c r="S24" i="11"/>
  <c r="R24" i="11"/>
  <c r="Q24" i="11"/>
  <c r="O24" i="11"/>
  <c r="N24" i="11"/>
  <c r="L24" i="11"/>
  <c r="G24" i="11"/>
  <c r="M24" i="11" s="1"/>
  <c r="S23" i="11"/>
  <c r="R23" i="11"/>
  <c r="Q23" i="11"/>
  <c r="O23" i="11"/>
  <c r="N23" i="11"/>
  <c r="M23" i="11"/>
  <c r="L23" i="11"/>
  <c r="G23" i="11"/>
  <c r="S22" i="11"/>
  <c r="R22" i="11"/>
  <c r="Q22" i="11"/>
  <c r="O22" i="11"/>
  <c r="N22" i="11"/>
  <c r="M22" i="11"/>
  <c r="L22" i="11"/>
  <c r="G22" i="11"/>
  <c r="S21" i="11"/>
  <c r="R21" i="11"/>
  <c r="Q21" i="11"/>
  <c r="O21" i="11"/>
  <c r="N21" i="11"/>
  <c r="L21" i="11"/>
  <c r="G21" i="11"/>
  <c r="M21" i="11" s="1"/>
  <c r="S20" i="11"/>
  <c r="R20" i="11"/>
  <c r="Q20" i="11"/>
  <c r="O20" i="11"/>
  <c r="N20" i="11"/>
  <c r="M20" i="11"/>
  <c r="L20" i="11"/>
  <c r="G20" i="11"/>
  <c r="S19" i="11"/>
  <c r="R19" i="11"/>
  <c r="Q19" i="11"/>
  <c r="O19" i="11"/>
  <c r="N19" i="11"/>
  <c r="L19" i="11"/>
  <c r="G19" i="11"/>
  <c r="M19" i="11" s="1"/>
  <c r="S18" i="11"/>
  <c r="R18" i="11"/>
  <c r="Q18" i="11"/>
  <c r="O18" i="11"/>
  <c r="N18" i="11"/>
  <c r="L18" i="11"/>
  <c r="G18" i="11"/>
  <c r="M18" i="11" s="1"/>
  <c r="S17" i="11"/>
  <c r="R17" i="11"/>
  <c r="Q17" i="11"/>
  <c r="O17" i="11"/>
  <c r="N17" i="11"/>
  <c r="M17" i="11"/>
  <c r="L17" i="11"/>
  <c r="G17" i="11"/>
  <c r="S16" i="11"/>
  <c r="R16" i="11"/>
  <c r="Q16" i="11"/>
  <c r="O16" i="11"/>
  <c r="N16" i="11"/>
  <c r="M16" i="11"/>
  <c r="L16" i="11"/>
  <c r="G16" i="11"/>
  <c r="S15" i="11"/>
  <c r="R15" i="11"/>
  <c r="Q15" i="11"/>
  <c r="O15" i="11"/>
  <c r="N15" i="11"/>
  <c r="L15" i="11"/>
  <c r="G15" i="11"/>
  <c r="M15" i="11" s="1"/>
  <c r="S14" i="11"/>
  <c r="R14" i="11"/>
  <c r="Q14" i="11"/>
  <c r="O14" i="11"/>
  <c r="N14" i="11"/>
  <c r="M14" i="11"/>
  <c r="L14" i="11"/>
  <c r="G14" i="11"/>
  <c r="S13" i="11"/>
  <c r="R13" i="11"/>
  <c r="Q13" i="11"/>
  <c r="O13" i="11"/>
  <c r="N13" i="11"/>
  <c r="L13" i="11"/>
  <c r="G13" i="11"/>
  <c r="M13" i="11" s="1"/>
  <c r="S12" i="11"/>
  <c r="R12" i="11"/>
  <c r="Q12" i="11"/>
  <c r="O12" i="11"/>
  <c r="N12" i="11"/>
  <c r="L12" i="11"/>
  <c r="G12" i="11"/>
  <c r="M12" i="11" s="1"/>
  <c r="S11" i="11"/>
  <c r="R11" i="11"/>
  <c r="Q11" i="11"/>
  <c r="O11" i="11"/>
  <c r="N11" i="11"/>
  <c r="M11" i="11"/>
  <c r="L11" i="11"/>
  <c r="G11" i="11"/>
  <c r="S10" i="11"/>
  <c r="R10" i="11"/>
  <c r="Q10" i="11"/>
  <c r="O10" i="11"/>
  <c r="N10" i="11"/>
  <c r="L10" i="11"/>
  <c r="G10" i="11"/>
  <c r="M10" i="11" s="1"/>
  <c r="S9" i="11"/>
  <c r="R9" i="11"/>
  <c r="Q9" i="11"/>
  <c r="O9" i="11"/>
  <c r="N9" i="11"/>
  <c r="L9" i="11"/>
  <c r="G9" i="11"/>
  <c r="M9" i="11" s="1"/>
  <c r="S8" i="11"/>
  <c r="R8" i="11"/>
  <c r="Q8" i="11"/>
  <c r="O8" i="11"/>
  <c r="N8" i="11"/>
  <c r="M8" i="11"/>
  <c r="L8" i="11"/>
  <c r="G8" i="11"/>
  <c r="S7" i="11"/>
  <c r="R7" i="11"/>
  <c r="Q7" i="11"/>
  <c r="O7" i="11"/>
  <c r="N7" i="11"/>
  <c r="M7" i="11"/>
  <c r="L7" i="11"/>
  <c r="G7" i="11"/>
  <c r="S6" i="11"/>
  <c r="R6" i="11"/>
  <c r="Q6" i="11"/>
  <c r="O6" i="11"/>
  <c r="N6" i="11"/>
  <c r="L6" i="11"/>
  <c r="G6" i="11"/>
  <c r="M6" i="11" s="1"/>
  <c r="S5" i="11"/>
  <c r="R5" i="11"/>
  <c r="Q5" i="11"/>
  <c r="O5" i="11"/>
  <c r="N5" i="11"/>
  <c r="M5" i="11"/>
  <c r="L5" i="11"/>
  <c r="G5" i="11"/>
  <c r="S4" i="11"/>
  <c r="R4" i="11"/>
  <c r="Q4" i="11"/>
  <c r="O4" i="11"/>
  <c r="N4" i="11"/>
  <c r="M4" i="11"/>
  <c r="L4" i="11"/>
  <c r="G4" i="11"/>
  <c r="S3" i="11"/>
  <c r="R3" i="11"/>
  <c r="Q3" i="11"/>
  <c r="O3" i="11"/>
  <c r="N3" i="11"/>
  <c r="L3" i="11"/>
  <c r="G3" i="11"/>
  <c r="M3" i="11" s="1"/>
  <c r="N222" i="11" l="1"/>
  <c r="O222" i="11"/>
  <c r="N938" i="11"/>
  <c r="J938" i="11"/>
  <c r="N1229" i="11"/>
  <c r="J1229" i="11"/>
  <c r="G1190" i="11"/>
  <c r="M1190" i="11" s="1"/>
  <c r="N1190" i="11"/>
  <c r="J1702" i="11"/>
  <c r="N1702" i="11"/>
  <c r="N1148" i="11"/>
  <c r="J3308" i="11"/>
  <c r="N3308" i="11"/>
  <c r="J3449" i="11"/>
  <c r="N3449" i="11"/>
  <c r="O2953" i="11"/>
  <c r="N2953" i="11"/>
  <c r="G2953" i="11"/>
  <c r="M2953" i="11" s="1"/>
  <c r="J2525" i="11"/>
  <c r="N2074" i="11"/>
  <c r="J2753" i="11"/>
  <c r="N2753" i="11"/>
  <c r="G2475" i="11"/>
  <c r="M2475" i="11" s="1"/>
  <c r="O2475" i="11"/>
  <c r="N2741" i="11"/>
  <c r="J2724" i="11"/>
  <c r="J2935" i="11"/>
  <c r="N2935" i="11"/>
  <c r="J3172" i="11"/>
  <c r="J3103" i="11"/>
  <c r="N3103" i="11"/>
  <c r="J3332" i="11"/>
  <c r="J2977" i="11"/>
  <c r="J3009" i="11"/>
  <c r="J3306" i="11"/>
  <c r="J3338" i="11"/>
  <c r="AO241" i="13"/>
  <c r="P241" i="13"/>
  <c r="AO240" i="13"/>
  <c r="P240" i="13"/>
  <c r="AO239" i="13"/>
  <c r="P239" i="13"/>
  <c r="AO238" i="13"/>
  <c r="P238" i="13"/>
  <c r="AO237" i="13"/>
  <c r="P237" i="13"/>
  <c r="AO236" i="13"/>
  <c r="P236" i="13"/>
  <c r="AO235" i="13"/>
  <c r="P235" i="13"/>
  <c r="AO234" i="13"/>
  <c r="P234" i="13"/>
  <c r="AO233" i="13"/>
  <c r="P233" i="13"/>
  <c r="AO232" i="13"/>
  <c r="P232" i="13"/>
  <c r="AO231" i="13"/>
  <c r="P231" i="13"/>
  <c r="AO230" i="13"/>
  <c r="P230" i="13"/>
  <c r="AO229" i="13"/>
  <c r="P229" i="13"/>
  <c r="AO228" i="13"/>
  <c r="AK228" i="13"/>
  <c r="P228" i="13"/>
  <c r="AO227" i="13"/>
  <c r="P227" i="13"/>
  <c r="AO226" i="13"/>
  <c r="P226" i="13"/>
  <c r="AO225" i="13"/>
  <c r="P225" i="13"/>
  <c r="AO224" i="13"/>
  <c r="P224" i="13"/>
  <c r="AO223" i="13"/>
  <c r="P223" i="13"/>
  <c r="AO222" i="13"/>
  <c r="P222" i="13"/>
  <c r="AO221" i="13"/>
  <c r="P221" i="13"/>
  <c r="AO220" i="13"/>
  <c r="P220" i="13"/>
  <c r="AO219" i="13"/>
  <c r="P219" i="13"/>
  <c r="AO218" i="13"/>
  <c r="P218" i="13"/>
  <c r="AO217" i="13"/>
  <c r="P217" i="13"/>
  <c r="AO216" i="13"/>
  <c r="P216" i="13"/>
  <c r="AO215" i="13"/>
  <c r="P215" i="13"/>
  <c r="AO214" i="13"/>
  <c r="P214" i="13"/>
  <c r="AO213" i="13"/>
  <c r="P213" i="13"/>
  <c r="AO212" i="13"/>
  <c r="P212" i="13"/>
  <c r="AO211" i="13"/>
  <c r="P211" i="13"/>
  <c r="AO210" i="13"/>
  <c r="P210" i="13"/>
  <c r="AO209" i="13"/>
  <c r="P209" i="13"/>
  <c r="AO208" i="13"/>
  <c r="P208" i="13"/>
  <c r="AO207" i="13"/>
  <c r="P207" i="13"/>
  <c r="AO206" i="13"/>
  <c r="P206" i="13"/>
  <c r="AO205" i="13"/>
  <c r="P205" i="13"/>
  <c r="AO204" i="13"/>
  <c r="P204" i="13"/>
  <c r="AO203" i="13"/>
  <c r="P203" i="13"/>
  <c r="AO202" i="13"/>
  <c r="P202" i="13"/>
  <c r="AO201" i="13"/>
  <c r="P201" i="13"/>
  <c r="AO200" i="13"/>
  <c r="P200" i="13"/>
  <c r="AO199" i="13"/>
  <c r="P199" i="13"/>
  <c r="AO198" i="13"/>
  <c r="P198" i="13"/>
  <c r="AO197" i="13"/>
  <c r="P197" i="13"/>
  <c r="AO196" i="13"/>
  <c r="P196" i="13"/>
  <c r="AO195" i="13"/>
  <c r="P195" i="13"/>
  <c r="AO194" i="13"/>
  <c r="P194" i="13"/>
  <c r="AO193" i="13"/>
  <c r="P193" i="13"/>
  <c r="AO192" i="13"/>
  <c r="P192" i="13"/>
  <c r="AO191" i="13"/>
  <c r="P191" i="13"/>
  <c r="AO190" i="13"/>
  <c r="P190" i="13"/>
  <c r="AO189" i="13"/>
  <c r="P189" i="13"/>
  <c r="AO188" i="13"/>
  <c r="P188" i="13"/>
  <c r="AO187" i="13"/>
  <c r="P187" i="13"/>
  <c r="AO186" i="13"/>
  <c r="P186" i="13"/>
  <c r="AO185" i="13"/>
  <c r="P185" i="13"/>
  <c r="AO184" i="13"/>
  <c r="P184" i="13"/>
  <c r="AO183" i="13"/>
  <c r="P183" i="13"/>
  <c r="AO182" i="13"/>
  <c r="P182" i="13"/>
  <c r="AO181" i="13"/>
  <c r="P181" i="13"/>
  <c r="AO180" i="13"/>
  <c r="P180" i="13"/>
  <c r="AO179" i="13"/>
  <c r="P179" i="13"/>
  <c r="AO178" i="13"/>
  <c r="P178" i="13"/>
  <c r="AO177" i="13"/>
  <c r="P177" i="13"/>
  <c r="AO176" i="13"/>
  <c r="P176" i="13"/>
  <c r="AO175" i="13"/>
  <c r="P175" i="13"/>
  <c r="AO174" i="13"/>
  <c r="P174" i="13"/>
  <c r="AO173" i="13"/>
  <c r="P173" i="13"/>
  <c r="AO172" i="13"/>
  <c r="P172" i="13"/>
  <c r="AO171" i="13"/>
  <c r="P171" i="13"/>
  <c r="AO170" i="13"/>
  <c r="P170" i="13"/>
  <c r="AO169" i="13"/>
  <c r="P169" i="13"/>
  <c r="AO168" i="13"/>
  <c r="P168" i="13"/>
  <c r="AO167" i="13"/>
  <c r="P167" i="13"/>
  <c r="AO166" i="13"/>
  <c r="P166" i="13"/>
  <c r="AO165" i="13"/>
  <c r="P165" i="13"/>
  <c r="AO164" i="13"/>
  <c r="P164" i="13"/>
  <c r="AO163" i="13"/>
  <c r="P163" i="13"/>
  <c r="AO162" i="13"/>
  <c r="P162" i="13"/>
  <c r="AO161" i="13"/>
  <c r="P161" i="13"/>
  <c r="AO160" i="13"/>
  <c r="P160" i="13"/>
  <c r="AO159" i="13"/>
  <c r="P159" i="13"/>
  <c r="AO158" i="13"/>
  <c r="P158" i="13"/>
  <c r="AO157" i="13"/>
  <c r="P157" i="13"/>
  <c r="AO156" i="13"/>
  <c r="P156" i="13"/>
  <c r="AO155" i="13"/>
  <c r="P155" i="13"/>
  <c r="AO154" i="13"/>
  <c r="P154" i="13"/>
  <c r="AO153" i="13"/>
  <c r="P153" i="13"/>
  <c r="AO152" i="13"/>
  <c r="P152" i="13"/>
  <c r="AO151" i="13"/>
  <c r="P151" i="13"/>
  <c r="BE150" i="13"/>
  <c r="AN151" i="13" s="1"/>
  <c r="BE151" i="13" s="1"/>
  <c r="AN152" i="13" s="1"/>
  <c r="BE152" i="13" s="1"/>
  <c r="AN153" i="13" s="1"/>
  <c r="BE153" i="13" s="1"/>
  <c r="AN154" i="13" s="1"/>
  <c r="BE154" i="13" s="1"/>
  <c r="AN155" i="13" s="1"/>
  <c r="BE155" i="13" s="1"/>
  <c r="AN156" i="13" s="1"/>
  <c r="BE156" i="13" s="1"/>
  <c r="AN157" i="13" s="1"/>
  <c r="BE157" i="13" s="1"/>
  <c r="AN158" i="13" s="1"/>
  <c r="BE158" i="13" s="1"/>
  <c r="AN159" i="13" s="1"/>
  <c r="BE159" i="13" s="1"/>
  <c r="AN160" i="13" s="1"/>
  <c r="BE160" i="13" s="1"/>
  <c r="AN161" i="13" s="1"/>
  <c r="BE161" i="13" s="1"/>
  <c r="AN162" i="13" s="1"/>
  <c r="BE162" i="13" s="1"/>
  <c r="AN163" i="13" s="1"/>
  <c r="BE163" i="13" s="1"/>
  <c r="AN164" i="13" s="1"/>
  <c r="BE164" i="13" s="1"/>
  <c r="AN165" i="13" s="1"/>
  <c r="BE165" i="13" s="1"/>
  <c r="AN166" i="13" s="1"/>
  <c r="BE166" i="13" s="1"/>
  <c r="AN167" i="13" s="1"/>
  <c r="BE167" i="13" s="1"/>
  <c r="AN168" i="13" s="1"/>
  <c r="BE168" i="13" s="1"/>
  <c r="AN169" i="13" s="1"/>
  <c r="BE169" i="13" s="1"/>
  <c r="AN170" i="13" s="1"/>
  <c r="BE170" i="13" s="1"/>
  <c r="AN171" i="13" s="1"/>
  <c r="BE171" i="13" s="1"/>
  <c r="AN172" i="13" s="1"/>
  <c r="BE172" i="13" s="1"/>
  <c r="AN173" i="13" s="1"/>
  <c r="BE173" i="13" s="1"/>
  <c r="AN174" i="13" s="1"/>
  <c r="BE174" i="13" s="1"/>
  <c r="AN175" i="13" s="1"/>
  <c r="BE175" i="13" s="1"/>
  <c r="AN176" i="13" s="1"/>
  <c r="BE176" i="13" s="1"/>
  <c r="AN177" i="13" s="1"/>
  <c r="BE177" i="13" s="1"/>
  <c r="AN178" i="13" s="1"/>
  <c r="BE178" i="13" s="1"/>
  <c r="AN179" i="13" s="1"/>
  <c r="BE179" i="13" s="1"/>
  <c r="AN180" i="13" s="1"/>
  <c r="BE180" i="13" s="1"/>
  <c r="AN181" i="13" s="1"/>
  <c r="BE181" i="13" s="1"/>
  <c r="AN182" i="13" s="1"/>
  <c r="BE182" i="13" s="1"/>
  <c r="AN183" i="13" s="1"/>
  <c r="BE183" i="13" s="1"/>
  <c r="AN184" i="13" s="1"/>
  <c r="BE184" i="13" s="1"/>
  <c r="AN185" i="13" s="1"/>
  <c r="BE185" i="13" s="1"/>
  <c r="AN186" i="13" s="1"/>
  <c r="BE186" i="13" s="1"/>
  <c r="AN187" i="13" s="1"/>
  <c r="BE187" i="13" s="1"/>
  <c r="AN188" i="13" s="1"/>
  <c r="BE188" i="13" s="1"/>
  <c r="AN189" i="13" s="1"/>
  <c r="BE189" i="13" s="1"/>
  <c r="AN190" i="13" s="1"/>
  <c r="BE190" i="13" s="1"/>
  <c r="AN191" i="13" s="1"/>
  <c r="BE191" i="13" s="1"/>
  <c r="AN192" i="13" s="1"/>
  <c r="BE192" i="13" s="1"/>
  <c r="AN193" i="13" s="1"/>
  <c r="BE193" i="13" s="1"/>
  <c r="AN194" i="13" s="1"/>
  <c r="BE194" i="13" s="1"/>
  <c r="AN195" i="13" s="1"/>
  <c r="BE195" i="13" s="1"/>
  <c r="AN196" i="13" s="1"/>
  <c r="BE196" i="13" s="1"/>
  <c r="AN197" i="13" s="1"/>
  <c r="BE197" i="13" s="1"/>
  <c r="AN198" i="13" s="1"/>
  <c r="BE198" i="13" s="1"/>
  <c r="AN199" i="13" s="1"/>
  <c r="AO150" i="13"/>
  <c r="P150" i="13"/>
  <c r="P149" i="13"/>
  <c r="P148" i="13"/>
  <c r="P147" i="13"/>
  <c r="P146" i="13"/>
  <c r="P145" i="13"/>
  <c r="P144" i="13"/>
  <c r="P143" i="13"/>
  <c r="P142" i="13"/>
  <c r="P141" i="13"/>
  <c r="P140" i="13"/>
  <c r="P139" i="13"/>
  <c r="P138" i="13"/>
  <c r="P137" i="13"/>
  <c r="P136" i="13"/>
  <c r="P135" i="13"/>
  <c r="P134" i="13"/>
  <c r="P133" i="13"/>
  <c r="P132" i="13"/>
  <c r="P131" i="13"/>
  <c r="P130" i="13"/>
  <c r="P129" i="13"/>
  <c r="P128" i="13"/>
  <c r="P127" i="13"/>
  <c r="P126" i="13"/>
  <c r="P125" i="13"/>
  <c r="P124" i="13"/>
  <c r="P123" i="13"/>
  <c r="P122" i="13"/>
  <c r="P121" i="13"/>
  <c r="P120" i="13"/>
  <c r="P119" i="13"/>
  <c r="P118" i="13"/>
  <c r="P117" i="13"/>
  <c r="P116" i="13"/>
  <c r="P115" i="13"/>
  <c r="P114" i="13"/>
  <c r="P113" i="13"/>
  <c r="P112" i="13"/>
  <c r="P111" i="13"/>
  <c r="P110" i="13"/>
  <c r="P109" i="13"/>
  <c r="P108" i="13"/>
  <c r="P107" i="13"/>
  <c r="P106" i="13"/>
  <c r="P105" i="13"/>
  <c r="P104" i="13"/>
  <c r="P103" i="13"/>
  <c r="P102" i="13"/>
  <c r="P101" i="13"/>
  <c r="P100" i="13"/>
  <c r="P99" i="13"/>
  <c r="P98" i="13"/>
  <c r="P97" i="13"/>
  <c r="P96" i="13"/>
  <c r="P95" i="13"/>
  <c r="P94" i="13"/>
  <c r="P93" i="13"/>
  <c r="P92" i="13"/>
  <c r="P91" i="13"/>
  <c r="P90" i="13"/>
  <c r="P89" i="13"/>
  <c r="P88" i="13"/>
  <c r="P87" i="13"/>
  <c r="P86" i="13"/>
  <c r="P85" i="13"/>
  <c r="P84" i="13"/>
  <c r="P83" i="13"/>
  <c r="P82" i="13"/>
  <c r="P81" i="13"/>
  <c r="P80" i="13"/>
  <c r="P79" i="13"/>
  <c r="P78" i="13"/>
  <c r="P77" i="13"/>
  <c r="P76" i="13"/>
  <c r="P75" i="13"/>
  <c r="P74" i="13"/>
  <c r="P73" i="13"/>
  <c r="P72" i="13"/>
  <c r="P71" i="13"/>
  <c r="P70" i="13"/>
  <c r="P69" i="13"/>
  <c r="P68" i="13"/>
  <c r="P67" i="13"/>
  <c r="P66" i="13"/>
  <c r="P65" i="13"/>
  <c r="P64" i="13"/>
  <c r="P63" i="13"/>
  <c r="P62" i="13"/>
  <c r="P61" i="13"/>
  <c r="P60" i="13"/>
  <c r="P59" i="13"/>
  <c r="P58" i="13"/>
  <c r="P57" i="13"/>
  <c r="P56" i="13"/>
  <c r="P55" i="13"/>
  <c r="P54" i="13"/>
  <c r="P53" i="13"/>
  <c r="P52" i="13"/>
  <c r="P51" i="13"/>
  <c r="P50" i="13"/>
  <c r="P49" i="13"/>
  <c r="P48" i="13"/>
  <c r="P47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C5" i="13"/>
  <c r="P4" i="13"/>
  <c r="BM241" i="13" l="1"/>
  <c r="AV241" i="13"/>
  <c r="AE241" i="13"/>
  <c r="S241" i="13"/>
  <c r="G241" i="13"/>
  <c r="AZ240" i="13"/>
  <c r="AI240" i="13"/>
  <c r="W240" i="13"/>
  <c r="K240" i="13"/>
  <c r="BI239" i="13"/>
  <c r="AR239" i="13"/>
  <c r="AA239" i="13"/>
  <c r="O239" i="13"/>
  <c r="BM238" i="13"/>
  <c r="AV238" i="13"/>
  <c r="AE238" i="13"/>
  <c r="S238" i="13"/>
  <c r="G238" i="13"/>
  <c r="AZ237" i="13"/>
  <c r="AI237" i="13"/>
  <c r="W237" i="13"/>
  <c r="K237" i="13"/>
  <c r="BI236" i="13"/>
  <c r="AR236" i="13"/>
  <c r="AA236" i="13"/>
  <c r="O236" i="13"/>
  <c r="BM235" i="13"/>
  <c r="BL241" i="13"/>
  <c r="AU241" i="13"/>
  <c r="AD241" i="13"/>
  <c r="R241" i="13"/>
  <c r="F241" i="13"/>
  <c r="AY240" i="13"/>
  <c r="AH240" i="13"/>
  <c r="V240" i="13"/>
  <c r="J240" i="13"/>
  <c r="BH239" i="13"/>
  <c r="AQ239" i="13"/>
  <c r="Z239" i="13"/>
  <c r="N239" i="13"/>
  <c r="BL238" i="13"/>
  <c r="AU238" i="13"/>
  <c r="AD238" i="13"/>
  <c r="R238" i="13"/>
  <c r="F238" i="13"/>
  <c r="AY237" i="13"/>
  <c r="AH237" i="13"/>
  <c r="V237" i="13"/>
  <c r="J237" i="13"/>
  <c r="BH236" i="13"/>
  <c r="AQ236" i="13"/>
  <c r="Z236" i="13"/>
  <c r="N236" i="13"/>
  <c r="BL235" i="13"/>
  <c r="AU235" i="13"/>
  <c r="AD235" i="13"/>
  <c r="R235" i="13"/>
  <c r="F235" i="13"/>
  <c r="AY234" i="13"/>
  <c r="AH234" i="13"/>
  <c r="V234" i="13"/>
  <c r="J234" i="13"/>
  <c r="BH233" i="13"/>
  <c r="AQ233" i="13"/>
  <c r="Z233" i="13"/>
  <c r="N233" i="13"/>
  <c r="BL232" i="13"/>
  <c r="AU232" i="13"/>
  <c r="AD232" i="13"/>
  <c r="R232" i="13"/>
  <c r="F232" i="13"/>
  <c r="AY231" i="13"/>
  <c r="AH231" i="13"/>
  <c r="V231" i="13"/>
  <c r="J231" i="13"/>
  <c r="BH230" i="13"/>
  <c r="AQ230" i="13"/>
  <c r="Z230" i="13"/>
  <c r="N230" i="13"/>
  <c r="BK241" i="13"/>
  <c r="AT241" i="13"/>
  <c r="AC241" i="13"/>
  <c r="Q241" i="13"/>
  <c r="E241" i="13"/>
  <c r="AX240" i="13"/>
  <c r="AG240" i="13"/>
  <c r="U240" i="13"/>
  <c r="I240" i="13"/>
  <c r="BB239" i="13"/>
  <c r="AP239" i="13"/>
  <c r="Y239" i="13"/>
  <c r="M239" i="13"/>
  <c r="BK238" i="13"/>
  <c r="AT238" i="13"/>
  <c r="AC238" i="13"/>
  <c r="Q238" i="13"/>
  <c r="E238" i="13"/>
  <c r="AX237" i="13"/>
  <c r="AG237" i="13"/>
  <c r="U237" i="13"/>
  <c r="I237" i="13"/>
  <c r="BB236" i="13"/>
  <c r="AP236" i="13"/>
  <c r="Y236" i="13"/>
  <c r="M236" i="13"/>
  <c r="BK235" i="13"/>
  <c r="AT235" i="13"/>
  <c r="BJ241" i="13"/>
  <c r="AS241" i="13"/>
  <c r="AB241" i="13"/>
  <c r="D241" i="13"/>
  <c r="AW240" i="13"/>
  <c r="AF240" i="13"/>
  <c r="T240" i="13"/>
  <c r="H240" i="13"/>
  <c r="BA239" i="13"/>
  <c r="X239" i="13"/>
  <c r="L239" i="13"/>
  <c r="BJ238" i="13"/>
  <c r="AS238" i="13"/>
  <c r="AB238" i="13"/>
  <c r="D238" i="13"/>
  <c r="AW237" i="13"/>
  <c r="AF237" i="13"/>
  <c r="T237" i="13"/>
  <c r="H237" i="13"/>
  <c r="BA236" i="13"/>
  <c r="X236" i="13"/>
  <c r="L236" i="13"/>
  <c r="BJ235" i="13"/>
  <c r="AS235" i="13"/>
  <c r="AB235" i="13"/>
  <c r="D235" i="13"/>
  <c r="AW234" i="13"/>
  <c r="AF234" i="13"/>
  <c r="T234" i="13"/>
  <c r="H234" i="13"/>
  <c r="BA233" i="13"/>
  <c r="X233" i="13"/>
  <c r="L233" i="13"/>
  <c r="BJ232" i="13"/>
  <c r="AS232" i="13"/>
  <c r="AB232" i="13"/>
  <c r="D232" i="13"/>
  <c r="AW231" i="13"/>
  <c r="AF231" i="13"/>
  <c r="T231" i="13"/>
  <c r="H231" i="13"/>
  <c r="BA230" i="13"/>
  <c r="X230" i="13"/>
  <c r="L230" i="13"/>
  <c r="BJ229" i="13"/>
  <c r="AS229" i="13"/>
  <c r="AB229" i="13"/>
  <c r="D229" i="13"/>
  <c r="AW228" i="13"/>
  <c r="AG228" i="13"/>
  <c r="U228" i="13"/>
  <c r="I228" i="13"/>
  <c r="BB227" i="13"/>
  <c r="AP227" i="13"/>
  <c r="Y227" i="13"/>
  <c r="M227" i="13"/>
  <c r="BK226" i="13"/>
  <c r="AT226" i="13"/>
  <c r="AC226" i="13"/>
  <c r="Q226" i="13"/>
  <c r="E226" i="13"/>
  <c r="AX225" i="13"/>
  <c r="AG225" i="13"/>
  <c r="U225" i="13"/>
  <c r="I225" i="13"/>
  <c r="BB224" i="13"/>
  <c r="AP224" i="13"/>
  <c r="Y224" i="13"/>
  <c r="M224" i="13"/>
  <c r="BK223" i="13"/>
  <c r="AT223" i="13"/>
  <c r="AC223" i="13"/>
  <c r="Q223" i="13"/>
  <c r="E223" i="13"/>
  <c r="BI241" i="13"/>
  <c r="AR241" i="13"/>
  <c r="AA241" i="13"/>
  <c r="O241" i="13"/>
  <c r="BM240" i="13"/>
  <c r="AV240" i="13"/>
  <c r="AE240" i="13"/>
  <c r="S240" i="13"/>
  <c r="G240" i="13"/>
  <c r="AZ239" i="13"/>
  <c r="AI239" i="13"/>
  <c r="W239" i="13"/>
  <c r="K239" i="13"/>
  <c r="BI238" i="13"/>
  <c r="AR238" i="13"/>
  <c r="AA238" i="13"/>
  <c r="O238" i="13"/>
  <c r="BM237" i="13"/>
  <c r="AV237" i="13"/>
  <c r="AE237" i="13"/>
  <c r="S237" i="13"/>
  <c r="G237" i="13"/>
  <c r="AZ236" i="13"/>
  <c r="AI236" i="13"/>
  <c r="W236" i="13"/>
  <c r="K236" i="13"/>
  <c r="BI235" i="13"/>
  <c r="AR235" i="13"/>
  <c r="AA235" i="13"/>
  <c r="O235" i="13"/>
  <c r="BM234" i="13"/>
  <c r="AV234" i="13"/>
  <c r="AE234" i="13"/>
  <c r="S234" i="13"/>
  <c r="G234" i="13"/>
  <c r="AZ233" i="13"/>
  <c r="AI233" i="13"/>
  <c r="W233" i="13"/>
  <c r="K233" i="13"/>
  <c r="BI232" i="13"/>
  <c r="AR232" i="13"/>
  <c r="AA232" i="13"/>
  <c r="O232" i="13"/>
  <c r="BM231" i="13"/>
  <c r="AV231" i="13"/>
  <c r="AE231" i="13"/>
  <c r="S231" i="13"/>
  <c r="G231" i="13"/>
  <c r="AZ230" i="13"/>
  <c r="AI230" i="13"/>
  <c r="W230" i="13"/>
  <c r="K230" i="13"/>
  <c r="BH241" i="13"/>
  <c r="AQ241" i="13"/>
  <c r="Z241" i="13"/>
  <c r="N241" i="13"/>
  <c r="BL240" i="13"/>
  <c r="AU240" i="13"/>
  <c r="AD240" i="13"/>
  <c r="R240" i="13"/>
  <c r="F240" i="13"/>
  <c r="AY239" i="13"/>
  <c r="AH239" i="13"/>
  <c r="V239" i="13"/>
  <c r="J239" i="13"/>
  <c r="BH238" i="13"/>
  <c r="AQ238" i="13"/>
  <c r="Z238" i="13"/>
  <c r="N238" i="13"/>
  <c r="BL237" i="13"/>
  <c r="AU237" i="13"/>
  <c r="AD237" i="13"/>
  <c r="R237" i="13"/>
  <c r="F237" i="13"/>
  <c r="AY236" i="13"/>
  <c r="AH236" i="13"/>
  <c r="V236" i="13"/>
  <c r="J236" i="13"/>
  <c r="BH235" i="13"/>
  <c r="AQ235" i="13"/>
  <c r="Z235" i="13"/>
  <c r="N235" i="13"/>
  <c r="BL234" i="13"/>
  <c r="AU234" i="13"/>
  <c r="AD234" i="13"/>
  <c r="R234" i="13"/>
  <c r="F234" i="13"/>
  <c r="AY233" i="13"/>
  <c r="AH233" i="13"/>
  <c r="V233" i="13"/>
  <c r="J233" i="13"/>
  <c r="BH232" i="13"/>
  <c r="AQ232" i="13"/>
  <c r="Z232" i="13"/>
  <c r="N232" i="13"/>
  <c r="BL231" i="13"/>
  <c r="AU231" i="13"/>
  <c r="AD231" i="13"/>
  <c r="R231" i="13"/>
  <c r="F231" i="13"/>
  <c r="AY230" i="13"/>
  <c r="AH230" i="13"/>
  <c r="V230" i="13"/>
  <c r="J230" i="13"/>
  <c r="BH229" i="13"/>
  <c r="AQ229" i="13"/>
  <c r="Z229" i="13"/>
  <c r="N229" i="13"/>
  <c r="BL228" i="13"/>
  <c r="AU228" i="13"/>
  <c r="AE228" i="13"/>
  <c r="S228" i="13"/>
  <c r="G228" i="13"/>
  <c r="AZ227" i="13"/>
  <c r="AI227" i="13"/>
  <c r="W227" i="13"/>
  <c r="K227" i="13"/>
  <c r="BI226" i="13"/>
  <c r="AR226" i="13"/>
  <c r="AA226" i="13"/>
  <c r="O226" i="13"/>
  <c r="BM225" i="13"/>
  <c r="AV225" i="13"/>
  <c r="AE225" i="13"/>
  <c r="S225" i="13"/>
  <c r="G225" i="13"/>
  <c r="AZ224" i="13"/>
  <c r="AI224" i="13"/>
  <c r="W224" i="13"/>
  <c r="BB241" i="13"/>
  <c r="AP241" i="13"/>
  <c r="Y241" i="13"/>
  <c r="M241" i="13"/>
  <c r="BK240" i="13"/>
  <c r="AT240" i="13"/>
  <c r="AC240" i="13"/>
  <c r="Q240" i="13"/>
  <c r="E240" i="13"/>
  <c r="AX239" i="13"/>
  <c r="AG239" i="13"/>
  <c r="U239" i="13"/>
  <c r="I239" i="13"/>
  <c r="BB238" i="13"/>
  <c r="AP238" i="13"/>
  <c r="Y238" i="13"/>
  <c r="M238" i="13"/>
  <c r="BK237" i="13"/>
  <c r="AT237" i="13"/>
  <c r="AC237" i="13"/>
  <c r="Q237" i="13"/>
  <c r="E237" i="13"/>
  <c r="AX236" i="13"/>
  <c r="AG236" i="13"/>
  <c r="U236" i="13"/>
  <c r="I236" i="13"/>
  <c r="BB235" i="13"/>
  <c r="AP235" i="13"/>
  <c r="Y235" i="13"/>
  <c r="M235" i="13"/>
  <c r="BK234" i="13"/>
  <c r="AT234" i="13"/>
  <c r="AC234" i="13"/>
  <c r="Q234" i="13"/>
  <c r="E234" i="13"/>
  <c r="AX233" i="13"/>
  <c r="AG233" i="13"/>
  <c r="U233" i="13"/>
  <c r="I233" i="13"/>
  <c r="BB232" i="13"/>
  <c r="AP232" i="13"/>
  <c r="Y232" i="13"/>
  <c r="M232" i="13"/>
  <c r="BK231" i="13"/>
  <c r="AT231" i="13"/>
  <c r="AC231" i="13"/>
  <c r="Q231" i="13"/>
  <c r="E231" i="13"/>
  <c r="AX230" i="13"/>
  <c r="AG230" i="13"/>
  <c r="U230" i="13"/>
  <c r="I230" i="13"/>
  <c r="BB229" i="13"/>
  <c r="AP229" i="13"/>
  <c r="Y229" i="13"/>
  <c r="M229" i="13"/>
  <c r="BK228" i="13"/>
  <c r="AT228" i="13"/>
  <c r="AD228" i="13"/>
  <c r="R228" i="13"/>
  <c r="F228" i="13"/>
  <c r="AY227" i="13"/>
  <c r="AH227" i="13"/>
  <c r="V227" i="13"/>
  <c r="J227" i="13"/>
  <c r="BH226" i="13"/>
  <c r="AQ226" i="13"/>
  <c r="Z226" i="13"/>
  <c r="N226" i="13"/>
  <c r="BL225" i="13"/>
  <c r="AU225" i="13"/>
  <c r="AD225" i="13"/>
  <c r="R225" i="13"/>
  <c r="F225" i="13"/>
  <c r="AY224" i="13"/>
  <c r="AH224" i="13"/>
  <c r="V224" i="13"/>
  <c r="J224" i="13"/>
  <c r="BH223" i="13"/>
  <c r="AQ223" i="13"/>
  <c r="Z223" i="13"/>
  <c r="N223" i="13"/>
  <c r="BL222" i="13"/>
  <c r="AU222" i="13"/>
  <c r="AD222" i="13"/>
  <c r="BA241" i="13"/>
  <c r="X241" i="13"/>
  <c r="L241" i="13"/>
  <c r="BJ240" i="13"/>
  <c r="AS240" i="13"/>
  <c r="AB240" i="13"/>
  <c r="D240" i="13"/>
  <c r="AW239" i="13"/>
  <c r="AF239" i="13"/>
  <c r="T239" i="13"/>
  <c r="H239" i="13"/>
  <c r="BA238" i="13"/>
  <c r="X238" i="13"/>
  <c r="L238" i="13"/>
  <c r="BJ237" i="13"/>
  <c r="AS237" i="13"/>
  <c r="AB237" i="13"/>
  <c r="D237" i="13"/>
  <c r="AW236" i="13"/>
  <c r="AF236" i="13"/>
  <c r="T236" i="13"/>
  <c r="H236" i="13"/>
  <c r="BA235" i="13"/>
  <c r="X235" i="13"/>
  <c r="L235" i="13"/>
  <c r="BJ234" i="13"/>
  <c r="AS234" i="13"/>
  <c r="AB234" i="13"/>
  <c r="D234" i="13"/>
  <c r="AW233" i="13"/>
  <c r="AF233" i="13"/>
  <c r="T233" i="13"/>
  <c r="H233" i="13"/>
  <c r="BA232" i="13"/>
  <c r="X232" i="13"/>
  <c r="L232" i="13"/>
  <c r="BJ231" i="13"/>
  <c r="AS231" i="13"/>
  <c r="AB231" i="13"/>
  <c r="D231" i="13"/>
  <c r="AW230" i="13"/>
  <c r="AF230" i="13"/>
  <c r="T230" i="13"/>
  <c r="H230" i="13"/>
  <c r="BA229" i="13"/>
  <c r="X229" i="13"/>
  <c r="L229" i="13"/>
  <c r="BJ228" i="13"/>
  <c r="AS228" i="13"/>
  <c r="AZ241" i="13"/>
  <c r="AI241" i="13"/>
  <c r="W241" i="13"/>
  <c r="K241" i="13"/>
  <c r="BI240" i="13"/>
  <c r="AR240" i="13"/>
  <c r="AA240" i="13"/>
  <c r="O240" i="13"/>
  <c r="BM239" i="13"/>
  <c r="AV239" i="13"/>
  <c r="AE239" i="13"/>
  <c r="S239" i="13"/>
  <c r="G239" i="13"/>
  <c r="AZ238" i="13"/>
  <c r="AI238" i="13"/>
  <c r="W238" i="13"/>
  <c r="K238" i="13"/>
  <c r="BI237" i="13"/>
  <c r="AR237" i="13"/>
  <c r="AA237" i="13"/>
  <c r="O237" i="13"/>
  <c r="BM236" i="13"/>
  <c r="AV236" i="13"/>
  <c r="AE236" i="13"/>
  <c r="S236" i="13"/>
  <c r="G236" i="13"/>
  <c r="AZ235" i="13"/>
  <c r="AI235" i="13"/>
  <c r="W235" i="13"/>
  <c r="K235" i="13"/>
  <c r="BI234" i="13"/>
  <c r="AR234" i="13"/>
  <c r="AA234" i="13"/>
  <c r="O234" i="13"/>
  <c r="BM233" i="13"/>
  <c r="AV233" i="13"/>
  <c r="AE233" i="13"/>
  <c r="S233" i="13"/>
  <c r="G233" i="13"/>
  <c r="AZ232" i="13"/>
  <c r="AI232" i="13"/>
  <c r="W232" i="13"/>
  <c r="K232" i="13"/>
  <c r="BI231" i="13"/>
  <c r="AR231" i="13"/>
  <c r="AA231" i="13"/>
  <c r="O231" i="13"/>
  <c r="BM230" i="13"/>
  <c r="AV230" i="13"/>
  <c r="AE230" i="13"/>
  <c r="S230" i="13"/>
  <c r="G230" i="13"/>
  <c r="AZ229" i="13"/>
  <c r="AI229" i="13"/>
  <c r="W229" i="13"/>
  <c r="K229" i="13"/>
  <c r="BI228" i="13"/>
  <c r="AR228" i="13"/>
  <c r="AB228" i="13"/>
  <c r="D228" i="13"/>
  <c r="AW227" i="13"/>
  <c r="AF227" i="13"/>
  <c r="T227" i="13"/>
  <c r="H227" i="13"/>
  <c r="BA226" i="13"/>
  <c r="X226" i="13"/>
  <c r="L226" i="13"/>
  <c r="BJ225" i="13"/>
  <c r="AS225" i="13"/>
  <c r="AB225" i="13"/>
  <c r="D225" i="13"/>
  <c r="AW224" i="13"/>
  <c r="AF224" i="13"/>
  <c r="T224" i="13"/>
  <c r="H224" i="13"/>
  <c r="BA223" i="13"/>
  <c r="X223" i="13"/>
  <c r="L223" i="13"/>
  <c r="BJ222" i="13"/>
  <c r="AS222" i="13"/>
  <c r="AB222" i="13"/>
  <c r="AY241" i="13"/>
  <c r="I241" i="13"/>
  <c r="N240" i="13"/>
  <c r="AB239" i="13"/>
  <c r="AG238" i="13"/>
  <c r="AQ237" i="13"/>
  <c r="BJ236" i="13"/>
  <c r="E236" i="13"/>
  <c r="V235" i="13"/>
  <c r="BB234" i="13"/>
  <c r="W234" i="13"/>
  <c r="BB233" i="13"/>
  <c r="R233" i="13"/>
  <c r="AW232" i="13"/>
  <c r="S232" i="13"/>
  <c r="AX231" i="13"/>
  <c r="N231" i="13"/>
  <c r="AS230" i="13"/>
  <c r="O230" i="13"/>
  <c r="AV229" i="13"/>
  <c r="V229" i="13"/>
  <c r="F229" i="13"/>
  <c r="T228" i="13"/>
  <c r="BL227" i="13"/>
  <c r="AQ227" i="13"/>
  <c r="R227" i="13"/>
  <c r="BL226" i="13"/>
  <c r="AI226" i="13"/>
  <c r="S226" i="13"/>
  <c r="BI225" i="13"/>
  <c r="AI225" i="13"/>
  <c r="BJ224" i="13"/>
  <c r="AG224" i="13"/>
  <c r="BJ223" i="13"/>
  <c r="U223" i="13"/>
  <c r="F223" i="13"/>
  <c r="AV222" i="13"/>
  <c r="AA222" i="13"/>
  <c r="O222" i="13"/>
  <c r="BM221" i="13"/>
  <c r="AX241" i="13"/>
  <c r="H241" i="13"/>
  <c r="M240" i="13"/>
  <c r="R239" i="13"/>
  <c r="AF238" i="13"/>
  <c r="AP237" i="13"/>
  <c r="AU236" i="13"/>
  <c r="D236" i="13"/>
  <c r="U235" i="13"/>
  <c r="BA234" i="13"/>
  <c r="U234" i="13"/>
  <c r="AU233" i="13"/>
  <c r="Q233" i="13"/>
  <c r="AV232" i="13"/>
  <c r="Q232" i="13"/>
  <c r="AQ231" i="13"/>
  <c r="M231" i="13"/>
  <c r="AR230" i="13"/>
  <c r="M230" i="13"/>
  <c r="AU229" i="13"/>
  <c r="U229" i="13"/>
  <c r="E229" i="13"/>
  <c r="Q228" i="13"/>
  <c r="BK227" i="13"/>
  <c r="Q227" i="13"/>
  <c r="BJ226" i="13"/>
  <c r="AH226" i="13"/>
  <c r="R226" i="13"/>
  <c r="BH225" i="13"/>
  <c r="AH225" i="13"/>
  <c r="O225" i="13"/>
  <c r="BI224" i="13"/>
  <c r="AE224" i="13"/>
  <c r="O224" i="13"/>
  <c r="BI223" i="13"/>
  <c r="AI223" i="13"/>
  <c r="T223" i="13"/>
  <c r="D223" i="13"/>
  <c r="AT222" i="13"/>
  <c r="Z222" i="13"/>
  <c r="N222" i="13"/>
  <c r="BL221" i="13"/>
  <c r="AW241" i="13"/>
  <c r="BH240" i="13"/>
  <c r="L240" i="13"/>
  <c r="Q239" i="13"/>
  <c r="V238" i="13"/>
  <c r="AT236" i="13"/>
  <c r="AY235" i="13"/>
  <c r="T235" i="13"/>
  <c r="AZ234" i="13"/>
  <c r="AT233" i="13"/>
  <c r="AT232" i="13"/>
  <c r="AP231" i="13"/>
  <c r="L231" i="13"/>
  <c r="AP230" i="13"/>
  <c r="F230" i="13"/>
  <c r="AT229" i="13"/>
  <c r="T229" i="13"/>
  <c r="BM228" i="13"/>
  <c r="AI228" i="13"/>
  <c r="BJ227" i="13"/>
  <c r="AG227" i="13"/>
  <c r="BB226" i="13"/>
  <c r="AG226" i="13"/>
  <c r="BB225" i="13"/>
  <c r="AF225" i="13"/>
  <c r="N225" i="13"/>
  <c r="BH224" i="13"/>
  <c r="AD224" i="13"/>
  <c r="BB240" i="13"/>
  <c r="BL239" i="13"/>
  <c r="U238" i="13"/>
  <c r="Z237" i="13"/>
  <c r="AS236" i="13"/>
  <c r="AX235" i="13"/>
  <c r="S235" i="13"/>
  <c r="AX234" i="13"/>
  <c r="N234" i="13"/>
  <c r="AS233" i="13"/>
  <c r="O233" i="13"/>
  <c r="J232" i="13"/>
  <c r="K231" i="13"/>
  <c r="E230" i="13"/>
  <c r="AR229" i="13"/>
  <c r="S229" i="13"/>
  <c r="BH228" i="13"/>
  <c r="AH228" i="13"/>
  <c r="O228" i="13"/>
  <c r="BI227" i="13"/>
  <c r="AE227" i="13"/>
  <c r="O227" i="13"/>
  <c r="AZ226" i="13"/>
  <c r="AF226" i="13"/>
  <c r="M226" i="13"/>
  <c r="BA225" i="13"/>
  <c r="AC225" i="13"/>
  <c r="M225" i="13"/>
  <c r="BA224" i="13"/>
  <c r="AC224" i="13"/>
  <c r="L224" i="13"/>
  <c r="AZ223" i="13"/>
  <c r="AG223" i="13"/>
  <c r="R223" i="13"/>
  <c r="BK222" i="13"/>
  <c r="AQ222" i="13"/>
  <c r="X222" i="13"/>
  <c r="L222" i="13"/>
  <c r="BJ221" i="13"/>
  <c r="AS221" i="13"/>
  <c r="AB221" i="13"/>
  <c r="D221" i="13"/>
  <c r="AW220" i="13"/>
  <c r="AF220" i="13"/>
  <c r="T220" i="13"/>
  <c r="H220" i="13"/>
  <c r="BA219" i="13"/>
  <c r="X219" i="13"/>
  <c r="L219" i="13"/>
  <c r="BJ218" i="13"/>
  <c r="AS218" i="13"/>
  <c r="AB218" i="13"/>
  <c r="D218" i="13"/>
  <c r="AW217" i="13"/>
  <c r="AF217" i="13"/>
  <c r="T217" i="13"/>
  <c r="H217" i="13"/>
  <c r="BA216" i="13"/>
  <c r="X216" i="13"/>
  <c r="L216" i="13"/>
  <c r="BJ215" i="13"/>
  <c r="AS215" i="13"/>
  <c r="AB215" i="13"/>
  <c r="D215" i="13"/>
  <c r="AW214" i="13"/>
  <c r="AF214" i="13"/>
  <c r="T214" i="13"/>
  <c r="H214" i="13"/>
  <c r="BA213" i="13"/>
  <c r="X213" i="13"/>
  <c r="L213" i="13"/>
  <c r="BJ212" i="13"/>
  <c r="AS212" i="13"/>
  <c r="AB212" i="13"/>
  <c r="D212" i="13"/>
  <c r="AW211" i="13"/>
  <c r="AF211" i="13"/>
  <c r="T211" i="13"/>
  <c r="H211" i="13"/>
  <c r="BA210" i="13"/>
  <c r="X210" i="13"/>
  <c r="L210" i="13"/>
  <c r="BJ209" i="13"/>
  <c r="AS209" i="13"/>
  <c r="AB209" i="13"/>
  <c r="AC239" i="13"/>
  <c r="J238" i="13"/>
  <c r="L237" i="13"/>
  <c r="AV235" i="13"/>
  <c r="G235" i="13"/>
  <c r="M234" i="13"/>
  <c r="AH241" i="13"/>
  <c r="Z240" i="13"/>
  <c r="I238" i="13"/>
  <c r="BL236" i="13"/>
  <c r="E235" i="13"/>
  <c r="L234" i="13"/>
  <c r="AB233" i="13"/>
  <c r="G232" i="13"/>
  <c r="W231" i="13"/>
  <c r="AD230" i="13"/>
  <c r="BI229" i="13"/>
  <c r="R229" i="13"/>
  <c r="AX228" i="13"/>
  <c r="W228" i="13"/>
  <c r="BA227" i="13"/>
  <c r="Z227" i="13"/>
  <c r="BM226" i="13"/>
  <c r="Y226" i="13"/>
  <c r="D226" i="13"/>
  <c r="Y225" i="13"/>
  <c r="BM224" i="13"/>
  <c r="AA224" i="13"/>
  <c r="F224" i="13"/>
  <c r="AR223" i="13"/>
  <c r="S223" i="13"/>
  <c r="BB222" i="13"/>
  <c r="AF222" i="13"/>
  <c r="M222" i="13"/>
  <c r="BB221" i="13"/>
  <c r="W221" i="13"/>
  <c r="K221" i="13"/>
  <c r="BH220" i="13"/>
  <c r="AP220" i="13"/>
  <c r="X220" i="13"/>
  <c r="K220" i="13"/>
  <c r="BH219" i="13"/>
  <c r="AP219" i="13"/>
  <c r="Y219" i="13"/>
  <c r="K219" i="13"/>
  <c r="BH218" i="13"/>
  <c r="AP218" i="13"/>
  <c r="X218" i="13"/>
  <c r="L218" i="13"/>
  <c r="BI217" i="13"/>
  <c r="AQ217" i="13"/>
  <c r="Y217" i="13"/>
  <c r="L217" i="13"/>
  <c r="BI216" i="13"/>
  <c r="AQ216" i="13"/>
  <c r="Z216" i="13"/>
  <c r="M216" i="13"/>
  <c r="BI215" i="13"/>
  <c r="AQ215" i="13"/>
  <c r="Y215" i="13"/>
  <c r="M215" i="13"/>
  <c r="BJ214" i="13"/>
  <c r="AR214" i="13"/>
  <c r="Z214" i="13"/>
  <c r="M214" i="13"/>
  <c r="BJ213" i="13"/>
  <c r="AR213" i="13"/>
  <c r="AA213" i="13"/>
  <c r="N213" i="13"/>
  <c r="BK212" i="13"/>
  <c r="AR212" i="13"/>
  <c r="Z212" i="13"/>
  <c r="N212" i="13"/>
  <c r="BK211" i="13"/>
  <c r="AS211" i="13"/>
  <c r="AA211" i="13"/>
  <c r="N211" i="13"/>
  <c r="BK210" i="13"/>
  <c r="AS210" i="13"/>
  <c r="AB210" i="13"/>
  <c r="O210" i="13"/>
  <c r="BL209" i="13"/>
  <c r="AT209" i="13"/>
  <c r="AA209" i="13"/>
  <c r="O209" i="13"/>
  <c r="BM208" i="13"/>
  <c r="AV208" i="13"/>
  <c r="AE208" i="13"/>
  <c r="S208" i="13"/>
  <c r="G208" i="13"/>
  <c r="AZ207" i="13"/>
  <c r="AG241" i="13"/>
  <c r="Y240" i="13"/>
  <c r="F239" i="13"/>
  <c r="H238" i="13"/>
  <c r="BK236" i="13"/>
  <c r="AH235" i="13"/>
  <c r="BH234" i="13"/>
  <c r="K234" i="13"/>
  <c r="AA233" i="13"/>
  <c r="AH232" i="13"/>
  <c r="E232" i="13"/>
  <c r="U231" i="13"/>
  <c r="AC230" i="13"/>
  <c r="AY229" i="13"/>
  <c r="Q229" i="13"/>
  <c r="AV228" i="13"/>
  <c r="V228" i="13"/>
  <c r="AX227" i="13"/>
  <c r="X227" i="13"/>
  <c r="AY226" i="13"/>
  <c r="W226" i="13"/>
  <c r="BK225" i="13"/>
  <c r="X225" i="13"/>
  <c r="BL224" i="13"/>
  <c r="Z224" i="13"/>
  <c r="E224" i="13"/>
  <c r="AP223" i="13"/>
  <c r="BA222" i="13"/>
  <c r="AE222" i="13"/>
  <c r="K222" i="13"/>
  <c r="BA221" i="13"/>
  <c r="AI221" i="13"/>
  <c r="V221" i="13"/>
  <c r="J221" i="13"/>
  <c r="BB220" i="13"/>
  <c r="W220" i="13"/>
  <c r="J220" i="13"/>
  <c r="BB219" i="13"/>
  <c r="W219" i="13"/>
  <c r="J219" i="13"/>
  <c r="BB218" i="13"/>
  <c r="W218" i="13"/>
  <c r="K218" i="13"/>
  <c r="BH217" i="13"/>
  <c r="AP217" i="13"/>
  <c r="X217" i="13"/>
  <c r="K217" i="13"/>
  <c r="BH216" i="13"/>
  <c r="AP216" i="13"/>
  <c r="Y216" i="13"/>
  <c r="K216" i="13"/>
  <c r="BH215" i="13"/>
  <c r="AP215" i="13"/>
  <c r="X215" i="13"/>
  <c r="L215" i="13"/>
  <c r="BI214" i="13"/>
  <c r="AQ214" i="13"/>
  <c r="Y214" i="13"/>
  <c r="L214" i="13"/>
  <c r="BI213" i="13"/>
  <c r="AQ213" i="13"/>
  <c r="Z213" i="13"/>
  <c r="M213" i="13"/>
  <c r="BI212" i="13"/>
  <c r="AQ212" i="13"/>
  <c r="Y212" i="13"/>
  <c r="M212" i="13"/>
  <c r="BJ211" i="13"/>
  <c r="AR211" i="13"/>
  <c r="Z211" i="13"/>
  <c r="M211" i="13"/>
  <c r="BJ210" i="13"/>
  <c r="AR210" i="13"/>
  <c r="AA210" i="13"/>
  <c r="N210" i="13"/>
  <c r="BK209" i="13"/>
  <c r="AR209" i="13"/>
  <c r="Z209" i="13"/>
  <c r="N209" i="13"/>
  <c r="BL208" i="13"/>
  <c r="AU208" i="13"/>
  <c r="AD208" i="13"/>
  <c r="R208" i="13"/>
  <c r="F208" i="13"/>
  <c r="AY207" i="13"/>
  <c r="AF241" i="13"/>
  <c r="X240" i="13"/>
  <c r="E239" i="13"/>
  <c r="BH237" i="13"/>
  <c r="AG235" i="13"/>
  <c r="AQ234" i="13"/>
  <c r="I234" i="13"/>
  <c r="Y233" i="13"/>
  <c r="AG232" i="13"/>
  <c r="V241" i="13"/>
  <c r="D239" i="13"/>
  <c r="BB237" i="13"/>
  <c r="AD236" i="13"/>
  <c r="AF235" i="13"/>
  <c r="AP234" i="13"/>
  <c r="BL233" i="13"/>
  <c r="AF232" i="13"/>
  <c r="BB231" i="13"/>
  <c r="I231" i="13"/>
  <c r="U241" i="13"/>
  <c r="BK239" i="13"/>
  <c r="AY238" i="13"/>
  <c r="BA237" i="13"/>
  <c r="AC236" i="13"/>
  <c r="AE235" i="13"/>
  <c r="BK233" i="13"/>
  <c r="M233" i="13"/>
  <c r="AE232" i="13"/>
  <c r="BA231" i="13"/>
  <c r="BL230" i="13"/>
  <c r="Y230" i="13"/>
  <c r="J229" i="13"/>
  <c r="M228" i="13"/>
  <c r="AT227" i="13"/>
  <c r="AV226" i="13"/>
  <c r="T226" i="13"/>
  <c r="AW225" i="13"/>
  <c r="T225" i="13"/>
  <c r="AV224" i="13"/>
  <c r="S224" i="13"/>
  <c r="BL223" i="13"/>
  <c r="AF223" i="13"/>
  <c r="K223" i="13"/>
  <c r="AX222" i="13"/>
  <c r="W222" i="13"/>
  <c r="H222" i="13"/>
  <c r="AX221" i="13"/>
  <c r="AF221" i="13"/>
  <c r="S221" i="13"/>
  <c r="G221" i="13"/>
  <c r="T241" i="13"/>
  <c r="BJ239" i="13"/>
  <c r="AX238" i="13"/>
  <c r="AB236" i="13"/>
  <c r="AC235" i="13"/>
  <c r="AI234" i="13"/>
  <c r="AU239" i="13"/>
  <c r="AW238" i="13"/>
  <c r="Y237" i="13"/>
  <c r="R236" i="13"/>
  <c r="Q235" i="13"/>
  <c r="AG234" i="13"/>
  <c r="BI233" i="13"/>
  <c r="E233" i="13"/>
  <c r="J241" i="13"/>
  <c r="AT239" i="13"/>
  <c r="X237" i="13"/>
  <c r="Q236" i="13"/>
  <c r="Z234" i="13"/>
  <c r="AR233" i="13"/>
  <c r="D233" i="13"/>
  <c r="U232" i="13"/>
  <c r="AI231" i="13"/>
  <c r="BI230" i="13"/>
  <c r="AF229" i="13"/>
  <c r="G229" i="13"/>
  <c r="AC228" i="13"/>
  <c r="J228" i="13"/>
  <c r="I227" i="13"/>
  <c r="AP226" i="13"/>
  <c r="J226" i="13"/>
  <c r="AQ225" i="13"/>
  <c r="L225" i="13"/>
  <c r="AS224" i="13"/>
  <c r="AX223" i="13"/>
  <c r="AB223" i="13"/>
  <c r="H223" i="13"/>
  <c r="AP222" i="13"/>
  <c r="T222" i="13"/>
  <c r="E222" i="13"/>
  <c r="AU221" i="13"/>
  <c r="AC221" i="13"/>
  <c r="BM220" i="13"/>
  <c r="AU220" i="13"/>
  <c r="AC220" i="13"/>
  <c r="BM219" i="13"/>
  <c r="AU219" i="13"/>
  <c r="AD219" i="13"/>
  <c r="Q219" i="13"/>
  <c r="D219" i="13"/>
  <c r="AV218" i="13"/>
  <c r="AD218" i="13"/>
  <c r="Q218" i="13"/>
  <c r="E218" i="13"/>
  <c r="AV217" i="13"/>
  <c r="AD217" i="13"/>
  <c r="Q217" i="13"/>
  <c r="D217" i="13"/>
  <c r="AV216" i="13"/>
  <c r="AE216" i="13"/>
  <c r="R216" i="13"/>
  <c r="E216" i="13"/>
  <c r="AW215" i="13"/>
  <c r="AE215" i="13"/>
  <c r="R215" i="13"/>
  <c r="F215" i="13"/>
  <c r="AX214" i="13"/>
  <c r="AE214" i="13"/>
  <c r="R214" i="13"/>
  <c r="E214" i="13"/>
  <c r="AW213" i="13"/>
  <c r="AF213" i="13"/>
  <c r="S213" i="13"/>
  <c r="F213" i="13"/>
  <c r="AX212" i="13"/>
  <c r="AF212" i="13"/>
  <c r="S212" i="13"/>
  <c r="G212" i="13"/>
  <c r="AY211" i="13"/>
  <c r="AG211" i="13"/>
  <c r="S211" i="13"/>
  <c r="F211" i="13"/>
  <c r="AX210" i="13"/>
  <c r="AG210" i="13"/>
  <c r="T210" i="13"/>
  <c r="G210" i="13"/>
  <c r="AY209" i="13"/>
  <c r="AG209" i="13"/>
  <c r="T209" i="13"/>
  <c r="H209" i="13"/>
  <c r="BA208" i="13"/>
  <c r="X208" i="13"/>
  <c r="L208" i="13"/>
  <c r="BA240" i="13"/>
  <c r="AS239" i="13"/>
  <c r="AH238" i="13"/>
  <c r="J235" i="13"/>
  <c r="Y234" i="13"/>
  <c r="AP233" i="13"/>
  <c r="AQ240" i="13"/>
  <c r="T238" i="13"/>
  <c r="N237" i="13"/>
  <c r="F236" i="13"/>
  <c r="I235" i="13"/>
  <c r="X234" i="13"/>
  <c r="BK232" i="13"/>
  <c r="Z231" i="13"/>
  <c r="AU230" i="13"/>
  <c r="BM229" i="13"/>
  <c r="AD229" i="13"/>
  <c r="BA228" i="13"/>
  <c r="Z228" i="13"/>
  <c r="E228" i="13"/>
  <c r="AC227" i="13"/>
  <c r="F227" i="13"/>
  <c r="AE226" i="13"/>
  <c r="H226" i="13"/>
  <c r="J225" i="13"/>
  <c r="AQ224" i="13"/>
  <c r="K224" i="13"/>
  <c r="AV223" i="13"/>
  <c r="Y223" i="13"/>
  <c r="BM222" i="13"/>
  <c r="AI222" i="13"/>
  <c r="R222" i="13"/>
  <c r="BK221" i="13"/>
  <c r="AR221" i="13"/>
  <c r="Z221" i="13"/>
  <c r="N221" i="13"/>
  <c r="BK220" i="13"/>
  <c r="AS220" i="13"/>
  <c r="AA220" i="13"/>
  <c r="N220" i="13"/>
  <c r="BK219" i="13"/>
  <c r="AS219" i="13"/>
  <c r="AB219" i="13"/>
  <c r="O219" i="13"/>
  <c r="BL218" i="13"/>
  <c r="AT218" i="13"/>
  <c r="AA218" i="13"/>
  <c r="O218" i="13"/>
  <c r="BL217" i="13"/>
  <c r="AT217" i="13"/>
  <c r="AB217" i="13"/>
  <c r="O217" i="13"/>
  <c r="BL216" i="13"/>
  <c r="AT216" i="13"/>
  <c r="AC216" i="13"/>
  <c r="BM215" i="13"/>
  <c r="AU215" i="13"/>
  <c r="AC215" i="13"/>
  <c r="BM214" i="13"/>
  <c r="AU214" i="13"/>
  <c r="AC214" i="13"/>
  <c r="BM213" i="13"/>
  <c r="AU213" i="13"/>
  <c r="AD213" i="13"/>
  <c r="Q213" i="13"/>
  <c r="D213" i="13"/>
  <c r="AV212" i="13"/>
  <c r="AD212" i="13"/>
  <c r="Q212" i="13"/>
  <c r="E212" i="13"/>
  <c r="AV211" i="13"/>
  <c r="AD211" i="13"/>
  <c r="Q211" i="13"/>
  <c r="D211" i="13"/>
  <c r="AV210" i="13"/>
  <c r="AE210" i="13"/>
  <c r="R210" i="13"/>
  <c r="E210" i="13"/>
  <c r="AW209" i="13"/>
  <c r="AE209" i="13"/>
  <c r="R209" i="13"/>
  <c r="F209" i="13"/>
  <c r="AY208" i="13"/>
  <c r="AH208" i="13"/>
  <c r="V208" i="13"/>
  <c r="J208" i="13"/>
  <c r="AP240" i="13"/>
  <c r="AD239" i="13"/>
  <c r="M237" i="13"/>
  <c r="AW235" i="13"/>
  <c r="H235" i="13"/>
  <c r="AD233" i="13"/>
  <c r="AY232" i="13"/>
  <c r="I232" i="13"/>
  <c r="Y231" i="13"/>
  <c r="AT230" i="13"/>
  <c r="BL229" i="13"/>
  <c r="AC229" i="13"/>
  <c r="AZ228" i="13"/>
  <c r="Y228" i="13"/>
  <c r="BM227" i="13"/>
  <c r="AB227" i="13"/>
  <c r="E227" i="13"/>
  <c r="AD226" i="13"/>
  <c r="G226" i="13"/>
  <c r="AA225" i="13"/>
  <c r="H225" i="13"/>
  <c r="I224" i="13"/>
  <c r="AU223" i="13"/>
  <c r="W223" i="13"/>
  <c r="BI222" i="13"/>
  <c r="AH222" i="13"/>
  <c r="Q222" i="13"/>
  <c r="BI221" i="13"/>
  <c r="AQ221" i="13"/>
  <c r="Y221" i="13"/>
  <c r="M221" i="13"/>
  <c r="BJ220" i="13"/>
  <c r="AR220" i="13"/>
  <c r="Z220" i="13"/>
  <c r="M220" i="13"/>
  <c r="BJ219" i="13"/>
  <c r="AR219" i="13"/>
  <c r="AA219" i="13"/>
  <c r="N219" i="13"/>
  <c r="BK218" i="13"/>
  <c r="AR218" i="13"/>
  <c r="Z218" i="13"/>
  <c r="N218" i="13"/>
  <c r="BK217" i="13"/>
  <c r="AS217" i="13"/>
  <c r="AA217" i="13"/>
  <c r="N217" i="13"/>
  <c r="BK216" i="13"/>
  <c r="AS216" i="13"/>
  <c r="AB216" i="13"/>
  <c r="O216" i="13"/>
  <c r="BL215" i="13"/>
  <c r="AT215" i="13"/>
  <c r="AA215" i="13"/>
  <c r="O215" i="13"/>
  <c r="BL214" i="13"/>
  <c r="AT214" i="13"/>
  <c r="AB214" i="13"/>
  <c r="O214" i="13"/>
  <c r="BL213" i="13"/>
  <c r="AT213" i="13"/>
  <c r="AC213" i="13"/>
  <c r="BM212" i="13"/>
  <c r="AU212" i="13"/>
  <c r="AC212" i="13"/>
  <c r="BM211" i="13"/>
  <c r="AU211" i="13"/>
  <c r="AC211" i="13"/>
  <c r="BM210" i="13"/>
  <c r="AU210" i="13"/>
  <c r="AD210" i="13"/>
  <c r="Q210" i="13"/>
  <c r="D210" i="13"/>
  <c r="AV209" i="13"/>
  <c r="AD209" i="13"/>
  <c r="Q209" i="13"/>
  <c r="E209" i="13"/>
  <c r="AX208" i="13"/>
  <c r="AG208" i="13"/>
  <c r="U208" i="13"/>
  <c r="AC232" i="13"/>
  <c r="BJ230" i="13"/>
  <c r="AP228" i="13"/>
  <c r="AV227" i="13"/>
  <c r="G227" i="13"/>
  <c r="I226" i="13"/>
  <c r="R224" i="13"/>
  <c r="AH223" i="13"/>
  <c r="AZ222" i="13"/>
  <c r="J222" i="13"/>
  <c r="O221" i="13"/>
  <c r="AV220" i="13"/>
  <c r="U220" i="13"/>
  <c r="BL219" i="13"/>
  <c r="AG219" i="13"/>
  <c r="I219" i="13"/>
  <c r="AU218" i="13"/>
  <c r="T218" i="13"/>
  <c r="BB217" i="13"/>
  <c r="AC217" i="13"/>
  <c r="F217" i="13"/>
  <c r="AI216" i="13"/>
  <c r="AY215" i="13"/>
  <c r="V215" i="13"/>
  <c r="E215" i="13"/>
  <c r="AH214" i="13"/>
  <c r="K214" i="13"/>
  <c r="AV213" i="13"/>
  <c r="U213" i="13"/>
  <c r="BH212" i="13"/>
  <c r="AE212" i="13"/>
  <c r="J212" i="13"/>
  <c r="AQ211" i="13"/>
  <c r="R211" i="13"/>
  <c r="BB210" i="13"/>
  <c r="Z210" i="13"/>
  <c r="F210" i="13"/>
  <c r="AI209" i="13"/>
  <c r="L209" i="13"/>
  <c r="AW208" i="13"/>
  <c r="Z208" i="13"/>
  <c r="E208" i="13"/>
  <c r="AV207" i="13"/>
  <c r="AE207" i="13"/>
  <c r="S207" i="13"/>
  <c r="G207" i="13"/>
  <c r="AZ206" i="13"/>
  <c r="AI206" i="13"/>
  <c r="W206" i="13"/>
  <c r="K206" i="13"/>
  <c r="AX205" i="13"/>
  <c r="AG205" i="13"/>
  <c r="U205" i="13"/>
  <c r="I205" i="13"/>
  <c r="AV204" i="13"/>
  <c r="AE204" i="13"/>
  <c r="S204" i="13"/>
  <c r="G204" i="13"/>
  <c r="AT203" i="13"/>
  <c r="AC203" i="13"/>
  <c r="Q203" i="13"/>
  <c r="E203" i="13"/>
  <c r="AR202" i="13"/>
  <c r="AA202" i="13"/>
  <c r="O202" i="13"/>
  <c r="BB201" i="13"/>
  <c r="AP201" i="13"/>
  <c r="Y201" i="13"/>
  <c r="M201" i="13"/>
  <c r="AZ200" i="13"/>
  <c r="AI200" i="13"/>
  <c r="W200" i="13"/>
  <c r="K200" i="13"/>
  <c r="AX199" i="13"/>
  <c r="AG199" i="13"/>
  <c r="U199" i="13"/>
  <c r="I199" i="13"/>
  <c r="AD198" i="13"/>
  <c r="R198" i="13"/>
  <c r="F198" i="13"/>
  <c r="AA197" i="13"/>
  <c r="O197" i="13"/>
  <c r="X196" i="13"/>
  <c r="V232" i="13"/>
  <c r="BB230" i="13"/>
  <c r="AH229" i="13"/>
  <c r="AU227" i="13"/>
  <c r="D227" i="13"/>
  <c r="F226" i="13"/>
  <c r="K225" i="13"/>
  <c r="Q224" i="13"/>
  <c r="AE223" i="13"/>
  <c r="AY222" i="13"/>
  <c r="I222" i="13"/>
  <c r="AH221" i="13"/>
  <c r="L221" i="13"/>
  <c r="AT220" i="13"/>
  <c r="S220" i="13"/>
  <c r="BI219" i="13"/>
  <c r="AF219" i="13"/>
  <c r="H219" i="13"/>
  <c r="AQ218" i="13"/>
  <c r="S218" i="13"/>
  <c r="BA217" i="13"/>
  <c r="Z217" i="13"/>
  <c r="E217" i="13"/>
  <c r="AH216" i="13"/>
  <c r="N216" i="13"/>
  <c r="T232" i="13"/>
  <c r="AG229" i="13"/>
  <c r="AS227" i="13"/>
  <c r="AX226" i="13"/>
  <c r="AZ225" i="13"/>
  <c r="E225" i="13"/>
  <c r="AD223" i="13"/>
  <c r="AW222" i="13"/>
  <c r="G222" i="13"/>
  <c r="AG221" i="13"/>
  <c r="I221" i="13"/>
  <c r="AQ220" i="13"/>
  <c r="R220" i="13"/>
  <c r="AZ219" i="13"/>
  <c r="AE219" i="13"/>
  <c r="G219" i="13"/>
  <c r="R218" i="13"/>
  <c r="AZ217" i="13"/>
  <c r="W217" i="13"/>
  <c r="BM216" i="13"/>
  <c r="AG216" i="13"/>
  <c r="J216" i="13"/>
  <c r="AB230" i="13"/>
  <c r="AE229" i="13"/>
  <c r="AF228" i="13"/>
  <c r="AR227" i="13"/>
  <c r="AW226" i="13"/>
  <c r="AY225" i="13"/>
  <c r="BK224" i="13"/>
  <c r="N224" i="13"/>
  <c r="AA223" i="13"/>
  <c r="AR222" i="13"/>
  <c r="F222" i="13"/>
  <c r="AE221" i="13"/>
  <c r="H221" i="13"/>
  <c r="Q220" i="13"/>
  <c r="AY219" i="13"/>
  <c r="AC219" i="13"/>
  <c r="F219" i="13"/>
  <c r="AI218" i="13"/>
  <c r="AY217" i="13"/>
  <c r="V217" i="13"/>
  <c r="BJ216" i="13"/>
  <c r="AF216" i="13"/>
  <c r="I216" i="13"/>
  <c r="AR215" i="13"/>
  <c r="BJ233" i="13"/>
  <c r="H232" i="13"/>
  <c r="AA230" i="13"/>
  <c r="AA229" i="13"/>
  <c r="AA228" i="13"/>
  <c r="AU226" i="13"/>
  <c r="AT225" i="13"/>
  <c r="AX224" i="13"/>
  <c r="G224" i="13"/>
  <c r="V223" i="13"/>
  <c r="D222" i="13"/>
  <c r="AD221" i="13"/>
  <c r="F221" i="13"/>
  <c r="AI220" i="13"/>
  <c r="AX219" i="13"/>
  <c r="Z219" i="13"/>
  <c r="E219" i="13"/>
  <c r="AH218" i="13"/>
  <c r="M218" i="13"/>
  <c r="AX217" i="13"/>
  <c r="U217" i="13"/>
  <c r="BB216" i="13"/>
  <c r="AD216" i="13"/>
  <c r="H216" i="13"/>
  <c r="BH231" i="13"/>
  <c r="R230" i="13"/>
  <c r="X228" i="13"/>
  <c r="AD227" i="13"/>
  <c r="AS226" i="13"/>
  <c r="AR225" i="13"/>
  <c r="AU224" i="13"/>
  <c r="D224" i="13"/>
  <c r="AG222" i="13"/>
  <c r="BH221" i="13"/>
  <c r="AA221" i="13"/>
  <c r="E221" i="13"/>
  <c r="AH220" i="13"/>
  <c r="O220" i="13"/>
  <c r="AW219" i="13"/>
  <c r="V219" i="13"/>
  <c r="BM218" i="13"/>
  <c r="AG218" i="13"/>
  <c r="J218" i="13"/>
  <c r="AU217" i="13"/>
  <c r="S217" i="13"/>
  <c r="AZ216" i="13"/>
  <c r="AC233" i="13"/>
  <c r="AZ231" i="13"/>
  <c r="Q230" i="13"/>
  <c r="O229" i="13"/>
  <c r="AA227" i="13"/>
  <c r="AP225" i="13"/>
  <c r="AT224" i="13"/>
  <c r="BM223" i="13"/>
  <c r="O223" i="13"/>
  <c r="AC222" i="13"/>
  <c r="AZ221" i="13"/>
  <c r="X221" i="13"/>
  <c r="BL220" i="13"/>
  <c r="AG220" i="13"/>
  <c r="L220" i="13"/>
  <c r="AV219" i="13"/>
  <c r="U219" i="13"/>
  <c r="BI218" i="13"/>
  <c r="AF218" i="13"/>
  <c r="I218" i="13"/>
  <c r="AR217" i="13"/>
  <c r="R217" i="13"/>
  <c r="I229" i="13"/>
  <c r="N228" i="13"/>
  <c r="U227" i="13"/>
  <c r="AB226" i="13"/>
  <c r="AR224" i="13"/>
  <c r="BB223" i="13"/>
  <c r="M223" i="13"/>
  <c r="Y222" i="13"/>
  <c r="AY221" i="13"/>
  <c r="U221" i="13"/>
  <c r="BI220" i="13"/>
  <c r="AE220" i="13"/>
  <c r="I220" i="13"/>
  <c r="AT219" i="13"/>
  <c r="T219" i="13"/>
  <c r="BA218" i="13"/>
  <c r="AE218" i="13"/>
  <c r="H218" i="13"/>
  <c r="AX216" i="13"/>
  <c r="V216" i="13"/>
  <c r="D216" i="13"/>
  <c r="AG215" i="13"/>
  <c r="K215" i="13"/>
  <c r="AV214" i="13"/>
  <c r="U214" i="13"/>
  <c r="F233" i="13"/>
  <c r="AG231" i="13"/>
  <c r="D230" i="13"/>
  <c r="H229" i="13"/>
  <c r="L228" i="13"/>
  <c r="S227" i="13"/>
  <c r="V226" i="13"/>
  <c r="Z225" i="13"/>
  <c r="AY223" i="13"/>
  <c r="J223" i="13"/>
  <c r="V222" i="13"/>
  <c r="AW221" i="13"/>
  <c r="T221" i="13"/>
  <c r="BA220" i="13"/>
  <c r="AD220" i="13"/>
  <c r="G220" i="13"/>
  <c r="AQ219" i="13"/>
  <c r="S219" i="13"/>
  <c r="AZ218" i="13"/>
  <c r="AC218" i="13"/>
  <c r="G218" i="13"/>
  <c r="AI217" i="13"/>
  <c r="M217" i="13"/>
  <c r="AW216" i="13"/>
  <c r="U216" i="13"/>
  <c r="BK215" i="13"/>
  <c r="AF215" i="13"/>
  <c r="J215" i="13"/>
  <c r="AS214" i="13"/>
  <c r="S214" i="13"/>
  <c r="BB213" i="13"/>
  <c r="AB213" i="13"/>
  <c r="H213" i="13"/>
  <c r="BA211" i="13"/>
  <c r="X211" i="13"/>
  <c r="E211" i="13"/>
  <c r="AI210" i="13"/>
  <c r="K210" i="13"/>
  <c r="AU209" i="13"/>
  <c r="U209" i="13"/>
  <c r="BI208" i="13"/>
  <c r="AF208" i="13"/>
  <c r="M208" i="13"/>
  <c r="BB207" i="13"/>
  <c r="AI207" i="13"/>
  <c r="W207" i="13"/>
  <c r="K207" i="13"/>
  <c r="BI206" i="13"/>
  <c r="AR206" i="13"/>
  <c r="AA206" i="13"/>
  <c r="O206" i="13"/>
  <c r="BB205" i="13"/>
  <c r="AP205" i="13"/>
  <c r="Y205" i="13"/>
  <c r="M205" i="13"/>
  <c r="AZ204" i="13"/>
  <c r="AI204" i="13"/>
  <c r="W204" i="13"/>
  <c r="K204" i="13"/>
  <c r="AX203" i="13"/>
  <c r="AG203" i="13"/>
  <c r="U203" i="13"/>
  <c r="I203" i="13"/>
  <c r="AV202" i="13"/>
  <c r="AE202" i="13"/>
  <c r="S202" i="13"/>
  <c r="G202" i="13"/>
  <c r="AT201" i="13"/>
  <c r="AC201" i="13"/>
  <c r="Q201" i="13"/>
  <c r="E201" i="13"/>
  <c r="AR200" i="13"/>
  <c r="AA200" i="13"/>
  <c r="O200" i="13"/>
  <c r="BB199" i="13"/>
  <c r="AP199" i="13"/>
  <c r="Y199" i="13"/>
  <c r="M199" i="13"/>
  <c r="AH198" i="13"/>
  <c r="V198" i="13"/>
  <c r="J198" i="13"/>
  <c r="AE197" i="13"/>
  <c r="S197" i="13"/>
  <c r="G197" i="13"/>
  <c r="AB196" i="13"/>
  <c r="BM232" i="13"/>
  <c r="X231" i="13"/>
  <c r="BK229" i="13"/>
  <c r="BB228" i="13"/>
  <c r="K228" i="13"/>
  <c r="U226" i="13"/>
  <c r="W225" i="13"/>
  <c r="AB224" i="13"/>
  <c r="AW223" i="13"/>
  <c r="I223" i="13"/>
  <c r="U222" i="13"/>
  <c r="AV221" i="13"/>
  <c r="R221" i="13"/>
  <c r="AZ220" i="13"/>
  <c r="AB220" i="13"/>
  <c r="F220" i="13"/>
  <c r="R219" i="13"/>
  <c r="AY218" i="13"/>
  <c r="Y218" i="13"/>
  <c r="F218" i="13"/>
  <c r="AH217" i="13"/>
  <c r="J217" i="13"/>
  <c r="AU216" i="13"/>
  <c r="T216" i="13"/>
  <c r="BB215" i="13"/>
  <c r="AD215" i="13"/>
  <c r="I215" i="13"/>
  <c r="AP214" i="13"/>
  <c r="Q214" i="13"/>
  <c r="AZ213" i="13"/>
  <c r="Y213" i="13"/>
  <c r="G213" i="13"/>
  <c r="AI212" i="13"/>
  <c r="O212" i="13"/>
  <c r="AZ211" i="13"/>
  <c r="W211" i="13"/>
  <c r="BL210" i="13"/>
  <c r="AH210" i="13"/>
  <c r="J210" i="13"/>
  <c r="AQ209" i="13"/>
  <c r="S209" i="13"/>
  <c r="BH208" i="13"/>
  <c r="AC208" i="13"/>
  <c r="K208" i="13"/>
  <c r="BA207" i="13"/>
  <c r="AH207" i="13"/>
  <c r="V207" i="13"/>
  <c r="J207" i="13"/>
  <c r="BH206" i="13"/>
  <c r="AQ206" i="13"/>
  <c r="Z206" i="13"/>
  <c r="N206" i="13"/>
  <c r="BA205" i="13"/>
  <c r="X205" i="13"/>
  <c r="L205" i="13"/>
  <c r="AY204" i="13"/>
  <c r="AH204" i="13"/>
  <c r="V204" i="13"/>
  <c r="J204" i="13"/>
  <c r="AW203" i="13"/>
  <c r="AF203" i="13"/>
  <c r="T203" i="13"/>
  <c r="H203" i="13"/>
  <c r="AU202" i="13"/>
  <c r="AD202" i="13"/>
  <c r="R202" i="13"/>
  <c r="F202" i="13"/>
  <c r="AS201" i="13"/>
  <c r="AB201" i="13"/>
  <c r="D201" i="13"/>
  <c r="AQ200" i="13"/>
  <c r="AX232" i="13"/>
  <c r="AX229" i="13"/>
  <c r="AY228" i="13"/>
  <c r="H228" i="13"/>
  <c r="N227" i="13"/>
  <c r="V225" i="13"/>
  <c r="X224" i="13"/>
  <c r="AS223" i="13"/>
  <c r="G223" i="13"/>
  <c r="S222" i="13"/>
  <c r="AT221" i="13"/>
  <c r="Q221" i="13"/>
  <c r="AY220" i="13"/>
  <c r="Y220" i="13"/>
  <c r="E220" i="13"/>
  <c r="AI219" i="13"/>
  <c r="AX218" i="13"/>
  <c r="V218" i="13"/>
  <c r="BM217" i="13"/>
  <c r="AG217" i="13"/>
  <c r="I217" i="13"/>
  <c r="AR216" i="13"/>
  <c r="S216" i="13"/>
  <c r="BA215" i="13"/>
  <c r="Z215" i="13"/>
  <c r="H215" i="13"/>
  <c r="AY213" i="13"/>
  <c r="W213" i="13"/>
  <c r="E213" i="13"/>
  <c r="AH212" i="13"/>
  <c r="L212" i="13"/>
  <c r="AX211" i="13"/>
  <c r="V211" i="13"/>
  <c r="BI210" i="13"/>
  <c r="AF210" i="13"/>
  <c r="I210" i="13"/>
  <c r="AP209" i="13"/>
  <c r="BB208" i="13"/>
  <c r="AB208" i="13"/>
  <c r="I208" i="13"/>
  <c r="AX207" i="13"/>
  <c r="AG207" i="13"/>
  <c r="U207" i="13"/>
  <c r="I207" i="13"/>
  <c r="BB206" i="13"/>
  <c r="AP206" i="13"/>
  <c r="Y206" i="13"/>
  <c r="M206" i="13"/>
  <c r="AZ205" i="13"/>
  <c r="AI205" i="13"/>
  <c r="W205" i="13"/>
  <c r="K205" i="13"/>
  <c r="AX204" i="13"/>
  <c r="AG204" i="13"/>
  <c r="U204" i="13"/>
  <c r="I204" i="13"/>
  <c r="AV203" i="13"/>
  <c r="AE203" i="13"/>
  <c r="S203" i="13"/>
  <c r="G203" i="13"/>
  <c r="AT202" i="13"/>
  <c r="AC202" i="13"/>
  <c r="Q202" i="13"/>
  <c r="E202" i="13"/>
  <c r="AR201" i="13"/>
  <c r="AA201" i="13"/>
  <c r="O201" i="13"/>
  <c r="BB200" i="13"/>
  <c r="AP200" i="13"/>
  <c r="Y200" i="13"/>
  <c r="M200" i="13"/>
  <c r="AZ199" i="13"/>
  <c r="AI199" i="13"/>
  <c r="W199" i="13"/>
  <c r="K199" i="13"/>
  <c r="AF198" i="13"/>
  <c r="T198" i="13"/>
  <c r="BK230" i="13"/>
  <c r="AW229" i="13"/>
  <c r="AQ228" i="13"/>
  <c r="BH227" i="13"/>
  <c r="L227" i="13"/>
  <c r="K226" i="13"/>
  <c r="Q225" i="13"/>
  <c r="U224" i="13"/>
  <c r="BH222" i="13"/>
  <c r="AP221" i="13"/>
  <c r="AX220" i="13"/>
  <c r="V220" i="13"/>
  <c r="D220" i="13"/>
  <c r="AH219" i="13"/>
  <c r="M219" i="13"/>
  <c r="AW218" i="13"/>
  <c r="U218" i="13"/>
  <c r="BJ217" i="13"/>
  <c r="AE217" i="13"/>
  <c r="G217" i="13"/>
  <c r="Q216" i="13"/>
  <c r="AZ215" i="13"/>
  <c r="W215" i="13"/>
  <c r="G215" i="13"/>
  <c r="AI214" i="13"/>
  <c r="N214" i="13"/>
  <c r="AX213" i="13"/>
  <c r="V213" i="13"/>
  <c r="BL212" i="13"/>
  <c r="AG212" i="13"/>
  <c r="K212" i="13"/>
  <c r="AT211" i="13"/>
  <c r="U211" i="13"/>
  <c r="BH210" i="13"/>
  <c r="AC210" i="13"/>
  <c r="H210" i="13"/>
  <c r="M209" i="13"/>
  <c r="AZ208" i="13"/>
  <c r="AA208" i="13"/>
  <c r="H208" i="13"/>
  <c r="AW207" i="13"/>
  <c r="AF207" i="13"/>
  <c r="T207" i="13"/>
  <c r="H207" i="13"/>
  <c r="BA206" i="13"/>
  <c r="X206" i="13"/>
  <c r="L206" i="13"/>
  <c r="AY205" i="13"/>
  <c r="AH205" i="13"/>
  <c r="V205" i="13"/>
  <c r="J205" i="13"/>
  <c r="AW204" i="13"/>
  <c r="AF204" i="13"/>
  <c r="T204" i="13"/>
  <c r="H204" i="13"/>
  <c r="AU203" i="13"/>
  <c r="AD203" i="13"/>
  <c r="R203" i="13"/>
  <c r="F203" i="13"/>
  <c r="AS202" i="13"/>
  <c r="AB202" i="13"/>
  <c r="D202" i="13"/>
  <c r="AQ201" i="13"/>
  <c r="Z201" i="13"/>
  <c r="N201" i="13"/>
  <c r="BA200" i="13"/>
  <c r="X200" i="13"/>
  <c r="L200" i="13"/>
  <c r="AY199" i="13"/>
  <c r="AH199" i="13"/>
  <c r="V199" i="13"/>
  <c r="J199" i="13"/>
  <c r="AE198" i="13"/>
  <c r="S198" i="13"/>
  <c r="G198" i="13"/>
  <c r="AB197" i="13"/>
  <c r="D197" i="13"/>
  <c r="Y196" i="13"/>
  <c r="M196" i="13"/>
  <c r="BA214" i="13"/>
  <c r="I214" i="13"/>
  <c r="AE213" i="13"/>
  <c r="AW212" i="13"/>
  <c r="I212" i="13"/>
  <c r="AB211" i="13"/>
  <c r="AT210" i="13"/>
  <c r="BI209" i="13"/>
  <c r="W209" i="13"/>
  <c r="AR208" i="13"/>
  <c r="D208" i="13"/>
  <c r="AP207" i="13"/>
  <c r="O207" i="13"/>
  <c r="AX206" i="13"/>
  <c r="AC206" i="13"/>
  <c r="G206" i="13"/>
  <c r="AF205" i="13"/>
  <c r="O205" i="13"/>
  <c r="AR204" i="13"/>
  <c r="Q204" i="13"/>
  <c r="AY203" i="13"/>
  <c r="X203" i="13"/>
  <c r="BA202" i="13"/>
  <c r="Z202" i="13"/>
  <c r="J202" i="13"/>
  <c r="AH201" i="13"/>
  <c r="AI215" i="13"/>
  <c r="AZ214" i="13"/>
  <c r="G214" i="13"/>
  <c r="T213" i="13"/>
  <c r="AT212" i="13"/>
  <c r="H212" i="13"/>
  <c r="Y211" i="13"/>
  <c r="AQ210" i="13"/>
  <c r="BH209" i="13"/>
  <c r="V209" i="13"/>
  <c r="AQ208" i="13"/>
  <c r="BM207" i="13"/>
  <c r="N207" i="13"/>
  <c r="AH215" i="13"/>
  <c r="AY214" i="13"/>
  <c r="F214" i="13"/>
  <c r="R213" i="13"/>
  <c r="AP212" i="13"/>
  <c r="F212" i="13"/>
  <c r="AP210" i="13"/>
  <c r="BB209" i="13"/>
  <c r="AP208" i="13"/>
  <c r="BL207" i="13"/>
  <c r="AD207" i="13"/>
  <c r="M207" i="13"/>
  <c r="AV206" i="13"/>
  <c r="AY216" i="13"/>
  <c r="U215" i="13"/>
  <c r="D214" i="13"/>
  <c r="BL211" i="13"/>
  <c r="O211" i="13"/>
  <c r="BA209" i="13"/>
  <c r="K209" i="13"/>
  <c r="BK207" i="13"/>
  <c r="AC207" i="13"/>
  <c r="L207" i="13"/>
  <c r="AU206" i="13"/>
  <c r="U206" i="13"/>
  <c r="D206" i="13"/>
  <c r="AC205" i="13"/>
  <c r="G205" i="13"/>
  <c r="N204" i="13"/>
  <c r="AQ203" i="13"/>
  <c r="AX202" i="13"/>
  <c r="W202" i="13"/>
  <c r="BA201" i="13"/>
  <c r="AE201" i="13"/>
  <c r="J201" i="13"/>
  <c r="S200" i="13"/>
  <c r="BA199" i="13"/>
  <c r="AC199" i="13"/>
  <c r="L199" i="13"/>
  <c r="Z198" i="13"/>
  <c r="I198" i="13"/>
  <c r="Y197" i="13"/>
  <c r="K197" i="13"/>
  <c r="T215" i="13"/>
  <c r="AG214" i="13"/>
  <c r="BK213" i="13"/>
  <c r="O213" i="13"/>
  <c r="AA212" i="13"/>
  <c r="BI211" i="13"/>
  <c r="L211" i="13"/>
  <c r="Y210" i="13"/>
  <c r="AZ209" i="13"/>
  <c r="J209" i="13"/>
  <c r="AI208" i="13"/>
  <c r="BJ207" i="13"/>
  <c r="AB207" i="13"/>
  <c r="F207" i="13"/>
  <c r="AA216" i="13"/>
  <c r="S215" i="13"/>
  <c r="AD214" i="13"/>
  <c r="BH213" i="13"/>
  <c r="K213" i="13"/>
  <c r="X212" i="13"/>
  <c r="BH211" i="13"/>
  <c r="K211" i="13"/>
  <c r="W210" i="13"/>
  <c r="AX209" i="13"/>
  <c r="I209" i="13"/>
  <c r="Y208" i="13"/>
  <c r="BI207" i="13"/>
  <c r="AA207" i="13"/>
  <c r="E207" i="13"/>
  <c r="AS206" i="13"/>
  <c r="S206" i="13"/>
  <c r="AV205" i="13"/>
  <c r="AA205" i="13"/>
  <c r="E205" i="13"/>
  <c r="AC204" i="13"/>
  <c r="L204" i="13"/>
  <c r="N203" i="13"/>
  <c r="AQ202" i="13"/>
  <c r="U202" i="13"/>
  <c r="AY201" i="13"/>
  <c r="X201" i="13"/>
  <c r="H201" i="13"/>
  <c r="W216" i="13"/>
  <c r="Q215" i="13"/>
  <c r="AA214" i="13"/>
  <c r="AS213" i="13"/>
  <c r="J213" i="13"/>
  <c r="W212" i="13"/>
  <c r="BB211" i="13"/>
  <c r="J211" i="13"/>
  <c r="V210" i="13"/>
  <c r="G209" i="13"/>
  <c r="W208" i="13"/>
  <c r="BH207" i="13"/>
  <c r="Z207" i="13"/>
  <c r="D207" i="13"/>
  <c r="R206" i="13"/>
  <c r="AU205" i="13"/>
  <c r="Z205" i="13"/>
  <c r="D205" i="13"/>
  <c r="AB204" i="13"/>
  <c r="F204" i="13"/>
  <c r="AI203" i="13"/>
  <c r="M203" i="13"/>
  <c r="AP202" i="13"/>
  <c r="T202" i="13"/>
  <c r="AX201" i="13"/>
  <c r="W201" i="13"/>
  <c r="G201" i="13"/>
  <c r="AF200" i="13"/>
  <c r="X214" i="13"/>
  <c r="AP213" i="13"/>
  <c r="I213" i="13"/>
  <c r="V212" i="13"/>
  <c r="AP211" i="13"/>
  <c r="I211" i="13"/>
  <c r="U210" i="13"/>
  <c r="AH209" i="13"/>
  <c r="D209" i="13"/>
  <c r="T208" i="13"/>
  <c r="AU207" i="13"/>
  <c r="Y207" i="13"/>
  <c r="BM206" i="13"/>
  <c r="AH206" i="13"/>
  <c r="Q206" i="13"/>
  <c r="AT205" i="13"/>
  <c r="T205" i="13"/>
  <c r="G216" i="13"/>
  <c r="N215" i="13"/>
  <c r="W214" i="13"/>
  <c r="BB212" i="13"/>
  <c r="U212" i="13"/>
  <c r="G211" i="13"/>
  <c r="S210" i="13"/>
  <c r="AF209" i="13"/>
  <c r="BK208" i="13"/>
  <c r="Q208" i="13"/>
  <c r="AT207" i="13"/>
  <c r="X207" i="13"/>
  <c r="BL206" i="13"/>
  <c r="AG206" i="13"/>
  <c r="AS205" i="13"/>
  <c r="S205" i="13"/>
  <c r="BA204" i="13"/>
  <c r="Z204" i="13"/>
  <c r="D204" i="13"/>
  <c r="AB203" i="13"/>
  <c r="K203" i="13"/>
  <c r="AI202" i="13"/>
  <c r="N202" i="13"/>
  <c r="AV201" i="13"/>
  <c r="U201" i="13"/>
  <c r="AY200" i="13"/>
  <c r="AD200" i="13"/>
  <c r="J200" i="13"/>
  <c r="AS199" i="13"/>
  <c r="T199" i="13"/>
  <c r="D199" i="13"/>
  <c r="Q198" i="13"/>
  <c r="AI197" i="13"/>
  <c r="T197" i="13"/>
  <c r="E197" i="13"/>
  <c r="V196" i="13"/>
  <c r="I196" i="13"/>
  <c r="AD195" i="13"/>
  <c r="R195" i="13"/>
  <c r="F195" i="13"/>
  <c r="AA194" i="13"/>
  <c r="O194" i="13"/>
  <c r="X193" i="13"/>
  <c r="L193" i="13"/>
  <c r="AG192" i="13"/>
  <c r="U192" i="13"/>
  <c r="I192" i="13"/>
  <c r="AD191" i="13"/>
  <c r="R191" i="13"/>
  <c r="F191" i="13"/>
  <c r="AA190" i="13"/>
  <c r="O190" i="13"/>
  <c r="X189" i="13"/>
  <c r="L189" i="13"/>
  <c r="AG188" i="13"/>
  <c r="U188" i="13"/>
  <c r="I188" i="13"/>
  <c r="AD187" i="13"/>
  <c r="R187" i="13"/>
  <c r="F187" i="13"/>
  <c r="AA186" i="13"/>
  <c r="O186" i="13"/>
  <c r="X185" i="13"/>
  <c r="L185" i="13"/>
  <c r="AG184" i="13"/>
  <c r="U184" i="13"/>
  <c r="I184" i="13"/>
  <c r="AD183" i="13"/>
  <c r="R183" i="13"/>
  <c r="F183" i="13"/>
  <c r="AA182" i="13"/>
  <c r="O182" i="13"/>
  <c r="X181" i="13"/>
  <c r="L181" i="13"/>
  <c r="AG180" i="13"/>
  <c r="U180" i="13"/>
  <c r="I180" i="13"/>
  <c r="AD179" i="13"/>
  <c r="R179" i="13"/>
  <c r="F179" i="13"/>
  <c r="AA178" i="13"/>
  <c r="O178" i="13"/>
  <c r="X177" i="13"/>
  <c r="L177" i="13"/>
  <c r="AG176" i="13"/>
  <c r="U176" i="13"/>
  <c r="I176" i="13"/>
  <c r="AD175" i="13"/>
  <c r="R175" i="13"/>
  <c r="F175" i="13"/>
  <c r="AA174" i="13"/>
  <c r="F216" i="13"/>
  <c r="BK214" i="13"/>
  <c r="V214" i="13"/>
  <c r="AI213" i="13"/>
  <c r="BA212" i="13"/>
  <c r="T212" i="13"/>
  <c r="AI211" i="13"/>
  <c r="AZ210" i="13"/>
  <c r="AC209" i="13"/>
  <c r="BJ208" i="13"/>
  <c r="AS207" i="13"/>
  <c r="R207" i="13"/>
  <c r="BK206" i="13"/>
  <c r="AF206" i="13"/>
  <c r="J206" i="13"/>
  <c r="AR205" i="13"/>
  <c r="R205" i="13"/>
  <c r="AU204" i="13"/>
  <c r="Y204" i="13"/>
  <c r="BB203" i="13"/>
  <c r="AA203" i="13"/>
  <c r="J203" i="13"/>
  <c r="AH202" i="13"/>
  <c r="M202" i="13"/>
  <c r="AU201" i="13"/>
  <c r="AX215" i="13"/>
  <c r="BH214" i="13"/>
  <c r="AH213" i="13"/>
  <c r="AZ212" i="13"/>
  <c r="R212" i="13"/>
  <c r="AH211" i="13"/>
  <c r="AY210" i="13"/>
  <c r="M210" i="13"/>
  <c r="Y209" i="13"/>
  <c r="AT208" i="13"/>
  <c r="O208" i="13"/>
  <c r="AR207" i="13"/>
  <c r="Q207" i="13"/>
  <c r="BJ206" i="13"/>
  <c r="AE206" i="13"/>
  <c r="I206" i="13"/>
  <c r="AQ205" i="13"/>
  <c r="Q205" i="13"/>
  <c r="AT204" i="13"/>
  <c r="X204" i="13"/>
  <c r="BA203" i="13"/>
  <c r="Z203" i="13"/>
  <c r="D203" i="13"/>
  <c r="AG202" i="13"/>
  <c r="L202" i="13"/>
  <c r="S201" i="13"/>
  <c r="AW200" i="13"/>
  <c r="AB200" i="13"/>
  <c r="H200" i="13"/>
  <c r="AQ199" i="13"/>
  <c r="R199" i="13"/>
  <c r="AI198" i="13"/>
  <c r="O198" i="13"/>
  <c r="AG197" i="13"/>
  <c r="Q197" i="13"/>
  <c r="AI196" i="13"/>
  <c r="T196" i="13"/>
  <c r="G196" i="13"/>
  <c r="AB195" i="13"/>
  <c r="D195" i="13"/>
  <c r="Y194" i="13"/>
  <c r="M194" i="13"/>
  <c r="AH193" i="13"/>
  <c r="V193" i="13"/>
  <c r="J193" i="13"/>
  <c r="AE192" i="13"/>
  <c r="S192" i="13"/>
  <c r="G192" i="13"/>
  <c r="AB191" i="13"/>
  <c r="D191" i="13"/>
  <c r="Y190" i="13"/>
  <c r="M190" i="13"/>
  <c r="AH189" i="13"/>
  <c r="V189" i="13"/>
  <c r="J189" i="13"/>
  <c r="AE188" i="13"/>
  <c r="S188" i="13"/>
  <c r="G188" i="13"/>
  <c r="AB187" i="13"/>
  <c r="D187" i="13"/>
  <c r="Y186" i="13"/>
  <c r="M186" i="13"/>
  <c r="AH185" i="13"/>
  <c r="V185" i="13"/>
  <c r="J185" i="13"/>
  <c r="AE184" i="13"/>
  <c r="S184" i="13"/>
  <c r="G184" i="13"/>
  <c r="AB183" i="13"/>
  <c r="D183" i="13"/>
  <c r="Y182" i="13"/>
  <c r="M182" i="13"/>
  <c r="AH181" i="13"/>
  <c r="V181" i="13"/>
  <c r="J181" i="13"/>
  <c r="AE180" i="13"/>
  <c r="S180" i="13"/>
  <c r="G180" i="13"/>
  <c r="AB179" i="13"/>
  <c r="D179" i="13"/>
  <c r="Y178" i="13"/>
  <c r="M178" i="13"/>
  <c r="AV215" i="13"/>
  <c r="BB214" i="13"/>
  <c r="J214" i="13"/>
  <c r="AG213" i="13"/>
  <c r="AY212" i="13"/>
  <c r="AE211" i="13"/>
  <c r="AW210" i="13"/>
  <c r="BM209" i="13"/>
  <c r="X209" i="13"/>
  <c r="AS208" i="13"/>
  <c r="N208" i="13"/>
  <c r="AQ207" i="13"/>
  <c r="AY206" i="13"/>
  <c r="AD206" i="13"/>
  <c r="H206" i="13"/>
  <c r="AS204" i="13"/>
  <c r="R204" i="13"/>
  <c r="AZ203" i="13"/>
  <c r="Y203" i="13"/>
  <c r="BB202" i="13"/>
  <c r="AF202" i="13"/>
  <c r="K202" i="13"/>
  <c r="AI201" i="13"/>
  <c r="R201" i="13"/>
  <c r="AV200" i="13"/>
  <c r="Z200" i="13"/>
  <c r="G200" i="13"/>
  <c r="Q199" i="13"/>
  <c r="AG198" i="13"/>
  <c r="N198" i="13"/>
  <c r="AF197" i="13"/>
  <c r="AH196" i="13"/>
  <c r="S196" i="13"/>
  <c r="F196" i="13"/>
  <c r="AA195" i="13"/>
  <c r="O195" i="13"/>
  <c r="X194" i="13"/>
  <c r="L194" i="13"/>
  <c r="AG193" i="13"/>
  <c r="U193" i="13"/>
  <c r="I193" i="13"/>
  <c r="AD192" i="13"/>
  <c r="R192" i="13"/>
  <c r="F192" i="13"/>
  <c r="AA191" i="13"/>
  <c r="O191" i="13"/>
  <c r="X190" i="13"/>
  <c r="L190" i="13"/>
  <c r="AG189" i="13"/>
  <c r="U189" i="13"/>
  <c r="I189" i="13"/>
  <c r="AD188" i="13"/>
  <c r="R188" i="13"/>
  <c r="F188" i="13"/>
  <c r="AA187" i="13"/>
  <c r="O187" i="13"/>
  <c r="X186" i="13"/>
  <c r="L186" i="13"/>
  <c r="AG185" i="13"/>
  <c r="U185" i="13"/>
  <c r="I185" i="13"/>
  <c r="AD184" i="13"/>
  <c r="R184" i="13"/>
  <c r="F184" i="13"/>
  <c r="AA183" i="13"/>
  <c r="O183" i="13"/>
  <c r="X182" i="13"/>
  <c r="L182" i="13"/>
  <c r="AG181" i="13"/>
  <c r="U181" i="13"/>
  <c r="I181" i="13"/>
  <c r="AD180" i="13"/>
  <c r="R180" i="13"/>
  <c r="F180" i="13"/>
  <c r="AA179" i="13"/>
  <c r="O179" i="13"/>
  <c r="X178" i="13"/>
  <c r="L178" i="13"/>
  <c r="AG177" i="13"/>
  <c r="U177" i="13"/>
  <c r="I177" i="13"/>
  <c r="AD176" i="13"/>
  <c r="R176" i="13"/>
  <c r="F176" i="13"/>
  <c r="AA175" i="13"/>
  <c r="M204" i="13"/>
  <c r="AZ202" i="13"/>
  <c r="AU200" i="13"/>
  <c r="Q200" i="13"/>
  <c r="H199" i="13"/>
  <c r="X197" i="13"/>
  <c r="F197" i="13"/>
  <c r="Q196" i="13"/>
  <c r="AH195" i="13"/>
  <c r="S195" i="13"/>
  <c r="U194" i="13"/>
  <c r="F194" i="13"/>
  <c r="Y193" i="13"/>
  <c r="G193" i="13"/>
  <c r="Y192" i="13"/>
  <c r="J192" i="13"/>
  <c r="Y191" i="13"/>
  <c r="K191" i="13"/>
  <c r="AD190" i="13"/>
  <c r="N190" i="13"/>
  <c r="AE189" i="13"/>
  <c r="AH188" i="13"/>
  <c r="AH187" i="13"/>
  <c r="S187" i="13"/>
  <c r="U186" i="13"/>
  <c r="F186" i="13"/>
  <c r="Y185" i="13"/>
  <c r="G185" i="13"/>
  <c r="Y184" i="13"/>
  <c r="J184" i="13"/>
  <c r="Y183" i="13"/>
  <c r="K183" i="13"/>
  <c r="AD182" i="13"/>
  <c r="N182" i="13"/>
  <c r="AE181" i="13"/>
  <c r="AH180" i="13"/>
  <c r="AH179" i="13"/>
  <c r="S179" i="13"/>
  <c r="U178" i="13"/>
  <c r="F178" i="13"/>
  <c r="Z177" i="13"/>
  <c r="K177" i="13"/>
  <c r="AC176" i="13"/>
  <c r="O176" i="13"/>
  <c r="AH175" i="13"/>
  <c r="T175" i="13"/>
  <c r="G175" i="13"/>
  <c r="Z174" i="13"/>
  <c r="N174" i="13"/>
  <c r="AI173" i="13"/>
  <c r="W173" i="13"/>
  <c r="K173" i="13"/>
  <c r="AF172" i="13"/>
  <c r="T172" i="13"/>
  <c r="H172" i="13"/>
  <c r="AC171" i="13"/>
  <c r="Q171" i="13"/>
  <c r="E171" i="13"/>
  <c r="Z170" i="13"/>
  <c r="N170" i="13"/>
  <c r="AI169" i="13"/>
  <c r="W169" i="13"/>
  <c r="K169" i="13"/>
  <c r="AF168" i="13"/>
  <c r="T168" i="13"/>
  <c r="H168" i="13"/>
  <c r="AC167" i="13"/>
  <c r="Q167" i="13"/>
  <c r="E167" i="13"/>
  <c r="Z166" i="13"/>
  <c r="N166" i="13"/>
  <c r="AI165" i="13"/>
  <c r="W165" i="13"/>
  <c r="K165" i="13"/>
  <c r="AF164" i="13"/>
  <c r="T164" i="13"/>
  <c r="H164" i="13"/>
  <c r="AC163" i="13"/>
  <c r="Q163" i="13"/>
  <c r="E163" i="13"/>
  <c r="Z162" i="13"/>
  <c r="N162" i="13"/>
  <c r="AI161" i="13"/>
  <c r="W161" i="13"/>
  <c r="K161" i="13"/>
  <c r="T206" i="13"/>
  <c r="F205" i="13"/>
  <c r="AR203" i="13"/>
  <c r="AD201" i="13"/>
  <c r="I200" i="13"/>
  <c r="AD199" i="13"/>
  <c r="E199" i="13"/>
  <c r="K198" i="13"/>
  <c r="U197" i="13"/>
  <c r="AF196" i="13"/>
  <c r="N196" i="13"/>
  <c r="AE195" i="13"/>
  <c r="N195" i="13"/>
  <c r="AG194" i="13"/>
  <c r="AW205" i="13"/>
  <c r="W203" i="13"/>
  <c r="L201" i="13"/>
  <c r="AC200" i="13"/>
  <c r="AW199" i="13"/>
  <c r="X199" i="13"/>
  <c r="AA198" i="13"/>
  <c r="M197" i="13"/>
  <c r="AA196" i="13"/>
  <c r="H196" i="13"/>
  <c r="X195" i="13"/>
  <c r="J195" i="13"/>
  <c r="AC194" i="13"/>
  <c r="K194" i="13"/>
  <c r="AD193" i="13"/>
  <c r="O193" i="13"/>
  <c r="AF192" i="13"/>
  <c r="O192" i="13"/>
  <c r="AG191" i="13"/>
  <c r="Q191" i="13"/>
  <c r="AI190" i="13"/>
  <c r="T190" i="13"/>
  <c r="E190" i="13"/>
  <c r="W189" i="13"/>
  <c r="F189" i="13"/>
  <c r="X188" i="13"/>
  <c r="H188" i="13"/>
  <c r="X187" i="13"/>
  <c r="J187" i="13"/>
  <c r="AC186" i="13"/>
  <c r="K186" i="13"/>
  <c r="AD185" i="13"/>
  <c r="O185" i="13"/>
  <c r="AF184" i="13"/>
  <c r="O184" i="13"/>
  <c r="AG183" i="13"/>
  <c r="Q183" i="13"/>
  <c r="AI182" i="13"/>
  <c r="T182" i="13"/>
  <c r="E182" i="13"/>
  <c r="W181" i="13"/>
  <c r="F181" i="13"/>
  <c r="X180" i="13"/>
  <c r="H180" i="13"/>
  <c r="X179" i="13"/>
  <c r="J179" i="13"/>
  <c r="AC178" i="13"/>
  <c r="K178" i="13"/>
  <c r="AE177" i="13"/>
  <c r="Q177" i="13"/>
  <c r="V176" i="13"/>
  <c r="G176" i="13"/>
  <c r="Y175" i="13"/>
  <c r="L175" i="13"/>
  <c r="AF174" i="13"/>
  <c r="S174" i="13"/>
  <c r="G174" i="13"/>
  <c r="AB173" i="13"/>
  <c r="D173" i="13"/>
  <c r="Y172" i="13"/>
  <c r="M172" i="13"/>
  <c r="AH171" i="13"/>
  <c r="V171" i="13"/>
  <c r="J171" i="13"/>
  <c r="AE170" i="13"/>
  <c r="S170" i="13"/>
  <c r="G170" i="13"/>
  <c r="AB169" i="13"/>
  <c r="D169" i="13"/>
  <c r="Y168" i="13"/>
  <c r="M168" i="13"/>
  <c r="AH167" i="13"/>
  <c r="V167" i="13"/>
  <c r="J167" i="13"/>
  <c r="AE166" i="13"/>
  <c r="S166" i="13"/>
  <c r="G166" i="13"/>
  <c r="AB165" i="13"/>
  <c r="D165" i="13"/>
  <c r="Y164" i="13"/>
  <c r="M164" i="13"/>
  <c r="AH163" i="13"/>
  <c r="V163" i="13"/>
  <c r="J163" i="13"/>
  <c r="AE162" i="13"/>
  <c r="S162" i="13"/>
  <c r="G162" i="13"/>
  <c r="AB161" i="13"/>
  <c r="D161" i="13"/>
  <c r="Y160" i="13"/>
  <c r="M160" i="13"/>
  <c r="AE205" i="13"/>
  <c r="AA204" i="13"/>
  <c r="H202" i="13"/>
  <c r="I201" i="13"/>
  <c r="U200" i="13"/>
  <c r="AU199" i="13"/>
  <c r="X198" i="13"/>
  <c r="AD197" i="13"/>
  <c r="J197" i="13"/>
  <c r="W196" i="13"/>
  <c r="D196" i="13"/>
  <c r="V195" i="13"/>
  <c r="H195" i="13"/>
  <c r="Z194" i="13"/>
  <c r="I194" i="13"/>
  <c r="AB193" i="13"/>
  <c r="M193" i="13"/>
  <c r="AB192" i="13"/>
  <c r="M192" i="13"/>
  <c r="AE191" i="13"/>
  <c r="N191" i="13"/>
  <c r="AG190" i="13"/>
  <c r="R190" i="13"/>
  <c r="S189" i="13"/>
  <c r="D189" i="13"/>
  <c r="V188" i="13"/>
  <c r="D188" i="13"/>
  <c r="V187" i="13"/>
  <c r="H187" i="13"/>
  <c r="Z186" i="13"/>
  <c r="I186" i="13"/>
  <c r="AB185" i="13"/>
  <c r="M185" i="13"/>
  <c r="AB184" i="13"/>
  <c r="M184" i="13"/>
  <c r="AE183" i="13"/>
  <c r="N183" i="13"/>
  <c r="AG182" i="13"/>
  <c r="R182" i="13"/>
  <c r="S181" i="13"/>
  <c r="D181" i="13"/>
  <c r="V180" i="13"/>
  <c r="D180" i="13"/>
  <c r="V179" i="13"/>
  <c r="H179" i="13"/>
  <c r="Z178" i="13"/>
  <c r="I178" i="13"/>
  <c r="AC177" i="13"/>
  <c r="O177" i="13"/>
  <c r="AH176" i="13"/>
  <c r="S176" i="13"/>
  <c r="D176" i="13"/>
  <c r="W175" i="13"/>
  <c r="J175" i="13"/>
  <c r="AD174" i="13"/>
  <c r="Q174" i="13"/>
  <c r="E174" i="13"/>
  <c r="Z173" i="13"/>
  <c r="N173" i="13"/>
  <c r="AW206" i="13"/>
  <c r="AD205" i="13"/>
  <c r="O203" i="13"/>
  <c r="AZ201" i="13"/>
  <c r="F201" i="13"/>
  <c r="T200" i="13"/>
  <c r="AT199" i="13"/>
  <c r="O199" i="13"/>
  <c r="W198" i="13"/>
  <c r="AC197" i="13"/>
  <c r="I197" i="13"/>
  <c r="U196" i="13"/>
  <c r="U195" i="13"/>
  <c r="G195" i="13"/>
  <c r="W194" i="13"/>
  <c r="H194" i="13"/>
  <c r="AA193" i="13"/>
  <c r="K193" i="13"/>
  <c r="AA192" i="13"/>
  <c r="L192" i="13"/>
  <c r="AC191" i="13"/>
  <c r="M191" i="13"/>
  <c r="AF190" i="13"/>
  <c r="Q190" i="13"/>
  <c r="AI189" i="13"/>
  <c r="R189" i="13"/>
  <c r="T188" i="13"/>
  <c r="U187" i="13"/>
  <c r="G187" i="13"/>
  <c r="W186" i="13"/>
  <c r="H186" i="13"/>
  <c r="AA185" i="13"/>
  <c r="K185" i="13"/>
  <c r="AA184" i="13"/>
  <c r="L184" i="13"/>
  <c r="AC183" i="13"/>
  <c r="M183" i="13"/>
  <c r="AF182" i="13"/>
  <c r="Q182" i="13"/>
  <c r="AI181" i="13"/>
  <c r="R181" i="13"/>
  <c r="T180" i="13"/>
  <c r="U179" i="13"/>
  <c r="G179" i="13"/>
  <c r="W178" i="13"/>
  <c r="H178" i="13"/>
  <c r="AB177" i="13"/>
  <c r="N177" i="13"/>
  <c r="AF176" i="13"/>
  <c r="Q176" i="13"/>
  <c r="V175" i="13"/>
  <c r="I175" i="13"/>
  <c r="AC174" i="13"/>
  <c r="D174" i="13"/>
  <c r="Y173" i="13"/>
  <c r="M173" i="13"/>
  <c r="AH172" i="13"/>
  <c r="V172" i="13"/>
  <c r="J172" i="13"/>
  <c r="AE171" i="13"/>
  <c r="S171" i="13"/>
  <c r="G171" i="13"/>
  <c r="AB170" i="13"/>
  <c r="D170" i="13"/>
  <c r="Y169" i="13"/>
  <c r="M169" i="13"/>
  <c r="AH168" i="13"/>
  <c r="V168" i="13"/>
  <c r="J168" i="13"/>
  <c r="AE167" i="13"/>
  <c r="S167" i="13"/>
  <c r="G167" i="13"/>
  <c r="AB166" i="13"/>
  <c r="D166" i="13"/>
  <c r="Y165" i="13"/>
  <c r="M165" i="13"/>
  <c r="AH164" i="13"/>
  <c r="V164" i="13"/>
  <c r="J164" i="13"/>
  <c r="AE163" i="13"/>
  <c r="S163" i="13"/>
  <c r="G163" i="13"/>
  <c r="AB162" i="13"/>
  <c r="D162" i="13"/>
  <c r="Y161" i="13"/>
  <c r="M161" i="13"/>
  <c r="AH160" i="13"/>
  <c r="V160" i="13"/>
  <c r="AQ204" i="13"/>
  <c r="AG201" i="13"/>
  <c r="AE200" i="13"/>
  <c r="AE199" i="13"/>
  <c r="Y198" i="13"/>
  <c r="V197" i="13"/>
  <c r="R196" i="13"/>
  <c r="Z195" i="13"/>
  <c r="AI194" i="13"/>
  <c r="N194" i="13"/>
  <c r="T193" i="13"/>
  <c r="AH192" i="13"/>
  <c r="E192" i="13"/>
  <c r="S191" i="13"/>
  <c r="AB190" i="13"/>
  <c r="F190" i="13"/>
  <c r="AB188" i="13"/>
  <c r="J188" i="13"/>
  <c r="Q187" i="13"/>
  <c r="AF186" i="13"/>
  <c r="G186" i="13"/>
  <c r="R185" i="13"/>
  <c r="Z184" i="13"/>
  <c r="L183" i="13"/>
  <c r="W182" i="13"/>
  <c r="N181" i="13"/>
  <c r="Z180" i="13"/>
  <c r="N179" i="13"/>
  <c r="AD178" i="13"/>
  <c r="D178" i="13"/>
  <c r="R177" i="13"/>
  <c r="AB176" i="13"/>
  <c r="J176" i="13"/>
  <c r="U175" i="13"/>
  <c r="AI174" i="13"/>
  <c r="AF173" i="13"/>
  <c r="AE172" i="13"/>
  <c r="AG171" i="13"/>
  <c r="AH170" i="13"/>
  <c r="R170" i="13"/>
  <c r="T169" i="13"/>
  <c r="F169" i="13"/>
  <c r="W168" i="13"/>
  <c r="F168" i="13"/>
  <c r="X167" i="13"/>
  <c r="H167" i="13"/>
  <c r="X166" i="13"/>
  <c r="J166" i="13"/>
  <c r="AA165" i="13"/>
  <c r="L165" i="13"/>
  <c r="AC164" i="13"/>
  <c r="N164" i="13"/>
  <c r="AD163" i="13"/>
  <c r="N163" i="13"/>
  <c r="AF162" i="13"/>
  <c r="AG161" i="13"/>
  <c r="R161" i="13"/>
  <c r="U160" i="13"/>
  <c r="H160" i="13"/>
  <c r="AC159" i="13"/>
  <c r="Q159" i="13"/>
  <c r="E159" i="13"/>
  <c r="Z158" i="13"/>
  <c r="N158" i="13"/>
  <c r="AI157" i="13"/>
  <c r="W157" i="13"/>
  <c r="K157" i="13"/>
  <c r="AF156" i="13"/>
  <c r="T156" i="13"/>
  <c r="H156" i="13"/>
  <c r="AC155" i="13"/>
  <c r="Q155" i="13"/>
  <c r="E155" i="13"/>
  <c r="Z154" i="13"/>
  <c r="N154" i="13"/>
  <c r="AI153" i="13"/>
  <c r="W153" i="13"/>
  <c r="K153" i="13"/>
  <c r="AF152" i="13"/>
  <c r="T152" i="13"/>
  <c r="H152" i="13"/>
  <c r="AC151" i="13"/>
  <c r="Q151" i="13"/>
  <c r="E151" i="13"/>
  <c r="AA150" i="13"/>
  <c r="AP203" i="13"/>
  <c r="AS200" i="13"/>
  <c r="AV199" i="13"/>
  <c r="F199" i="13"/>
  <c r="AE196" i="13"/>
  <c r="AI195" i="13"/>
  <c r="K195" i="13"/>
  <c r="S194" i="13"/>
  <c r="AE193" i="13"/>
  <c r="E193" i="13"/>
  <c r="W191" i="13"/>
  <c r="J190" i="13"/>
  <c r="Z189" i="13"/>
  <c r="N188" i="13"/>
  <c r="Z187" i="13"/>
  <c r="Q186" i="13"/>
  <c r="Z185" i="13"/>
  <c r="K184" i="13"/>
  <c r="U183" i="13"/>
  <c r="AE182" i="13"/>
  <c r="H182" i="13"/>
  <c r="T181" i="13"/>
  <c r="AF180" i="13"/>
  <c r="L180" i="13"/>
  <c r="W179" i="13"/>
  <c r="AH178" i="13"/>
  <c r="N178" i="13"/>
  <c r="W177" i="13"/>
  <c r="D177" i="13"/>
  <c r="N176" i="13"/>
  <c r="AC175" i="13"/>
  <c r="H175" i="13"/>
  <c r="V174" i="13"/>
  <c r="F174" i="13"/>
  <c r="T173" i="13"/>
  <c r="E173" i="13"/>
  <c r="U172" i="13"/>
  <c r="E172" i="13"/>
  <c r="W171" i="13"/>
  <c r="F171" i="13"/>
  <c r="W170" i="13"/>
  <c r="I170" i="13"/>
  <c r="Z169" i="13"/>
  <c r="J169" i="13"/>
  <c r="AB168" i="13"/>
  <c r="L168" i="13"/>
  <c r="AB167" i="13"/>
  <c r="M167" i="13"/>
  <c r="AD166" i="13"/>
  <c r="O166" i="13"/>
  <c r="AF165" i="13"/>
  <c r="Q165" i="13"/>
  <c r="AI164" i="13"/>
  <c r="R164" i="13"/>
  <c r="T163" i="13"/>
  <c r="U162" i="13"/>
  <c r="F162" i="13"/>
  <c r="V161" i="13"/>
  <c r="H161" i="13"/>
  <c r="AA160" i="13"/>
  <c r="L160" i="13"/>
  <c r="AG159" i="13"/>
  <c r="U159" i="13"/>
  <c r="I159" i="13"/>
  <c r="AD158" i="13"/>
  <c r="R158" i="13"/>
  <c r="F158" i="13"/>
  <c r="AA157" i="13"/>
  <c r="O157" i="13"/>
  <c r="X156" i="13"/>
  <c r="L156" i="13"/>
  <c r="AG155" i="13"/>
  <c r="U155" i="13"/>
  <c r="I155" i="13"/>
  <c r="AD154" i="13"/>
  <c r="R154" i="13"/>
  <c r="F154" i="13"/>
  <c r="AA153" i="13"/>
  <c r="O153" i="13"/>
  <c r="X152" i="13"/>
  <c r="L152" i="13"/>
  <c r="AG151" i="13"/>
  <c r="U151" i="13"/>
  <c r="N205" i="13"/>
  <c r="I202" i="13"/>
  <c r="AR199" i="13"/>
  <c r="AH197" i="13"/>
  <c r="AD196" i="13"/>
  <c r="AG195" i="13"/>
  <c r="I195" i="13"/>
  <c r="R194" i="13"/>
  <c r="AC193" i="13"/>
  <c r="D193" i="13"/>
  <c r="N192" i="13"/>
  <c r="V191" i="13"/>
  <c r="AH190" i="13"/>
  <c r="I190" i="13"/>
  <c r="Y189" i="13"/>
  <c r="AI188" i="13"/>
  <c r="M188" i="13"/>
  <c r="Y187" i="13"/>
  <c r="AI186" i="13"/>
  <c r="W185" i="13"/>
  <c r="AI184" i="13"/>
  <c r="H184" i="13"/>
  <c r="T183" i="13"/>
  <c r="AC182" i="13"/>
  <c r="G182" i="13"/>
  <c r="Q181" i="13"/>
  <c r="AC180" i="13"/>
  <c r="K180" i="13"/>
  <c r="T179" i="13"/>
  <c r="AG178" i="13"/>
  <c r="J178" i="13"/>
  <c r="V177" i="13"/>
  <c r="M176" i="13"/>
  <c r="AB175" i="13"/>
  <c r="E175" i="13"/>
  <c r="U174" i="13"/>
  <c r="S173" i="13"/>
  <c r="S172" i="13"/>
  <c r="D172" i="13"/>
  <c r="U171" i="13"/>
  <c r="D171" i="13"/>
  <c r="V170" i="13"/>
  <c r="H170" i="13"/>
  <c r="X169" i="13"/>
  <c r="I169" i="13"/>
  <c r="AA168" i="13"/>
  <c r="K168" i="13"/>
  <c r="AA167" i="13"/>
  <c r="L167" i="13"/>
  <c r="AC166" i="13"/>
  <c r="M166" i="13"/>
  <c r="AE165" i="13"/>
  <c r="AG164" i="13"/>
  <c r="Q164" i="13"/>
  <c r="AI163" i="13"/>
  <c r="R163" i="13"/>
  <c r="AI162" i="13"/>
  <c r="T162" i="13"/>
  <c r="E162" i="13"/>
  <c r="U161" i="13"/>
  <c r="G161" i="13"/>
  <c r="Z160" i="13"/>
  <c r="K160" i="13"/>
  <c r="AF159" i="13"/>
  <c r="T159" i="13"/>
  <c r="H159" i="13"/>
  <c r="AC158" i="13"/>
  <c r="Q158" i="13"/>
  <c r="H205" i="13"/>
  <c r="AH203" i="13"/>
  <c r="AW201" i="13"/>
  <c r="AH200" i="13"/>
  <c r="AC198" i="13"/>
  <c r="Z197" i="13"/>
  <c r="AC196" i="13"/>
  <c r="AF195" i="13"/>
  <c r="E195" i="13"/>
  <c r="Q194" i="13"/>
  <c r="Z193" i="13"/>
  <c r="K192" i="13"/>
  <c r="U191" i="13"/>
  <c r="AE190" i="13"/>
  <c r="H190" i="13"/>
  <c r="T189" i="13"/>
  <c r="AF188" i="13"/>
  <c r="L188" i="13"/>
  <c r="W187" i="13"/>
  <c r="AH186" i="13"/>
  <c r="N186" i="13"/>
  <c r="T185" i="13"/>
  <c r="AH184" i="13"/>
  <c r="E184" i="13"/>
  <c r="S183" i="13"/>
  <c r="AB182" i="13"/>
  <c r="F182" i="13"/>
  <c r="AB180" i="13"/>
  <c r="J180" i="13"/>
  <c r="Q179" i="13"/>
  <c r="AF178" i="13"/>
  <c r="G178" i="13"/>
  <c r="T177" i="13"/>
  <c r="AI176" i="13"/>
  <c r="L176" i="13"/>
  <c r="Z175" i="13"/>
  <c r="D175" i="13"/>
  <c r="T174" i="13"/>
  <c r="AH173" i="13"/>
  <c r="R173" i="13"/>
  <c r="AI172" i="13"/>
  <c r="R172" i="13"/>
  <c r="AT206" i="13"/>
  <c r="BB204" i="13"/>
  <c r="V203" i="13"/>
  <c r="AG200" i="13"/>
  <c r="AF199" i="13"/>
  <c r="AB198" i="13"/>
  <c r="W197" i="13"/>
  <c r="Z196" i="13"/>
  <c r="AC195" i="13"/>
  <c r="W193" i="13"/>
  <c r="AI192" i="13"/>
  <c r="H192" i="13"/>
  <c r="T191" i="13"/>
  <c r="AC190" i="13"/>
  <c r="G190" i="13"/>
  <c r="Q189" i="13"/>
  <c r="AC188" i="13"/>
  <c r="K188" i="13"/>
  <c r="T187" i="13"/>
  <c r="AG186" i="13"/>
  <c r="J186" i="13"/>
  <c r="S185" i="13"/>
  <c r="AC184" i="13"/>
  <c r="D184" i="13"/>
  <c r="Z182" i="13"/>
  <c r="D182" i="13"/>
  <c r="O181" i="13"/>
  <c r="AA180" i="13"/>
  <c r="E180" i="13"/>
  <c r="AE178" i="13"/>
  <c r="E178" i="13"/>
  <c r="S177" i="13"/>
  <c r="AE176" i="13"/>
  <c r="K176" i="13"/>
  <c r="X175" i="13"/>
  <c r="R174" i="13"/>
  <c r="AG173" i="13"/>
  <c r="Q173" i="13"/>
  <c r="AG172" i="13"/>
  <c r="Q172" i="13"/>
  <c r="AI171" i="13"/>
  <c r="R171" i="13"/>
  <c r="AI170" i="13"/>
  <c r="T170" i="13"/>
  <c r="E170" i="13"/>
  <c r="U169" i="13"/>
  <c r="G169" i="13"/>
  <c r="X168" i="13"/>
  <c r="G168" i="13"/>
  <c r="Y167" i="13"/>
  <c r="I167" i="13"/>
  <c r="Y166" i="13"/>
  <c r="K166" i="13"/>
  <c r="AC165" i="13"/>
  <c r="N165" i="13"/>
  <c r="AD164" i="13"/>
  <c r="O164" i="13"/>
  <c r="AF163" i="13"/>
  <c r="O163" i="13"/>
  <c r="AG162" i="13"/>
  <c r="Q162" i="13"/>
  <c r="AH161" i="13"/>
  <c r="S161" i="13"/>
  <c r="E161" i="13"/>
  <c r="W160" i="13"/>
  <c r="I160" i="13"/>
  <c r="AD159" i="13"/>
  <c r="R159" i="13"/>
  <c r="F159" i="13"/>
  <c r="AA158" i="13"/>
  <c r="O158" i="13"/>
  <c r="X157" i="13"/>
  <c r="L157" i="13"/>
  <c r="AG156" i="13"/>
  <c r="U156" i="13"/>
  <c r="I156" i="13"/>
  <c r="AD155" i="13"/>
  <c r="R155" i="13"/>
  <c r="F155" i="13"/>
  <c r="AA154" i="13"/>
  <c r="O154" i="13"/>
  <c r="X153" i="13"/>
  <c r="L153" i="13"/>
  <c r="AG152" i="13"/>
  <c r="U152" i="13"/>
  <c r="I152" i="13"/>
  <c r="AD151" i="13"/>
  <c r="AB206" i="13"/>
  <c r="O204" i="13"/>
  <c r="G199" i="13"/>
  <c r="N197" i="13"/>
  <c r="Y195" i="13"/>
  <c r="AB194" i="13"/>
  <c r="R193" i="13"/>
  <c r="T192" i="13"/>
  <c r="J191" i="13"/>
  <c r="K190" i="13"/>
  <c r="K189" i="13"/>
  <c r="E188" i="13"/>
  <c r="I187" i="13"/>
  <c r="D186" i="13"/>
  <c r="D185" i="13"/>
  <c r="AF183" i="13"/>
  <c r="AH182" i="13"/>
  <c r="AB181" i="13"/>
  <c r="Y180" i="13"/>
  <c r="AC179" i="13"/>
  <c r="V178" i="13"/>
  <c r="Y177" i="13"/>
  <c r="X176" i="13"/>
  <c r="Q175" i="13"/>
  <c r="X174" i="13"/>
  <c r="AD173" i="13"/>
  <c r="G173" i="13"/>
  <c r="N172" i="13"/>
  <c r="Y171" i="13"/>
  <c r="AG170" i="13"/>
  <c r="L170" i="13"/>
  <c r="V169" i="13"/>
  <c r="AG168" i="13"/>
  <c r="I168" i="13"/>
  <c r="R167" i="13"/>
  <c r="AA166" i="13"/>
  <c r="E166" i="13"/>
  <c r="Z164" i="13"/>
  <c r="D164" i="13"/>
  <c r="L163" i="13"/>
  <c r="X162" i="13"/>
  <c r="N161" i="13"/>
  <c r="AB160" i="13"/>
  <c r="E160" i="13"/>
  <c r="V159" i="13"/>
  <c r="AI158" i="13"/>
  <c r="S158" i="13"/>
  <c r="AH157" i="13"/>
  <c r="S157" i="13"/>
  <c r="D157" i="13"/>
  <c r="V156" i="13"/>
  <c r="E156" i="13"/>
  <c r="W155" i="13"/>
  <c r="G155" i="13"/>
  <c r="W154" i="13"/>
  <c r="H154" i="13"/>
  <c r="Z153" i="13"/>
  <c r="I153" i="13"/>
  <c r="AB152" i="13"/>
  <c r="M152" i="13"/>
  <c r="AB151" i="13"/>
  <c r="N151" i="13"/>
  <c r="AI150" i="13"/>
  <c r="V150" i="13"/>
  <c r="J150" i="13"/>
  <c r="AD149" i="13"/>
  <c r="R149" i="13"/>
  <c r="F149" i="13"/>
  <c r="Z148" i="13"/>
  <c r="N148" i="13"/>
  <c r="AH147" i="13"/>
  <c r="V147" i="13"/>
  <c r="J147" i="13"/>
  <c r="AD146" i="13"/>
  <c r="R146" i="13"/>
  <c r="F146" i="13"/>
  <c r="Z145" i="13"/>
  <c r="N145" i="13"/>
  <c r="AH144" i="13"/>
  <c r="V144" i="13"/>
  <c r="J144" i="13"/>
  <c r="AD143" i="13"/>
  <c r="R143" i="13"/>
  <c r="F143" i="13"/>
  <c r="Z142" i="13"/>
  <c r="N142" i="13"/>
  <c r="AH141" i="13"/>
  <c r="V141" i="13"/>
  <c r="J141" i="13"/>
  <c r="AD140" i="13"/>
  <c r="R140" i="13"/>
  <c r="F140" i="13"/>
  <c r="Z139" i="13"/>
  <c r="N139" i="13"/>
  <c r="AH138" i="13"/>
  <c r="V138" i="13"/>
  <c r="J138" i="13"/>
  <c r="AD137" i="13"/>
  <c r="R137" i="13"/>
  <c r="F137" i="13"/>
  <c r="Z136" i="13"/>
  <c r="N136" i="13"/>
  <c r="V206" i="13"/>
  <c r="E204" i="13"/>
  <c r="N200" i="13"/>
  <c r="L197" i="13"/>
  <c r="W195" i="13"/>
  <c r="V194" i="13"/>
  <c r="Q193" i="13"/>
  <c r="Q192" i="13"/>
  <c r="I191" i="13"/>
  <c r="D190" i="13"/>
  <c r="H189" i="13"/>
  <c r="E187" i="13"/>
  <c r="Z183" i="13"/>
  <c r="V182" i="13"/>
  <c r="AA181" i="13"/>
  <c r="W180" i="13"/>
  <c r="Z179" i="13"/>
  <c r="T178" i="13"/>
  <c r="W176" i="13"/>
  <c r="W174" i="13"/>
  <c r="AC173" i="13"/>
  <c r="F173" i="13"/>
  <c r="L172" i="13"/>
  <c r="X171" i="13"/>
  <c r="AF170" i="13"/>
  <c r="K170" i="13"/>
  <c r="S169" i="13"/>
  <c r="AE168" i="13"/>
  <c r="E168" i="13"/>
  <c r="W166" i="13"/>
  <c r="O165" i="13"/>
  <c r="X164" i="13"/>
  <c r="AS203" i="13"/>
  <c r="AF201" i="13"/>
  <c r="F200" i="13"/>
  <c r="U198" i="13"/>
  <c r="H197" i="13"/>
  <c r="T195" i="13"/>
  <c r="T194" i="13"/>
  <c r="H191" i="13"/>
  <c r="G189" i="13"/>
  <c r="AI187" i="13"/>
  <c r="AI185" i="13"/>
  <c r="X184" i="13"/>
  <c r="X183" i="13"/>
  <c r="U182" i="13"/>
  <c r="Z181" i="13"/>
  <c r="Q180" i="13"/>
  <c r="Y179" i="13"/>
  <c r="S178" i="13"/>
  <c r="M177" i="13"/>
  <c r="T176" i="13"/>
  <c r="O175" i="13"/>
  <c r="AA173" i="13"/>
  <c r="K172" i="13"/>
  <c r="T171" i="13"/>
  <c r="AD170" i="13"/>
  <c r="J170" i="13"/>
  <c r="R169" i="13"/>
  <c r="AD168" i="13"/>
  <c r="D168" i="13"/>
  <c r="O167" i="13"/>
  <c r="V166" i="13"/>
  <c r="AH165" i="13"/>
  <c r="J165" i="13"/>
  <c r="F206" i="13"/>
  <c r="V201" i="13"/>
  <c r="E200" i="13"/>
  <c r="Q195" i="13"/>
  <c r="N193" i="13"/>
  <c r="D192" i="13"/>
  <c r="G191" i="13"/>
  <c r="AF189" i="13"/>
  <c r="E189" i="13"/>
  <c r="AG187" i="13"/>
  <c r="AE186" i="13"/>
  <c r="AF185" i="13"/>
  <c r="W184" i="13"/>
  <c r="W183" i="13"/>
  <c r="S182" i="13"/>
  <c r="Y181" i="13"/>
  <c r="R178" i="13"/>
  <c r="J177" i="13"/>
  <c r="N175" i="13"/>
  <c r="O174" i="13"/>
  <c r="X173" i="13"/>
  <c r="AD172" i="13"/>
  <c r="I172" i="13"/>
  <c r="AC170" i="13"/>
  <c r="F170" i="13"/>
  <c r="Q169" i="13"/>
  <c r="AC168" i="13"/>
  <c r="N167" i="13"/>
  <c r="U166" i="13"/>
  <c r="AG165" i="13"/>
  <c r="E206" i="13"/>
  <c r="T201" i="13"/>
  <c r="D200" i="13"/>
  <c r="M198" i="13"/>
  <c r="AG196" i="13"/>
  <c r="J194" i="13"/>
  <c r="H193" i="13"/>
  <c r="E191" i="13"/>
  <c r="AD189" i="13"/>
  <c r="AF187" i="13"/>
  <c r="AD186" i="13"/>
  <c r="AE185" i="13"/>
  <c r="V184" i="13"/>
  <c r="V183" i="13"/>
  <c r="O180" i="13"/>
  <c r="M179" i="13"/>
  <c r="Q178" i="13"/>
  <c r="H177" i="13"/>
  <c r="H176" i="13"/>
  <c r="M175" i="13"/>
  <c r="L203" i="13"/>
  <c r="L198" i="13"/>
  <c r="M195" i="13"/>
  <c r="G194" i="13"/>
  <c r="F193" i="13"/>
  <c r="AI191" i="13"/>
  <c r="AC189" i="13"/>
  <c r="AA188" i="13"/>
  <c r="AE187" i="13"/>
  <c r="AB186" i="13"/>
  <c r="AC185" i="13"/>
  <c r="T184" i="13"/>
  <c r="K182" i="13"/>
  <c r="M181" i="13"/>
  <c r="N180" i="13"/>
  <c r="L179" i="13"/>
  <c r="G177" i="13"/>
  <c r="E176" i="13"/>
  <c r="K175" i="13"/>
  <c r="L174" i="13"/>
  <c r="U173" i="13"/>
  <c r="AB172" i="13"/>
  <c r="F172" i="13"/>
  <c r="N171" i="13"/>
  <c r="Y170" i="13"/>
  <c r="AH169" i="13"/>
  <c r="O169" i="13"/>
  <c r="U168" i="13"/>
  <c r="AG167" i="13"/>
  <c r="F167" i="13"/>
  <c r="R166" i="13"/>
  <c r="Z165" i="13"/>
  <c r="G165" i="13"/>
  <c r="Z163" i="13"/>
  <c r="D163" i="13"/>
  <c r="AB205" i="13"/>
  <c r="AY202" i="13"/>
  <c r="K201" i="13"/>
  <c r="AB199" i="13"/>
  <c r="H198" i="13"/>
  <c r="O196" i="13"/>
  <c r="L195" i="13"/>
  <c r="E194" i="13"/>
  <c r="AH191" i="13"/>
  <c r="Z190" i="13"/>
  <c r="AB189" i="13"/>
  <c r="Z188" i="13"/>
  <c r="AC187" i="13"/>
  <c r="V186" i="13"/>
  <c r="Q185" i="13"/>
  <c r="Q184" i="13"/>
  <c r="J183" i="13"/>
  <c r="J182" i="13"/>
  <c r="K181" i="13"/>
  <c r="M180" i="13"/>
  <c r="K179" i="13"/>
  <c r="F177" i="13"/>
  <c r="K174" i="13"/>
  <c r="AA172" i="13"/>
  <c r="M171" i="13"/>
  <c r="X170" i="13"/>
  <c r="AG169" i="13"/>
  <c r="N169" i="13"/>
  <c r="S168" i="13"/>
  <c r="AF167" i="13"/>
  <c r="D167" i="13"/>
  <c r="Q166" i="13"/>
  <c r="AW202" i="13"/>
  <c r="AX200" i="13"/>
  <c r="AA199" i="13"/>
  <c r="E198" i="13"/>
  <c r="L196" i="13"/>
  <c r="D194" i="13"/>
  <c r="AC192" i="13"/>
  <c r="AF191" i="13"/>
  <c r="W190" i="13"/>
  <c r="AA189" i="13"/>
  <c r="Y188" i="13"/>
  <c r="T186" i="13"/>
  <c r="I183" i="13"/>
  <c r="I182" i="13"/>
  <c r="H181" i="13"/>
  <c r="I179" i="13"/>
  <c r="AI177" i="13"/>
  <c r="E177" i="13"/>
  <c r="AI175" i="13"/>
  <c r="AH174" i="13"/>
  <c r="J174" i="13"/>
  <c r="O173" i="13"/>
  <c r="Z172" i="13"/>
  <c r="AF171" i="13"/>
  <c r="L171" i="13"/>
  <c r="U170" i="13"/>
  <c r="AF169" i="13"/>
  <c r="L169" i="13"/>
  <c r="R168" i="13"/>
  <c r="AD167" i="13"/>
  <c r="V165" i="13"/>
  <c r="E165" i="13"/>
  <c r="K164" i="13"/>
  <c r="AP204" i="13"/>
  <c r="AT200" i="13"/>
  <c r="Z199" i="13"/>
  <c r="D198" i="13"/>
  <c r="K196" i="13"/>
  <c r="AH194" i="13"/>
  <c r="Z192" i="13"/>
  <c r="Z191" i="13"/>
  <c r="V190" i="13"/>
  <c r="W188" i="13"/>
  <c r="N187" i="13"/>
  <c r="S186" i="13"/>
  <c r="N185" i="13"/>
  <c r="N184" i="13"/>
  <c r="H183" i="13"/>
  <c r="G181" i="13"/>
  <c r="AI179" i="13"/>
  <c r="E179" i="13"/>
  <c r="AH177" i="13"/>
  <c r="AG175" i="13"/>
  <c r="AG174" i="13"/>
  <c r="I174" i="13"/>
  <c r="L173" i="13"/>
  <c r="X172" i="13"/>
  <c r="AD171" i="13"/>
  <c r="K171" i="13"/>
  <c r="Q170" i="13"/>
  <c r="AE169" i="13"/>
  <c r="H169" i="13"/>
  <c r="Q168" i="13"/>
  <c r="Z167" i="13"/>
  <c r="AI166" i="13"/>
  <c r="L166" i="13"/>
  <c r="U165" i="13"/>
  <c r="I164" i="13"/>
  <c r="W163" i="13"/>
  <c r="AD162" i="13"/>
  <c r="K162" i="13"/>
  <c r="T161" i="13"/>
  <c r="AF160" i="13"/>
  <c r="N160" i="13"/>
  <c r="Z159" i="13"/>
  <c r="J159" i="13"/>
  <c r="W158" i="13"/>
  <c r="G158" i="13"/>
  <c r="Y157" i="13"/>
  <c r="H157" i="13"/>
  <c r="AA156" i="13"/>
  <c r="K156" i="13"/>
  <c r="AA155" i="13"/>
  <c r="L155" i="13"/>
  <c r="AC154" i="13"/>
  <c r="L154" i="13"/>
  <c r="AE153" i="13"/>
  <c r="AH152" i="13"/>
  <c r="Q152" i="13"/>
  <c r="AI151" i="13"/>
  <c r="S151" i="13"/>
  <c r="F151" i="13"/>
  <c r="Z150" i="13"/>
  <c r="N150" i="13"/>
  <c r="AH149" i="13"/>
  <c r="V149" i="13"/>
  <c r="J149" i="13"/>
  <c r="AD148" i="13"/>
  <c r="R148" i="13"/>
  <c r="F148" i="13"/>
  <c r="Z147" i="13"/>
  <c r="N147" i="13"/>
  <c r="AH146" i="13"/>
  <c r="V146" i="13"/>
  <c r="J146" i="13"/>
  <c r="AD145" i="13"/>
  <c r="R145" i="13"/>
  <c r="F145" i="13"/>
  <c r="Z144" i="13"/>
  <c r="N144" i="13"/>
  <c r="AH143" i="13"/>
  <c r="V143" i="13"/>
  <c r="J143" i="13"/>
  <c r="AD142" i="13"/>
  <c r="R142" i="13"/>
  <c r="F142" i="13"/>
  <c r="Z141" i="13"/>
  <c r="N141" i="13"/>
  <c r="AH140" i="13"/>
  <c r="V140" i="13"/>
  <c r="J140" i="13"/>
  <c r="AD139" i="13"/>
  <c r="R139" i="13"/>
  <c r="F139" i="13"/>
  <c r="Z138" i="13"/>
  <c r="N138" i="13"/>
  <c r="Y202" i="13"/>
  <c r="S199" i="13"/>
  <c r="J196" i="13"/>
  <c r="AF194" i="13"/>
  <c r="AI193" i="13"/>
  <c r="X192" i="13"/>
  <c r="X191" i="13"/>
  <c r="U190" i="13"/>
  <c r="O189" i="13"/>
  <c r="Q188" i="13"/>
  <c r="M187" i="13"/>
  <c r="R186" i="13"/>
  <c r="H185" i="13"/>
  <c r="G183" i="13"/>
  <c r="AF181" i="13"/>
  <c r="E181" i="13"/>
  <c r="AG179" i="13"/>
  <c r="AF177" i="13"/>
  <c r="AA176" i="13"/>
  <c r="AF175" i="13"/>
  <c r="AE174" i="13"/>
  <c r="H174" i="13"/>
  <c r="J173" i="13"/>
  <c r="W172" i="13"/>
  <c r="AB171" i="13"/>
  <c r="I171" i="13"/>
  <c r="AD169" i="13"/>
  <c r="E169" i="13"/>
  <c r="W167" i="13"/>
  <c r="AH166" i="13"/>
  <c r="I166" i="13"/>
  <c r="T165" i="13"/>
  <c r="AE164" i="13"/>
  <c r="G164" i="13"/>
  <c r="U163" i="13"/>
  <c r="AC162" i="13"/>
  <c r="J162" i="13"/>
  <c r="Q161" i="13"/>
  <c r="AE160" i="13"/>
  <c r="J160" i="13"/>
  <c r="Y159" i="13"/>
  <c r="G159" i="13"/>
  <c r="V158" i="13"/>
  <c r="E158" i="13"/>
  <c r="V157" i="13"/>
  <c r="G157" i="13"/>
  <c r="Z156" i="13"/>
  <c r="J156" i="13"/>
  <c r="Z155" i="13"/>
  <c r="K155" i="13"/>
  <c r="AB154" i="13"/>
  <c r="K154" i="13"/>
  <c r="AD153" i="13"/>
  <c r="N153" i="13"/>
  <c r="AE152" i="13"/>
  <c r="AH151" i="13"/>
  <c r="R151" i="13"/>
  <c r="D151" i="13"/>
  <c r="Y150" i="13"/>
  <c r="M150" i="13"/>
  <c r="AG149" i="13"/>
  <c r="U149" i="13"/>
  <c r="I149" i="13"/>
  <c r="AC148" i="13"/>
  <c r="Q148" i="13"/>
  <c r="E148" i="13"/>
  <c r="Y147" i="13"/>
  <c r="M147" i="13"/>
  <c r="AG146" i="13"/>
  <c r="U146" i="13"/>
  <c r="I146" i="13"/>
  <c r="AC145" i="13"/>
  <c r="Q145" i="13"/>
  <c r="E145" i="13"/>
  <c r="Y144" i="13"/>
  <c r="M144" i="13"/>
  <c r="AG143" i="13"/>
  <c r="U143" i="13"/>
  <c r="I143" i="13"/>
  <c r="AC142" i="13"/>
  <c r="Q142" i="13"/>
  <c r="E142" i="13"/>
  <c r="Y141" i="13"/>
  <c r="M141" i="13"/>
  <c r="AG140" i="13"/>
  <c r="AD204" i="13"/>
  <c r="X202" i="13"/>
  <c r="V200" i="13"/>
  <c r="R197" i="13"/>
  <c r="E196" i="13"/>
  <c r="AE194" i="13"/>
  <c r="AF193" i="13"/>
  <c r="W192" i="13"/>
  <c r="S190" i="13"/>
  <c r="N189" i="13"/>
  <c r="L187" i="13"/>
  <c r="F185" i="13"/>
  <c r="AI183" i="13"/>
  <c r="E183" i="13"/>
  <c r="AD181" i="13"/>
  <c r="AF179" i="13"/>
  <c r="AI178" i="13"/>
  <c r="AD177" i="13"/>
  <c r="Z176" i="13"/>
  <c r="AE175" i="13"/>
  <c r="AB174" i="13"/>
  <c r="I173" i="13"/>
  <c r="AA171" i="13"/>
  <c r="H171" i="13"/>
  <c r="O170" i="13"/>
  <c r="AC169" i="13"/>
  <c r="O168" i="13"/>
  <c r="U167" i="13"/>
  <c r="AG166" i="13"/>
  <c r="H166" i="13"/>
  <c r="S165" i="13"/>
  <c r="AB164" i="13"/>
  <c r="F164" i="13"/>
  <c r="AA162" i="13"/>
  <c r="I162" i="13"/>
  <c r="AD160" i="13"/>
  <c r="G160" i="13"/>
  <c r="X159" i="13"/>
  <c r="D159" i="13"/>
  <c r="U158" i="13"/>
  <c r="D158" i="13"/>
  <c r="U157" i="13"/>
  <c r="F157" i="13"/>
  <c r="Y156" i="13"/>
  <c r="G156" i="13"/>
  <c r="Y155" i="13"/>
  <c r="J155" i="13"/>
  <c r="Y154" i="13"/>
  <c r="J154" i="13"/>
  <c r="AC153" i="13"/>
  <c r="M153" i="13"/>
  <c r="AD152" i="13"/>
  <c r="O152" i="13"/>
  <c r="AF151" i="13"/>
  <c r="X150" i="13"/>
  <c r="L150" i="13"/>
  <c r="AF149" i="13"/>
  <c r="T149" i="13"/>
  <c r="H149" i="13"/>
  <c r="AB148" i="13"/>
  <c r="D148" i="13"/>
  <c r="X147" i="13"/>
  <c r="L147" i="13"/>
  <c r="AF146" i="13"/>
  <c r="T146" i="13"/>
  <c r="H146" i="13"/>
  <c r="AB145" i="13"/>
  <c r="D145" i="13"/>
  <c r="X144" i="13"/>
  <c r="L144" i="13"/>
  <c r="AF143" i="13"/>
  <c r="T143" i="13"/>
  <c r="H143" i="13"/>
  <c r="V202" i="13"/>
  <c r="R200" i="13"/>
  <c r="N199" i="13"/>
  <c r="AD194" i="13"/>
  <c r="S193" i="13"/>
  <c r="V192" i="13"/>
  <c r="L191" i="13"/>
  <c r="M189" i="13"/>
  <c r="O188" i="13"/>
  <c r="K187" i="13"/>
  <c r="E186" i="13"/>
  <c r="E185" i="13"/>
  <c r="AH183" i="13"/>
  <c r="AC181" i="13"/>
  <c r="AI180" i="13"/>
  <c r="AE179" i="13"/>
  <c r="AB178" i="13"/>
  <c r="AA177" i="13"/>
  <c r="Y176" i="13"/>
  <c r="S175" i="13"/>
  <c r="Y174" i="13"/>
  <c r="AE173" i="13"/>
  <c r="H173" i="13"/>
  <c r="O172" i="13"/>
  <c r="Z171" i="13"/>
  <c r="M170" i="13"/>
  <c r="AA169" i="13"/>
  <c r="AI168" i="13"/>
  <c r="N168" i="13"/>
  <c r="T167" i="13"/>
  <c r="AF166" i="13"/>
  <c r="F166" i="13"/>
  <c r="R165" i="13"/>
  <c r="AA164" i="13"/>
  <c r="E164" i="13"/>
  <c r="M163" i="13"/>
  <c r="Y162" i="13"/>
  <c r="H162" i="13"/>
  <c r="O161" i="13"/>
  <c r="AC160" i="13"/>
  <c r="F160" i="13"/>
  <c r="W159" i="13"/>
  <c r="T158" i="13"/>
  <c r="T157" i="13"/>
  <c r="E157" i="13"/>
  <c r="W156" i="13"/>
  <c r="F156" i="13"/>
  <c r="X155" i="13"/>
  <c r="H155" i="13"/>
  <c r="X154" i="13"/>
  <c r="I154" i="13"/>
  <c r="AB153" i="13"/>
  <c r="J153" i="13"/>
  <c r="AC152" i="13"/>
  <c r="N152" i="13"/>
  <c r="AE151" i="13"/>
  <c r="O151" i="13"/>
  <c r="W150" i="13"/>
  <c r="K150" i="13"/>
  <c r="AE149" i="13"/>
  <c r="S149" i="13"/>
  <c r="G149" i="13"/>
  <c r="AA148" i="13"/>
  <c r="O148" i="13"/>
  <c r="AI147" i="13"/>
  <c r="W147" i="13"/>
  <c r="K147" i="13"/>
  <c r="AE146" i="13"/>
  <c r="S146" i="13"/>
  <c r="G146" i="13"/>
  <c r="AA145" i="13"/>
  <c r="O145" i="13"/>
  <c r="AI144" i="13"/>
  <c r="W144" i="13"/>
  <c r="K144" i="13"/>
  <c r="AE143" i="13"/>
  <c r="S143" i="13"/>
  <c r="G143" i="13"/>
  <c r="AA142" i="13"/>
  <c r="O142" i="13"/>
  <c r="AI141" i="13"/>
  <c r="W141" i="13"/>
  <c r="K141" i="13"/>
  <c r="G172" i="13"/>
  <c r="H165" i="13"/>
  <c r="Y163" i="13"/>
  <c r="Q160" i="13"/>
  <c r="O159" i="13"/>
  <c r="X158" i="13"/>
  <c r="AD157" i="13"/>
  <c r="AI156" i="13"/>
  <c r="M156" i="13"/>
  <c r="O155" i="13"/>
  <c r="T154" i="13"/>
  <c r="Y153" i="13"/>
  <c r="AI167" i="13"/>
  <c r="F165" i="13"/>
  <c r="X163" i="13"/>
  <c r="O162" i="13"/>
  <c r="L161" i="13"/>
  <c r="N159" i="13"/>
  <c r="AC157" i="13"/>
  <c r="AH156" i="13"/>
  <c r="D156" i="13"/>
  <c r="N155" i="13"/>
  <c r="S154" i="13"/>
  <c r="V153" i="13"/>
  <c r="M162" i="13"/>
  <c r="J161" i="13"/>
  <c r="O160" i="13"/>
  <c r="M159" i="13"/>
  <c r="M158" i="13"/>
  <c r="AB157" i="13"/>
  <c r="AE156" i="13"/>
  <c r="M155" i="13"/>
  <c r="Q154" i="13"/>
  <c r="U153" i="13"/>
  <c r="AI152" i="13"/>
  <c r="F152" i="13"/>
  <c r="M151" i="13"/>
  <c r="O171" i="13"/>
  <c r="K167" i="13"/>
  <c r="W164" i="13"/>
  <c r="K163" i="13"/>
  <c r="L162" i="13"/>
  <c r="I161" i="13"/>
  <c r="D160" i="13"/>
  <c r="L159" i="13"/>
  <c r="L158" i="13"/>
  <c r="Z157" i="13"/>
  <c r="AD156" i="13"/>
  <c r="AI155" i="13"/>
  <c r="D155" i="13"/>
  <c r="U164" i="13"/>
  <c r="I163" i="13"/>
  <c r="F161" i="13"/>
  <c r="K159" i="13"/>
  <c r="K158" i="13"/>
  <c r="R157" i="13"/>
  <c r="AC156" i="13"/>
  <c r="AH155" i="13"/>
  <c r="M154" i="13"/>
  <c r="S153" i="13"/>
  <c r="Z152" i="13"/>
  <c r="D152" i="13"/>
  <c r="K151" i="13"/>
  <c r="M174" i="13"/>
  <c r="AA170" i="13"/>
  <c r="T166" i="13"/>
  <c r="S164" i="13"/>
  <c r="H163" i="13"/>
  <c r="AF161" i="13"/>
  <c r="AI159" i="13"/>
  <c r="J158" i="13"/>
  <c r="Q157" i="13"/>
  <c r="AB156" i="13"/>
  <c r="AF155" i="13"/>
  <c r="AI154" i="13"/>
  <c r="G154" i="13"/>
  <c r="R153" i="13"/>
  <c r="F163" i="13"/>
  <c r="AE161" i="13"/>
  <c r="AI160" i="13"/>
  <c r="AH159" i="13"/>
  <c r="AH158" i="13"/>
  <c r="I158" i="13"/>
  <c r="S156" i="13"/>
  <c r="AE155" i="13"/>
  <c r="AH154" i="13"/>
  <c r="E154" i="13"/>
  <c r="Q153" i="13"/>
  <c r="W152" i="13"/>
  <c r="AA151" i="13"/>
  <c r="I151" i="13"/>
  <c r="U150" i="13"/>
  <c r="D150" i="13"/>
  <c r="V173" i="13"/>
  <c r="L164" i="13"/>
  <c r="AD161" i="13"/>
  <c r="AG160" i="13"/>
  <c r="AE159" i="13"/>
  <c r="AG158" i="13"/>
  <c r="H158" i="13"/>
  <c r="N157" i="13"/>
  <c r="R156" i="13"/>
  <c r="AB155" i="13"/>
  <c r="AG154" i="13"/>
  <c r="D154" i="13"/>
  <c r="V152" i="13"/>
  <c r="AD165" i="13"/>
  <c r="AH162" i="13"/>
  <c r="AC161" i="13"/>
  <c r="X160" i="13"/>
  <c r="AB159" i="13"/>
  <c r="AF158" i="13"/>
  <c r="M157" i="13"/>
  <c r="Q156" i="13"/>
  <c r="V155" i="13"/>
  <c r="AF154" i="13"/>
  <c r="H153" i="13"/>
  <c r="S152" i="13"/>
  <c r="Y151" i="13"/>
  <c r="G151" i="13"/>
  <c r="S150" i="13"/>
  <c r="AC149" i="13"/>
  <c r="L149" i="13"/>
  <c r="V148" i="13"/>
  <c r="AG147" i="13"/>
  <c r="Z146" i="13"/>
  <c r="D146" i="13"/>
  <c r="S145" i="13"/>
  <c r="AD144" i="13"/>
  <c r="H144" i="13"/>
  <c r="W143" i="13"/>
  <c r="AG142" i="13"/>
  <c r="M142" i="13"/>
  <c r="AC141" i="13"/>
  <c r="I141" i="13"/>
  <c r="Z140" i="13"/>
  <c r="L140" i="13"/>
  <c r="AC139" i="13"/>
  <c r="O139" i="13"/>
  <c r="AF138" i="13"/>
  <c r="R138" i="13"/>
  <c r="D138" i="13"/>
  <c r="W137" i="13"/>
  <c r="J137" i="13"/>
  <c r="AC136" i="13"/>
  <c r="AI135" i="13"/>
  <c r="W135" i="13"/>
  <c r="K135" i="13"/>
  <c r="AE134" i="13"/>
  <c r="S134" i="13"/>
  <c r="G134" i="13"/>
  <c r="AA133" i="13"/>
  <c r="O133" i="13"/>
  <c r="AI132" i="13"/>
  <c r="W132" i="13"/>
  <c r="K132" i="13"/>
  <c r="AE131" i="13"/>
  <c r="S131" i="13"/>
  <c r="G131" i="13"/>
  <c r="AA130" i="13"/>
  <c r="O130" i="13"/>
  <c r="AI129" i="13"/>
  <c r="W129" i="13"/>
  <c r="K129" i="13"/>
  <c r="AE128" i="13"/>
  <c r="S128" i="13"/>
  <c r="G128" i="13"/>
  <c r="AA127" i="13"/>
  <c r="O127" i="13"/>
  <c r="AI126" i="13"/>
  <c r="W126" i="13"/>
  <c r="K126" i="13"/>
  <c r="AE125" i="13"/>
  <c r="S125" i="13"/>
  <c r="G125" i="13"/>
  <c r="AA124" i="13"/>
  <c r="O124" i="13"/>
  <c r="AI123" i="13"/>
  <c r="W123" i="13"/>
  <c r="K123" i="13"/>
  <c r="AE122" i="13"/>
  <c r="S122" i="13"/>
  <c r="G122" i="13"/>
  <c r="AA121" i="13"/>
  <c r="O121" i="13"/>
  <c r="AI120" i="13"/>
  <c r="W120" i="13"/>
  <c r="K120" i="13"/>
  <c r="AE119" i="13"/>
  <c r="S119" i="13"/>
  <c r="G119" i="13"/>
  <c r="AA118" i="13"/>
  <c r="O118" i="13"/>
  <c r="AI117" i="13"/>
  <c r="W117" i="13"/>
  <c r="K117" i="13"/>
  <c r="AE116" i="13"/>
  <c r="S116" i="13"/>
  <c r="G116" i="13"/>
  <c r="AA115" i="13"/>
  <c r="O115" i="13"/>
  <c r="AI114" i="13"/>
  <c r="W114" i="13"/>
  <c r="K114" i="13"/>
  <c r="X165" i="13"/>
  <c r="AG163" i="13"/>
  <c r="W162" i="13"/>
  <c r="AA161" i="13"/>
  <c r="T160" i="13"/>
  <c r="AA159" i="13"/>
  <c r="AE158" i="13"/>
  <c r="AG157" i="13"/>
  <c r="J157" i="13"/>
  <c r="T155" i="13"/>
  <c r="AE154" i="13"/>
  <c r="AC172" i="13"/>
  <c r="Z168" i="13"/>
  <c r="AB163" i="13"/>
  <c r="V162" i="13"/>
  <c r="Z161" i="13"/>
  <c r="S160" i="13"/>
  <c r="S159" i="13"/>
  <c r="AB158" i="13"/>
  <c r="AF157" i="13"/>
  <c r="I157" i="13"/>
  <c r="O156" i="13"/>
  <c r="S155" i="13"/>
  <c r="V154" i="13"/>
  <c r="AG153" i="13"/>
  <c r="F153" i="13"/>
  <c r="W151" i="13"/>
  <c r="Q150" i="13"/>
  <c r="AA149" i="13"/>
  <c r="E149" i="13"/>
  <c r="T148" i="13"/>
  <c r="AE147" i="13"/>
  <c r="I147" i="13"/>
  <c r="X146" i="13"/>
  <c r="AH145" i="13"/>
  <c r="M145" i="13"/>
  <c r="AB144" i="13"/>
  <c r="F144" i="13"/>
  <c r="AE142" i="13"/>
  <c r="K142" i="13"/>
  <c r="AA141" i="13"/>
  <c r="G141" i="13"/>
  <c r="X140" i="13"/>
  <c r="I140" i="13"/>
  <c r="AA139" i="13"/>
  <c r="L139" i="13"/>
  <c r="AD138" i="13"/>
  <c r="AH137" i="13"/>
  <c r="U137" i="13"/>
  <c r="H137" i="13"/>
  <c r="AA136" i="13"/>
  <c r="M136" i="13"/>
  <c r="AG135" i="13"/>
  <c r="U135" i="13"/>
  <c r="I135" i="13"/>
  <c r="AC134" i="13"/>
  <c r="Q134" i="13"/>
  <c r="E134" i="13"/>
  <c r="Y133" i="13"/>
  <c r="M133" i="13"/>
  <c r="AG132" i="13"/>
  <c r="U132" i="13"/>
  <c r="I132" i="13"/>
  <c r="AC131" i="13"/>
  <c r="Q131" i="13"/>
  <c r="E131" i="13"/>
  <c r="Y130" i="13"/>
  <c r="M130" i="13"/>
  <c r="AG129" i="13"/>
  <c r="U129" i="13"/>
  <c r="I129" i="13"/>
  <c r="AC128" i="13"/>
  <c r="Q128" i="13"/>
  <c r="E128" i="13"/>
  <c r="Y127" i="13"/>
  <c r="M127" i="13"/>
  <c r="AG126" i="13"/>
  <c r="U126" i="13"/>
  <c r="I126" i="13"/>
  <c r="AC125" i="13"/>
  <c r="Q125" i="13"/>
  <c r="E125" i="13"/>
  <c r="Y124" i="13"/>
  <c r="M124" i="13"/>
  <c r="AG123" i="13"/>
  <c r="U123" i="13"/>
  <c r="I123" i="13"/>
  <c r="AC122" i="13"/>
  <c r="Q122" i="13"/>
  <c r="E122" i="13"/>
  <c r="Y121" i="13"/>
  <c r="M121" i="13"/>
  <c r="AG120" i="13"/>
  <c r="U120" i="13"/>
  <c r="I120" i="13"/>
  <c r="AC119" i="13"/>
  <c r="I165" i="13"/>
  <c r="AA163" i="13"/>
  <c r="R162" i="13"/>
  <c r="X161" i="13"/>
  <c r="R160" i="13"/>
  <c r="Y158" i="13"/>
  <c r="AE157" i="13"/>
  <c r="N156" i="13"/>
  <c r="U154" i="13"/>
  <c r="AF153" i="13"/>
  <c r="E153" i="13"/>
  <c r="K152" i="13"/>
  <c r="V151" i="13"/>
  <c r="AH150" i="13"/>
  <c r="Z149" i="13"/>
  <c r="D149" i="13"/>
  <c r="S148" i="13"/>
  <c r="AD147" i="13"/>
  <c r="H147" i="13"/>
  <c r="W146" i="13"/>
  <c r="AG145" i="13"/>
  <c r="L145" i="13"/>
  <c r="AA144" i="13"/>
  <c r="E144" i="13"/>
  <c r="O143" i="13"/>
  <c r="AB142" i="13"/>
  <c r="J142" i="13"/>
  <c r="X141" i="13"/>
  <c r="F141" i="13"/>
  <c r="W140" i="13"/>
  <c r="H140" i="13"/>
  <c r="Y139" i="13"/>
  <c r="K139" i="13"/>
  <c r="AC138" i="13"/>
  <c r="O138" i="13"/>
  <c r="AG137" i="13"/>
  <c r="T137" i="13"/>
  <c r="G137" i="13"/>
  <c r="Y136" i="13"/>
  <c r="L136" i="13"/>
  <c r="AF135" i="13"/>
  <c r="T135" i="13"/>
  <c r="H135" i="13"/>
  <c r="AB134" i="13"/>
  <c r="D134" i="13"/>
  <c r="X133" i="13"/>
  <c r="L133" i="13"/>
  <c r="AF132" i="13"/>
  <c r="T132" i="13"/>
  <c r="H132" i="13"/>
  <c r="AB131" i="13"/>
  <c r="D131" i="13"/>
  <c r="X130" i="13"/>
  <c r="L130" i="13"/>
  <c r="AF129" i="13"/>
  <c r="T129" i="13"/>
  <c r="H129" i="13"/>
  <c r="AB128" i="13"/>
  <c r="D128" i="13"/>
  <c r="X127" i="13"/>
  <c r="L127" i="13"/>
  <c r="AF126" i="13"/>
  <c r="T126" i="13"/>
  <c r="H126" i="13"/>
  <c r="AB125" i="13"/>
  <c r="D125" i="13"/>
  <c r="X124" i="13"/>
  <c r="L124" i="13"/>
  <c r="AF123" i="13"/>
  <c r="T123" i="13"/>
  <c r="H123" i="13"/>
  <c r="AB122" i="13"/>
  <c r="D122" i="13"/>
  <c r="X121" i="13"/>
  <c r="L121" i="13"/>
  <c r="AF120" i="13"/>
  <c r="T120" i="13"/>
  <c r="H120" i="13"/>
  <c r="AB119" i="13"/>
  <c r="D119" i="13"/>
  <c r="X118" i="13"/>
  <c r="L118" i="13"/>
  <c r="AF117" i="13"/>
  <c r="T117" i="13"/>
  <c r="H117" i="13"/>
  <c r="AB116" i="13"/>
  <c r="D116" i="13"/>
  <c r="X115" i="13"/>
  <c r="L115" i="13"/>
  <c r="AF114" i="13"/>
  <c r="T114" i="13"/>
  <c r="H114" i="13"/>
  <c r="AB113" i="13"/>
  <c r="D113" i="13"/>
  <c r="X112" i="13"/>
  <c r="L112" i="13"/>
  <c r="AF111" i="13"/>
  <c r="T111" i="13"/>
  <c r="Z151" i="13"/>
  <c r="AD150" i="13"/>
  <c r="AI149" i="13"/>
  <c r="AH148" i="13"/>
  <c r="J148" i="13"/>
  <c r="Q147" i="13"/>
  <c r="Q146" i="13"/>
  <c r="X145" i="13"/>
  <c r="AF144" i="13"/>
  <c r="D144" i="13"/>
  <c r="L143" i="13"/>
  <c r="T142" i="13"/>
  <c r="AB141" i="13"/>
  <c r="AI140" i="13"/>
  <c r="O140" i="13"/>
  <c r="AB139" i="13"/>
  <c r="H139" i="13"/>
  <c r="U138" i="13"/>
  <c r="E138" i="13"/>
  <c r="Q137" i="13"/>
  <c r="AG136" i="13"/>
  <c r="Q136" i="13"/>
  <c r="AE135" i="13"/>
  <c r="AG134" i="13"/>
  <c r="AG133" i="13"/>
  <c r="R133" i="13"/>
  <c r="AH132" i="13"/>
  <c r="Q132" i="13"/>
  <c r="AH131" i="13"/>
  <c r="R131" i="13"/>
  <c r="AH130" i="13"/>
  <c r="S130" i="13"/>
  <c r="D130" i="13"/>
  <c r="R129" i="13"/>
  <c r="AI128" i="13"/>
  <c r="T128" i="13"/>
  <c r="AI127" i="13"/>
  <c r="T127" i="13"/>
  <c r="E127" i="13"/>
  <c r="S126" i="13"/>
  <c r="D126" i="13"/>
  <c r="U125" i="13"/>
  <c r="F125" i="13"/>
  <c r="U124" i="13"/>
  <c r="F124" i="13"/>
  <c r="V123" i="13"/>
  <c r="E123" i="13"/>
  <c r="G153" i="13"/>
  <c r="X151" i="13"/>
  <c r="AC150" i="13"/>
  <c r="AB149" i="13"/>
  <c r="AG148" i="13"/>
  <c r="I148" i="13"/>
  <c r="W145" i="13"/>
  <c r="AE144" i="13"/>
  <c r="AI143" i="13"/>
  <c r="K143" i="13"/>
  <c r="S142" i="13"/>
  <c r="U141" i="13"/>
  <c r="AF140" i="13"/>
  <c r="N140" i="13"/>
  <c r="X139" i="13"/>
  <c r="G139" i="13"/>
  <c r="T138" i="13"/>
  <c r="AI137" i="13"/>
  <c r="AF136" i="13"/>
  <c r="AD135" i="13"/>
  <c r="O135" i="13"/>
  <c r="AF134" i="13"/>
  <c r="O134" i="13"/>
  <c r="AF133" i="13"/>
  <c r="Q133" i="13"/>
  <c r="AE132" i="13"/>
  <c r="AG131" i="13"/>
  <c r="AG130" i="13"/>
  <c r="R130" i="13"/>
  <c r="AH129" i="13"/>
  <c r="Q129" i="13"/>
  <c r="AH128" i="13"/>
  <c r="R128" i="13"/>
  <c r="AH127" i="13"/>
  <c r="S127" i="13"/>
  <c r="D127" i="13"/>
  <c r="R126" i="13"/>
  <c r="AI125" i="13"/>
  <c r="T125" i="13"/>
  <c r="AI124" i="13"/>
  <c r="T124" i="13"/>
  <c r="E124" i="13"/>
  <c r="S123" i="13"/>
  <c r="D123" i="13"/>
  <c r="U122" i="13"/>
  <c r="F122" i="13"/>
  <c r="U121" i="13"/>
  <c r="F121" i="13"/>
  <c r="V120" i="13"/>
  <c r="E120" i="13"/>
  <c r="V119" i="13"/>
  <c r="I119" i="13"/>
  <c r="Z118" i="13"/>
  <c r="K118" i="13"/>
  <c r="AC117" i="13"/>
  <c r="O117" i="13"/>
  <c r="AG116" i="13"/>
  <c r="R116" i="13"/>
  <c r="E116" i="13"/>
  <c r="V115" i="13"/>
  <c r="H115" i="13"/>
  <c r="Z114" i="13"/>
  <c r="L114" i="13"/>
  <c r="AD113" i="13"/>
  <c r="Q113" i="13"/>
  <c r="E113" i="13"/>
  <c r="W112" i="13"/>
  <c r="J112" i="13"/>
  <c r="AC111" i="13"/>
  <c r="D111" i="13"/>
  <c r="X110" i="13"/>
  <c r="L110" i="13"/>
  <c r="AF109" i="13"/>
  <c r="T109" i="13"/>
  <c r="H109" i="13"/>
  <c r="AB108" i="13"/>
  <c r="D108" i="13"/>
  <c r="X107" i="13"/>
  <c r="L107" i="13"/>
  <c r="AF106" i="13"/>
  <c r="T106" i="13"/>
  <c r="H106" i="13"/>
  <c r="AB105" i="13"/>
  <c r="D105" i="13"/>
  <c r="X104" i="13"/>
  <c r="L104" i="13"/>
  <c r="AF103" i="13"/>
  <c r="D153" i="13"/>
  <c r="T151" i="13"/>
  <c r="AB150" i="13"/>
  <c r="Y149" i="13"/>
  <c r="AF148" i="13"/>
  <c r="H148" i="13"/>
  <c r="O147" i="13"/>
  <c r="O146" i="13"/>
  <c r="V145" i="13"/>
  <c r="AC144" i="13"/>
  <c r="AC143" i="13"/>
  <c r="E143" i="13"/>
  <c r="T141" i="13"/>
  <c r="AE140" i="13"/>
  <c r="M140" i="13"/>
  <c r="W139" i="13"/>
  <c r="E139" i="13"/>
  <c r="S138" i="13"/>
  <c r="AF137" i="13"/>
  <c r="O137" i="13"/>
  <c r="AE136" i="13"/>
  <c r="O136" i="13"/>
  <c r="AC135" i="13"/>
  <c r="N135" i="13"/>
  <c r="AD134" i="13"/>
  <c r="N134" i="13"/>
  <c r="AE133" i="13"/>
  <c r="AD132" i="13"/>
  <c r="O132" i="13"/>
  <c r="AF131" i="13"/>
  <c r="O131" i="13"/>
  <c r="AF130" i="13"/>
  <c r="Q130" i="13"/>
  <c r="AE129" i="13"/>
  <c r="AG128" i="13"/>
  <c r="AG127" i="13"/>
  <c r="R127" i="13"/>
  <c r="AH126" i="13"/>
  <c r="Q126" i="13"/>
  <c r="AH125" i="13"/>
  <c r="R125" i="13"/>
  <c r="AH124" i="13"/>
  <c r="S124" i="13"/>
  <c r="D124" i="13"/>
  <c r="R123" i="13"/>
  <c r="AI122" i="13"/>
  <c r="T122" i="13"/>
  <c r="AI121" i="13"/>
  <c r="T121" i="13"/>
  <c r="E121" i="13"/>
  <c r="S120" i="13"/>
  <c r="D120" i="13"/>
  <c r="U119" i="13"/>
  <c r="H119" i="13"/>
  <c r="Y118" i="13"/>
  <c r="J118" i="13"/>
  <c r="AB117" i="13"/>
  <c r="N117" i="13"/>
  <c r="AF116" i="13"/>
  <c r="Q116" i="13"/>
  <c r="AI115" i="13"/>
  <c r="U115" i="13"/>
  <c r="G115" i="13"/>
  <c r="Y114" i="13"/>
  <c r="J114" i="13"/>
  <c r="AC113" i="13"/>
  <c r="AI112" i="13"/>
  <c r="V112" i="13"/>
  <c r="I112" i="13"/>
  <c r="AB111" i="13"/>
  <c r="O111" i="13"/>
  <c r="AI110" i="13"/>
  <c r="W110" i="13"/>
  <c r="K110" i="13"/>
  <c r="AE109" i="13"/>
  <c r="S109" i="13"/>
  <c r="G109" i="13"/>
  <c r="AA108" i="13"/>
  <c r="O108" i="13"/>
  <c r="AI107" i="13"/>
  <c r="W107" i="13"/>
  <c r="K107" i="13"/>
  <c r="AE106" i="13"/>
  <c r="S106" i="13"/>
  <c r="G106" i="13"/>
  <c r="AA105" i="13"/>
  <c r="O105" i="13"/>
  <c r="AI104" i="13"/>
  <c r="T150" i="13"/>
  <c r="X149" i="13"/>
  <c r="AE148" i="13"/>
  <c r="G148" i="13"/>
  <c r="G147" i="13"/>
  <c r="N146" i="13"/>
  <c r="U145" i="13"/>
  <c r="U144" i="13"/>
  <c r="AB143" i="13"/>
  <c r="D143" i="13"/>
  <c r="L142" i="13"/>
  <c r="S141" i="13"/>
  <c r="AC140" i="13"/>
  <c r="K140" i="13"/>
  <c r="V139" i="13"/>
  <c r="D139" i="13"/>
  <c r="Q138" i="13"/>
  <c r="AE137" i="13"/>
  <c r="N137" i="13"/>
  <c r="AD136" i="13"/>
  <c r="K136" i="13"/>
  <c r="AB135" i="13"/>
  <c r="M135" i="13"/>
  <c r="AA134" i="13"/>
  <c r="M134" i="13"/>
  <c r="AD133" i="13"/>
  <c r="N133" i="13"/>
  <c r="AC132" i="13"/>
  <c r="N132" i="13"/>
  <c r="AD131" i="13"/>
  <c r="N131" i="13"/>
  <c r="AE130" i="13"/>
  <c r="AD129" i="13"/>
  <c r="O129" i="13"/>
  <c r="AF128" i="13"/>
  <c r="O128" i="13"/>
  <c r="AF127" i="13"/>
  <c r="Q127" i="13"/>
  <c r="AE126" i="13"/>
  <c r="AG125" i="13"/>
  <c r="AG124" i="13"/>
  <c r="R124" i="13"/>
  <c r="AH123" i="13"/>
  <c r="Q123" i="13"/>
  <c r="AH122" i="13"/>
  <c r="AA152" i="13"/>
  <c r="L151" i="13"/>
  <c r="R150" i="13"/>
  <c r="W149" i="13"/>
  <c r="Y148" i="13"/>
  <c r="AF147" i="13"/>
  <c r="F147" i="13"/>
  <c r="M146" i="13"/>
  <c r="T145" i="13"/>
  <c r="T144" i="13"/>
  <c r="AA143" i="13"/>
  <c r="AI142" i="13"/>
  <c r="I142" i="13"/>
  <c r="R141" i="13"/>
  <c r="AB140" i="13"/>
  <c r="G140" i="13"/>
  <c r="U139" i="13"/>
  <c r="AI138" i="13"/>
  <c r="AC137" i="13"/>
  <c r="M137" i="13"/>
  <c r="AB136" i="13"/>
  <c r="J136" i="13"/>
  <c r="AA135" i="13"/>
  <c r="L135" i="13"/>
  <c r="Z134" i="13"/>
  <c r="L134" i="13"/>
  <c r="AC133" i="13"/>
  <c r="K133" i="13"/>
  <c r="AB132" i="13"/>
  <c r="M132" i="13"/>
  <c r="AA131" i="13"/>
  <c r="M131" i="13"/>
  <c r="AD130" i="13"/>
  <c r="N130" i="13"/>
  <c r="AC129" i="13"/>
  <c r="N129" i="13"/>
  <c r="AD128" i="13"/>
  <c r="N128" i="13"/>
  <c r="AE127" i="13"/>
  <c r="AD126" i="13"/>
  <c r="O126" i="13"/>
  <c r="AF125" i="13"/>
  <c r="O125" i="13"/>
  <c r="AF124" i="13"/>
  <c r="Q124" i="13"/>
  <c r="AE123" i="13"/>
  <c r="Y152" i="13"/>
  <c r="J151" i="13"/>
  <c r="Q149" i="13"/>
  <c r="X148" i="13"/>
  <c r="AC147" i="13"/>
  <c r="E147" i="13"/>
  <c r="L146" i="13"/>
  <c r="S144" i="13"/>
  <c r="Z143" i="13"/>
  <c r="AH142" i="13"/>
  <c r="H142" i="13"/>
  <c r="Q141" i="13"/>
  <c r="AA140" i="13"/>
  <c r="E140" i="13"/>
  <c r="T139" i="13"/>
  <c r="AG138" i="13"/>
  <c r="M138" i="13"/>
  <c r="AB137" i="13"/>
  <c r="L137" i="13"/>
  <c r="X136" i="13"/>
  <c r="I136" i="13"/>
  <c r="Z135" i="13"/>
  <c r="J135" i="13"/>
  <c r="Y134" i="13"/>
  <c r="K134" i="13"/>
  <c r="AB133" i="13"/>
  <c r="J133" i="13"/>
  <c r="AA132" i="13"/>
  <c r="L132" i="13"/>
  <c r="Z131" i="13"/>
  <c r="L131" i="13"/>
  <c r="AC130" i="13"/>
  <c r="K130" i="13"/>
  <c r="AB129" i="13"/>
  <c r="M129" i="13"/>
  <c r="AA128" i="13"/>
  <c r="M128" i="13"/>
  <c r="AD127" i="13"/>
  <c r="N127" i="13"/>
  <c r="AC126" i="13"/>
  <c r="N126" i="13"/>
  <c r="AD125" i="13"/>
  <c r="N125" i="13"/>
  <c r="AE124" i="13"/>
  <c r="AD123" i="13"/>
  <c r="O123" i="13"/>
  <c r="AF122" i="13"/>
  <c r="O122" i="13"/>
  <c r="AF121" i="13"/>
  <c r="R152" i="13"/>
  <c r="H151" i="13"/>
  <c r="O150" i="13"/>
  <c r="W148" i="13"/>
  <c r="AB147" i="13"/>
  <c r="D147" i="13"/>
  <c r="K146" i="13"/>
  <c r="K145" i="13"/>
  <c r="R144" i="13"/>
  <c r="Y143" i="13"/>
  <c r="AF142" i="13"/>
  <c r="G142" i="13"/>
  <c r="Y140" i="13"/>
  <c r="D140" i="13"/>
  <c r="S139" i="13"/>
  <c r="AE138" i="13"/>
  <c r="L138" i="13"/>
  <c r="AA137" i="13"/>
  <c r="K137" i="13"/>
  <c r="W136" i="13"/>
  <c r="H136" i="13"/>
  <c r="Y135" i="13"/>
  <c r="G135" i="13"/>
  <c r="X134" i="13"/>
  <c r="J134" i="13"/>
  <c r="Z133" i="13"/>
  <c r="I133" i="13"/>
  <c r="Z132" i="13"/>
  <c r="J132" i="13"/>
  <c r="Y131" i="13"/>
  <c r="K131" i="13"/>
  <c r="AB130" i="13"/>
  <c r="J130" i="13"/>
  <c r="AA129" i="13"/>
  <c r="L129" i="13"/>
  <c r="Z128" i="13"/>
  <c r="L128" i="13"/>
  <c r="AC127" i="13"/>
  <c r="K127" i="13"/>
  <c r="AB126" i="13"/>
  <c r="M126" i="13"/>
  <c r="AA125" i="13"/>
  <c r="M125" i="13"/>
  <c r="AD124" i="13"/>
  <c r="N124" i="13"/>
  <c r="AC123" i="13"/>
  <c r="N123" i="13"/>
  <c r="AD122" i="13"/>
  <c r="N122" i="13"/>
  <c r="AE121" i="13"/>
  <c r="AD120" i="13"/>
  <c r="O120" i="13"/>
  <c r="AF119" i="13"/>
  <c r="AH118" i="13"/>
  <c r="T118" i="13"/>
  <c r="F118" i="13"/>
  <c r="X117" i="13"/>
  <c r="I117" i="13"/>
  <c r="Z116" i="13"/>
  <c r="M116" i="13"/>
  <c r="AE115" i="13"/>
  <c r="Q115" i="13"/>
  <c r="AH114" i="13"/>
  <c r="S114" i="13"/>
  <c r="E114" i="13"/>
  <c r="X113" i="13"/>
  <c r="L113" i="13"/>
  <c r="AE112" i="13"/>
  <c r="R112" i="13"/>
  <c r="E112" i="13"/>
  <c r="X111" i="13"/>
  <c r="K111" i="13"/>
  <c r="AE110" i="13"/>
  <c r="S110" i="13"/>
  <c r="G110" i="13"/>
  <c r="AA109" i="13"/>
  <c r="O109" i="13"/>
  <c r="AI108" i="13"/>
  <c r="W108" i="13"/>
  <c r="K108" i="13"/>
  <c r="I150" i="13"/>
  <c r="O149" i="13"/>
  <c r="U148" i="13"/>
  <c r="AA147" i="13"/>
  <c r="AI146" i="13"/>
  <c r="E146" i="13"/>
  <c r="J145" i="13"/>
  <c r="Q144" i="13"/>
  <c r="X143" i="13"/>
  <c r="Y142" i="13"/>
  <c r="D142" i="13"/>
  <c r="O141" i="13"/>
  <c r="U140" i="13"/>
  <c r="AI139" i="13"/>
  <c r="Q139" i="13"/>
  <c r="AB138" i="13"/>
  <c r="K138" i="13"/>
  <c r="Z137" i="13"/>
  <c r="I137" i="13"/>
  <c r="V136" i="13"/>
  <c r="G136" i="13"/>
  <c r="X135" i="13"/>
  <c r="F135" i="13"/>
  <c r="W134" i="13"/>
  <c r="I134" i="13"/>
  <c r="W133" i="13"/>
  <c r="H133" i="13"/>
  <c r="Y132" i="13"/>
  <c r="G132" i="13"/>
  <c r="X131" i="13"/>
  <c r="J131" i="13"/>
  <c r="Z130" i="13"/>
  <c r="I130" i="13"/>
  <c r="Z129" i="13"/>
  <c r="J129" i="13"/>
  <c r="Y128" i="13"/>
  <c r="K128" i="13"/>
  <c r="AB127" i="13"/>
  <c r="J127" i="13"/>
  <c r="AA126" i="13"/>
  <c r="L126" i="13"/>
  <c r="Z125" i="13"/>
  <c r="L125" i="13"/>
  <c r="AC124" i="13"/>
  <c r="K124" i="13"/>
  <c r="AB123" i="13"/>
  <c r="M123" i="13"/>
  <c r="AA122" i="13"/>
  <c r="J152" i="13"/>
  <c r="H150" i="13"/>
  <c r="N149" i="13"/>
  <c r="U147" i="13"/>
  <c r="AC146" i="13"/>
  <c r="AI145" i="13"/>
  <c r="I145" i="13"/>
  <c r="Q143" i="13"/>
  <c r="X142" i="13"/>
  <c r="AG141" i="13"/>
  <c r="L141" i="13"/>
  <c r="T140" i="13"/>
  <c r="AH139" i="13"/>
  <c r="AA138" i="13"/>
  <c r="I138" i="13"/>
  <c r="Y137" i="13"/>
  <c r="E137" i="13"/>
  <c r="U136" i="13"/>
  <c r="F136" i="13"/>
  <c r="V135" i="13"/>
  <c r="E135" i="13"/>
  <c r="V134" i="13"/>
  <c r="H134" i="13"/>
  <c r="V133" i="13"/>
  <c r="G133" i="13"/>
  <c r="X132" i="13"/>
  <c r="F132" i="13"/>
  <c r="W131" i="13"/>
  <c r="I131" i="13"/>
  <c r="W130" i="13"/>
  <c r="H130" i="13"/>
  <c r="Y129" i="13"/>
  <c r="G129" i="13"/>
  <c r="X128" i="13"/>
  <c r="J128" i="13"/>
  <c r="Z127" i="13"/>
  <c r="I127" i="13"/>
  <c r="Z126" i="13"/>
  <c r="J126" i="13"/>
  <c r="Y125" i="13"/>
  <c r="K125" i="13"/>
  <c r="AB124" i="13"/>
  <c r="J124" i="13"/>
  <c r="AA123" i="13"/>
  <c r="L123" i="13"/>
  <c r="Z122" i="13"/>
  <c r="L122" i="13"/>
  <c r="AC121" i="13"/>
  <c r="K121" i="13"/>
  <c r="AB120" i="13"/>
  <c r="M120" i="13"/>
  <c r="AA119" i="13"/>
  <c r="N119" i="13"/>
  <c r="AF118" i="13"/>
  <c r="R118" i="13"/>
  <c r="D118" i="13"/>
  <c r="U117" i="13"/>
  <c r="F117" i="13"/>
  <c r="X116" i="13"/>
  <c r="K116" i="13"/>
  <c r="AC115" i="13"/>
  <c r="N115" i="13"/>
  <c r="AE114" i="13"/>
  <c r="Q114" i="13"/>
  <c r="AI113" i="13"/>
  <c r="V113" i="13"/>
  <c r="J113" i="13"/>
  <c r="AC112" i="13"/>
  <c r="AI111" i="13"/>
  <c r="V111" i="13"/>
  <c r="I111" i="13"/>
  <c r="AC110" i="13"/>
  <c r="Q110" i="13"/>
  <c r="E110" i="13"/>
  <c r="Y109" i="13"/>
  <c r="M109" i="13"/>
  <c r="AG108" i="13"/>
  <c r="U108" i="13"/>
  <c r="I108" i="13"/>
  <c r="AC107" i="13"/>
  <c r="Q107" i="13"/>
  <c r="E107" i="13"/>
  <c r="Y106" i="13"/>
  <c r="M106" i="13"/>
  <c r="AG105" i="13"/>
  <c r="U105" i="13"/>
  <c r="I105" i="13"/>
  <c r="AC104" i="13"/>
  <c r="Q104" i="13"/>
  <c r="E104" i="13"/>
  <c r="Y103" i="13"/>
  <c r="M103" i="13"/>
  <c r="AG102" i="13"/>
  <c r="U102" i="13"/>
  <c r="I102" i="13"/>
  <c r="AC101" i="13"/>
  <c r="Q101" i="13"/>
  <c r="E101" i="13"/>
  <c r="Y100" i="13"/>
  <c r="M100" i="13"/>
  <c r="AG99" i="13"/>
  <c r="U99" i="13"/>
  <c r="I99" i="13"/>
  <c r="AC98" i="13"/>
  <c r="Q98" i="13"/>
  <c r="E98" i="13"/>
  <c r="Y97" i="13"/>
  <c r="M97" i="13"/>
  <c r="AG96" i="13"/>
  <c r="U96" i="13"/>
  <c r="I96" i="13"/>
  <c r="AC95" i="13"/>
  <c r="Q95" i="13"/>
  <c r="E95" i="13"/>
  <c r="Y94" i="13"/>
  <c r="M94" i="13"/>
  <c r="AG93" i="13"/>
  <c r="U93" i="13"/>
  <c r="I93" i="13"/>
  <c r="AC92" i="13"/>
  <c r="Q92" i="13"/>
  <c r="E92" i="13"/>
  <c r="Y91" i="13"/>
  <c r="M91" i="13"/>
  <c r="AG90" i="13"/>
  <c r="U90" i="13"/>
  <c r="I90" i="13"/>
  <c r="AC89" i="13"/>
  <c r="Q89" i="13"/>
  <c r="E89" i="13"/>
  <c r="Y88" i="13"/>
  <c r="M88" i="13"/>
  <c r="AG87" i="13"/>
  <c r="U87" i="13"/>
  <c r="I87" i="13"/>
  <c r="AC86" i="13"/>
  <c r="Q86" i="13"/>
  <c r="E86" i="13"/>
  <c r="Y85" i="13"/>
  <c r="M85" i="13"/>
  <c r="AG84" i="13"/>
  <c r="U84" i="13"/>
  <c r="I84" i="13"/>
  <c r="AC83" i="13"/>
  <c r="Q83" i="13"/>
  <c r="E83" i="13"/>
  <c r="Y82" i="13"/>
  <c r="M82" i="13"/>
  <c r="AG81" i="13"/>
  <c r="U81" i="13"/>
  <c r="I81" i="13"/>
  <c r="AC80" i="13"/>
  <c r="Q80" i="13"/>
  <c r="E80" i="13"/>
  <c r="Y79" i="13"/>
  <c r="M79" i="13"/>
  <c r="AG78" i="13"/>
  <c r="U78" i="13"/>
  <c r="I78" i="13"/>
  <c r="AC77" i="13"/>
  <c r="Q77" i="13"/>
  <c r="E77" i="13"/>
  <c r="Y76" i="13"/>
  <c r="M76" i="13"/>
  <c r="AG75" i="13"/>
  <c r="U75" i="13"/>
  <c r="I75" i="13"/>
  <c r="AC74" i="13"/>
  <c r="Q74" i="13"/>
  <c r="E74" i="13"/>
  <c r="G152" i="13"/>
  <c r="AG150" i="13"/>
  <c r="G150" i="13"/>
  <c r="M149" i="13"/>
  <c r="M148" i="13"/>
  <c r="T147" i="13"/>
  <c r="AB146" i="13"/>
  <c r="AF145" i="13"/>
  <c r="H145" i="13"/>
  <c r="O144" i="13"/>
  <c r="W142" i="13"/>
  <c r="AF141" i="13"/>
  <c r="H141" i="13"/>
  <c r="S140" i="13"/>
  <c r="AG139" i="13"/>
  <c r="M139" i="13"/>
  <c r="Y138" i="13"/>
  <c r="H138" i="13"/>
  <c r="X137" i="13"/>
  <c r="D137" i="13"/>
  <c r="T136" i="13"/>
  <c r="E136" i="13"/>
  <c r="S135" i="13"/>
  <c r="D135" i="13"/>
  <c r="U134" i="13"/>
  <c r="F134" i="13"/>
  <c r="U133" i="13"/>
  <c r="F133" i="13"/>
  <c r="V132" i="13"/>
  <c r="E132" i="13"/>
  <c r="V131" i="13"/>
  <c r="H131" i="13"/>
  <c r="V130" i="13"/>
  <c r="G130" i="13"/>
  <c r="X129" i="13"/>
  <c r="F129" i="13"/>
  <c r="W128" i="13"/>
  <c r="I128" i="13"/>
  <c r="W127" i="13"/>
  <c r="H127" i="13"/>
  <c r="Y126" i="13"/>
  <c r="AH153" i="13"/>
  <c r="E152" i="13"/>
  <c r="AF150" i="13"/>
  <c r="F150" i="13"/>
  <c r="K149" i="13"/>
  <c r="L148" i="13"/>
  <c r="S147" i="13"/>
  <c r="AA146" i="13"/>
  <c r="AE145" i="13"/>
  <c r="G145" i="13"/>
  <c r="I144" i="13"/>
  <c r="N143" i="13"/>
  <c r="V142" i="13"/>
  <c r="AE141" i="13"/>
  <c r="E141" i="13"/>
  <c r="Q140" i="13"/>
  <c r="AF139" i="13"/>
  <c r="J139" i="13"/>
  <c r="X138" i="13"/>
  <c r="G138" i="13"/>
  <c r="V137" i="13"/>
  <c r="AI136" i="13"/>
  <c r="S136" i="13"/>
  <c r="D136" i="13"/>
  <c r="R135" i="13"/>
  <c r="AI134" i="13"/>
  <c r="T134" i="13"/>
  <c r="AI133" i="13"/>
  <c r="T133" i="13"/>
  <c r="E133" i="13"/>
  <c r="S132" i="13"/>
  <c r="D132" i="13"/>
  <c r="U131" i="13"/>
  <c r="F131" i="13"/>
  <c r="U130" i="13"/>
  <c r="F130" i="13"/>
  <c r="V129" i="13"/>
  <c r="E129" i="13"/>
  <c r="V128" i="13"/>
  <c r="H128" i="13"/>
  <c r="V127" i="13"/>
  <c r="G127" i="13"/>
  <c r="X126" i="13"/>
  <c r="F126" i="13"/>
  <c r="W125" i="13"/>
  <c r="I125" i="13"/>
  <c r="W124" i="13"/>
  <c r="H124" i="13"/>
  <c r="Y123" i="13"/>
  <c r="G123" i="13"/>
  <c r="X122" i="13"/>
  <c r="J122" i="13"/>
  <c r="Z121" i="13"/>
  <c r="I121" i="13"/>
  <c r="Z120" i="13"/>
  <c r="J120" i="13"/>
  <c r="Y119" i="13"/>
  <c r="L119" i="13"/>
  <c r="AD118" i="13"/>
  <c r="AG117" i="13"/>
  <c r="R117" i="13"/>
  <c r="D117" i="13"/>
  <c r="V116" i="13"/>
  <c r="I116" i="13"/>
  <c r="Z115" i="13"/>
  <c r="K115" i="13"/>
  <c r="AC114" i="13"/>
  <c r="O114" i="13"/>
  <c r="AG113" i="13"/>
  <c r="T113" i="13"/>
  <c r="H113" i="13"/>
  <c r="AA112" i="13"/>
  <c r="N112" i="13"/>
  <c r="AG111" i="13"/>
  <c r="S111" i="13"/>
  <c r="G111" i="13"/>
  <c r="AA110" i="13"/>
  <c r="O110" i="13"/>
  <c r="AI109" i="13"/>
  <c r="W109" i="13"/>
  <c r="K109" i="13"/>
  <c r="AE108" i="13"/>
  <c r="S108" i="13"/>
  <c r="G108" i="13"/>
  <c r="AA107" i="13"/>
  <c r="O107" i="13"/>
  <c r="AI106" i="13"/>
  <c r="W106" i="13"/>
  <c r="K106" i="13"/>
  <c r="AE105" i="13"/>
  <c r="S105" i="13"/>
  <c r="G105" i="13"/>
  <c r="AA104" i="13"/>
  <c r="O104" i="13"/>
  <c r="AI103" i="13"/>
  <c r="W103" i="13"/>
  <c r="K103" i="13"/>
  <c r="AE102" i="13"/>
  <c r="S102" i="13"/>
  <c r="G102" i="13"/>
  <c r="AA101" i="13"/>
  <c r="O101" i="13"/>
  <c r="AI100" i="13"/>
  <c r="W100" i="13"/>
  <c r="K100" i="13"/>
  <c r="AE99" i="13"/>
  <c r="S99" i="13"/>
  <c r="G99" i="13"/>
  <c r="AA98" i="13"/>
  <c r="O98" i="13"/>
  <c r="AI97" i="13"/>
  <c r="W97" i="13"/>
  <c r="K97" i="13"/>
  <c r="AE96" i="13"/>
  <c r="S96" i="13"/>
  <c r="G96" i="13"/>
  <c r="AA95" i="13"/>
  <c r="O95" i="13"/>
  <c r="AI94" i="13"/>
  <c r="W94" i="13"/>
  <c r="K94" i="13"/>
  <c r="AE93" i="13"/>
  <c r="S93" i="13"/>
  <c r="G93" i="13"/>
  <c r="AA92" i="13"/>
  <c r="O92" i="13"/>
  <c r="AI91" i="13"/>
  <c r="W91" i="13"/>
  <c r="K91" i="13"/>
  <c r="AE90" i="13"/>
  <c r="S90" i="13"/>
  <c r="G90" i="13"/>
  <c r="AA89" i="13"/>
  <c r="O89" i="13"/>
  <c r="AI88" i="13"/>
  <c r="W88" i="13"/>
  <c r="K88" i="13"/>
  <c r="AE87" i="13"/>
  <c r="S87" i="13"/>
  <c r="G87" i="13"/>
  <c r="AA86" i="13"/>
  <c r="O86" i="13"/>
  <c r="AI85" i="13"/>
  <c r="W85" i="13"/>
  <c r="K85" i="13"/>
  <c r="AE84" i="13"/>
  <c r="S84" i="13"/>
  <c r="G84" i="13"/>
  <c r="AA83" i="13"/>
  <c r="T153" i="13"/>
  <c r="AE150" i="13"/>
  <c r="E150" i="13"/>
  <c r="AI148" i="13"/>
  <c r="K148" i="13"/>
  <c r="R147" i="13"/>
  <c r="Y146" i="13"/>
  <c r="Y145" i="13"/>
  <c r="AG144" i="13"/>
  <c r="G144" i="13"/>
  <c r="M143" i="13"/>
  <c r="U142" i="13"/>
  <c r="AD141" i="13"/>
  <c r="D141" i="13"/>
  <c r="AE139" i="13"/>
  <c r="I139" i="13"/>
  <c r="W138" i="13"/>
  <c r="F138" i="13"/>
  <c r="S137" i="13"/>
  <c r="AH136" i="13"/>
  <c r="R136" i="13"/>
  <c r="AH135" i="13"/>
  <c r="Q135" i="13"/>
  <c r="AH134" i="13"/>
  <c r="R134" i="13"/>
  <c r="AH133" i="13"/>
  <c r="S133" i="13"/>
  <c r="D133" i="13"/>
  <c r="R132" i="13"/>
  <c r="AI131" i="13"/>
  <c r="T131" i="13"/>
  <c r="AI130" i="13"/>
  <c r="T130" i="13"/>
  <c r="E130" i="13"/>
  <c r="S129" i="13"/>
  <c r="D129" i="13"/>
  <c r="U128" i="13"/>
  <c r="F128" i="13"/>
  <c r="U127" i="13"/>
  <c r="F127" i="13"/>
  <c r="V126" i="13"/>
  <c r="E126" i="13"/>
  <c r="V125" i="13"/>
  <c r="H125" i="13"/>
  <c r="V124" i="13"/>
  <c r="G124" i="13"/>
  <c r="X123" i="13"/>
  <c r="F123" i="13"/>
  <c r="W122" i="13"/>
  <c r="I122" i="13"/>
  <c r="W121" i="13"/>
  <c r="H121" i="13"/>
  <c r="Y120" i="13"/>
  <c r="G120" i="13"/>
  <c r="X119" i="13"/>
  <c r="K119" i="13"/>
  <c r="AC118" i="13"/>
  <c r="N118" i="13"/>
  <c r="AE117" i="13"/>
  <c r="Q117" i="13"/>
  <c r="AI116" i="13"/>
  <c r="U116" i="13"/>
  <c r="H116" i="13"/>
  <c r="Y115" i="13"/>
  <c r="J115" i="13"/>
  <c r="AB114" i="13"/>
  <c r="N114" i="13"/>
  <c r="AF113" i="13"/>
  <c r="S113" i="13"/>
  <c r="G113" i="13"/>
  <c r="Z112" i="13"/>
  <c r="M112" i="13"/>
  <c r="AE111" i="13"/>
  <c r="R111" i="13"/>
  <c r="F111" i="13"/>
  <c r="Z110" i="13"/>
  <c r="N110" i="13"/>
  <c r="AH109" i="13"/>
  <c r="V109" i="13"/>
  <c r="J109" i="13"/>
  <c r="AD108" i="13"/>
  <c r="R108" i="13"/>
  <c r="F108" i="13"/>
  <c r="Z107" i="13"/>
  <c r="N107" i="13"/>
  <c r="AH106" i="13"/>
  <c r="V106" i="13"/>
  <c r="J106" i="13"/>
  <c r="AD105" i="13"/>
  <c r="R105" i="13"/>
  <c r="F105" i="13"/>
  <c r="Z104" i="13"/>
  <c r="N104" i="13"/>
  <c r="AH103" i="13"/>
  <c r="V103" i="13"/>
  <c r="J103" i="13"/>
  <c r="AD102" i="13"/>
  <c r="R102" i="13"/>
  <c r="F102" i="13"/>
  <c r="Z101" i="13"/>
  <c r="N101" i="13"/>
  <c r="AH100" i="13"/>
  <c r="V100" i="13"/>
  <c r="J100" i="13"/>
  <c r="AD99" i="13"/>
  <c r="R99" i="13"/>
  <c r="F99" i="13"/>
  <c r="Z98" i="13"/>
  <c r="N98" i="13"/>
  <c r="AH97" i="13"/>
  <c r="V97" i="13"/>
  <c r="J97" i="13"/>
  <c r="AD96" i="13"/>
  <c r="R96" i="13"/>
  <c r="F96" i="13"/>
  <c r="Z95" i="13"/>
  <c r="N95" i="13"/>
  <c r="AH94" i="13"/>
  <c r="V94" i="13"/>
  <c r="J94" i="13"/>
  <c r="AD93" i="13"/>
  <c r="R93" i="13"/>
  <c r="F93" i="13"/>
  <c r="Z92" i="13"/>
  <c r="N92" i="13"/>
  <c r="AH91" i="13"/>
  <c r="V91" i="13"/>
  <c r="J91" i="13"/>
  <c r="AD90" i="13"/>
  <c r="R90" i="13"/>
  <c r="F90" i="13"/>
  <c r="Z89" i="13"/>
  <c r="N89" i="13"/>
  <c r="AH88" i="13"/>
  <c r="V88" i="13"/>
  <c r="J88" i="13"/>
  <c r="AD87" i="13"/>
  <c r="R87" i="13"/>
  <c r="F87" i="13"/>
  <c r="Z86" i="13"/>
  <c r="N86" i="13"/>
  <c r="AH85" i="13"/>
  <c r="V85" i="13"/>
  <c r="J85" i="13"/>
  <c r="AD84" i="13"/>
  <c r="R84" i="13"/>
  <c r="F84" i="13"/>
  <c r="Z83" i="13"/>
  <c r="N83" i="13"/>
  <c r="AH82" i="13"/>
  <c r="V82" i="13"/>
  <c r="J82" i="13"/>
  <c r="AD81" i="13"/>
  <c r="R81" i="13"/>
  <c r="F81" i="13"/>
  <c r="Z80" i="13"/>
  <c r="N80" i="13"/>
  <c r="AH79" i="13"/>
  <c r="V79" i="13"/>
  <c r="J79" i="13"/>
  <c r="AD78" i="13"/>
  <c r="R78" i="13"/>
  <c r="F78" i="13"/>
  <c r="Z77" i="13"/>
  <c r="N77" i="13"/>
  <c r="AH76" i="13"/>
  <c r="I124" i="13"/>
  <c r="AH121" i="13"/>
  <c r="D121" i="13"/>
  <c r="AI119" i="13"/>
  <c r="J119" i="13"/>
  <c r="S117" i="13"/>
  <c r="W116" i="13"/>
  <c r="AB115" i="13"/>
  <c r="AD114" i="13"/>
  <c r="AH113" i="13"/>
  <c r="K113" i="13"/>
  <c r="Q112" i="13"/>
  <c r="Y111" i="13"/>
  <c r="AG110" i="13"/>
  <c r="I110" i="13"/>
  <c r="Q109" i="13"/>
  <c r="Y108" i="13"/>
  <c r="AH107" i="13"/>
  <c r="AA106" i="13"/>
  <c r="E106" i="13"/>
  <c r="Q105" i="13"/>
  <c r="AE104" i="13"/>
  <c r="K104" i="13"/>
  <c r="AA103" i="13"/>
  <c r="I103" i="13"/>
  <c r="Z102" i="13"/>
  <c r="K102" i="13"/>
  <c r="Y101" i="13"/>
  <c r="J101" i="13"/>
  <c r="AA100" i="13"/>
  <c r="I100" i="13"/>
  <c r="Z99" i="13"/>
  <c r="K99" i="13"/>
  <c r="Y98" i="13"/>
  <c r="J98" i="13"/>
  <c r="AA97" i="13"/>
  <c r="I97" i="13"/>
  <c r="Z96" i="13"/>
  <c r="K96" i="13"/>
  <c r="Y95" i="13"/>
  <c r="J95" i="13"/>
  <c r="AA94" i="13"/>
  <c r="I94" i="13"/>
  <c r="Z93" i="13"/>
  <c r="K93" i="13"/>
  <c r="Y92" i="13"/>
  <c r="J92" i="13"/>
  <c r="AA91" i="13"/>
  <c r="I91" i="13"/>
  <c r="Z90" i="13"/>
  <c r="K90" i="13"/>
  <c r="Y89" i="13"/>
  <c r="J89" i="13"/>
  <c r="AA88" i="13"/>
  <c r="I88" i="13"/>
  <c r="Z87" i="13"/>
  <c r="Z123" i="13"/>
  <c r="AG121" i="13"/>
  <c r="AH120" i="13"/>
  <c r="AH119" i="13"/>
  <c r="F119" i="13"/>
  <c r="M118" i="13"/>
  <c r="T116" i="13"/>
  <c r="W115" i="13"/>
  <c r="AA114" i="13"/>
  <c r="AE113" i="13"/>
  <c r="I113" i="13"/>
  <c r="W111" i="13"/>
  <c r="AF110" i="13"/>
  <c r="H110" i="13"/>
  <c r="X108" i="13"/>
  <c r="AG107" i="13"/>
  <c r="M107" i="13"/>
  <c r="Z106" i="13"/>
  <c r="D106" i="13"/>
  <c r="AD104" i="13"/>
  <c r="J104" i="13"/>
  <c r="Z103" i="13"/>
  <c r="H103" i="13"/>
  <c r="Y102" i="13"/>
  <c r="J102" i="13"/>
  <c r="X101" i="13"/>
  <c r="I101" i="13"/>
  <c r="Z100" i="13"/>
  <c r="H100" i="13"/>
  <c r="Y99" i="13"/>
  <c r="J99" i="13"/>
  <c r="X98" i="13"/>
  <c r="I98" i="13"/>
  <c r="Z97" i="13"/>
  <c r="H97" i="13"/>
  <c r="Y96" i="13"/>
  <c r="J96" i="13"/>
  <c r="X95" i="13"/>
  <c r="I95" i="13"/>
  <c r="Z94" i="13"/>
  <c r="H94" i="13"/>
  <c r="Y93" i="13"/>
  <c r="J93" i="13"/>
  <c r="X92" i="13"/>
  <c r="I92" i="13"/>
  <c r="Z91" i="13"/>
  <c r="H91" i="13"/>
  <c r="Y90" i="13"/>
  <c r="J90" i="13"/>
  <c r="X89" i="13"/>
  <c r="I89" i="13"/>
  <c r="Z88" i="13"/>
  <c r="H88" i="13"/>
  <c r="Y87" i="13"/>
  <c r="J87" i="13"/>
  <c r="X86" i="13"/>
  <c r="I86" i="13"/>
  <c r="Z85" i="13"/>
  <c r="H85" i="13"/>
  <c r="Y84" i="13"/>
  <c r="J84" i="13"/>
  <c r="X83" i="13"/>
  <c r="J83" i="13"/>
  <c r="AB82" i="13"/>
  <c r="N82" i="13"/>
  <c r="AE81" i="13"/>
  <c r="AH80" i="13"/>
  <c r="T80" i="13"/>
  <c r="F80" i="13"/>
  <c r="W79" i="13"/>
  <c r="H79" i="13"/>
  <c r="Z78" i="13"/>
  <c r="L78" i="13"/>
  <c r="AD77" i="13"/>
  <c r="O77" i="13"/>
  <c r="AF76" i="13"/>
  <c r="S76" i="13"/>
  <c r="F76" i="13"/>
  <c r="Y75" i="13"/>
  <c r="L75" i="13"/>
  <c r="AE74" i="13"/>
  <c r="R74" i="13"/>
  <c r="D74" i="13"/>
  <c r="X73" i="13"/>
  <c r="L73" i="13"/>
  <c r="AF72" i="13"/>
  <c r="T72" i="13"/>
  <c r="H72" i="13"/>
  <c r="AB71" i="13"/>
  <c r="D71" i="13"/>
  <c r="X70" i="13"/>
  <c r="L70" i="13"/>
  <c r="AF69" i="13"/>
  <c r="T69" i="13"/>
  <c r="H69" i="13"/>
  <c r="AB68" i="13"/>
  <c r="D68" i="13"/>
  <c r="X67" i="13"/>
  <c r="L67" i="13"/>
  <c r="AF66" i="13"/>
  <c r="T66" i="13"/>
  <c r="H66" i="13"/>
  <c r="AB65" i="13"/>
  <c r="D65" i="13"/>
  <c r="X64" i="13"/>
  <c r="L64" i="13"/>
  <c r="AF63" i="13"/>
  <c r="T63" i="13"/>
  <c r="H63" i="13"/>
  <c r="AB62" i="13"/>
  <c r="D62" i="13"/>
  <c r="X61" i="13"/>
  <c r="L61" i="13"/>
  <c r="AF60" i="13"/>
  <c r="T60" i="13"/>
  <c r="H60" i="13"/>
  <c r="AB59" i="13"/>
  <c r="D59" i="13"/>
  <c r="X58" i="13"/>
  <c r="L58" i="13"/>
  <c r="AF57" i="13"/>
  <c r="T57" i="13"/>
  <c r="H57" i="13"/>
  <c r="AB56" i="13"/>
  <c r="D56" i="13"/>
  <c r="X55" i="13"/>
  <c r="L55" i="13"/>
  <c r="AF54" i="13"/>
  <c r="T54" i="13"/>
  <c r="H54" i="13"/>
  <c r="AB53" i="13"/>
  <c r="D53" i="13"/>
  <c r="X52" i="13"/>
  <c r="L52" i="13"/>
  <c r="AF51" i="13"/>
  <c r="T51" i="13"/>
  <c r="H51" i="13"/>
  <c r="AB50" i="13"/>
  <c r="D50" i="13"/>
  <c r="X49" i="13"/>
  <c r="L49" i="13"/>
  <c r="AF48" i="13"/>
  <c r="T48" i="13"/>
  <c r="H48" i="13"/>
  <c r="AB47" i="13"/>
  <c r="D47" i="13"/>
  <c r="X46" i="13"/>
  <c r="L46" i="13"/>
  <c r="AF45" i="13"/>
  <c r="T45" i="13"/>
  <c r="H45" i="13"/>
  <c r="AB44" i="13"/>
  <c r="D44" i="13"/>
  <c r="X43" i="13"/>
  <c r="L43" i="13"/>
  <c r="AF42" i="13"/>
  <c r="T42" i="13"/>
  <c r="H42" i="13"/>
  <c r="AB41" i="13"/>
  <c r="D41" i="13"/>
  <c r="X40" i="13"/>
  <c r="L40" i="13"/>
  <c r="AF39" i="13"/>
  <c r="T39" i="13"/>
  <c r="H39" i="13"/>
  <c r="AB38" i="13"/>
  <c r="AD121" i="13"/>
  <c r="AE120" i="13"/>
  <c r="AG119" i="13"/>
  <c r="E119" i="13"/>
  <c r="I118" i="13"/>
  <c r="M117" i="13"/>
  <c r="T115" i="13"/>
  <c r="X114" i="13"/>
  <c r="AA113" i="13"/>
  <c r="F113" i="13"/>
  <c r="O112" i="13"/>
  <c r="U111" i="13"/>
  <c r="AD110" i="13"/>
  <c r="F110" i="13"/>
  <c r="N109" i="13"/>
  <c r="V108" i="13"/>
  <c r="AF107" i="13"/>
  <c r="J107" i="13"/>
  <c r="X106" i="13"/>
  <c r="AI105" i="13"/>
  <c r="N105" i="13"/>
  <c r="AB104" i="13"/>
  <c r="I104" i="13"/>
  <c r="X103" i="13"/>
  <c r="G103" i="13"/>
  <c r="X102" i="13"/>
  <c r="H102" i="13"/>
  <c r="W101" i="13"/>
  <c r="H101" i="13"/>
  <c r="X100" i="13"/>
  <c r="G100" i="13"/>
  <c r="X99" i="13"/>
  <c r="H99" i="13"/>
  <c r="W98" i="13"/>
  <c r="H98" i="13"/>
  <c r="X97" i="13"/>
  <c r="G97" i="13"/>
  <c r="X96" i="13"/>
  <c r="H96" i="13"/>
  <c r="W95" i="13"/>
  <c r="H95" i="13"/>
  <c r="X94" i="13"/>
  <c r="G94" i="13"/>
  <c r="X93" i="13"/>
  <c r="H93" i="13"/>
  <c r="W92" i="13"/>
  <c r="H92" i="13"/>
  <c r="X91" i="13"/>
  <c r="G91" i="13"/>
  <c r="X90" i="13"/>
  <c r="H90" i="13"/>
  <c r="W89" i="13"/>
  <c r="H89" i="13"/>
  <c r="X88" i="13"/>
  <c r="G88" i="13"/>
  <c r="X87" i="13"/>
  <c r="H87" i="13"/>
  <c r="W86" i="13"/>
  <c r="H86" i="13"/>
  <c r="X85" i="13"/>
  <c r="G85" i="13"/>
  <c r="X84" i="13"/>
  <c r="H84" i="13"/>
  <c r="W83" i="13"/>
  <c r="I83" i="13"/>
  <c r="AA82" i="13"/>
  <c r="L82" i="13"/>
  <c r="AC81" i="13"/>
  <c r="O81" i="13"/>
  <c r="AG80" i="13"/>
  <c r="S80" i="13"/>
  <c r="D80" i="13"/>
  <c r="U79" i="13"/>
  <c r="G79" i="13"/>
  <c r="Y78" i="13"/>
  <c r="K78" i="13"/>
  <c r="AB77" i="13"/>
  <c r="M77" i="13"/>
  <c r="AE76" i="13"/>
  <c r="R76" i="13"/>
  <c r="E76" i="13"/>
  <c r="X75" i="13"/>
  <c r="K75" i="13"/>
  <c r="AD74" i="13"/>
  <c r="AI73" i="13"/>
  <c r="W73" i="13"/>
  <c r="K73" i="13"/>
  <c r="AE72" i="13"/>
  <c r="J123" i="13"/>
  <c r="AB121" i="13"/>
  <c r="AC120" i="13"/>
  <c r="AD119" i="13"/>
  <c r="AI118" i="13"/>
  <c r="H118" i="13"/>
  <c r="L117" i="13"/>
  <c r="O116" i="13"/>
  <c r="S115" i="13"/>
  <c r="V114" i="13"/>
  <c r="Z113" i="13"/>
  <c r="AH112" i="13"/>
  <c r="K112" i="13"/>
  <c r="Q111" i="13"/>
  <c r="AB110" i="13"/>
  <c r="D110" i="13"/>
  <c r="L109" i="13"/>
  <c r="T108" i="13"/>
  <c r="AE107" i="13"/>
  <c r="I107" i="13"/>
  <c r="U106" i="13"/>
  <c r="AH105" i="13"/>
  <c r="M105" i="13"/>
  <c r="Y104" i="13"/>
  <c r="H104" i="13"/>
  <c r="U103" i="13"/>
  <c r="F103" i="13"/>
  <c r="W102" i="13"/>
  <c r="E102" i="13"/>
  <c r="V101" i="13"/>
  <c r="G101" i="13"/>
  <c r="U100" i="13"/>
  <c r="F100" i="13"/>
  <c r="W99" i="13"/>
  <c r="E99" i="13"/>
  <c r="V98" i="13"/>
  <c r="G98" i="13"/>
  <c r="U97" i="13"/>
  <c r="F97" i="13"/>
  <c r="W96" i="13"/>
  <c r="E96" i="13"/>
  <c r="V95" i="13"/>
  <c r="G95" i="13"/>
  <c r="U94" i="13"/>
  <c r="F94" i="13"/>
  <c r="W93" i="13"/>
  <c r="E93" i="13"/>
  <c r="V92" i="13"/>
  <c r="G92" i="13"/>
  <c r="U91" i="13"/>
  <c r="F91" i="13"/>
  <c r="W90" i="13"/>
  <c r="E90" i="13"/>
  <c r="V89" i="13"/>
  <c r="G89" i="13"/>
  <c r="U88" i="13"/>
  <c r="F88" i="13"/>
  <c r="W87" i="13"/>
  <c r="E87" i="13"/>
  <c r="V86" i="13"/>
  <c r="G86" i="13"/>
  <c r="U85" i="13"/>
  <c r="F85" i="13"/>
  <c r="W84" i="13"/>
  <c r="E84" i="13"/>
  <c r="V83" i="13"/>
  <c r="H83" i="13"/>
  <c r="Z82" i="13"/>
  <c r="K82" i="13"/>
  <c r="AB81" i="13"/>
  <c r="N81" i="13"/>
  <c r="AF80" i="13"/>
  <c r="R80" i="13"/>
  <c r="AI79" i="13"/>
  <c r="T79" i="13"/>
  <c r="F79" i="13"/>
  <c r="AG122" i="13"/>
  <c r="V121" i="13"/>
  <c r="AA120" i="13"/>
  <c r="Z119" i="13"/>
  <c r="AG118" i="13"/>
  <c r="G118" i="13"/>
  <c r="J117" i="13"/>
  <c r="N116" i="13"/>
  <c r="R115" i="13"/>
  <c r="U114" i="13"/>
  <c r="Y113" i="13"/>
  <c r="AG112" i="13"/>
  <c r="H112" i="13"/>
  <c r="Y110" i="13"/>
  <c r="AG109" i="13"/>
  <c r="I109" i="13"/>
  <c r="Q108" i="13"/>
  <c r="AD107" i="13"/>
  <c r="H107" i="13"/>
  <c r="R106" i="13"/>
  <c r="AF105" i="13"/>
  <c r="L105" i="13"/>
  <c r="W104" i="13"/>
  <c r="G104" i="13"/>
  <c r="T103" i="13"/>
  <c r="E103" i="13"/>
  <c r="V102" i="13"/>
  <c r="D102" i="13"/>
  <c r="U101" i="13"/>
  <c r="F101" i="13"/>
  <c r="T100" i="13"/>
  <c r="E100" i="13"/>
  <c r="V99" i="13"/>
  <c r="D99" i="13"/>
  <c r="U98" i="13"/>
  <c r="F98" i="13"/>
  <c r="T97" i="13"/>
  <c r="E97" i="13"/>
  <c r="V96" i="13"/>
  <c r="D96" i="13"/>
  <c r="U95" i="13"/>
  <c r="F95" i="13"/>
  <c r="T94" i="13"/>
  <c r="E94" i="13"/>
  <c r="V93" i="13"/>
  <c r="D93" i="13"/>
  <c r="U92" i="13"/>
  <c r="F92" i="13"/>
  <c r="T91" i="13"/>
  <c r="E91" i="13"/>
  <c r="V90" i="13"/>
  <c r="D90" i="13"/>
  <c r="U89" i="13"/>
  <c r="F89" i="13"/>
  <c r="T88" i="13"/>
  <c r="E88" i="13"/>
  <c r="V87" i="13"/>
  <c r="D87" i="13"/>
  <c r="U86" i="13"/>
  <c r="F86" i="13"/>
  <c r="T85" i="13"/>
  <c r="E85" i="13"/>
  <c r="V84" i="13"/>
  <c r="D84" i="13"/>
  <c r="U83" i="13"/>
  <c r="G83" i="13"/>
  <c r="X82" i="13"/>
  <c r="I82" i="13"/>
  <c r="AA81" i="13"/>
  <c r="M81" i="13"/>
  <c r="AE80" i="13"/>
  <c r="AG79" i="13"/>
  <c r="S79" i="13"/>
  <c r="E79" i="13"/>
  <c r="W78" i="13"/>
  <c r="H78" i="13"/>
  <c r="Y77" i="13"/>
  <c r="K77" i="13"/>
  <c r="AC76" i="13"/>
  <c r="AI75" i="13"/>
  <c r="V75" i="13"/>
  <c r="H75" i="13"/>
  <c r="AA74" i="13"/>
  <c r="N74" i="13"/>
  <c r="Y122" i="13"/>
  <c r="S121" i="13"/>
  <c r="X120" i="13"/>
  <c r="W119" i="13"/>
  <c r="AE118" i="13"/>
  <c r="E118" i="13"/>
  <c r="G117" i="13"/>
  <c r="L116" i="13"/>
  <c r="R114" i="13"/>
  <c r="W113" i="13"/>
  <c r="AF112" i="13"/>
  <c r="G112" i="13"/>
  <c r="N111" i="13"/>
  <c r="V110" i="13"/>
  <c r="AD109" i="13"/>
  <c r="F109" i="13"/>
  <c r="AB107" i="13"/>
  <c r="G107" i="13"/>
  <c r="Q106" i="13"/>
  <c r="AC105" i="13"/>
  <c r="K105" i="13"/>
  <c r="V104" i="13"/>
  <c r="F104" i="13"/>
  <c r="S103" i="13"/>
  <c r="D103" i="13"/>
  <c r="T102" i="13"/>
  <c r="AI101" i="13"/>
  <c r="T101" i="13"/>
  <c r="D101" i="13"/>
  <c r="S100" i="13"/>
  <c r="D100" i="13"/>
  <c r="T99" i="13"/>
  <c r="AI98" i="13"/>
  <c r="T98" i="13"/>
  <c r="D98" i="13"/>
  <c r="S97" i="13"/>
  <c r="D97" i="13"/>
  <c r="T96" i="13"/>
  <c r="AI95" i="13"/>
  <c r="T95" i="13"/>
  <c r="D95" i="13"/>
  <c r="S94" i="13"/>
  <c r="D94" i="13"/>
  <c r="T93" i="13"/>
  <c r="AI92" i="13"/>
  <c r="T92" i="13"/>
  <c r="D92" i="13"/>
  <c r="S91" i="13"/>
  <c r="D91" i="13"/>
  <c r="T90" i="13"/>
  <c r="AI89" i="13"/>
  <c r="T89" i="13"/>
  <c r="D89" i="13"/>
  <c r="S88" i="13"/>
  <c r="D88" i="13"/>
  <c r="T87" i="13"/>
  <c r="AI86" i="13"/>
  <c r="T86" i="13"/>
  <c r="D86" i="13"/>
  <c r="S85" i="13"/>
  <c r="D85" i="13"/>
  <c r="T84" i="13"/>
  <c r="AI83" i="13"/>
  <c r="T83" i="13"/>
  <c r="F83" i="13"/>
  <c r="W82" i="13"/>
  <c r="H82" i="13"/>
  <c r="Z81" i="13"/>
  <c r="L81" i="13"/>
  <c r="AD80" i="13"/>
  <c r="O80" i="13"/>
  <c r="AF79" i="13"/>
  <c r="R79" i="13"/>
  <c r="D79" i="13"/>
  <c r="V78" i="13"/>
  <c r="G78" i="13"/>
  <c r="X77" i="13"/>
  <c r="J77" i="13"/>
  <c r="AB76" i="13"/>
  <c r="O76" i="13"/>
  <c r="AH75" i="13"/>
  <c r="T75" i="13"/>
  <c r="G75" i="13"/>
  <c r="G126" i="13"/>
  <c r="V122" i="13"/>
  <c r="R121" i="13"/>
  <c r="R120" i="13"/>
  <c r="T119" i="13"/>
  <c r="AB118" i="13"/>
  <c r="AH117" i="13"/>
  <c r="E117" i="13"/>
  <c r="J116" i="13"/>
  <c r="M115" i="13"/>
  <c r="U113" i="13"/>
  <c r="AD112" i="13"/>
  <c r="F112" i="13"/>
  <c r="M111" i="13"/>
  <c r="U110" i="13"/>
  <c r="AC109" i="13"/>
  <c r="E109" i="13"/>
  <c r="N108" i="13"/>
  <c r="Y107" i="13"/>
  <c r="F107" i="13"/>
  <c r="Z105" i="13"/>
  <c r="J105" i="13"/>
  <c r="U104" i="13"/>
  <c r="D104" i="13"/>
  <c r="R103" i="13"/>
  <c r="AI102" i="13"/>
  <c r="Q102" i="13"/>
  <c r="AH101" i="13"/>
  <c r="S101" i="13"/>
  <c r="AG100" i="13"/>
  <c r="R100" i="13"/>
  <c r="AI99" i="13"/>
  <c r="Q99" i="13"/>
  <c r="AH98" i="13"/>
  <c r="S98" i="13"/>
  <c r="AG97" i="13"/>
  <c r="R97" i="13"/>
  <c r="AI96" i="13"/>
  <c r="Q96" i="13"/>
  <c r="AH95" i="13"/>
  <c r="S95" i="13"/>
  <c r="AG94" i="13"/>
  <c r="R94" i="13"/>
  <c r="AI93" i="13"/>
  <c r="Q93" i="13"/>
  <c r="AH92" i="13"/>
  <c r="S92" i="13"/>
  <c r="AG91" i="13"/>
  <c r="R91" i="13"/>
  <c r="AI90" i="13"/>
  <c r="Q90" i="13"/>
  <c r="AH89" i="13"/>
  <c r="S89" i="13"/>
  <c r="AG88" i="13"/>
  <c r="R88" i="13"/>
  <c r="AI87" i="13"/>
  <c r="Q87" i="13"/>
  <c r="AH86" i="13"/>
  <c r="S86" i="13"/>
  <c r="AG85" i="13"/>
  <c r="R85" i="13"/>
  <c r="AI84" i="13"/>
  <c r="Q84" i="13"/>
  <c r="AH83" i="13"/>
  <c r="S83" i="13"/>
  <c r="D83" i="13"/>
  <c r="U82" i="13"/>
  <c r="G82" i="13"/>
  <c r="Y81" i="13"/>
  <c r="K81" i="13"/>
  <c r="AB80" i="13"/>
  <c r="M80" i="13"/>
  <c r="AE79" i="13"/>
  <c r="Q79" i="13"/>
  <c r="AI78" i="13"/>
  <c r="T78" i="13"/>
  <c r="E78" i="13"/>
  <c r="W77" i="13"/>
  <c r="I77" i="13"/>
  <c r="AA76" i="13"/>
  <c r="N76" i="13"/>
  <c r="AF75" i="13"/>
  <c r="S75" i="13"/>
  <c r="F75" i="13"/>
  <c r="Y74" i="13"/>
  <c r="L74" i="13"/>
  <c r="AE73" i="13"/>
  <c r="S73" i="13"/>
  <c r="G73" i="13"/>
  <c r="AA72" i="13"/>
  <c r="O72" i="13"/>
  <c r="AI71" i="13"/>
  <c r="W71" i="13"/>
  <c r="K71" i="13"/>
  <c r="AE70" i="13"/>
  <c r="S70" i="13"/>
  <c r="G70" i="13"/>
  <c r="AA69" i="13"/>
  <c r="O69" i="13"/>
  <c r="AI68" i="13"/>
  <c r="W68" i="13"/>
  <c r="K68" i="13"/>
  <c r="AE67" i="13"/>
  <c r="S67" i="13"/>
  <c r="G67" i="13"/>
  <c r="AA66" i="13"/>
  <c r="O66" i="13"/>
  <c r="AI65" i="13"/>
  <c r="W65" i="13"/>
  <c r="K65" i="13"/>
  <c r="AE64" i="13"/>
  <c r="S64" i="13"/>
  <c r="G64" i="13"/>
  <c r="AA63" i="13"/>
  <c r="O63" i="13"/>
  <c r="AI62" i="13"/>
  <c r="W62" i="13"/>
  <c r="K62" i="13"/>
  <c r="AE61" i="13"/>
  <c r="S61" i="13"/>
  <c r="G61" i="13"/>
  <c r="AA60" i="13"/>
  <c r="O60" i="13"/>
  <c r="AI59" i="13"/>
  <c r="W59" i="13"/>
  <c r="K59" i="13"/>
  <c r="AE58" i="13"/>
  <c r="S58" i="13"/>
  <c r="G58" i="13"/>
  <c r="AA57" i="13"/>
  <c r="O57" i="13"/>
  <c r="AI56" i="13"/>
  <c r="W56" i="13"/>
  <c r="K56" i="13"/>
  <c r="AE55" i="13"/>
  <c r="S55" i="13"/>
  <c r="G55" i="13"/>
  <c r="AA54" i="13"/>
  <c r="O54" i="13"/>
  <c r="AI53" i="13"/>
  <c r="X125" i="13"/>
  <c r="R122" i="13"/>
  <c r="Q121" i="13"/>
  <c r="Q120" i="13"/>
  <c r="R119" i="13"/>
  <c r="W118" i="13"/>
  <c r="AD117" i="13"/>
  <c r="AH116" i="13"/>
  <c r="F116" i="13"/>
  <c r="I115" i="13"/>
  <c r="M114" i="13"/>
  <c r="R113" i="13"/>
  <c r="AB112" i="13"/>
  <c r="D112" i="13"/>
  <c r="L111" i="13"/>
  <c r="T110" i="13"/>
  <c r="AB109" i="13"/>
  <c r="D109" i="13"/>
  <c r="M108" i="13"/>
  <c r="V107" i="13"/>
  <c r="D107" i="13"/>
  <c r="O106" i="13"/>
  <c r="Y105" i="13"/>
  <c r="H105" i="13"/>
  <c r="T104" i="13"/>
  <c r="AG103" i="13"/>
  <c r="Q103" i="13"/>
  <c r="AH102" i="13"/>
  <c r="AG101" i="13"/>
  <c r="R101" i="13"/>
  <c r="AF100" i="13"/>
  <c r="Q100" i="13"/>
  <c r="AH99" i="13"/>
  <c r="AG98" i="13"/>
  <c r="R98" i="13"/>
  <c r="AF97" i="13"/>
  <c r="Q97" i="13"/>
  <c r="AH96" i="13"/>
  <c r="AG95" i="13"/>
  <c r="R95" i="13"/>
  <c r="AF94" i="13"/>
  <c r="Q94" i="13"/>
  <c r="AH93" i="13"/>
  <c r="AG92" i="13"/>
  <c r="R92" i="13"/>
  <c r="AF91" i="13"/>
  <c r="Q91" i="13"/>
  <c r="AH90" i="13"/>
  <c r="AG89" i="13"/>
  <c r="R89" i="13"/>
  <c r="AF88" i="13"/>
  <c r="Q88" i="13"/>
  <c r="AH87" i="13"/>
  <c r="AG86" i="13"/>
  <c r="R86" i="13"/>
  <c r="AF85" i="13"/>
  <c r="Q85" i="13"/>
  <c r="AH84" i="13"/>
  <c r="AG83" i="13"/>
  <c r="R83" i="13"/>
  <c r="AI82" i="13"/>
  <c r="T82" i="13"/>
  <c r="F82" i="13"/>
  <c r="X81" i="13"/>
  <c r="J81" i="13"/>
  <c r="AA80" i="13"/>
  <c r="L80" i="13"/>
  <c r="AD79" i="13"/>
  <c r="AH78" i="13"/>
  <c r="S78" i="13"/>
  <c r="D78" i="13"/>
  <c r="V77" i="13"/>
  <c r="H77" i="13"/>
  <c r="Z76" i="13"/>
  <c r="L76" i="13"/>
  <c r="AE75" i="13"/>
  <c r="R75" i="13"/>
  <c r="E75" i="13"/>
  <c r="X74" i="13"/>
  <c r="K74" i="13"/>
  <c r="AD73" i="13"/>
  <c r="R73" i="13"/>
  <c r="F73" i="13"/>
  <c r="Z72" i="13"/>
  <c r="N72" i="13"/>
  <c r="Q119" i="13"/>
  <c r="V118" i="13"/>
  <c r="AA117" i="13"/>
  <c r="AD116" i="13"/>
  <c r="AH115" i="13"/>
  <c r="F115" i="13"/>
  <c r="I114" i="13"/>
  <c r="Y112" i="13"/>
  <c r="AH111" i="13"/>
  <c r="J111" i="13"/>
  <c r="R110" i="13"/>
  <c r="Z109" i="13"/>
  <c r="AH108" i="13"/>
  <c r="L108" i="13"/>
  <c r="U107" i="13"/>
  <c r="AG106" i="13"/>
  <c r="N106" i="13"/>
  <c r="X105" i="13"/>
  <c r="E105" i="13"/>
  <c r="S104" i="13"/>
  <c r="AE103" i="13"/>
  <c r="AF102" i="13"/>
  <c r="O102" i="13"/>
  <c r="AF101" i="13"/>
  <c r="AE100" i="13"/>
  <c r="AF99" i="13"/>
  <c r="O99" i="13"/>
  <c r="AF98" i="13"/>
  <c r="AE97" i="13"/>
  <c r="AF96" i="13"/>
  <c r="O96" i="13"/>
  <c r="AF95" i="13"/>
  <c r="AE94" i="13"/>
  <c r="AF93" i="13"/>
  <c r="O93" i="13"/>
  <c r="AF92" i="13"/>
  <c r="AE91" i="13"/>
  <c r="AF90" i="13"/>
  <c r="O90" i="13"/>
  <c r="AF89" i="13"/>
  <c r="AE88" i="13"/>
  <c r="AF87" i="13"/>
  <c r="O87" i="13"/>
  <c r="AF86" i="13"/>
  <c r="AE85" i="13"/>
  <c r="AF84" i="13"/>
  <c r="O84" i="13"/>
  <c r="AF83" i="13"/>
  <c r="AG82" i="13"/>
  <c r="S82" i="13"/>
  <c r="E82" i="13"/>
  <c r="W81" i="13"/>
  <c r="H81" i="13"/>
  <c r="Y80" i="13"/>
  <c r="K80" i="13"/>
  <c r="AC79" i="13"/>
  <c r="O79" i="13"/>
  <c r="AF78" i="13"/>
  <c r="Q78" i="13"/>
  <c r="AI77" i="13"/>
  <c r="U77" i="13"/>
  <c r="G77" i="13"/>
  <c r="X76" i="13"/>
  <c r="K76" i="13"/>
  <c r="AD75" i="13"/>
  <c r="Q75" i="13"/>
  <c r="D75" i="13"/>
  <c r="W74" i="13"/>
  <c r="J74" i="13"/>
  <c r="AC73" i="13"/>
  <c r="Q73" i="13"/>
  <c r="E73" i="13"/>
  <c r="Y72" i="13"/>
  <c r="M72" i="13"/>
  <c r="AG71" i="13"/>
  <c r="U71" i="13"/>
  <c r="I71" i="13"/>
  <c r="AC70" i="13"/>
  <c r="Q70" i="13"/>
  <c r="E70" i="13"/>
  <c r="Y69" i="13"/>
  <c r="M69" i="13"/>
  <c r="AG68" i="13"/>
  <c r="U68" i="13"/>
  <c r="I68" i="13"/>
  <c r="AC67" i="13"/>
  <c r="Q67" i="13"/>
  <c r="E67" i="13"/>
  <c r="Y66" i="13"/>
  <c r="M66" i="13"/>
  <c r="AG65" i="13"/>
  <c r="U65" i="13"/>
  <c r="I65" i="13"/>
  <c r="AC64" i="13"/>
  <c r="Q64" i="13"/>
  <c r="E64" i="13"/>
  <c r="Y63" i="13"/>
  <c r="M63" i="13"/>
  <c r="AG62" i="13"/>
  <c r="U62" i="13"/>
  <c r="I62" i="13"/>
  <c r="AC61" i="13"/>
  <c r="Q61" i="13"/>
  <c r="E61" i="13"/>
  <c r="Y60" i="13"/>
  <c r="M60" i="13"/>
  <c r="AG59" i="13"/>
  <c r="U59" i="13"/>
  <c r="I59" i="13"/>
  <c r="AC58" i="13"/>
  <c r="Q58" i="13"/>
  <c r="E58" i="13"/>
  <c r="Y57" i="13"/>
  <c r="M57" i="13"/>
  <c r="AG56" i="13"/>
  <c r="U56" i="13"/>
  <c r="I56" i="13"/>
  <c r="AC55" i="13"/>
  <c r="Q55" i="13"/>
  <c r="E55" i="13"/>
  <c r="Y54" i="13"/>
  <c r="M54" i="13"/>
  <c r="AG53" i="13"/>
  <c r="U53" i="13"/>
  <c r="I53" i="13"/>
  <c r="AC52" i="13"/>
  <c r="Q52" i="13"/>
  <c r="E52" i="13"/>
  <c r="Y51" i="13"/>
  <c r="M51" i="13"/>
  <c r="AG50" i="13"/>
  <c r="U50" i="13"/>
  <c r="I50" i="13"/>
  <c r="AC49" i="13"/>
  <c r="Q49" i="13"/>
  <c r="E49" i="13"/>
  <c r="Y48" i="13"/>
  <c r="M48" i="13"/>
  <c r="AG47" i="13"/>
  <c r="U47" i="13"/>
  <c r="I47" i="13"/>
  <c r="AC46" i="13"/>
  <c r="Q46" i="13"/>
  <c r="E46" i="13"/>
  <c r="Y45" i="13"/>
  <c r="M45" i="13"/>
  <c r="AG44" i="13"/>
  <c r="U44" i="13"/>
  <c r="I44" i="13"/>
  <c r="AC43" i="13"/>
  <c r="Q43" i="13"/>
  <c r="E43" i="13"/>
  <c r="Y42" i="13"/>
  <c r="M42" i="13"/>
  <c r="J125" i="13"/>
  <c r="M122" i="13"/>
  <c r="N121" i="13"/>
  <c r="N120" i="13"/>
  <c r="U118" i="13"/>
  <c r="Z117" i="13"/>
  <c r="AC116" i="13"/>
  <c r="AG115" i="13"/>
  <c r="E115" i="13"/>
  <c r="G114" i="13"/>
  <c r="O113" i="13"/>
  <c r="U112" i="13"/>
  <c r="AD111" i="13"/>
  <c r="H111" i="13"/>
  <c r="X109" i="13"/>
  <c r="AF108" i="13"/>
  <c r="J108" i="13"/>
  <c r="T107" i="13"/>
  <c r="AD106" i="13"/>
  <c r="L106" i="13"/>
  <c r="W105" i="13"/>
  <c r="AH104" i="13"/>
  <c r="R104" i="13"/>
  <c r="AD103" i="13"/>
  <c r="O103" i="13"/>
  <c r="AC102" i="13"/>
  <c r="N102" i="13"/>
  <c r="AE101" i="13"/>
  <c r="M101" i="13"/>
  <c r="AD100" i="13"/>
  <c r="O100" i="13"/>
  <c r="AC99" i="13"/>
  <c r="N99" i="13"/>
  <c r="AE98" i="13"/>
  <c r="M98" i="13"/>
  <c r="AD97" i="13"/>
  <c r="O97" i="13"/>
  <c r="AC96" i="13"/>
  <c r="N96" i="13"/>
  <c r="AE95" i="13"/>
  <c r="M95" i="13"/>
  <c r="AD94" i="13"/>
  <c r="O94" i="13"/>
  <c r="AC93" i="13"/>
  <c r="N93" i="13"/>
  <c r="AE92" i="13"/>
  <c r="M92" i="13"/>
  <c r="AD91" i="13"/>
  <c r="O91" i="13"/>
  <c r="Z124" i="13"/>
  <c r="K122" i="13"/>
  <c r="J121" i="13"/>
  <c r="L120" i="13"/>
  <c r="O119" i="13"/>
  <c r="S118" i="13"/>
  <c r="Y117" i="13"/>
  <c r="AA116" i="13"/>
  <c r="AF115" i="13"/>
  <c r="D115" i="13"/>
  <c r="F114" i="13"/>
  <c r="N113" i="13"/>
  <c r="T112" i="13"/>
  <c r="AA111" i="13"/>
  <c r="E111" i="13"/>
  <c r="M110" i="13"/>
  <c r="U109" i="13"/>
  <c r="AC108" i="13"/>
  <c r="H108" i="13"/>
  <c r="S107" i="13"/>
  <c r="AC106" i="13"/>
  <c r="I106" i="13"/>
  <c r="V105" i="13"/>
  <c r="AG104" i="13"/>
  <c r="AC103" i="13"/>
  <c r="N103" i="13"/>
  <c r="AB102" i="13"/>
  <c r="M102" i="13"/>
  <c r="AD101" i="13"/>
  <c r="L101" i="13"/>
  <c r="AC100" i="13"/>
  <c r="N100" i="13"/>
  <c r="AB99" i="13"/>
  <c r="M99" i="13"/>
  <c r="AD98" i="13"/>
  <c r="L98" i="13"/>
  <c r="AC97" i="13"/>
  <c r="N97" i="13"/>
  <c r="AB96" i="13"/>
  <c r="M96" i="13"/>
  <c r="AD95" i="13"/>
  <c r="L95" i="13"/>
  <c r="AC94" i="13"/>
  <c r="N94" i="13"/>
  <c r="AB93" i="13"/>
  <c r="M93" i="13"/>
  <c r="AD92" i="13"/>
  <c r="L92" i="13"/>
  <c r="AC91" i="13"/>
  <c r="N91" i="13"/>
  <c r="AB90" i="13"/>
  <c r="M90" i="13"/>
  <c r="AD89" i="13"/>
  <c r="L89" i="13"/>
  <c r="AC88" i="13"/>
  <c r="N88" i="13"/>
  <c r="AB87" i="13"/>
  <c r="M87" i="13"/>
  <c r="AD86" i="13"/>
  <c r="L86" i="13"/>
  <c r="AC85" i="13"/>
  <c r="N85" i="13"/>
  <c r="AB84" i="13"/>
  <c r="M84" i="13"/>
  <c r="AD83" i="13"/>
  <c r="M83" i="13"/>
  <c r="AE82" i="13"/>
  <c r="Q82" i="13"/>
  <c r="AI81" i="13"/>
  <c r="T81" i="13"/>
  <c r="E81" i="13"/>
  <c r="W80" i="13"/>
  <c r="I80" i="13"/>
  <c r="AA79" i="13"/>
  <c r="L79" i="13"/>
  <c r="AC78" i="13"/>
  <c r="O78" i="13"/>
  <c r="AG77" i="13"/>
  <c r="S77" i="13"/>
  <c r="D77" i="13"/>
  <c r="V76" i="13"/>
  <c r="I76" i="13"/>
  <c r="AB75" i="13"/>
  <c r="O75" i="13"/>
  <c r="AH74" i="13"/>
  <c r="U74" i="13"/>
  <c r="H74" i="13"/>
  <c r="AA73" i="13"/>
  <c r="O73" i="13"/>
  <c r="AI72" i="13"/>
  <c r="W72" i="13"/>
  <c r="K72" i="13"/>
  <c r="AE71" i="13"/>
  <c r="S71" i="13"/>
  <c r="G71" i="13"/>
  <c r="AA70" i="13"/>
  <c r="O70" i="13"/>
  <c r="AI69" i="13"/>
  <c r="W69" i="13"/>
  <c r="K69" i="13"/>
  <c r="AE68" i="13"/>
  <c r="S68" i="13"/>
  <c r="G68" i="13"/>
  <c r="AA67" i="13"/>
  <c r="O67" i="13"/>
  <c r="AI66" i="13"/>
  <c r="W66" i="13"/>
  <c r="K66" i="13"/>
  <c r="AE65" i="13"/>
  <c r="S65" i="13"/>
  <c r="G65" i="13"/>
  <c r="AA64" i="13"/>
  <c r="O64" i="13"/>
  <c r="AI63" i="13"/>
  <c r="W63" i="13"/>
  <c r="K63" i="13"/>
  <c r="AE62" i="13"/>
  <c r="S62" i="13"/>
  <c r="G62" i="13"/>
  <c r="AA61" i="13"/>
  <c r="O61" i="13"/>
  <c r="AI60" i="13"/>
  <c r="W60" i="13"/>
  <c r="K60" i="13"/>
  <c r="AE59" i="13"/>
  <c r="S59" i="13"/>
  <c r="G59" i="13"/>
  <c r="AA58" i="13"/>
  <c r="O58" i="13"/>
  <c r="AI57" i="13"/>
  <c r="W57" i="13"/>
  <c r="K57" i="13"/>
  <c r="AE56" i="13"/>
  <c r="S56" i="13"/>
  <c r="G56" i="13"/>
  <c r="AA55" i="13"/>
  <c r="O55" i="13"/>
  <c r="AI54" i="13"/>
  <c r="W54" i="13"/>
  <c r="K54" i="13"/>
  <c r="AE53" i="13"/>
  <c r="S53" i="13"/>
  <c r="G53" i="13"/>
  <c r="AA52" i="13"/>
  <c r="O52" i="13"/>
  <c r="AI51" i="13"/>
  <c r="W51" i="13"/>
  <c r="K51" i="13"/>
  <c r="AE50" i="13"/>
  <c r="S50" i="13"/>
  <c r="G50" i="13"/>
  <c r="AA49" i="13"/>
  <c r="O49" i="13"/>
  <c r="AI48" i="13"/>
  <c r="W48" i="13"/>
  <c r="K48" i="13"/>
  <c r="H122" i="13"/>
  <c r="G121" i="13"/>
  <c r="F120" i="13"/>
  <c r="M119" i="13"/>
  <c r="Q118" i="13"/>
  <c r="V117" i="13"/>
  <c r="Y116" i="13"/>
  <c r="AD115" i="13"/>
  <c r="AG114" i="13"/>
  <c r="D114" i="13"/>
  <c r="M113" i="13"/>
  <c r="S112" i="13"/>
  <c r="Z111" i="13"/>
  <c r="AH110" i="13"/>
  <c r="J110" i="13"/>
  <c r="R109" i="13"/>
  <c r="Z108" i="13"/>
  <c r="E108" i="13"/>
  <c r="R107" i="13"/>
  <c r="AB106" i="13"/>
  <c r="F106" i="13"/>
  <c r="T105" i="13"/>
  <c r="AF104" i="13"/>
  <c r="M104" i="13"/>
  <c r="AB103" i="13"/>
  <c r="L103" i="13"/>
  <c r="AA102" i="13"/>
  <c r="L102" i="13"/>
  <c r="AB101" i="13"/>
  <c r="K101" i="13"/>
  <c r="AB100" i="13"/>
  <c r="L100" i="13"/>
  <c r="AA99" i="13"/>
  <c r="L99" i="13"/>
  <c r="AB98" i="13"/>
  <c r="K98" i="13"/>
  <c r="AB97" i="13"/>
  <c r="L97" i="13"/>
  <c r="AA96" i="13"/>
  <c r="L96" i="13"/>
  <c r="AB95" i="13"/>
  <c r="K95" i="13"/>
  <c r="AB94" i="13"/>
  <c r="L94" i="13"/>
  <c r="AA93" i="13"/>
  <c r="L93" i="13"/>
  <c r="AB92" i="13"/>
  <c r="K92" i="13"/>
  <c r="AB91" i="13"/>
  <c r="L91" i="13"/>
  <c r="AA90" i="13"/>
  <c r="L90" i="13"/>
  <c r="AB89" i="13"/>
  <c r="K89" i="13"/>
  <c r="AB88" i="13"/>
  <c r="L88" i="13"/>
  <c r="AA87" i="13"/>
  <c r="L87" i="13"/>
  <c r="AB86" i="13"/>
  <c r="K86" i="13"/>
  <c r="AB85" i="13"/>
  <c r="L85" i="13"/>
  <c r="AA84" i="13"/>
  <c r="L84" i="13"/>
  <c r="AB83" i="13"/>
  <c r="L83" i="13"/>
  <c r="AD82" i="13"/>
  <c r="AH81" i="13"/>
  <c r="S81" i="13"/>
  <c r="D81" i="13"/>
  <c r="V80" i="13"/>
  <c r="H80" i="13"/>
  <c r="Z79" i="13"/>
  <c r="K79" i="13"/>
  <c r="AB78" i="13"/>
  <c r="N78" i="13"/>
  <c r="AF77" i="13"/>
  <c r="R77" i="13"/>
  <c r="AI76" i="13"/>
  <c r="U76" i="13"/>
  <c r="H76" i="13"/>
  <c r="AA75" i="13"/>
  <c r="N75" i="13"/>
  <c r="AG74" i="13"/>
  <c r="T74" i="13"/>
  <c r="G74" i="13"/>
  <c r="Z73" i="13"/>
  <c r="N73" i="13"/>
  <c r="AH72" i="13"/>
  <c r="V72" i="13"/>
  <c r="J72" i="13"/>
  <c r="AD71" i="13"/>
  <c r="R71" i="13"/>
  <c r="F71" i="13"/>
  <c r="Z70" i="13"/>
  <c r="N70" i="13"/>
  <c r="AH69" i="13"/>
  <c r="V69" i="13"/>
  <c r="J69" i="13"/>
  <c r="AD68" i="13"/>
  <c r="R68" i="13"/>
  <c r="F68" i="13"/>
  <c r="Z67" i="13"/>
  <c r="N67" i="13"/>
  <c r="AH66" i="13"/>
  <c r="V66" i="13"/>
  <c r="J66" i="13"/>
  <c r="AD65" i="13"/>
  <c r="R65" i="13"/>
  <c r="F65" i="13"/>
  <c r="Z64" i="13"/>
  <c r="N64" i="13"/>
  <c r="AH63" i="13"/>
  <c r="V63" i="13"/>
  <c r="J63" i="13"/>
  <c r="AD62" i="13"/>
  <c r="R62" i="13"/>
  <c r="F62" i="13"/>
  <c r="Z61" i="13"/>
  <c r="N61" i="13"/>
  <c r="AH60" i="13"/>
  <c r="V60" i="13"/>
  <c r="J60" i="13"/>
  <c r="AD59" i="13"/>
  <c r="R59" i="13"/>
  <c r="F59" i="13"/>
  <c r="Z58" i="13"/>
  <c r="N58" i="13"/>
  <c r="AH57" i="13"/>
  <c r="V57" i="13"/>
  <c r="J57" i="13"/>
  <c r="AD56" i="13"/>
  <c r="R56" i="13"/>
  <c r="F56" i="13"/>
  <c r="Z55" i="13"/>
  <c r="N55" i="13"/>
  <c r="AH54" i="13"/>
  <c r="V54" i="13"/>
  <c r="J54" i="13"/>
  <c r="AD53" i="13"/>
  <c r="AA85" i="13"/>
  <c r="O83" i="13"/>
  <c r="G81" i="13"/>
  <c r="AE78" i="13"/>
  <c r="F77" i="13"/>
  <c r="W75" i="13"/>
  <c r="M74" i="13"/>
  <c r="M73" i="13"/>
  <c r="R72" i="13"/>
  <c r="AA71" i="13"/>
  <c r="J71" i="13"/>
  <c r="U70" i="13"/>
  <c r="AE69" i="13"/>
  <c r="L69" i="13"/>
  <c r="X68" i="13"/>
  <c r="AI67" i="13"/>
  <c r="AB66" i="13"/>
  <c r="F66" i="13"/>
  <c r="Q65" i="13"/>
  <c r="AF64" i="13"/>
  <c r="J64" i="13"/>
  <c r="U63" i="13"/>
  <c r="AH62" i="13"/>
  <c r="N62" i="13"/>
  <c r="Y61" i="13"/>
  <c r="F61" i="13"/>
  <c r="Q60" i="13"/>
  <c r="AA59" i="13"/>
  <c r="J59" i="13"/>
  <c r="U58" i="13"/>
  <c r="AE57" i="13"/>
  <c r="L57" i="13"/>
  <c r="X56" i="13"/>
  <c r="AI55" i="13"/>
  <c r="AB54" i="13"/>
  <c r="F54" i="13"/>
  <c r="T53" i="13"/>
  <c r="E53" i="13"/>
  <c r="U52" i="13"/>
  <c r="F52" i="13"/>
  <c r="U51" i="13"/>
  <c r="E51" i="13"/>
  <c r="V50" i="13"/>
  <c r="F50" i="13"/>
  <c r="V49" i="13"/>
  <c r="G49" i="13"/>
  <c r="V48" i="13"/>
  <c r="F48" i="13"/>
  <c r="X47" i="13"/>
  <c r="K47" i="13"/>
  <c r="AB46" i="13"/>
  <c r="N46" i="13"/>
  <c r="O88" i="13"/>
  <c r="K83" i="13"/>
  <c r="AI80" i="13"/>
  <c r="AA78" i="13"/>
  <c r="AG76" i="13"/>
  <c r="I74" i="13"/>
  <c r="J73" i="13"/>
  <c r="Q72" i="13"/>
  <c r="Z71" i="13"/>
  <c r="H71" i="13"/>
  <c r="T70" i="13"/>
  <c r="AD69" i="13"/>
  <c r="I69" i="13"/>
  <c r="V68" i="13"/>
  <c r="AH67" i="13"/>
  <c r="M67" i="13"/>
  <c r="Z66" i="13"/>
  <c r="E66" i="13"/>
  <c r="AD64" i="13"/>
  <c r="I64" i="13"/>
  <c r="S63" i="13"/>
  <c r="AF62" i="13"/>
  <c r="M62" i="13"/>
  <c r="W61" i="13"/>
  <c r="D61" i="13"/>
  <c r="Z59" i="13"/>
  <c r="H59" i="13"/>
  <c r="T58" i="13"/>
  <c r="AD57" i="13"/>
  <c r="I57" i="13"/>
  <c r="V56" i="13"/>
  <c r="AH55" i="13"/>
  <c r="M55" i="13"/>
  <c r="Z54" i="13"/>
  <c r="E54" i="13"/>
  <c r="R53" i="13"/>
  <c r="AI52" i="13"/>
  <c r="T52" i="13"/>
  <c r="D52" i="13"/>
  <c r="S51" i="13"/>
  <c r="D51" i="13"/>
  <c r="T50" i="13"/>
  <c r="E50" i="13"/>
  <c r="U49" i="13"/>
  <c r="F49" i="13"/>
  <c r="U48" i="13"/>
  <c r="E48" i="13"/>
  <c r="W47" i="13"/>
  <c r="J47" i="13"/>
  <c r="AA46" i="13"/>
  <c r="M46" i="13"/>
  <c r="AD45" i="13"/>
  <c r="AH44" i="13"/>
  <c r="S44" i="13"/>
  <c r="F44" i="13"/>
  <c r="W43" i="13"/>
  <c r="I43" i="13"/>
  <c r="AA42" i="13"/>
  <c r="L42" i="13"/>
  <c r="AE41" i="13"/>
  <c r="R41" i="13"/>
  <c r="F41" i="13"/>
  <c r="Y40" i="13"/>
  <c r="K40" i="13"/>
  <c r="AD39" i="13"/>
  <c r="Q39" i="13"/>
  <c r="D39" i="13"/>
  <c r="W38" i="13"/>
  <c r="K38" i="13"/>
  <c r="AE37" i="13"/>
  <c r="S37" i="13"/>
  <c r="G37" i="13"/>
  <c r="AA36" i="13"/>
  <c r="O36" i="13"/>
  <c r="AI35" i="13"/>
  <c r="W35" i="13"/>
  <c r="K35" i="13"/>
  <c r="AE34" i="13"/>
  <c r="S34" i="13"/>
  <c r="G34" i="13"/>
  <c r="AA33" i="13"/>
  <c r="O33" i="13"/>
  <c r="AI32" i="13"/>
  <c r="W32" i="13"/>
  <c r="K32" i="13"/>
  <c r="AE31" i="13"/>
  <c r="S31" i="13"/>
  <c r="G31" i="13"/>
  <c r="AA30" i="13"/>
  <c r="O30" i="13"/>
  <c r="AI29" i="13"/>
  <c r="W29" i="13"/>
  <c r="K29" i="13"/>
  <c r="AE28" i="13"/>
  <c r="S28" i="13"/>
  <c r="G28" i="13"/>
  <c r="AA27" i="13"/>
  <c r="O27" i="13"/>
  <c r="AI26" i="13"/>
  <c r="W26" i="13"/>
  <c r="K26" i="13"/>
  <c r="AE25" i="13"/>
  <c r="S25" i="13"/>
  <c r="G25" i="13"/>
  <c r="AA24" i="13"/>
  <c r="O24" i="13"/>
  <c r="AI23" i="13"/>
  <c r="W23" i="13"/>
  <c r="K23" i="13"/>
  <c r="AE22" i="13"/>
  <c r="S22" i="13"/>
  <c r="G22" i="13"/>
  <c r="AA21" i="13"/>
  <c r="O21" i="13"/>
  <c r="AI20" i="13"/>
  <c r="W20" i="13"/>
  <c r="K20" i="13"/>
  <c r="AE19" i="13"/>
  <c r="S19" i="13"/>
  <c r="G19" i="13"/>
  <c r="AA18" i="13"/>
  <c r="O18" i="13"/>
  <c r="AI17" i="13"/>
  <c r="W17" i="13"/>
  <c r="K17" i="13"/>
  <c r="AE16" i="13"/>
  <c r="S16" i="13"/>
  <c r="G16" i="13"/>
  <c r="AA15" i="13"/>
  <c r="O15" i="13"/>
  <c r="AI14" i="13"/>
  <c r="W14" i="13"/>
  <c r="K14" i="13"/>
  <c r="AE13" i="13"/>
  <c r="S13" i="13"/>
  <c r="G13" i="13"/>
  <c r="AA12" i="13"/>
  <c r="O12" i="13"/>
  <c r="AI11" i="13"/>
  <c r="W11" i="13"/>
  <c r="K11" i="13"/>
  <c r="AE10" i="13"/>
  <c r="S10" i="13"/>
  <c r="G10" i="13"/>
  <c r="AA9" i="13"/>
  <c r="O9" i="13"/>
  <c r="AI8" i="13"/>
  <c r="W8" i="13"/>
  <c r="K8" i="13"/>
  <c r="AE7" i="13"/>
  <c r="S7" i="13"/>
  <c r="G7" i="13"/>
  <c r="AA6" i="13"/>
  <c r="O6" i="13"/>
  <c r="AI5" i="13"/>
  <c r="W5" i="13"/>
  <c r="AC87" i="13"/>
  <c r="O85" i="13"/>
  <c r="AF82" i="13"/>
  <c r="X80" i="13"/>
  <c r="X78" i="13"/>
  <c r="AD76" i="13"/>
  <c r="M75" i="13"/>
  <c r="F74" i="13"/>
  <c r="I73" i="13"/>
  <c r="Y71" i="13"/>
  <c r="E71" i="13"/>
  <c r="R70" i="13"/>
  <c r="AC69" i="13"/>
  <c r="G69" i="13"/>
  <c r="T68" i="13"/>
  <c r="AG67" i="13"/>
  <c r="K67" i="13"/>
  <c r="X66" i="13"/>
  <c r="D66" i="13"/>
  <c r="O65" i="13"/>
  <c r="AB64" i="13"/>
  <c r="H64" i="13"/>
  <c r="R63" i="13"/>
  <c r="AC62" i="13"/>
  <c r="L62" i="13"/>
  <c r="V61" i="13"/>
  <c r="AG60" i="13"/>
  <c r="N60" i="13"/>
  <c r="Y59" i="13"/>
  <c r="E59" i="13"/>
  <c r="R58" i="13"/>
  <c r="AC57" i="13"/>
  <c r="G57" i="13"/>
  <c r="T56" i="13"/>
  <c r="AG55" i="13"/>
  <c r="K55" i="13"/>
  <c r="X54" i="13"/>
  <c r="D54" i="13"/>
  <c r="Q53" i="13"/>
  <c r="AH52" i="13"/>
  <c r="S52" i="13"/>
  <c r="AH51" i="13"/>
  <c r="R51" i="13"/>
  <c r="AI50" i="13"/>
  <c r="R50" i="13"/>
  <c r="AI49" i="13"/>
  <c r="T49" i="13"/>
  <c r="D49" i="13"/>
  <c r="S48" i="13"/>
  <c r="D48" i="13"/>
  <c r="V47" i="13"/>
  <c r="H47" i="13"/>
  <c r="Z46" i="13"/>
  <c r="K46" i="13"/>
  <c r="I85" i="13"/>
  <c r="AC82" i="13"/>
  <c r="U80" i="13"/>
  <c r="W76" i="13"/>
  <c r="J75" i="13"/>
  <c r="AH73" i="13"/>
  <c r="H73" i="13"/>
  <c r="L72" i="13"/>
  <c r="X71" i="13"/>
  <c r="AI70" i="13"/>
  <c r="AB69" i="13"/>
  <c r="F69" i="13"/>
  <c r="Q68" i="13"/>
  <c r="AF67" i="13"/>
  <c r="J67" i="13"/>
  <c r="U66" i="13"/>
  <c r="AH65" i="13"/>
  <c r="N65" i="13"/>
  <c r="Y64" i="13"/>
  <c r="F64" i="13"/>
  <c r="Q63" i="13"/>
  <c r="AA62" i="13"/>
  <c r="J62" i="13"/>
  <c r="U61" i="13"/>
  <c r="AE60" i="13"/>
  <c r="L60" i="13"/>
  <c r="X59" i="13"/>
  <c r="AI58" i="13"/>
  <c r="AB57" i="13"/>
  <c r="F57" i="13"/>
  <c r="Q56" i="13"/>
  <c r="AF55" i="13"/>
  <c r="J55" i="13"/>
  <c r="U54" i="13"/>
  <c r="AH53" i="13"/>
  <c r="AG52" i="13"/>
  <c r="R52" i="13"/>
  <c r="AG51" i="13"/>
  <c r="Q51" i="13"/>
  <c r="AH50" i="13"/>
  <c r="Q50" i="13"/>
  <c r="AH49" i="13"/>
  <c r="S49" i="13"/>
  <c r="AH48" i="13"/>
  <c r="R48" i="13"/>
  <c r="AI47" i="13"/>
  <c r="T47" i="13"/>
  <c r="G47" i="13"/>
  <c r="Y46" i="13"/>
  <c r="J46" i="13"/>
  <c r="AB45" i="13"/>
  <c r="N87" i="13"/>
  <c r="AC84" i="13"/>
  <c r="R82" i="13"/>
  <c r="M78" i="13"/>
  <c r="T76" i="13"/>
  <c r="AI74" i="13"/>
  <c r="AG73" i="13"/>
  <c r="D73" i="13"/>
  <c r="I72" i="13"/>
  <c r="V71" i="13"/>
  <c r="AH70" i="13"/>
  <c r="M70" i="13"/>
  <c r="Z69" i="13"/>
  <c r="E69" i="13"/>
  <c r="AD67" i="13"/>
  <c r="I67" i="13"/>
  <c r="S66" i="13"/>
  <c r="AF65" i="13"/>
  <c r="M65" i="13"/>
  <c r="W64" i="13"/>
  <c r="D64" i="13"/>
  <c r="Z62" i="13"/>
  <c r="H62" i="13"/>
  <c r="T61" i="13"/>
  <c r="AD60" i="13"/>
  <c r="I60" i="13"/>
  <c r="V59" i="13"/>
  <c r="AH58" i="13"/>
  <c r="M58" i="13"/>
  <c r="Z57" i="13"/>
  <c r="E57" i="13"/>
  <c r="AD55" i="13"/>
  <c r="I55" i="13"/>
  <c r="S54" i="13"/>
  <c r="AF53" i="13"/>
  <c r="O53" i="13"/>
  <c r="AF52" i="13"/>
  <c r="AE51" i="13"/>
  <c r="AF50" i="13"/>
  <c r="AG49" i="13"/>
  <c r="R49" i="13"/>
  <c r="AG48" i="13"/>
  <c r="Q48" i="13"/>
  <c r="AH47" i="13"/>
  <c r="S47" i="13"/>
  <c r="F47" i="13"/>
  <c r="W46" i="13"/>
  <c r="I46" i="13"/>
  <c r="AA45" i="13"/>
  <c r="L45" i="13"/>
  <c r="AD44" i="13"/>
  <c r="AC90" i="13"/>
  <c r="K87" i="13"/>
  <c r="Z84" i="13"/>
  <c r="J80" i="13"/>
  <c r="J78" i="13"/>
  <c r="Q76" i="13"/>
  <c r="AF74" i="13"/>
  <c r="AF73" i="13"/>
  <c r="AG72" i="13"/>
  <c r="G72" i="13"/>
  <c r="T71" i="13"/>
  <c r="AG70" i="13"/>
  <c r="K70" i="13"/>
  <c r="X69" i="13"/>
  <c r="D69" i="13"/>
  <c r="O68" i="13"/>
  <c r="AB67" i="13"/>
  <c r="H67" i="13"/>
  <c r="R66" i="13"/>
  <c r="AC65" i="13"/>
  <c r="L65" i="13"/>
  <c r="V64" i="13"/>
  <c r="AG63" i="13"/>
  <c r="N63" i="13"/>
  <c r="Y62" i="13"/>
  <c r="E62" i="13"/>
  <c r="R61" i="13"/>
  <c r="AC60" i="13"/>
  <c r="G60" i="13"/>
  <c r="T59" i="13"/>
  <c r="AG58" i="13"/>
  <c r="K58" i="13"/>
  <c r="X57" i="13"/>
  <c r="D57" i="13"/>
  <c r="O56" i="13"/>
  <c r="AB55" i="13"/>
  <c r="H55" i="13"/>
  <c r="R54" i="13"/>
  <c r="AC53" i="13"/>
  <c r="N53" i="13"/>
  <c r="AE52" i="13"/>
  <c r="N52" i="13"/>
  <c r="AD51" i="13"/>
  <c r="O51" i="13"/>
  <c r="AD50" i="13"/>
  <c r="O50" i="13"/>
  <c r="AF49" i="13"/>
  <c r="AE48" i="13"/>
  <c r="AF47" i="13"/>
  <c r="R47" i="13"/>
  <c r="E47" i="13"/>
  <c r="V46" i="13"/>
  <c r="H46" i="13"/>
  <c r="Z45" i="13"/>
  <c r="K45" i="13"/>
  <c r="AC44" i="13"/>
  <c r="O44" i="13"/>
  <c r="AG43" i="13"/>
  <c r="S43" i="13"/>
  <c r="D43" i="13"/>
  <c r="V42" i="13"/>
  <c r="G42" i="13"/>
  <c r="Z41" i="13"/>
  <c r="N41" i="13"/>
  <c r="AG40" i="13"/>
  <c r="T40" i="13"/>
  <c r="G40" i="13"/>
  <c r="Z39" i="13"/>
  <c r="M39" i="13"/>
  <c r="AF38" i="13"/>
  <c r="S38" i="13"/>
  <c r="G38" i="13"/>
  <c r="AA37" i="13"/>
  <c r="O37" i="13"/>
  <c r="AI36" i="13"/>
  <c r="W36" i="13"/>
  <c r="K36" i="13"/>
  <c r="AE35" i="13"/>
  <c r="S35" i="13"/>
  <c r="G35" i="13"/>
  <c r="AA34" i="13"/>
  <c r="O34" i="13"/>
  <c r="AI33" i="13"/>
  <c r="W33" i="13"/>
  <c r="K33" i="13"/>
  <c r="AE86" i="13"/>
  <c r="O82" i="13"/>
  <c r="G80" i="13"/>
  <c r="AH77" i="13"/>
  <c r="AB74" i="13"/>
  <c r="AB73" i="13"/>
  <c r="AD72" i="13"/>
  <c r="F72" i="13"/>
  <c r="Q71" i="13"/>
  <c r="AF70" i="13"/>
  <c r="J70" i="13"/>
  <c r="U69" i="13"/>
  <c r="AH68" i="13"/>
  <c r="N68" i="13"/>
  <c r="Y67" i="13"/>
  <c r="F67" i="13"/>
  <c r="Q66" i="13"/>
  <c r="AA65" i="13"/>
  <c r="J65" i="13"/>
  <c r="U64" i="13"/>
  <c r="AE63" i="13"/>
  <c r="L63" i="13"/>
  <c r="X62" i="13"/>
  <c r="AI61" i="13"/>
  <c r="AB60" i="13"/>
  <c r="F60" i="13"/>
  <c r="Q59" i="13"/>
  <c r="AF58" i="13"/>
  <c r="J58" i="13"/>
  <c r="U57" i="13"/>
  <c r="AH56" i="13"/>
  <c r="N56" i="13"/>
  <c r="Y55" i="13"/>
  <c r="F55" i="13"/>
  <c r="Q54" i="13"/>
  <c r="AA53" i="13"/>
  <c r="M53" i="13"/>
  <c r="AD52" i="13"/>
  <c r="M52" i="13"/>
  <c r="AC51" i="13"/>
  <c r="N51" i="13"/>
  <c r="AC50" i="13"/>
  <c r="N50" i="13"/>
  <c r="AE49" i="13"/>
  <c r="N49" i="13"/>
  <c r="AD48" i="13"/>
  <c r="O48" i="13"/>
  <c r="AE47" i="13"/>
  <c r="Q47" i="13"/>
  <c r="AI46" i="13"/>
  <c r="U46" i="13"/>
  <c r="G46" i="13"/>
  <c r="X45" i="13"/>
  <c r="J45" i="13"/>
  <c r="AA44" i="13"/>
  <c r="N44" i="13"/>
  <c r="AF43" i="13"/>
  <c r="R43" i="13"/>
  <c r="AI42" i="13"/>
  <c r="U42" i="13"/>
  <c r="F42" i="13"/>
  <c r="Y41" i="13"/>
  <c r="M41" i="13"/>
  <c r="AF40" i="13"/>
  <c r="S40" i="13"/>
  <c r="F40" i="13"/>
  <c r="Y39" i="13"/>
  <c r="L39" i="13"/>
  <c r="AE38" i="13"/>
  <c r="R38" i="13"/>
  <c r="F38" i="13"/>
  <c r="Z37" i="13"/>
  <c r="N37" i="13"/>
  <c r="AH36" i="13"/>
  <c r="V36" i="13"/>
  <c r="J36" i="13"/>
  <c r="AD35" i="13"/>
  <c r="R35" i="13"/>
  <c r="F35" i="13"/>
  <c r="Z34" i="13"/>
  <c r="N34" i="13"/>
  <c r="AH33" i="13"/>
  <c r="V33" i="13"/>
  <c r="J33" i="13"/>
  <c r="AD32" i="13"/>
  <c r="R32" i="13"/>
  <c r="F32" i="13"/>
  <c r="Z31" i="13"/>
  <c r="N31" i="13"/>
  <c r="AH30" i="13"/>
  <c r="V30" i="13"/>
  <c r="J30" i="13"/>
  <c r="AD29" i="13"/>
  <c r="R29" i="13"/>
  <c r="F29" i="13"/>
  <c r="Z28" i="13"/>
  <c r="N28" i="13"/>
  <c r="AH27" i="13"/>
  <c r="V27" i="13"/>
  <c r="J27" i="13"/>
  <c r="AD26" i="13"/>
  <c r="R26" i="13"/>
  <c r="F26" i="13"/>
  <c r="Z25" i="13"/>
  <c r="N25" i="13"/>
  <c r="AH24" i="13"/>
  <c r="V24" i="13"/>
  <c r="J24" i="13"/>
  <c r="AD23" i="13"/>
  <c r="R23" i="13"/>
  <c r="F23" i="13"/>
  <c r="Z22" i="13"/>
  <c r="N22" i="13"/>
  <c r="AH21" i="13"/>
  <c r="V21" i="13"/>
  <c r="J21" i="13"/>
  <c r="AD20" i="13"/>
  <c r="R20" i="13"/>
  <c r="F20" i="13"/>
  <c r="Z19" i="13"/>
  <c r="N19" i="13"/>
  <c r="AH18" i="13"/>
  <c r="V18" i="13"/>
  <c r="J18" i="13"/>
  <c r="AD17" i="13"/>
  <c r="R17" i="13"/>
  <c r="F17" i="13"/>
  <c r="Z16" i="13"/>
  <c r="N16" i="13"/>
  <c r="AH15" i="13"/>
  <c r="V15" i="13"/>
  <c r="J15" i="13"/>
  <c r="AD14" i="13"/>
  <c r="R14" i="13"/>
  <c r="F14" i="13"/>
  <c r="Z13" i="13"/>
  <c r="N13" i="13"/>
  <c r="AH12" i="13"/>
  <c r="V12" i="13"/>
  <c r="J12" i="13"/>
  <c r="AD11" i="13"/>
  <c r="R11" i="13"/>
  <c r="F11" i="13"/>
  <c r="Z10" i="13"/>
  <c r="N10" i="13"/>
  <c r="AH9" i="13"/>
  <c r="V9" i="13"/>
  <c r="J9" i="13"/>
  <c r="N90" i="13"/>
  <c r="Y86" i="13"/>
  <c r="N84" i="13"/>
  <c r="D82" i="13"/>
  <c r="AB79" i="13"/>
  <c r="AE77" i="13"/>
  <c r="J76" i="13"/>
  <c r="Z74" i="13"/>
  <c r="Y73" i="13"/>
  <c r="AC72" i="13"/>
  <c r="E72" i="13"/>
  <c r="AD70" i="13"/>
  <c r="I70" i="13"/>
  <c r="S69" i="13"/>
  <c r="AF68" i="13"/>
  <c r="M68" i="13"/>
  <c r="W67" i="13"/>
  <c r="D67" i="13"/>
  <c r="Z65" i="13"/>
  <c r="H65" i="13"/>
  <c r="T64" i="13"/>
  <c r="AD63" i="13"/>
  <c r="I63" i="13"/>
  <c r="V62" i="13"/>
  <c r="AH61" i="13"/>
  <c r="M61" i="13"/>
  <c r="Z60" i="13"/>
  <c r="E60" i="13"/>
  <c r="AD58" i="13"/>
  <c r="I58" i="13"/>
  <c r="S57" i="13"/>
  <c r="AF56" i="13"/>
  <c r="M56" i="13"/>
  <c r="W55" i="13"/>
  <c r="D55" i="13"/>
  <c r="Z53" i="13"/>
  <c r="L53" i="13"/>
  <c r="AB52" i="13"/>
  <c r="K52" i="13"/>
  <c r="AB51" i="13"/>
  <c r="L51" i="13"/>
  <c r="AA50" i="13"/>
  <c r="M50" i="13"/>
  <c r="AD49" i="13"/>
  <c r="M49" i="13"/>
  <c r="AC48" i="13"/>
  <c r="N48" i="13"/>
  <c r="AD47" i="13"/>
  <c r="AH46" i="13"/>
  <c r="T46" i="13"/>
  <c r="F46" i="13"/>
  <c r="W45" i="13"/>
  <c r="I45" i="13"/>
  <c r="Z44" i="13"/>
  <c r="M44" i="13"/>
  <c r="AE43" i="13"/>
  <c r="AH42" i="13"/>
  <c r="AE89" i="13"/>
  <c r="K84" i="13"/>
  <c r="AF81" i="13"/>
  <c r="X79" i="13"/>
  <c r="AA77" i="13"/>
  <c r="G76" i="13"/>
  <c r="V74" i="13"/>
  <c r="V73" i="13"/>
  <c r="AB72" i="13"/>
  <c r="D72" i="13"/>
  <c r="O71" i="13"/>
  <c r="AB70" i="13"/>
  <c r="H70" i="13"/>
  <c r="R69" i="13"/>
  <c r="AC68" i="13"/>
  <c r="L68" i="13"/>
  <c r="V67" i="13"/>
  <c r="AG66" i="13"/>
  <c r="N66" i="13"/>
  <c r="Y65" i="13"/>
  <c r="E65" i="13"/>
  <c r="R64" i="13"/>
  <c r="AC63" i="13"/>
  <c r="G63" i="13"/>
  <c r="T62" i="13"/>
  <c r="AG61" i="13"/>
  <c r="K61" i="13"/>
  <c r="X60" i="13"/>
  <c r="D60" i="13"/>
  <c r="O59" i="13"/>
  <c r="AB58" i="13"/>
  <c r="H58" i="13"/>
  <c r="R57" i="13"/>
  <c r="AC56" i="13"/>
  <c r="L56" i="13"/>
  <c r="V55" i="13"/>
  <c r="AG54" i="13"/>
  <c r="N54" i="13"/>
  <c r="Y53" i="13"/>
  <c r="K53" i="13"/>
  <c r="Z52" i="13"/>
  <c r="J52" i="13"/>
  <c r="AA51" i="13"/>
  <c r="J51" i="13"/>
  <c r="Z50" i="13"/>
  <c r="L50" i="13"/>
  <c r="AB49" i="13"/>
  <c r="K49" i="13"/>
  <c r="AB48" i="13"/>
  <c r="L48" i="13"/>
  <c r="AC47" i="13"/>
  <c r="O47" i="13"/>
  <c r="AG46" i="13"/>
  <c r="S46" i="13"/>
  <c r="D46" i="13"/>
  <c r="V45" i="13"/>
  <c r="G45" i="13"/>
  <c r="Y44" i="13"/>
  <c r="L44" i="13"/>
  <c r="AD43" i="13"/>
  <c r="O43" i="13"/>
  <c r="AG42" i="13"/>
  <c r="R42" i="13"/>
  <c r="D42" i="13"/>
  <c r="W41" i="13"/>
  <c r="K41" i="13"/>
  <c r="AD40" i="13"/>
  <c r="Q40" i="13"/>
  <c r="D40" i="13"/>
  <c r="W39" i="13"/>
  <c r="J39" i="13"/>
  <c r="AC38" i="13"/>
  <c r="D38" i="13"/>
  <c r="X37" i="13"/>
  <c r="L37" i="13"/>
  <c r="AF36" i="13"/>
  <c r="T36" i="13"/>
  <c r="H36" i="13"/>
  <c r="AB35" i="13"/>
  <c r="D35" i="13"/>
  <c r="X34" i="13"/>
  <c r="L34" i="13"/>
  <c r="AF33" i="13"/>
  <c r="T33" i="13"/>
  <c r="H33" i="13"/>
  <c r="AB32" i="13"/>
  <c r="D32" i="13"/>
  <c r="X31" i="13"/>
  <c r="L31" i="13"/>
  <c r="AF30" i="13"/>
  <c r="T30" i="13"/>
  <c r="H30" i="13"/>
  <c r="AB29" i="13"/>
  <c r="D29" i="13"/>
  <c r="X28" i="13"/>
  <c r="L28" i="13"/>
  <c r="AF27" i="13"/>
  <c r="T27" i="13"/>
  <c r="H27" i="13"/>
  <c r="AB26" i="13"/>
  <c r="D26" i="13"/>
  <c r="X25" i="13"/>
  <c r="L25" i="13"/>
  <c r="AF24" i="13"/>
  <c r="T24" i="13"/>
  <c r="H24" i="13"/>
  <c r="AB23" i="13"/>
  <c r="D23" i="13"/>
  <c r="X22" i="13"/>
  <c r="L22" i="13"/>
  <c r="AF21" i="13"/>
  <c r="T21" i="13"/>
  <c r="H21" i="13"/>
  <c r="AB20" i="13"/>
  <c r="D20" i="13"/>
  <c r="X19" i="13"/>
  <c r="L19" i="13"/>
  <c r="AF18" i="13"/>
  <c r="T18" i="13"/>
  <c r="H18" i="13"/>
  <c r="AB17" i="13"/>
  <c r="D17" i="13"/>
  <c r="X16" i="13"/>
  <c r="L16" i="13"/>
  <c r="AF15" i="13"/>
  <c r="T15" i="13"/>
  <c r="H15" i="13"/>
  <c r="AB14" i="13"/>
  <c r="D14" i="13"/>
  <c r="X13" i="13"/>
  <c r="L13" i="13"/>
  <c r="AF12" i="13"/>
  <c r="T12" i="13"/>
  <c r="H12" i="13"/>
  <c r="AB11" i="13"/>
  <c r="D11" i="13"/>
  <c r="X10" i="13"/>
  <c r="L10" i="13"/>
  <c r="AF9" i="13"/>
  <c r="T9" i="13"/>
  <c r="H9" i="13"/>
  <c r="AB8" i="13"/>
  <c r="D8" i="13"/>
  <c r="X7" i="13"/>
  <c r="L7" i="13"/>
  <c r="AF6" i="13"/>
  <c r="T6" i="13"/>
  <c r="H6" i="13"/>
  <c r="AB5" i="13"/>
  <c r="D5" i="13"/>
  <c r="Y4" i="13"/>
  <c r="M4" i="13"/>
  <c r="Z49" i="13"/>
  <c r="N47" i="13"/>
  <c r="AF46" i="13"/>
  <c r="AI45" i="13"/>
  <c r="M86" i="13"/>
  <c r="AE83" i="13"/>
  <c r="V81" i="13"/>
  <c r="T77" i="13"/>
  <c r="D76" i="13"/>
  <c r="S74" i="13"/>
  <c r="U73" i="13"/>
  <c r="X72" i="13"/>
  <c r="AH71" i="13"/>
  <c r="N71" i="13"/>
  <c r="Y70" i="13"/>
  <c r="F70" i="13"/>
  <c r="Q69" i="13"/>
  <c r="AA68" i="13"/>
  <c r="J68" i="13"/>
  <c r="U67" i="13"/>
  <c r="AE66" i="13"/>
  <c r="L66" i="13"/>
  <c r="X65" i="13"/>
  <c r="AI64" i="13"/>
  <c r="AB63" i="13"/>
  <c r="F63" i="13"/>
  <c r="Q62" i="13"/>
  <c r="AF61" i="13"/>
  <c r="J61" i="13"/>
  <c r="U60" i="13"/>
  <c r="AH59" i="13"/>
  <c r="N59" i="13"/>
  <c r="Y58" i="13"/>
  <c r="F58" i="13"/>
  <c r="Q57" i="13"/>
  <c r="AA56" i="13"/>
  <c r="J56" i="13"/>
  <c r="U55" i="13"/>
  <c r="AE54" i="13"/>
  <c r="L54" i="13"/>
  <c r="X53" i="13"/>
  <c r="J53" i="13"/>
  <c r="Y52" i="13"/>
  <c r="I52" i="13"/>
  <c r="Z51" i="13"/>
  <c r="I51" i="13"/>
  <c r="Y50" i="13"/>
  <c r="K50" i="13"/>
  <c r="J49" i="13"/>
  <c r="AA48" i="13"/>
  <c r="J48" i="13"/>
  <c r="AA47" i="13"/>
  <c r="R46" i="13"/>
  <c r="M89" i="13"/>
  <c r="J86" i="13"/>
  <c r="Y83" i="13"/>
  <c r="Q81" i="13"/>
  <c r="N79" i="13"/>
  <c r="AC75" i="13"/>
  <c r="T73" i="13"/>
  <c r="U72" i="13"/>
  <c r="AF71" i="13"/>
  <c r="M71" i="13"/>
  <c r="W70" i="13"/>
  <c r="D70" i="13"/>
  <c r="Z68" i="13"/>
  <c r="H68" i="13"/>
  <c r="T67" i="13"/>
  <c r="AD66" i="13"/>
  <c r="I66" i="13"/>
  <c r="V65" i="13"/>
  <c r="AH64" i="13"/>
  <c r="M64" i="13"/>
  <c r="Z63" i="13"/>
  <c r="E63" i="13"/>
  <c r="AD61" i="13"/>
  <c r="I61" i="13"/>
  <c r="S60" i="13"/>
  <c r="AF59" i="13"/>
  <c r="M59" i="13"/>
  <c r="W58" i="13"/>
  <c r="D58" i="13"/>
  <c r="Z56" i="13"/>
  <c r="H56" i="13"/>
  <c r="T55" i="13"/>
  <c r="AD54" i="13"/>
  <c r="I54" i="13"/>
  <c r="W53" i="13"/>
  <c r="H53" i="13"/>
  <c r="W52" i="13"/>
  <c r="H52" i="13"/>
  <c r="X51" i="13"/>
  <c r="G51" i="13"/>
  <c r="X50" i="13"/>
  <c r="J50" i="13"/>
  <c r="Y49" i="13"/>
  <c r="I49" i="13"/>
  <c r="Z48" i="13"/>
  <c r="I48" i="13"/>
  <c r="Z47" i="13"/>
  <c r="M47" i="13"/>
  <c r="AE46" i="13"/>
  <c r="AH45" i="13"/>
  <c r="S45" i="13"/>
  <c r="E45" i="13"/>
  <c r="W44" i="13"/>
  <c r="J44" i="13"/>
  <c r="AA43" i="13"/>
  <c r="M43" i="13"/>
  <c r="AD42" i="13"/>
  <c r="AH41" i="13"/>
  <c r="U41" i="13"/>
  <c r="I41" i="13"/>
  <c r="AB40" i="13"/>
  <c r="O40" i="13"/>
  <c r="AH39" i="13"/>
  <c r="U39" i="13"/>
  <c r="G39" i="13"/>
  <c r="Z38" i="13"/>
  <c r="N38" i="13"/>
  <c r="AH37" i="13"/>
  <c r="V37" i="13"/>
  <c r="J37" i="13"/>
  <c r="AD36" i="13"/>
  <c r="R36" i="13"/>
  <c r="F36" i="13"/>
  <c r="Z35" i="13"/>
  <c r="N35" i="13"/>
  <c r="AH34" i="13"/>
  <c r="V34" i="13"/>
  <c r="J34" i="13"/>
  <c r="AD33" i="13"/>
  <c r="R33" i="13"/>
  <c r="F33" i="13"/>
  <c r="Z32" i="13"/>
  <c r="N32" i="13"/>
  <c r="AH31" i="13"/>
  <c r="V31" i="13"/>
  <c r="J31" i="13"/>
  <c r="AD30" i="13"/>
  <c r="R30" i="13"/>
  <c r="F30" i="13"/>
  <c r="Z29" i="13"/>
  <c r="N29" i="13"/>
  <c r="AH28" i="13"/>
  <c r="V28" i="13"/>
  <c r="J28" i="13"/>
  <c r="AD27" i="13"/>
  <c r="R27" i="13"/>
  <c r="F27" i="13"/>
  <c r="Z26" i="13"/>
  <c r="N26" i="13"/>
  <c r="AH25" i="13"/>
  <c r="V25" i="13"/>
  <c r="J25" i="13"/>
  <c r="AD24" i="13"/>
  <c r="R24" i="13"/>
  <c r="F24" i="13"/>
  <c r="Z23" i="13"/>
  <c r="N23" i="13"/>
  <c r="AH22" i="13"/>
  <c r="V22" i="13"/>
  <c r="J22" i="13"/>
  <c r="AD21" i="13"/>
  <c r="R21" i="13"/>
  <c r="F21" i="13"/>
  <c r="Z20" i="13"/>
  <c r="N20" i="13"/>
  <c r="AH19" i="13"/>
  <c r="V19" i="13"/>
  <c r="J19" i="13"/>
  <c r="AD18" i="13"/>
  <c r="R18" i="13"/>
  <c r="F18" i="13"/>
  <c r="Z17" i="13"/>
  <c r="N17" i="13"/>
  <c r="AH16" i="13"/>
  <c r="V16" i="13"/>
  <c r="J16" i="13"/>
  <c r="AD15" i="13"/>
  <c r="R15" i="13"/>
  <c r="F15" i="13"/>
  <c r="Z14" i="13"/>
  <c r="N14" i="13"/>
  <c r="AH13" i="13"/>
  <c r="V13" i="13"/>
  <c r="J13" i="13"/>
  <c r="AD12" i="13"/>
  <c r="R12" i="13"/>
  <c r="F12" i="13"/>
  <c r="Z11" i="13"/>
  <c r="N11" i="13"/>
  <c r="AH10" i="13"/>
  <c r="V10" i="13"/>
  <c r="J10" i="13"/>
  <c r="AD9" i="13"/>
  <c r="R9" i="13"/>
  <c r="F9" i="13"/>
  <c r="Z8" i="13"/>
  <c r="N8" i="13"/>
  <c r="AD88" i="13"/>
  <c r="AD85" i="13"/>
  <c r="I79" i="13"/>
  <c r="L77" i="13"/>
  <c r="Z75" i="13"/>
  <c r="O74" i="13"/>
  <c r="S72" i="13"/>
  <c r="AC71" i="13"/>
  <c r="L71" i="13"/>
  <c r="V70" i="13"/>
  <c r="AG69" i="13"/>
  <c r="N69" i="13"/>
  <c r="Y68" i="13"/>
  <c r="E68" i="13"/>
  <c r="R67" i="13"/>
  <c r="AC66" i="13"/>
  <c r="G66" i="13"/>
  <c r="T65" i="13"/>
  <c r="AG64" i="13"/>
  <c r="K64" i="13"/>
  <c r="X63" i="13"/>
  <c r="D63" i="13"/>
  <c r="O62" i="13"/>
  <c r="AB61" i="13"/>
  <c r="H61" i="13"/>
  <c r="R60" i="13"/>
  <c r="AC59" i="13"/>
  <c r="L59" i="13"/>
  <c r="V58" i="13"/>
  <c r="AG57" i="13"/>
  <c r="N57" i="13"/>
  <c r="Y56" i="13"/>
  <c r="E56" i="13"/>
  <c r="R55" i="13"/>
  <c r="AC54" i="13"/>
  <c r="G54" i="13"/>
  <c r="V53" i="13"/>
  <c r="F53" i="13"/>
  <c r="V52" i="13"/>
  <c r="G52" i="13"/>
  <c r="V51" i="13"/>
  <c r="F51" i="13"/>
  <c r="W50" i="13"/>
  <c r="H50" i="13"/>
  <c r="W49" i="13"/>
  <c r="H49" i="13"/>
  <c r="X48" i="13"/>
  <c r="G48" i="13"/>
  <c r="Y47" i="13"/>
  <c r="L47" i="13"/>
  <c r="AD46" i="13"/>
  <c r="O46" i="13"/>
  <c r="AG45" i="13"/>
  <c r="R45" i="13"/>
  <c r="D45" i="13"/>
  <c r="V44" i="13"/>
  <c r="H44" i="13"/>
  <c r="Z43" i="13"/>
  <c r="K43" i="13"/>
  <c r="AC42" i="13"/>
  <c r="O42" i="13"/>
  <c r="AG41" i="13"/>
  <c r="T41" i="13"/>
  <c r="H41" i="13"/>
  <c r="AA40" i="13"/>
  <c r="N40" i="13"/>
  <c r="AG39" i="13"/>
  <c r="S39" i="13"/>
  <c r="F39" i="13"/>
  <c r="Y38" i="13"/>
  <c r="M38" i="13"/>
  <c r="AG37" i="13"/>
  <c r="U37" i="13"/>
  <c r="I37" i="13"/>
  <c r="AC36" i="13"/>
  <c r="Q36" i="13"/>
  <c r="E36" i="13"/>
  <c r="Y35" i="13"/>
  <c r="M35" i="13"/>
  <c r="AG34" i="13"/>
  <c r="U34" i="13"/>
  <c r="I34" i="13"/>
  <c r="AC33" i="13"/>
  <c r="Q33" i="13"/>
  <c r="E33" i="13"/>
  <c r="Y32" i="13"/>
  <c r="M32" i="13"/>
  <c r="AG31" i="13"/>
  <c r="U31" i="13"/>
  <c r="I31" i="13"/>
  <c r="AC30" i="13"/>
  <c r="Q30" i="13"/>
  <c r="E30" i="13"/>
  <c r="Y29" i="13"/>
  <c r="M29" i="13"/>
  <c r="AG28" i="13"/>
  <c r="U28" i="13"/>
  <c r="I28" i="13"/>
  <c r="AC27" i="13"/>
  <c r="Q27" i="13"/>
  <c r="E27" i="13"/>
  <c r="Y26" i="13"/>
  <c r="M26" i="13"/>
  <c r="AG25" i="13"/>
  <c r="U25" i="13"/>
  <c r="I25" i="13"/>
  <c r="AC24" i="13"/>
  <c r="Q24" i="13"/>
  <c r="E24" i="13"/>
  <c r="Y23" i="13"/>
  <c r="M23" i="13"/>
  <c r="AG22" i="13"/>
  <c r="U22" i="13"/>
  <c r="I22" i="13"/>
  <c r="AC21" i="13"/>
  <c r="Q21" i="13"/>
  <c r="E21" i="13"/>
  <c r="Y20" i="13"/>
  <c r="M20" i="13"/>
  <c r="AG19" i="13"/>
  <c r="U19" i="13"/>
  <c r="I19" i="13"/>
  <c r="AC18" i="13"/>
  <c r="Q18" i="13"/>
  <c r="E18" i="13"/>
  <c r="Y17" i="13"/>
  <c r="M17" i="13"/>
  <c r="AG16" i="13"/>
  <c r="U16" i="13"/>
  <c r="I16" i="13"/>
  <c r="AC15" i="13"/>
  <c r="Q15" i="13"/>
  <c r="E15" i="13"/>
  <c r="Y14" i="13"/>
  <c r="M14" i="13"/>
  <c r="AG13" i="13"/>
  <c r="U13" i="13"/>
  <c r="I13" i="13"/>
  <c r="AC12" i="13"/>
  <c r="Q12" i="13"/>
  <c r="S21" i="13"/>
  <c r="O7" i="13"/>
  <c r="E9" i="13"/>
  <c r="AE5" i="13"/>
  <c r="AA10" i="13"/>
  <c r="W4" i="13"/>
  <c r="X44" i="13"/>
  <c r="V43" i="13"/>
  <c r="X42" i="13"/>
  <c r="AD41" i="13"/>
  <c r="E41" i="13"/>
  <c r="J40" i="13"/>
  <c r="V38" i="13"/>
  <c r="AF37" i="13"/>
  <c r="H37" i="13"/>
  <c r="X35" i="13"/>
  <c r="AI34" i="13"/>
  <c r="K34" i="13"/>
  <c r="S33" i="13"/>
  <c r="AC32" i="13"/>
  <c r="I32" i="13"/>
  <c r="T31" i="13"/>
  <c r="AG30" i="13"/>
  <c r="L30" i="13"/>
  <c r="V29" i="13"/>
  <c r="E29" i="13"/>
  <c r="Z27" i="13"/>
  <c r="G27" i="13"/>
  <c r="S26" i="13"/>
  <c r="AD25" i="13"/>
  <c r="K25" i="13"/>
  <c r="W24" i="13"/>
  <c r="AG23" i="13"/>
  <c r="O23" i="13"/>
  <c r="AA22" i="13"/>
  <c r="E22" i="13"/>
  <c r="AC20" i="13"/>
  <c r="I20" i="13"/>
  <c r="T19" i="13"/>
  <c r="AG18" i="13"/>
  <c r="L18" i="13"/>
  <c r="V17" i="13"/>
  <c r="E17" i="13"/>
  <c r="Z15" i="13"/>
  <c r="G15" i="13"/>
  <c r="S14" i="13"/>
  <c r="AD13" i="13"/>
  <c r="K13" i="13"/>
  <c r="W12" i="13"/>
  <c r="AH11" i="13"/>
  <c r="Q11" i="13"/>
  <c r="AF10" i="13"/>
  <c r="O10" i="13"/>
  <c r="AB9" i="13"/>
  <c r="K9" i="13"/>
  <c r="Y8" i="13"/>
  <c r="J8" i="13"/>
  <c r="AB7" i="13"/>
  <c r="N7" i="13"/>
  <c r="AE6" i="13"/>
  <c r="Q6" i="13"/>
  <c r="AH5" i="13"/>
  <c r="T5" i="13"/>
  <c r="H5" i="13"/>
  <c r="AB4" i="13"/>
  <c r="O4" i="13"/>
  <c r="AE45" i="13"/>
  <c r="T44" i="13"/>
  <c r="U43" i="13"/>
  <c r="W42" i="13"/>
  <c r="AC41" i="13"/>
  <c r="AI40" i="13"/>
  <c r="I40" i="13"/>
  <c r="O39" i="13"/>
  <c r="U38" i="13"/>
  <c r="AD37" i="13"/>
  <c r="F37" i="13"/>
  <c r="N36" i="13"/>
  <c r="AF34" i="13"/>
  <c r="H34" i="13"/>
  <c r="AA32" i="13"/>
  <c r="H32" i="13"/>
  <c r="R31" i="13"/>
  <c r="AE30" i="13"/>
  <c r="K30" i="13"/>
  <c r="U29" i="13"/>
  <c r="AI28" i="13"/>
  <c r="O28" i="13"/>
  <c r="D27" i="13"/>
  <c r="Q26" i="13"/>
  <c r="H25" i="13"/>
  <c r="AF23" i="13"/>
  <c r="Y22" i="13"/>
  <c r="D22" i="13"/>
  <c r="AA20" i="13"/>
  <c r="R19" i="13"/>
  <c r="K18" i="13"/>
  <c r="AI16" i="13"/>
  <c r="Y15" i="13"/>
  <c r="Q14" i="13"/>
  <c r="AC13" i="13"/>
  <c r="U12" i="13"/>
  <c r="AD10" i="13"/>
  <c r="Z9" i="13"/>
  <c r="X8" i="13"/>
  <c r="I8" i="13"/>
  <c r="M7" i="13"/>
  <c r="S5" i="13"/>
  <c r="AA4" i="13"/>
  <c r="I30" i="13"/>
  <c r="AH26" i="13"/>
  <c r="S24" i="13"/>
  <c r="W22" i="13"/>
  <c r="X20" i="13"/>
  <c r="Q19" i="13"/>
  <c r="T17" i="13"/>
  <c r="X15" i="13"/>
  <c r="AB13" i="13"/>
  <c r="AF11" i="13"/>
  <c r="K10" i="13"/>
  <c r="V8" i="13"/>
  <c r="K7" i="13"/>
  <c r="R5" i="13"/>
  <c r="L4" i="13"/>
  <c r="X9" i="13"/>
  <c r="E5" i="13"/>
  <c r="H10" i="13"/>
  <c r="V35" i="13"/>
  <c r="Y27" i="13"/>
  <c r="AC25" i="13"/>
  <c r="U24" i="13"/>
  <c r="L23" i="13"/>
  <c r="N21" i="13"/>
  <c r="H20" i="13"/>
  <c r="AE18" i="13"/>
  <c r="U17" i="13"/>
  <c r="O16" i="13"/>
  <c r="D15" i="13"/>
  <c r="H13" i="13"/>
  <c r="AG11" i="13"/>
  <c r="M10" i="13"/>
  <c r="I9" i="13"/>
  <c r="AA7" i="13"/>
  <c r="AD6" i="13"/>
  <c r="AG5" i="13"/>
  <c r="G5" i="13"/>
  <c r="N4" i="13"/>
  <c r="AF28" i="13"/>
  <c r="AB25" i="13"/>
  <c r="AE23" i="13"/>
  <c r="AI21" i="13"/>
  <c r="G20" i="13"/>
  <c r="I18" i="13"/>
  <c r="AF16" i="13"/>
  <c r="AH14" i="13"/>
  <c r="S12" i="13"/>
  <c r="O11" i="13"/>
  <c r="Y9" i="13"/>
  <c r="H8" i="13"/>
  <c r="AC6" i="13"/>
  <c r="AF5" i="13"/>
  <c r="F5" i="13"/>
  <c r="AE11" i="13"/>
  <c r="M6" i="13"/>
  <c r="T8" i="13"/>
  <c r="AC45" i="13"/>
  <c r="R44" i="13"/>
  <c r="T43" i="13"/>
  <c r="S42" i="13"/>
  <c r="AA41" i="13"/>
  <c r="AH40" i="13"/>
  <c r="H40" i="13"/>
  <c r="N39" i="13"/>
  <c r="T38" i="13"/>
  <c r="AC37" i="13"/>
  <c r="E37" i="13"/>
  <c r="M36" i="13"/>
  <c r="U35" i="13"/>
  <c r="AD34" i="13"/>
  <c r="F34" i="13"/>
  <c r="N33" i="13"/>
  <c r="X32" i="13"/>
  <c r="G32" i="13"/>
  <c r="Q31" i="13"/>
  <c r="AB30" i="13"/>
  <c r="T29" i="13"/>
  <c r="M28" i="13"/>
  <c r="X27" i="13"/>
  <c r="F25" i="13"/>
  <c r="J23" i="13"/>
  <c r="M21" i="13"/>
  <c r="AB18" i="13"/>
  <c r="M16" i="13"/>
  <c r="F13" i="13"/>
  <c r="AC10" i="13"/>
  <c r="G9" i="13"/>
  <c r="Z7" i="13"/>
  <c r="N6" i="13"/>
  <c r="Z4" i="13"/>
  <c r="AB10" i="13"/>
  <c r="N12" i="13"/>
  <c r="Z6" i="13"/>
  <c r="U45" i="13"/>
  <c r="Q44" i="13"/>
  <c r="Q42" i="13"/>
  <c r="X41" i="13"/>
  <c r="AE40" i="13"/>
  <c r="E40" i="13"/>
  <c r="K39" i="13"/>
  <c r="Q38" i="13"/>
  <c r="AB37" i="13"/>
  <c r="D37" i="13"/>
  <c r="L36" i="13"/>
  <c r="T35" i="13"/>
  <c r="AC34" i="13"/>
  <c r="E34" i="13"/>
  <c r="M33" i="13"/>
  <c r="V32" i="13"/>
  <c r="E32" i="13"/>
  <c r="Z30" i="13"/>
  <c r="G30" i="13"/>
  <c r="S29" i="13"/>
  <c r="AD28" i="13"/>
  <c r="K28" i="13"/>
  <c r="W27" i="13"/>
  <c r="AG26" i="13"/>
  <c r="O26" i="13"/>
  <c r="AA25" i="13"/>
  <c r="E25" i="13"/>
  <c r="AC23" i="13"/>
  <c r="I23" i="13"/>
  <c r="T22" i="13"/>
  <c r="AG21" i="13"/>
  <c r="L21" i="13"/>
  <c r="V20" i="13"/>
  <c r="E20" i="13"/>
  <c r="Z18" i="13"/>
  <c r="G18" i="13"/>
  <c r="S17" i="13"/>
  <c r="AD16" i="13"/>
  <c r="K16" i="13"/>
  <c r="W15" i="13"/>
  <c r="AG14" i="13"/>
  <c r="O14" i="13"/>
  <c r="E13" i="13"/>
  <c r="Y7" i="13"/>
  <c r="D9" i="13"/>
  <c r="Q45" i="13"/>
  <c r="N43" i="13"/>
  <c r="V41" i="13"/>
  <c r="AC40" i="13"/>
  <c r="AI39" i="13"/>
  <c r="I39" i="13"/>
  <c r="Y37" i="13"/>
  <c r="AG36" i="13"/>
  <c r="I36" i="13"/>
  <c r="Q35" i="13"/>
  <c r="AB34" i="13"/>
  <c r="D34" i="13"/>
  <c r="L33" i="13"/>
  <c r="U32" i="13"/>
  <c r="AI31" i="13"/>
  <c r="O31" i="13"/>
  <c r="Y30" i="13"/>
  <c r="D30" i="13"/>
  <c r="Q29" i="13"/>
  <c r="AC28" i="13"/>
  <c r="H28" i="13"/>
  <c r="U27" i="13"/>
  <c r="AF26" i="13"/>
  <c r="L26" i="13"/>
  <c r="Y25" i="13"/>
  <c r="D25" i="13"/>
  <c r="N24" i="13"/>
  <c r="AA23" i="13"/>
  <c r="H23" i="13"/>
  <c r="R22" i="13"/>
  <c r="AE21" i="13"/>
  <c r="K21" i="13"/>
  <c r="U20" i="13"/>
  <c r="AI19" i="13"/>
  <c r="O19" i="13"/>
  <c r="Y18" i="13"/>
  <c r="D18" i="13"/>
  <c r="Q17" i="13"/>
  <c r="AC16" i="13"/>
  <c r="H16" i="13"/>
  <c r="U15" i="13"/>
  <c r="AF14" i="13"/>
  <c r="L14" i="13"/>
  <c r="AC11" i="13"/>
  <c r="AD5" i="13"/>
  <c r="K44" i="13"/>
  <c r="J43" i="13"/>
  <c r="N42" i="13"/>
  <c r="S41" i="13"/>
  <c r="Z40" i="13"/>
  <c r="AE39" i="13"/>
  <c r="E39" i="13"/>
  <c r="O38" i="13"/>
  <c r="W37" i="13"/>
  <c r="AE36" i="13"/>
  <c r="G36" i="13"/>
  <c r="Y34" i="13"/>
  <c r="AG33" i="13"/>
  <c r="I33" i="13"/>
  <c r="T32" i="13"/>
  <c r="AF31" i="13"/>
  <c r="M31" i="13"/>
  <c r="X30" i="13"/>
  <c r="AH29" i="13"/>
  <c r="AB28" i="13"/>
  <c r="F28" i="13"/>
  <c r="S27" i="13"/>
  <c r="AE26" i="13"/>
  <c r="J26" i="13"/>
  <c r="W25" i="13"/>
  <c r="AI24" i="13"/>
  <c r="M24" i="13"/>
  <c r="X23" i="13"/>
  <c r="G23" i="13"/>
  <c r="Q22" i="13"/>
  <c r="AB21" i="13"/>
  <c r="I21" i="13"/>
  <c r="T20" i="13"/>
  <c r="AF19" i="13"/>
  <c r="M19" i="13"/>
  <c r="X18" i="13"/>
  <c r="AH17" i="13"/>
  <c r="AB16" i="13"/>
  <c r="F16" i="13"/>
  <c r="S15" i="13"/>
  <c r="AE14" i="13"/>
  <c r="J14" i="13"/>
  <c r="W13" i="13"/>
  <c r="AI12" i="13"/>
  <c r="M12" i="13"/>
  <c r="AA11" i="13"/>
  <c r="J11" i="13"/>
  <c r="Y10" i="13"/>
  <c r="F10" i="13"/>
  <c r="U9" i="13"/>
  <c r="AH8" i="13"/>
  <c r="S8" i="13"/>
  <c r="E8" i="13"/>
  <c r="V7" i="13"/>
  <c r="H7" i="13"/>
  <c r="Y6" i="13"/>
  <c r="K6" i="13"/>
  <c r="AC5" i="13"/>
  <c r="O5" i="13"/>
  <c r="AI4" i="13"/>
  <c r="V4" i="13"/>
  <c r="I4" i="13"/>
  <c r="G44" i="13"/>
  <c r="H43" i="13"/>
  <c r="K42" i="13"/>
  <c r="Q41" i="13"/>
  <c r="W40" i="13"/>
  <c r="AI38" i="13"/>
  <c r="T37" i="13"/>
  <c r="AB36" i="13"/>
  <c r="O35" i="13"/>
  <c r="AE33" i="13"/>
  <c r="S32" i="13"/>
  <c r="W30" i="13"/>
  <c r="O29" i="13"/>
  <c r="E28" i="13"/>
  <c r="I26" i="13"/>
  <c r="AG24" i="13"/>
  <c r="V23" i="13"/>
  <c r="G21" i="13"/>
  <c r="AD19" i="13"/>
  <c r="W18" i="13"/>
  <c r="O17" i="13"/>
  <c r="E16" i="13"/>
  <c r="I14" i="13"/>
  <c r="L12" i="13"/>
  <c r="I11" i="13"/>
  <c r="E10" i="13"/>
  <c r="AG8" i="13"/>
  <c r="AI7" i="13"/>
  <c r="F7" i="13"/>
  <c r="J6" i="13"/>
  <c r="N5" i="13"/>
  <c r="U4" i="13"/>
  <c r="I12" i="13"/>
  <c r="AI9" i="13"/>
  <c r="R7" i="13"/>
  <c r="L5" i="13"/>
  <c r="I10" i="13"/>
  <c r="Q5" i="13"/>
  <c r="W9" i="13"/>
  <c r="O45" i="13"/>
  <c r="AC39" i="13"/>
  <c r="L38" i="13"/>
  <c r="D36" i="13"/>
  <c r="W34" i="13"/>
  <c r="G33" i="13"/>
  <c r="AD31" i="13"/>
  <c r="K31" i="13"/>
  <c r="AG29" i="13"/>
  <c r="AA28" i="13"/>
  <c r="AC26" i="13"/>
  <c r="T25" i="13"/>
  <c r="L24" i="13"/>
  <c r="E23" i="13"/>
  <c r="Z21" i="13"/>
  <c r="S20" i="13"/>
  <c r="K19" i="13"/>
  <c r="AG17" i="13"/>
  <c r="AA16" i="13"/>
  <c r="AC14" i="13"/>
  <c r="T13" i="13"/>
  <c r="AG12" i="13"/>
  <c r="Y11" i="13"/>
  <c r="W10" i="13"/>
  <c r="S9" i="13"/>
  <c r="R8" i="13"/>
  <c r="U7" i="13"/>
  <c r="X6" i="13"/>
  <c r="AA5" i="13"/>
  <c r="AH4" i="13"/>
  <c r="H4" i="13"/>
  <c r="V11" i="13"/>
  <c r="AE8" i="13"/>
  <c r="D7" i="13"/>
  <c r="Y5" i="13"/>
  <c r="S4" i="13"/>
  <c r="G8" i="13"/>
  <c r="Y13" i="13"/>
  <c r="I7" i="13"/>
  <c r="N45" i="13"/>
  <c r="E44" i="13"/>
  <c r="G43" i="13"/>
  <c r="J42" i="13"/>
  <c r="V40" i="13"/>
  <c r="AB39" i="13"/>
  <c r="AH38" i="13"/>
  <c r="J38" i="13"/>
  <c r="R37" i="13"/>
  <c r="Z36" i="13"/>
  <c r="AH35" i="13"/>
  <c r="L35" i="13"/>
  <c r="T34" i="13"/>
  <c r="AB33" i="13"/>
  <c r="D33" i="13"/>
  <c r="Q32" i="13"/>
  <c r="AC31" i="13"/>
  <c r="H31" i="13"/>
  <c r="U30" i="13"/>
  <c r="AF29" i="13"/>
  <c r="L29" i="13"/>
  <c r="Y28" i="13"/>
  <c r="D28" i="13"/>
  <c r="N27" i="13"/>
  <c r="AA26" i="13"/>
  <c r="H26" i="13"/>
  <c r="R25" i="13"/>
  <c r="AE24" i="13"/>
  <c r="K24" i="13"/>
  <c r="U23" i="13"/>
  <c r="AI22" i="13"/>
  <c r="O22" i="13"/>
  <c r="Y21" i="13"/>
  <c r="D21" i="13"/>
  <c r="Q20" i="13"/>
  <c r="AC19" i="13"/>
  <c r="H19" i="13"/>
  <c r="U18" i="13"/>
  <c r="AF17" i="13"/>
  <c r="L17" i="13"/>
  <c r="Y16" i="13"/>
  <c r="D16" i="13"/>
  <c r="N15" i="13"/>
  <c r="AA14" i="13"/>
  <c r="H14" i="13"/>
  <c r="R13" i="13"/>
  <c r="AE12" i="13"/>
  <c r="K12" i="13"/>
  <c r="X11" i="13"/>
  <c r="H11" i="13"/>
  <c r="U10" i="13"/>
  <c r="D10" i="13"/>
  <c r="Q9" i="13"/>
  <c r="AF8" i="13"/>
  <c r="Q8" i="13"/>
  <c r="AH7" i="13"/>
  <c r="T7" i="13"/>
  <c r="E7" i="13"/>
  <c r="W6" i="13"/>
  <c r="I6" i="13"/>
  <c r="Z5" i="13"/>
  <c r="M5" i="13"/>
  <c r="AG4" i="13"/>
  <c r="T4" i="13"/>
  <c r="G4" i="13"/>
  <c r="F45" i="13"/>
  <c r="AI43" i="13"/>
  <c r="F43" i="13"/>
  <c r="I42" i="13"/>
  <c r="O41" i="13"/>
  <c r="U40" i="13"/>
  <c r="AA39" i="13"/>
  <c r="AG38" i="13"/>
  <c r="I38" i="13"/>
  <c r="Q37" i="13"/>
  <c r="Y36" i="13"/>
  <c r="AG35" i="13"/>
  <c r="J35" i="13"/>
  <c r="R34" i="13"/>
  <c r="Z33" i="13"/>
  <c r="AH32" i="13"/>
  <c r="AB31" i="13"/>
  <c r="F31" i="13"/>
  <c r="S30" i="13"/>
  <c r="AE29" i="13"/>
  <c r="J29" i="13"/>
  <c r="W28" i="13"/>
  <c r="AI27" i="13"/>
  <c r="M27" i="13"/>
  <c r="X26" i="13"/>
  <c r="G26" i="13"/>
  <c r="Q25" i="13"/>
  <c r="AB24" i="13"/>
  <c r="I24" i="13"/>
  <c r="T23" i="13"/>
  <c r="AF22" i="13"/>
  <c r="M22" i="13"/>
  <c r="AH20" i="13"/>
  <c r="AB19" i="13"/>
  <c r="F19" i="13"/>
  <c r="S18" i="13"/>
  <c r="AE17" i="13"/>
  <c r="J17" i="13"/>
  <c r="W16" i="13"/>
  <c r="AI15" i="13"/>
  <c r="M15" i="13"/>
  <c r="X14" i="13"/>
  <c r="G14" i="13"/>
  <c r="Q13" i="13"/>
  <c r="AB12" i="13"/>
  <c r="G11" i="13"/>
  <c r="AG7" i="13"/>
  <c r="V6" i="13"/>
  <c r="AF4" i="13"/>
  <c r="F4" i="13"/>
  <c r="J7" i="13"/>
  <c r="K4" i="13"/>
  <c r="F8" i="13"/>
  <c r="J4" i="13"/>
  <c r="X21" i="13"/>
  <c r="T10" i="13"/>
  <c r="G6" i="13"/>
  <c r="M11" i="13"/>
  <c r="D13" i="13"/>
  <c r="L6" i="13"/>
  <c r="AI44" i="13"/>
  <c r="AH43" i="13"/>
  <c r="AE42" i="13"/>
  <c r="E42" i="13"/>
  <c r="L41" i="13"/>
  <c r="R40" i="13"/>
  <c r="X39" i="13"/>
  <c r="AD38" i="13"/>
  <c r="H38" i="13"/>
  <c r="X36" i="13"/>
  <c r="AF35" i="13"/>
  <c r="I35" i="13"/>
  <c r="Q34" i="13"/>
  <c r="Y33" i="13"/>
  <c r="AG32" i="13"/>
  <c r="O32" i="13"/>
  <c r="AA31" i="13"/>
  <c r="E31" i="13"/>
  <c r="AC29" i="13"/>
  <c r="I29" i="13"/>
  <c r="T28" i="13"/>
  <c r="AG27" i="13"/>
  <c r="L27" i="13"/>
  <c r="V26" i="13"/>
  <c r="E26" i="13"/>
  <c r="Z24" i="13"/>
  <c r="G24" i="13"/>
  <c r="S23" i="13"/>
  <c r="AD22" i="13"/>
  <c r="K22" i="13"/>
  <c r="W21" i="13"/>
  <c r="AG20" i="13"/>
  <c r="O20" i="13"/>
  <c r="AA19" i="13"/>
  <c r="E19" i="13"/>
  <c r="AC17" i="13"/>
  <c r="I17" i="13"/>
  <c r="T16" i="13"/>
  <c r="AG15" i="13"/>
  <c r="L15" i="13"/>
  <c r="V14" i="13"/>
  <c r="E14" i="13"/>
  <c r="Z12" i="13"/>
  <c r="G12" i="13"/>
  <c r="U11" i="13"/>
  <c r="E11" i="13"/>
  <c r="R10" i="13"/>
  <c r="AG9" i="13"/>
  <c r="N9" i="13"/>
  <c r="AD8" i="13"/>
  <c r="O8" i="13"/>
  <c r="AF7" i="13"/>
  <c r="Q7" i="13"/>
  <c r="AI6" i="13"/>
  <c r="U6" i="13"/>
  <c r="F6" i="13"/>
  <c r="X5" i="13"/>
  <c r="K5" i="13"/>
  <c r="AE4" i="13"/>
  <c r="R4" i="13"/>
  <c r="E4" i="13"/>
  <c r="AF41" i="13"/>
  <c r="R39" i="13"/>
  <c r="K37" i="13"/>
  <c r="AA35" i="13"/>
  <c r="M34" i="13"/>
  <c r="AE32" i="13"/>
  <c r="W31" i="13"/>
  <c r="M30" i="13"/>
  <c r="F22" i="13"/>
  <c r="W19" i="13"/>
  <c r="M18" i="13"/>
  <c r="G17" i="13"/>
  <c r="AB15" i="13"/>
  <c r="T14" i="13"/>
  <c r="M13" i="13"/>
  <c r="S11" i="13"/>
  <c r="AC9" i="13"/>
  <c r="AA8" i="13"/>
  <c r="AC7" i="13"/>
  <c r="R6" i="13"/>
  <c r="U5" i="13"/>
  <c r="AC4" i="13"/>
  <c r="U8" i="13"/>
  <c r="X4" i="13"/>
  <c r="W7" i="13"/>
  <c r="AF44" i="13"/>
  <c r="AB43" i="13"/>
  <c r="AB42" i="13"/>
  <c r="AI41" i="13"/>
  <c r="J41" i="13"/>
  <c r="V39" i="13"/>
  <c r="AA38" i="13"/>
  <c r="E38" i="13"/>
  <c r="M37" i="13"/>
  <c r="U36" i="13"/>
  <c r="AC35" i="13"/>
  <c r="H35" i="13"/>
  <c r="X33" i="13"/>
  <c r="AF32" i="13"/>
  <c r="L32" i="13"/>
  <c r="Y31" i="13"/>
  <c r="D31" i="13"/>
  <c r="N30" i="13"/>
  <c r="AA29" i="13"/>
  <c r="H29" i="13"/>
  <c r="R28" i="13"/>
  <c r="AE27" i="13"/>
  <c r="K27" i="13"/>
  <c r="U26" i="13"/>
  <c r="AI25" i="13"/>
  <c r="O25" i="13"/>
  <c r="Y24" i="13"/>
  <c r="D24" i="13"/>
  <c r="Q23" i="13"/>
  <c r="AC22" i="13"/>
  <c r="H22" i="13"/>
  <c r="U21" i="13"/>
  <c r="AF20" i="13"/>
  <c r="L20" i="13"/>
  <c r="Y19" i="13"/>
  <c r="D19" i="13"/>
  <c r="N18" i="13"/>
  <c r="AA17" i="13"/>
  <c r="H17" i="13"/>
  <c r="R16" i="13"/>
  <c r="AE15" i="13"/>
  <c r="K15" i="13"/>
  <c r="U14" i="13"/>
  <c r="AI13" i="13"/>
  <c r="O13" i="13"/>
  <c r="Y12" i="13"/>
  <c r="E12" i="13"/>
  <c r="T11" i="13"/>
  <c r="AI10" i="13"/>
  <c r="Q10" i="13"/>
  <c r="AE9" i="13"/>
  <c r="M9" i="13"/>
  <c r="AC8" i="13"/>
  <c r="M8" i="13"/>
  <c r="AD7" i="13"/>
  <c r="AH6" i="13"/>
  <c r="S6" i="13"/>
  <c r="E6" i="13"/>
  <c r="V5" i="13"/>
  <c r="J5" i="13"/>
  <c r="AD4" i="13"/>
  <c r="Q4" i="13"/>
  <c r="D4" i="13"/>
  <c r="AE44" i="13"/>
  <c r="Y43" i="13"/>
  <c r="Z42" i="13"/>
  <c r="G41" i="13"/>
  <c r="M40" i="13"/>
  <c r="X38" i="13"/>
  <c r="AI37" i="13"/>
  <c r="S36" i="13"/>
  <c r="E35" i="13"/>
  <c r="U33" i="13"/>
  <c r="J32" i="13"/>
  <c r="AI30" i="13"/>
  <c r="X29" i="13"/>
  <c r="G29" i="13"/>
  <c r="Q28" i="13"/>
  <c r="AB27" i="13"/>
  <c r="I27" i="13"/>
  <c r="T26" i="13"/>
  <c r="AF25" i="13"/>
  <c r="M25" i="13"/>
  <c r="X24" i="13"/>
  <c r="AH23" i="13"/>
  <c r="AB22" i="13"/>
  <c r="AE20" i="13"/>
  <c r="J20" i="13"/>
  <c r="AI18" i="13"/>
  <c r="X17" i="13"/>
  <c r="Q16" i="13"/>
  <c r="I15" i="13"/>
  <c r="AF13" i="13"/>
  <c r="X12" i="13"/>
  <c r="D12" i="13"/>
  <c r="AG10" i="13"/>
  <c r="L9" i="13"/>
  <c r="L8" i="13"/>
  <c r="AG6" i="13"/>
  <c r="D6" i="13"/>
  <c r="I5" i="13"/>
  <c r="AA13" i="13"/>
  <c r="AB6" i="13"/>
  <c r="L11" i="13"/>
  <c r="G3" i="10"/>
  <c r="G4" i="10"/>
  <c r="G5" i="10"/>
  <c r="G6" i="10"/>
  <c r="G7" i="10"/>
  <c r="G8" i="10"/>
  <c r="G9" i="10"/>
  <c r="G10" i="10"/>
  <c r="G11" i="10"/>
  <c r="G12" i="10"/>
  <c r="G13" i="10"/>
  <c r="G14" i="10"/>
  <c r="AL5" i="13" l="1"/>
  <c r="C6" i="13" s="1"/>
  <c r="AL6" i="13" s="1"/>
  <c r="C7" i="13" s="1"/>
  <c r="AL7" i="13" s="1"/>
  <c r="C8" i="13" s="1"/>
  <c r="AL8" i="13" s="1"/>
  <c r="C9" i="13" s="1"/>
  <c r="AL9" i="13" s="1"/>
  <c r="C10" i="13" s="1"/>
  <c r="AL10" i="13" s="1"/>
  <c r="C11" i="13" s="1"/>
  <c r="AL11" i="13" s="1"/>
  <c r="C12" i="13" s="1"/>
  <c r="AL12" i="13" s="1"/>
  <c r="C13" i="13" s="1"/>
  <c r="AL13" i="13" s="1"/>
  <c r="C14" i="13" s="1"/>
  <c r="AL14" i="13" s="1"/>
  <c r="C15" i="13" s="1"/>
  <c r="AL15" i="13" s="1"/>
  <c r="C16" i="13" s="1"/>
  <c r="AL16" i="13" s="1"/>
  <c r="C17" i="13" s="1"/>
  <c r="AL17" i="13" s="1"/>
  <c r="C18" i="13" s="1"/>
  <c r="AL18" i="13" s="1"/>
  <c r="C19" i="13" s="1"/>
  <c r="AL19" i="13" s="1"/>
  <c r="C20" i="13" s="1"/>
  <c r="AL20" i="13" s="1"/>
  <c r="C21" i="13" s="1"/>
  <c r="AL21" i="13" s="1"/>
  <c r="C22" i="13" s="1"/>
  <c r="AL22" i="13" s="1"/>
  <c r="C23" i="13" s="1"/>
  <c r="AL23" i="13" s="1"/>
  <c r="C24" i="13" s="1"/>
  <c r="AL24" i="13" s="1"/>
  <c r="C25" i="13" s="1"/>
  <c r="AL25" i="13" s="1"/>
  <c r="C26" i="13" s="1"/>
  <c r="AL26" i="13" s="1"/>
  <c r="C27" i="13" s="1"/>
  <c r="AL27" i="13" s="1"/>
  <c r="C28" i="13" s="1"/>
  <c r="AL28" i="13" s="1"/>
  <c r="C29" i="13" s="1"/>
  <c r="AL29" i="13" s="1"/>
  <c r="C30" i="13" s="1"/>
  <c r="AL30" i="13" s="1"/>
  <c r="C31" i="13" s="1"/>
  <c r="AL31" i="13" s="1"/>
  <c r="C32" i="13" s="1"/>
  <c r="AL32" i="13" s="1"/>
  <c r="C33" i="13" s="1"/>
  <c r="AL33" i="13" s="1"/>
  <c r="C34" i="13" s="1"/>
  <c r="AL34" i="13" s="1"/>
  <c r="C35" i="13" s="1"/>
  <c r="AL35" i="13" s="1"/>
  <c r="C36" i="13" s="1"/>
  <c r="AL36" i="13" s="1"/>
  <c r="C37" i="13" s="1"/>
  <c r="AL37" i="13" s="1"/>
  <c r="C38" i="13" s="1"/>
  <c r="AL38" i="13" s="1"/>
  <c r="C39" i="13" s="1"/>
  <c r="AL39" i="13" s="1"/>
  <c r="C40" i="13" s="1"/>
  <c r="AL40" i="13" s="1"/>
  <c r="C41" i="13" s="1"/>
  <c r="AL41" i="13" s="1"/>
  <c r="C42" i="13" s="1"/>
  <c r="AL42" i="13" s="1"/>
  <c r="C43" i="13" s="1"/>
  <c r="AL43" i="13" s="1"/>
  <c r="C44" i="13" s="1"/>
  <c r="AL44" i="13" s="1"/>
  <c r="C45" i="13" s="1"/>
  <c r="AL45" i="13" s="1"/>
  <c r="C46" i="13" s="1"/>
  <c r="AL46" i="13" s="1"/>
  <c r="C47" i="13" s="1"/>
  <c r="AL47" i="13" s="1"/>
  <c r="C48" i="13" s="1"/>
  <c r="AL48" i="13" s="1"/>
  <c r="C49" i="13" s="1"/>
  <c r="AL49" i="13" s="1"/>
  <c r="C50" i="13" s="1"/>
  <c r="AL50" i="13" s="1"/>
  <c r="C51" i="13" s="1"/>
  <c r="AL51" i="13" s="1"/>
  <c r="C52" i="13" s="1"/>
  <c r="AL52" i="13" s="1"/>
  <c r="C53" i="13" s="1"/>
  <c r="AL53" i="13" s="1"/>
  <c r="C54" i="13" s="1"/>
  <c r="AL54" i="13" s="1"/>
  <c r="C55" i="13" s="1"/>
  <c r="AL55" i="13" s="1"/>
  <c r="C56" i="13" s="1"/>
  <c r="AL56" i="13" s="1"/>
  <c r="C57" i="13" s="1"/>
  <c r="AL57" i="13" s="1"/>
  <c r="C58" i="13" s="1"/>
  <c r="AL58" i="13" s="1"/>
  <c r="C59" i="13" s="1"/>
  <c r="AL59" i="13" s="1"/>
  <c r="C60" i="13" s="1"/>
  <c r="AL60" i="13" s="1"/>
  <c r="C61" i="13" s="1"/>
  <c r="AL61" i="13" s="1"/>
  <c r="C62" i="13" s="1"/>
  <c r="AL62" i="13" s="1"/>
  <c r="C63" i="13" s="1"/>
  <c r="AL63" i="13" s="1"/>
  <c r="C64" i="13" s="1"/>
  <c r="AL64" i="13" s="1"/>
  <c r="C65" i="13" s="1"/>
  <c r="AL65" i="13" s="1"/>
  <c r="C66" i="13" s="1"/>
  <c r="AL66" i="13" s="1"/>
  <c r="C67" i="13" s="1"/>
  <c r="AL67" i="13" s="1"/>
  <c r="C68" i="13" s="1"/>
  <c r="AL68" i="13" s="1"/>
  <c r="C69" i="13" s="1"/>
  <c r="AL69" i="13" s="1"/>
  <c r="C70" i="13" s="1"/>
  <c r="AL70" i="13" s="1"/>
  <c r="C71" i="13" s="1"/>
  <c r="AL71" i="13" s="1"/>
  <c r="C72" i="13" s="1"/>
  <c r="AL72" i="13" s="1"/>
  <c r="C73" i="13" s="1"/>
  <c r="AL73" i="13" s="1"/>
  <c r="C74" i="13" s="1"/>
  <c r="AL74" i="13" s="1"/>
  <c r="C75" i="13" s="1"/>
  <c r="AL75" i="13" s="1"/>
  <c r="C76" i="13" s="1"/>
  <c r="AL76" i="13" s="1"/>
  <c r="C77" i="13" s="1"/>
  <c r="AL77" i="13" s="1"/>
  <c r="C78" i="13" s="1"/>
  <c r="AL78" i="13" s="1"/>
  <c r="C79" i="13" s="1"/>
  <c r="AL79" i="13" s="1"/>
  <c r="C80" i="13" s="1"/>
  <c r="AL80" i="13" s="1"/>
  <c r="C81" i="13" s="1"/>
  <c r="AL81" i="13" s="1"/>
  <c r="C82" i="13" s="1"/>
  <c r="AL82" i="13" s="1"/>
  <c r="C83" i="13" s="1"/>
  <c r="AL83" i="13" s="1"/>
  <c r="C84" i="13" s="1"/>
  <c r="AL84" i="13" s="1"/>
  <c r="C85" i="13" s="1"/>
  <c r="AL85" i="13" s="1"/>
  <c r="C86" i="13" s="1"/>
  <c r="AL86" i="13" s="1"/>
  <c r="C87" i="13" s="1"/>
  <c r="AL87" i="13" s="1"/>
  <c r="C88" i="13" s="1"/>
  <c r="AL88" i="13" s="1"/>
  <c r="C89" i="13" s="1"/>
  <c r="AL89" i="13" s="1"/>
  <c r="C90" i="13" s="1"/>
  <c r="AL90" i="13" s="1"/>
  <c r="C91" i="13" s="1"/>
  <c r="AL91" i="13" s="1"/>
  <c r="C92" i="13" s="1"/>
  <c r="AL92" i="13" s="1"/>
  <c r="C93" i="13" s="1"/>
  <c r="AL93" i="13" s="1"/>
  <c r="C94" i="13" s="1"/>
  <c r="AL94" i="13" s="1"/>
  <c r="C95" i="13" s="1"/>
  <c r="AL95" i="13" s="1"/>
  <c r="C96" i="13" s="1"/>
  <c r="AL96" i="13" s="1"/>
  <c r="C97" i="13" s="1"/>
  <c r="AL97" i="13" s="1"/>
  <c r="C98" i="13" s="1"/>
  <c r="AL98" i="13" s="1"/>
  <c r="C99" i="13" s="1"/>
  <c r="AL99" i="13" s="1"/>
  <c r="C100" i="13" s="1"/>
  <c r="AL100" i="13" s="1"/>
  <c r="C101" i="13" s="1"/>
  <c r="AL101" i="13" s="1"/>
  <c r="C102" i="13" s="1"/>
  <c r="AL102" i="13" s="1"/>
  <c r="C103" i="13" s="1"/>
  <c r="AL103" i="13" s="1"/>
  <c r="C104" i="13" s="1"/>
  <c r="AL104" i="13" s="1"/>
  <c r="C105" i="13" s="1"/>
  <c r="AL105" i="13" s="1"/>
  <c r="C106" i="13" s="1"/>
  <c r="AL106" i="13" s="1"/>
  <c r="C107" i="13" s="1"/>
  <c r="AL107" i="13" s="1"/>
  <c r="C108" i="13" s="1"/>
  <c r="AL108" i="13" s="1"/>
  <c r="C109" i="13" s="1"/>
  <c r="AL109" i="13" s="1"/>
  <c r="C110" i="13" s="1"/>
  <c r="AL110" i="13" s="1"/>
  <c r="C111" i="13" s="1"/>
  <c r="AL111" i="13" s="1"/>
  <c r="C112" i="13" s="1"/>
  <c r="AL112" i="13" s="1"/>
  <c r="C113" i="13" s="1"/>
  <c r="AL113" i="13" s="1"/>
  <c r="C114" i="13" s="1"/>
  <c r="AL114" i="13" s="1"/>
  <c r="C115" i="13" s="1"/>
  <c r="AL115" i="13" s="1"/>
  <c r="C116" i="13" s="1"/>
  <c r="AL116" i="13" s="1"/>
  <c r="C117" i="13" s="1"/>
  <c r="AL117" i="13" s="1"/>
  <c r="C118" i="13" s="1"/>
  <c r="AL118" i="13" s="1"/>
  <c r="C119" i="13" s="1"/>
  <c r="AL119" i="13" s="1"/>
  <c r="C120" i="13" s="1"/>
  <c r="AL120" i="13" s="1"/>
  <c r="C121" i="13" s="1"/>
  <c r="AL121" i="13" s="1"/>
  <c r="C122" i="13" s="1"/>
  <c r="AL122" i="13" s="1"/>
  <c r="C123" i="13" s="1"/>
  <c r="AL123" i="13" s="1"/>
  <c r="C124" i="13" s="1"/>
  <c r="AL124" i="13" s="1"/>
  <c r="C125" i="13" s="1"/>
  <c r="AL125" i="13" s="1"/>
  <c r="C126" i="13" s="1"/>
  <c r="AL126" i="13" s="1"/>
  <c r="C127" i="13" s="1"/>
  <c r="AL127" i="13" s="1"/>
  <c r="C128" i="13" s="1"/>
  <c r="AL128" i="13" s="1"/>
  <c r="C129" i="13" s="1"/>
  <c r="AL129" i="13" s="1"/>
  <c r="C130" i="13" s="1"/>
  <c r="AL130" i="13" s="1"/>
  <c r="C131" i="13" s="1"/>
  <c r="AL131" i="13" s="1"/>
  <c r="C132" i="13" s="1"/>
  <c r="AL132" i="13" s="1"/>
  <c r="C133" i="13" s="1"/>
  <c r="AL133" i="13" s="1"/>
  <c r="C134" i="13" s="1"/>
  <c r="AL134" i="13" s="1"/>
  <c r="C135" i="13" s="1"/>
  <c r="AL135" i="13" s="1"/>
  <c r="C136" i="13" s="1"/>
  <c r="AL136" i="13" s="1"/>
  <c r="C137" i="13" s="1"/>
  <c r="AL137" i="13" s="1"/>
  <c r="C138" i="13" s="1"/>
  <c r="AL138" i="13" s="1"/>
  <c r="C139" i="13" s="1"/>
  <c r="AL139" i="13" s="1"/>
  <c r="C140" i="13" s="1"/>
  <c r="AL140" i="13" s="1"/>
  <c r="C141" i="13" s="1"/>
  <c r="AL141" i="13" s="1"/>
  <c r="C142" i="13" s="1"/>
  <c r="AL142" i="13" s="1"/>
  <c r="C143" i="13" s="1"/>
  <c r="AL143" i="13" s="1"/>
  <c r="C144" i="13" s="1"/>
  <c r="AL144" i="13" s="1"/>
  <c r="C145" i="13" s="1"/>
  <c r="AL145" i="13" s="1"/>
  <c r="C146" i="13" s="1"/>
  <c r="AL146" i="13" s="1"/>
  <c r="C147" i="13" s="1"/>
  <c r="AL147" i="13" s="1"/>
  <c r="C148" i="13" s="1"/>
  <c r="AL148" i="13" s="1"/>
  <c r="C149" i="13" s="1"/>
  <c r="AL149" i="13" s="1"/>
  <c r="C150" i="13" s="1"/>
  <c r="AL150" i="13" s="1"/>
  <c r="C151" i="13" s="1"/>
  <c r="AL151" i="13" s="1"/>
  <c r="C152" i="13" s="1"/>
  <c r="AL152" i="13" s="1"/>
  <c r="C153" i="13" s="1"/>
  <c r="AL153" i="13" s="1"/>
  <c r="C154" i="13" s="1"/>
  <c r="AL154" i="13" s="1"/>
  <c r="C155" i="13" s="1"/>
  <c r="AL155" i="13" s="1"/>
  <c r="C156" i="13" s="1"/>
  <c r="AL156" i="13" s="1"/>
  <c r="C157" i="13" s="1"/>
  <c r="AL157" i="13" s="1"/>
  <c r="C158" i="13" s="1"/>
  <c r="AL158" i="13" s="1"/>
  <c r="C159" i="13" s="1"/>
  <c r="AL159" i="13" s="1"/>
  <c r="C160" i="13" s="1"/>
  <c r="AL160" i="13" s="1"/>
  <c r="C161" i="13" s="1"/>
  <c r="AL161" i="13" s="1"/>
  <c r="C162" i="13" s="1"/>
  <c r="AL162" i="13" s="1"/>
  <c r="C163" i="13" s="1"/>
  <c r="AL163" i="13" s="1"/>
  <c r="C164" i="13" s="1"/>
  <c r="AL164" i="13" s="1"/>
  <c r="C165" i="13" s="1"/>
  <c r="AL165" i="13" s="1"/>
  <c r="C166" i="13" s="1"/>
  <c r="AL166" i="13" s="1"/>
  <c r="C167" i="13" s="1"/>
  <c r="AL167" i="13" s="1"/>
  <c r="C168" i="13" s="1"/>
  <c r="AL168" i="13" s="1"/>
  <c r="C169" i="13" s="1"/>
  <c r="AL169" i="13" s="1"/>
  <c r="C170" i="13" s="1"/>
  <c r="AL170" i="13" s="1"/>
  <c r="C171" i="13" s="1"/>
  <c r="AL171" i="13" s="1"/>
  <c r="C172" i="13" s="1"/>
  <c r="AL172" i="13" s="1"/>
  <c r="C173" i="13" s="1"/>
  <c r="AL173" i="13" s="1"/>
  <c r="C174" i="13" s="1"/>
  <c r="AL174" i="13" s="1"/>
  <c r="C175" i="13" s="1"/>
  <c r="AL175" i="13" s="1"/>
  <c r="C176" i="13" s="1"/>
  <c r="AL176" i="13" s="1"/>
  <c r="C177" i="13" s="1"/>
  <c r="AL177" i="13" s="1"/>
  <c r="C178" i="13" s="1"/>
  <c r="AL178" i="13" s="1"/>
  <c r="C179" i="13" s="1"/>
  <c r="AL179" i="13" s="1"/>
  <c r="C180" i="13" s="1"/>
  <c r="AL180" i="13" s="1"/>
  <c r="C181" i="13" s="1"/>
  <c r="AL181" i="13" s="1"/>
  <c r="C182" i="13" s="1"/>
  <c r="AL182" i="13" s="1"/>
  <c r="C183" i="13" s="1"/>
  <c r="AL183" i="13" s="1"/>
  <c r="C184" i="13" s="1"/>
  <c r="AL184" i="13" s="1"/>
  <c r="C185" i="13" s="1"/>
  <c r="AL185" i="13" s="1"/>
  <c r="C186" i="13" s="1"/>
  <c r="AL186" i="13" s="1"/>
  <c r="C187" i="13" s="1"/>
  <c r="AL187" i="13" s="1"/>
  <c r="C188" i="13" s="1"/>
  <c r="AL188" i="13" s="1"/>
  <c r="C189" i="13" s="1"/>
  <c r="AL189" i="13" s="1"/>
  <c r="C190" i="13" s="1"/>
  <c r="AL190" i="13" s="1"/>
  <c r="C191" i="13" s="1"/>
  <c r="AL191" i="13" s="1"/>
  <c r="C192" i="13" s="1"/>
  <c r="AL192" i="13" s="1"/>
  <c r="C193" i="13" s="1"/>
  <c r="AL193" i="13" s="1"/>
  <c r="C194" i="13" s="1"/>
  <c r="AL194" i="13" s="1"/>
  <c r="C195" i="13" s="1"/>
  <c r="AL195" i="13" s="1"/>
  <c r="C196" i="13" s="1"/>
  <c r="AL196" i="13" s="1"/>
  <c r="C197" i="13" s="1"/>
  <c r="AL197" i="13" s="1"/>
  <c r="C198" i="13" s="1"/>
  <c r="AL198" i="13" s="1"/>
  <c r="C199" i="13" s="1"/>
  <c r="AL199" i="13" s="1"/>
  <c r="C200" i="13" s="1"/>
  <c r="AL200" i="13" s="1"/>
  <c r="C201" i="13" s="1"/>
  <c r="AL201" i="13" s="1"/>
  <c r="C202" i="13" s="1"/>
  <c r="AL202" i="13" s="1"/>
  <c r="C203" i="13" s="1"/>
  <c r="AL203" i="13" s="1"/>
  <c r="C204" i="13" s="1"/>
  <c r="AL204" i="13" s="1"/>
  <c r="C205" i="13" s="1"/>
  <c r="AL205" i="13" s="1"/>
  <c r="C206" i="13" s="1"/>
  <c r="AL206" i="13" s="1"/>
  <c r="C207" i="13" s="1"/>
  <c r="AL207" i="13" s="1"/>
  <c r="C208" i="13" s="1"/>
  <c r="AL208" i="13" s="1"/>
  <c r="C209" i="13" s="1"/>
  <c r="AL209" i="13" s="1"/>
  <c r="C210" i="13" s="1"/>
  <c r="AL210" i="13" s="1"/>
  <c r="C211" i="13" s="1"/>
  <c r="AL211" i="13" s="1"/>
  <c r="C212" i="13" s="1"/>
  <c r="AL212" i="13" s="1"/>
  <c r="C213" i="13" s="1"/>
  <c r="AL213" i="13" s="1"/>
  <c r="C214" i="13" s="1"/>
  <c r="AL214" i="13" s="1"/>
  <c r="C215" i="13" s="1"/>
  <c r="AL215" i="13" s="1"/>
  <c r="C216" i="13" s="1"/>
  <c r="AL216" i="13" s="1"/>
  <c r="C217" i="13" s="1"/>
  <c r="AL217" i="13" s="1"/>
  <c r="C218" i="13" s="1"/>
  <c r="AL218" i="13" s="1"/>
  <c r="C219" i="13" s="1"/>
  <c r="AL219" i="13" s="1"/>
  <c r="C220" i="13" s="1"/>
  <c r="AL220" i="13" s="1"/>
  <c r="C221" i="13" s="1"/>
  <c r="AL221" i="13" s="1"/>
  <c r="C222" i="13" s="1"/>
  <c r="AL222" i="13" s="1"/>
  <c r="C223" i="13" s="1"/>
  <c r="AL223" i="13" s="1"/>
  <c r="C224" i="13" s="1"/>
  <c r="AL224" i="13" s="1"/>
  <c r="C225" i="13" s="1"/>
  <c r="AL225" i="13" s="1"/>
  <c r="C226" i="13" s="1"/>
  <c r="AL226" i="13" s="1"/>
  <c r="C227" i="13" s="1"/>
  <c r="AL227" i="13" s="1"/>
  <c r="C228" i="13" s="1"/>
  <c r="AL228" i="13" s="1"/>
  <c r="C229" i="13" s="1"/>
  <c r="AL229" i="13" s="1"/>
  <c r="C230" i="13" s="1"/>
  <c r="AL230" i="13" s="1"/>
  <c r="C231" i="13" s="1"/>
  <c r="AL231" i="13" s="1"/>
  <c r="C232" i="13" s="1"/>
  <c r="AL232" i="13" s="1"/>
  <c r="C233" i="13" s="1"/>
  <c r="AL233" i="13" s="1"/>
  <c r="C234" i="13" s="1"/>
  <c r="AL234" i="13" s="1"/>
  <c r="C235" i="13" s="1"/>
  <c r="AL235" i="13" s="1"/>
  <c r="C236" i="13" s="1"/>
  <c r="AL236" i="13" s="1"/>
  <c r="C237" i="13" s="1"/>
  <c r="AL237" i="13" s="1"/>
  <c r="C238" i="13" s="1"/>
  <c r="AL238" i="13" s="1"/>
  <c r="C239" i="13" s="1"/>
  <c r="AL239" i="13" s="1"/>
  <c r="C240" i="13" s="1"/>
  <c r="AL240" i="13" s="1"/>
  <c r="C241" i="13" s="1"/>
  <c r="AL241" i="13" s="1"/>
  <c r="BE199" i="13"/>
  <c r="AN200" i="13" s="1"/>
  <c r="BE200" i="13" s="1"/>
  <c r="AN201" i="13" s="1"/>
  <c r="BE201" i="13" s="1"/>
  <c r="AN202" i="13" s="1"/>
  <c r="BE202" i="13" s="1"/>
  <c r="AN203" i="13" s="1"/>
  <c r="BE203" i="13" s="1"/>
  <c r="AN204" i="13" s="1"/>
  <c r="BE204" i="13" s="1"/>
  <c r="AN205" i="13" s="1"/>
  <c r="BE205" i="13" s="1"/>
  <c r="AN206" i="13" s="1"/>
  <c r="BE206" i="13" s="1"/>
  <c r="AN207" i="13" s="1"/>
  <c r="BE207" i="13" s="1"/>
  <c r="AN208" i="13" s="1"/>
  <c r="BE208" i="13" s="1"/>
  <c r="AN209" i="13" s="1"/>
  <c r="BE209" i="13" s="1"/>
  <c r="AN210" i="13" s="1"/>
  <c r="BE210" i="13" s="1"/>
  <c r="AN211" i="13" s="1"/>
  <c r="BE211" i="13" s="1"/>
  <c r="AN212" i="13" s="1"/>
  <c r="BE212" i="13" s="1"/>
  <c r="AN213" i="13" s="1"/>
  <c r="BE213" i="13" s="1"/>
  <c r="AN214" i="13" s="1"/>
  <c r="BE214" i="13" s="1"/>
  <c r="AN215" i="13" s="1"/>
  <c r="BE215" i="13" s="1"/>
  <c r="AN216" i="13" s="1"/>
  <c r="BE216" i="13" s="1"/>
  <c r="AN217" i="13" s="1"/>
  <c r="BE217" i="13" s="1"/>
  <c r="AN218" i="13" s="1"/>
  <c r="BE218" i="13" s="1"/>
  <c r="AN219" i="13" s="1"/>
  <c r="BE219" i="13" s="1"/>
  <c r="AN220" i="13" s="1"/>
  <c r="BE220" i="13" s="1"/>
  <c r="AN221" i="13" s="1"/>
  <c r="BE221" i="13" s="1"/>
  <c r="AN222" i="13" s="1"/>
  <c r="BE222" i="13" s="1"/>
  <c r="AN223" i="13" s="1"/>
  <c r="BE223" i="13" s="1"/>
  <c r="AN224" i="13" s="1"/>
  <c r="BE224" i="13" s="1"/>
  <c r="AN225" i="13" s="1"/>
  <c r="BE225" i="13" s="1"/>
  <c r="AN226" i="13" s="1"/>
  <c r="BE226" i="13" s="1"/>
  <c r="AN227" i="13" s="1"/>
  <c r="BE227" i="13" s="1"/>
  <c r="AN228" i="13" s="1"/>
  <c r="BE228" i="13" s="1"/>
  <c r="AN229" i="13" s="1"/>
  <c r="BE229" i="13" s="1"/>
  <c r="AN230" i="13" s="1"/>
  <c r="BE230" i="13" s="1"/>
  <c r="AN231" i="13" s="1"/>
  <c r="BE231" i="13" s="1"/>
  <c r="AN232" i="13" s="1"/>
  <c r="BE232" i="13" s="1"/>
  <c r="AN233" i="13" s="1"/>
  <c r="BE233" i="13" s="1"/>
  <c r="AN234" i="13" s="1"/>
  <c r="BE234" i="13" s="1"/>
  <c r="AN235" i="13" s="1"/>
  <c r="BE235" i="13" s="1"/>
  <c r="AN236" i="13" s="1"/>
  <c r="BE236" i="13" s="1"/>
  <c r="AN237" i="13" s="1"/>
  <c r="BE237" i="13" s="1"/>
  <c r="AN238" i="13" s="1"/>
  <c r="BE238" i="13" s="1"/>
  <c r="AN239" i="13" s="1"/>
  <c r="BE239" i="13" s="1"/>
  <c r="AN240" i="13" s="1"/>
  <c r="BE240" i="13" s="1"/>
  <c r="AN241" i="13" s="1"/>
  <c r="BE241" i="13" s="1"/>
  <c r="BP206" i="13"/>
  <c r="BG207" i="13" s="1"/>
  <c r="BP207" i="13" s="1"/>
  <c r="BG208" i="13" s="1"/>
  <c r="BP208" i="13" s="1"/>
  <c r="BG209" i="13" s="1"/>
  <c r="BP209" i="13" s="1"/>
  <c r="BG210" i="13" s="1"/>
  <c r="BP210" i="13" s="1"/>
  <c r="BG211" i="13" s="1"/>
  <c r="BP211" i="13" s="1"/>
  <c r="BG212" i="13" s="1"/>
  <c r="BP212" i="13" s="1"/>
  <c r="BG213" i="13" s="1"/>
  <c r="BP213" i="13" s="1"/>
  <c r="BG214" i="13" s="1"/>
  <c r="BP214" i="13" s="1"/>
  <c r="BG215" i="13" s="1"/>
  <c r="BP215" i="13" s="1"/>
  <c r="BG216" i="13" s="1"/>
  <c r="BP216" i="13" s="1"/>
  <c r="BG217" i="13" s="1"/>
  <c r="BP217" i="13" s="1"/>
  <c r="BG218" i="13" s="1"/>
  <c r="BP218" i="13" s="1"/>
  <c r="BG219" i="13" s="1"/>
  <c r="BP219" i="13" s="1"/>
  <c r="BG220" i="13" s="1"/>
  <c r="BP220" i="13" s="1"/>
  <c r="BG221" i="13" s="1"/>
  <c r="BP221" i="13" s="1"/>
  <c r="BG222" i="13" s="1"/>
  <c r="BP222" i="13" s="1"/>
  <c r="BG223" i="13" s="1"/>
  <c r="BP223" i="13" s="1"/>
  <c r="BG224" i="13" s="1"/>
  <c r="BP224" i="13" s="1"/>
  <c r="BG225" i="13" s="1"/>
  <c r="BP225" i="13" s="1"/>
  <c r="BG226" i="13" s="1"/>
  <c r="BP226" i="13" s="1"/>
  <c r="BG227" i="13" s="1"/>
  <c r="BP227" i="13" s="1"/>
  <c r="BG228" i="13" s="1"/>
  <c r="BP228" i="13" s="1"/>
  <c r="BG229" i="13" s="1"/>
  <c r="BP229" i="13" s="1"/>
  <c r="BG230" i="13" s="1"/>
  <c r="BP230" i="13" s="1"/>
  <c r="BG231" i="13" s="1"/>
  <c r="BP231" i="13" s="1"/>
  <c r="BG232" i="13" s="1"/>
  <c r="BP232" i="13" s="1"/>
  <c r="BG233" i="13" s="1"/>
  <c r="BP233" i="13" s="1"/>
  <c r="BG234" i="13" s="1"/>
  <c r="BP234" i="13" s="1"/>
  <c r="BG235" i="13" s="1"/>
  <c r="BP235" i="13" s="1"/>
  <c r="BG236" i="13" s="1"/>
  <c r="BP236" i="13" s="1"/>
  <c r="BG237" i="13" s="1"/>
  <c r="BP237" i="13" s="1"/>
  <c r="BG238" i="13" s="1"/>
  <c r="BP238" i="13" s="1"/>
  <c r="BG239" i="13" s="1"/>
  <c r="BP239" i="13" s="1"/>
  <c r="BG240" i="13" s="1"/>
  <c r="BP240" i="13" s="1"/>
  <c r="BG241" i="13" s="1"/>
  <c r="BP241" i="13" s="1"/>
  <c r="U3511" i="11"/>
  <c r="U3510" i="11"/>
  <c r="U3464" i="11"/>
  <c r="U3463" i="11"/>
  <c r="U3387" i="11" l="1"/>
  <c r="U3386" i="11"/>
  <c r="U3328" i="11" l="1"/>
  <c r="U3327" i="11"/>
  <c r="U3315" i="11" l="1"/>
  <c r="U3314" i="11"/>
  <c r="U3301" i="11" l="1"/>
  <c r="U3300" i="11"/>
  <c r="U3243" i="11" l="1"/>
  <c r="U3242" i="11"/>
  <c r="J248" i="36" l="1"/>
  <c r="K248" i="36"/>
  <c r="L248" i="36" s="1"/>
  <c r="P248" i="36"/>
  <c r="J247" i="36"/>
  <c r="K247" i="36"/>
  <c r="L247" i="36"/>
  <c r="P247" i="36"/>
  <c r="J246" i="36"/>
  <c r="K246" i="36"/>
  <c r="L246" i="36"/>
  <c r="P246" i="36"/>
  <c r="N247" i="36" l="1"/>
  <c r="O247" i="36" s="1"/>
  <c r="M246" i="36"/>
  <c r="N246" i="36"/>
  <c r="O246" i="36" s="1"/>
  <c r="M247" i="36"/>
  <c r="M248" i="36"/>
  <c r="N248" i="36"/>
  <c r="O248" i="36" s="1"/>
  <c r="J245" i="36"/>
  <c r="K245" i="36"/>
  <c r="L245" i="36"/>
  <c r="M245" i="36"/>
  <c r="P245" i="36"/>
  <c r="J244" i="36"/>
  <c r="K244" i="36"/>
  <c r="L244" i="36" s="1"/>
  <c r="P244" i="36"/>
  <c r="J243" i="36"/>
  <c r="K243" i="36"/>
  <c r="L243" i="36" s="1"/>
  <c r="M243" i="36" s="1"/>
  <c r="P243" i="36"/>
  <c r="J242" i="36"/>
  <c r="K242" i="36"/>
  <c r="L242" i="36"/>
  <c r="P242" i="36"/>
  <c r="J241" i="36"/>
  <c r="K241" i="36"/>
  <c r="L241" i="36" s="1"/>
  <c r="P241" i="36"/>
  <c r="J240" i="36"/>
  <c r="K240" i="36"/>
  <c r="L240" i="36" s="1"/>
  <c r="P240" i="36"/>
  <c r="J239" i="36"/>
  <c r="K239" i="36"/>
  <c r="L239" i="36"/>
  <c r="P239" i="36"/>
  <c r="N245" i="36" l="1"/>
  <c r="O245" i="36" s="1"/>
  <c r="N243" i="36"/>
  <c r="O243" i="36" s="1"/>
  <c r="N242" i="36"/>
  <c r="O242" i="36" s="1"/>
  <c r="N241" i="36"/>
  <c r="O241" i="36" s="1"/>
  <c r="M241" i="36"/>
  <c r="M244" i="36"/>
  <c r="M242" i="36"/>
  <c r="N244" i="36"/>
  <c r="O244" i="36" s="1"/>
  <c r="N239" i="36"/>
  <c r="O239" i="36" s="1"/>
  <c r="M239" i="36"/>
  <c r="M240" i="36"/>
  <c r="N240" i="36"/>
  <c r="O240" i="36" s="1"/>
  <c r="J237" i="36" l="1"/>
  <c r="J238" i="36"/>
  <c r="K238" i="36"/>
  <c r="L238" i="36" s="1"/>
  <c r="P238" i="36"/>
  <c r="K237" i="36"/>
  <c r="L237" i="36" s="1"/>
  <c r="M237" i="36" s="1"/>
  <c r="P237" i="36"/>
  <c r="J236" i="36"/>
  <c r="K236" i="36"/>
  <c r="L236" i="36"/>
  <c r="P236" i="36"/>
  <c r="J235" i="36"/>
  <c r="K235" i="36"/>
  <c r="P235" i="36"/>
  <c r="L235" i="36" l="1"/>
  <c r="M235" i="36" s="1"/>
  <c r="M236" i="36"/>
  <c r="N237" i="36"/>
  <c r="O237" i="36" s="1"/>
  <c r="M238" i="36"/>
  <c r="N236" i="36"/>
  <c r="O236" i="36" s="1"/>
  <c r="N235" i="36"/>
  <c r="O235" i="36" s="1"/>
  <c r="N238" i="36"/>
  <c r="O238" i="36" s="1"/>
  <c r="J234" i="36"/>
  <c r="K234" i="36"/>
  <c r="L234" i="36" s="1"/>
  <c r="M234" i="36" s="1"/>
  <c r="P234" i="36"/>
  <c r="N234" i="36" l="1"/>
  <c r="O234" i="36" s="1"/>
  <c r="J233" i="36"/>
  <c r="K233" i="36"/>
  <c r="L233" i="36" s="1"/>
  <c r="P233" i="36"/>
  <c r="M233" i="36" l="1"/>
  <c r="N233" i="36"/>
  <c r="O233" i="36" s="1"/>
  <c r="U3088" i="11" l="1"/>
  <c r="U3087" i="11"/>
  <c r="U2954" i="11" l="1"/>
  <c r="J232" i="36"/>
  <c r="K232" i="36"/>
  <c r="L232" i="36" s="1"/>
  <c r="P232" i="36"/>
  <c r="N232" i="36" l="1"/>
  <c r="O232" i="36" s="1"/>
  <c r="M232" i="36"/>
  <c r="U2925" i="11" l="1"/>
  <c r="U2915" i="11"/>
  <c r="U2910" i="11" l="1"/>
  <c r="U2909" i="11"/>
  <c r="U2856" i="11" l="1"/>
  <c r="U2855" i="11"/>
  <c r="U2852" i="11"/>
  <c r="U2851" i="11"/>
  <c r="U2838" i="11"/>
  <c r="U2837" i="11"/>
  <c r="J229" i="36" l="1"/>
  <c r="J230" i="36"/>
  <c r="J231" i="36"/>
  <c r="K229" i="36"/>
  <c r="K230" i="36"/>
  <c r="K231" i="36"/>
  <c r="L231" i="36" s="1"/>
  <c r="M231" i="36" s="1"/>
  <c r="L229" i="36"/>
  <c r="M229" i="36" s="1"/>
  <c r="L230" i="36"/>
  <c r="M230" i="36" s="1"/>
  <c r="P229" i="36"/>
  <c r="P230" i="36"/>
  <c r="P231" i="36"/>
  <c r="N230" i="36" l="1"/>
  <c r="O230" i="36" s="1"/>
  <c r="N229" i="36"/>
  <c r="O229" i="36" s="1"/>
  <c r="N231" i="36"/>
  <c r="O231" i="36" s="1"/>
  <c r="U2813" i="11"/>
  <c r="U2812" i="11"/>
  <c r="U2788" i="11"/>
  <c r="U2787" i="11"/>
  <c r="J228" i="36" l="1"/>
  <c r="K228" i="36"/>
  <c r="L228" i="36" s="1"/>
  <c r="P228" i="36"/>
  <c r="U2769" i="11"/>
  <c r="U2768" i="11"/>
  <c r="M228" i="36" l="1"/>
  <c r="N228" i="36"/>
  <c r="O228" i="36" s="1"/>
  <c r="U2755" i="11"/>
  <c r="U2754" i="11"/>
  <c r="U2709" i="11"/>
  <c r="U2750" i="11"/>
  <c r="U2749" i="11"/>
  <c r="J226" i="36"/>
  <c r="J227" i="36"/>
  <c r="K226" i="36"/>
  <c r="L226" i="36" s="1"/>
  <c r="M226" i="36" s="1"/>
  <c r="K227" i="36"/>
  <c r="L227" i="36" s="1"/>
  <c r="M227" i="36" s="1"/>
  <c r="P226" i="36"/>
  <c r="P227" i="36"/>
  <c r="U2708" i="11"/>
  <c r="U2710" i="11"/>
  <c r="U2706" i="11"/>
  <c r="U2705" i="11"/>
  <c r="N226" i="36" l="1"/>
  <c r="O226" i="36" s="1"/>
  <c r="N227" i="36"/>
  <c r="O227" i="36" s="1"/>
  <c r="J222" i="36" l="1"/>
  <c r="J223" i="36"/>
  <c r="J224" i="36"/>
  <c r="J225" i="36"/>
  <c r="K222" i="36"/>
  <c r="K223" i="36"/>
  <c r="K224" i="36"/>
  <c r="K225" i="36"/>
  <c r="L225" i="36" s="1"/>
  <c r="M225" i="36" s="1"/>
  <c r="L222" i="36"/>
  <c r="L223" i="36"/>
  <c r="P222" i="36"/>
  <c r="P223" i="36"/>
  <c r="P224" i="36"/>
  <c r="P225" i="36"/>
  <c r="U2696" i="11"/>
  <c r="U2695" i="11"/>
  <c r="N225" i="36" l="1"/>
  <c r="O225" i="36" s="1"/>
  <c r="L224" i="36"/>
  <c r="N224" i="36" s="1"/>
  <c r="O224" i="36" s="1"/>
  <c r="N223" i="36"/>
  <c r="O223" i="36" s="1"/>
  <c r="M223" i="36"/>
  <c r="N222" i="36"/>
  <c r="O222" i="36" s="1"/>
  <c r="M222" i="36"/>
  <c r="J221" i="36"/>
  <c r="K221" i="36"/>
  <c r="L221" i="36" s="1"/>
  <c r="P221" i="36"/>
  <c r="M224" i="36" l="1"/>
  <c r="N221" i="36"/>
  <c r="O221" i="36" s="1"/>
  <c r="M221" i="36"/>
  <c r="J216" i="36" l="1"/>
  <c r="K216" i="36"/>
  <c r="L216" i="36" s="1"/>
  <c r="P216" i="36"/>
  <c r="J210" i="36"/>
  <c r="J211" i="36"/>
  <c r="J212" i="36"/>
  <c r="J213" i="36"/>
  <c r="J214" i="36"/>
  <c r="J215" i="36"/>
  <c r="J217" i="36"/>
  <c r="J218" i="36"/>
  <c r="J219" i="36"/>
  <c r="J220" i="36"/>
  <c r="K210" i="36"/>
  <c r="M210" i="36" s="1"/>
  <c r="K211" i="36"/>
  <c r="L211" i="36" s="1"/>
  <c r="K212" i="36"/>
  <c r="L212" i="36" s="1"/>
  <c r="K213" i="36"/>
  <c r="K214" i="36"/>
  <c r="K215" i="36"/>
  <c r="K217" i="36"/>
  <c r="K218" i="36"/>
  <c r="K219" i="36"/>
  <c r="K220" i="36"/>
  <c r="L220" i="36" s="1"/>
  <c r="L210" i="36"/>
  <c r="L213" i="36"/>
  <c r="L214" i="36"/>
  <c r="P210" i="36"/>
  <c r="P211" i="36"/>
  <c r="P212" i="36"/>
  <c r="P213" i="36"/>
  <c r="P214" i="36"/>
  <c r="P215" i="36"/>
  <c r="P217" i="36"/>
  <c r="P218" i="36"/>
  <c r="P219" i="36"/>
  <c r="P220" i="36"/>
  <c r="M216" i="36" l="1"/>
  <c r="N216" i="36"/>
  <c r="O216" i="36" s="1"/>
  <c r="M211" i="36"/>
  <c r="M214" i="36"/>
  <c r="M213" i="36"/>
  <c r="M220" i="36"/>
  <c r="M212" i="36"/>
  <c r="L217" i="36"/>
  <c r="M217" i="36" s="1"/>
  <c r="N214" i="36"/>
  <c r="O214" i="36" s="1"/>
  <c r="N220" i="36"/>
  <c r="O220" i="36" s="1"/>
  <c r="L215" i="36"/>
  <c r="N215" i="36" s="1"/>
  <c r="O215" i="36" s="1"/>
  <c r="L218" i="36"/>
  <c r="N218" i="36" s="1"/>
  <c r="O218" i="36" s="1"/>
  <c r="L219" i="36"/>
  <c r="M219" i="36" s="1"/>
  <c r="N212" i="36"/>
  <c r="O212" i="36" s="1"/>
  <c r="N211" i="36"/>
  <c r="O211" i="36" s="1"/>
  <c r="N210" i="36"/>
  <c r="O210" i="36" s="1"/>
  <c r="N213" i="36"/>
  <c r="O213" i="36" s="1"/>
  <c r="N217" i="36" l="1"/>
  <c r="O217" i="36" s="1"/>
  <c r="M215" i="36"/>
  <c r="M218" i="36"/>
  <c r="N219" i="36"/>
  <c r="O219" i="36" s="1"/>
  <c r="J207" i="36"/>
  <c r="J208" i="36"/>
  <c r="J209" i="36"/>
  <c r="K207" i="36"/>
  <c r="K208" i="36"/>
  <c r="M208" i="36" s="1"/>
  <c r="K209" i="36"/>
  <c r="L208" i="36"/>
  <c r="L209" i="36"/>
  <c r="P207" i="36"/>
  <c r="P208" i="36"/>
  <c r="P209" i="36"/>
  <c r="M209" i="36" l="1"/>
  <c r="L207" i="36"/>
  <c r="M207" i="36" s="1"/>
  <c r="N209" i="36"/>
  <c r="O209" i="36" s="1"/>
  <c r="N208" i="36"/>
  <c r="O208" i="36" s="1"/>
  <c r="P206" i="36"/>
  <c r="K206" i="36"/>
  <c r="J206" i="36"/>
  <c r="P205" i="36"/>
  <c r="L205" i="36"/>
  <c r="K205" i="36"/>
  <c r="J205" i="36"/>
  <c r="P204" i="36"/>
  <c r="K204" i="36"/>
  <c r="J204" i="36"/>
  <c r="P203" i="36"/>
  <c r="K203" i="36"/>
  <c r="J203" i="36"/>
  <c r="P202" i="36"/>
  <c r="K202" i="36"/>
  <c r="J202" i="36"/>
  <c r="P201" i="36"/>
  <c r="L201" i="36"/>
  <c r="K201" i="36"/>
  <c r="J201" i="36"/>
  <c r="P200" i="36"/>
  <c r="K200" i="36"/>
  <c r="J200" i="36"/>
  <c r="P199" i="36"/>
  <c r="K199" i="36"/>
  <c r="J199" i="36"/>
  <c r="P198" i="36"/>
  <c r="K198" i="36"/>
  <c r="J198" i="36"/>
  <c r="P197" i="36"/>
  <c r="L197" i="36"/>
  <c r="K197" i="36"/>
  <c r="M197" i="36" s="1"/>
  <c r="J197" i="36"/>
  <c r="P196" i="36"/>
  <c r="K196" i="36"/>
  <c r="J196" i="36"/>
  <c r="P195" i="36"/>
  <c r="K195" i="36"/>
  <c r="J195" i="36"/>
  <c r="P194" i="36"/>
  <c r="K194" i="36"/>
  <c r="J194" i="36"/>
  <c r="P193" i="36"/>
  <c r="K193" i="36"/>
  <c r="J193" i="36"/>
  <c r="P192" i="36"/>
  <c r="K192" i="36"/>
  <c r="J192" i="36"/>
  <c r="P191" i="36"/>
  <c r="K191" i="36"/>
  <c r="J191" i="36"/>
  <c r="P190" i="36"/>
  <c r="L190" i="36"/>
  <c r="K190" i="36"/>
  <c r="J190" i="36"/>
  <c r="P189" i="36"/>
  <c r="K189" i="36"/>
  <c r="J189" i="36"/>
  <c r="P188" i="36"/>
  <c r="L188" i="36"/>
  <c r="K188" i="36"/>
  <c r="M188" i="36" s="1"/>
  <c r="J188" i="36"/>
  <c r="P187" i="36"/>
  <c r="L187" i="36"/>
  <c r="M187" i="36" s="1"/>
  <c r="J187" i="36"/>
  <c r="P186" i="36"/>
  <c r="K186" i="36"/>
  <c r="J186" i="36"/>
  <c r="P185" i="36"/>
  <c r="K185" i="36"/>
  <c r="J185" i="36"/>
  <c r="P184" i="36"/>
  <c r="K184" i="36"/>
  <c r="J184" i="36"/>
  <c r="P183" i="36"/>
  <c r="K183" i="36"/>
  <c r="J183" i="36"/>
  <c r="P182" i="36"/>
  <c r="K182" i="36"/>
  <c r="J182" i="36"/>
  <c r="P181" i="36"/>
  <c r="K181" i="36"/>
  <c r="J181" i="36"/>
  <c r="P180" i="36"/>
  <c r="K180" i="36"/>
  <c r="J180" i="36"/>
  <c r="P179" i="36"/>
  <c r="K179" i="36"/>
  <c r="J179" i="36"/>
  <c r="P178" i="36"/>
  <c r="K178" i="36"/>
  <c r="J178" i="36"/>
  <c r="P177" i="36"/>
  <c r="K177" i="36"/>
  <c r="J177" i="36"/>
  <c r="P176" i="36"/>
  <c r="K176" i="36"/>
  <c r="J176" i="36"/>
  <c r="P175" i="36"/>
  <c r="K175" i="36"/>
  <c r="J175" i="36"/>
  <c r="P174" i="36"/>
  <c r="K174" i="36"/>
  <c r="J174" i="36"/>
  <c r="P173" i="36"/>
  <c r="K173" i="36"/>
  <c r="J173" i="36"/>
  <c r="P172" i="36"/>
  <c r="K172" i="36"/>
  <c r="J172" i="36"/>
  <c r="P171" i="36"/>
  <c r="K171" i="36"/>
  <c r="J171" i="36"/>
  <c r="P170" i="36"/>
  <c r="L170" i="36"/>
  <c r="K170" i="36"/>
  <c r="M170" i="36" s="1"/>
  <c r="J170" i="36"/>
  <c r="P169" i="36"/>
  <c r="K169" i="36"/>
  <c r="J169" i="36"/>
  <c r="P168" i="36"/>
  <c r="L168" i="36"/>
  <c r="K168" i="36"/>
  <c r="J168" i="36"/>
  <c r="P167" i="36"/>
  <c r="L167" i="36"/>
  <c r="K167" i="36"/>
  <c r="J167" i="36"/>
  <c r="P166" i="36"/>
  <c r="K166" i="36"/>
  <c r="J166" i="36"/>
  <c r="P165" i="36"/>
  <c r="K165" i="36"/>
  <c r="J165" i="36"/>
  <c r="P164" i="36"/>
  <c r="K164" i="36"/>
  <c r="J164" i="36"/>
  <c r="P163" i="36"/>
  <c r="K163" i="36"/>
  <c r="J163" i="36"/>
  <c r="P162" i="36"/>
  <c r="K162" i="36"/>
  <c r="J162" i="36"/>
  <c r="P161" i="36"/>
  <c r="K161" i="36"/>
  <c r="J161" i="36"/>
  <c r="P160" i="36"/>
  <c r="L160" i="36"/>
  <c r="K160" i="36"/>
  <c r="J160" i="36"/>
  <c r="P159" i="36"/>
  <c r="L159" i="36"/>
  <c r="K159" i="36"/>
  <c r="J159" i="36"/>
  <c r="P158" i="36"/>
  <c r="K158" i="36"/>
  <c r="J158" i="36"/>
  <c r="P157" i="36"/>
  <c r="L157" i="36"/>
  <c r="K157" i="36"/>
  <c r="J157" i="36"/>
  <c r="P156" i="36"/>
  <c r="L156" i="36"/>
  <c r="K156" i="36"/>
  <c r="M156" i="36" s="1"/>
  <c r="J156" i="36"/>
  <c r="P155" i="36"/>
  <c r="L155" i="36"/>
  <c r="K155" i="36"/>
  <c r="J155" i="36"/>
  <c r="P154" i="36"/>
  <c r="K154" i="36"/>
  <c r="J154" i="36"/>
  <c r="P153" i="36"/>
  <c r="L153" i="36"/>
  <c r="K153" i="36"/>
  <c r="J153" i="36"/>
  <c r="P152" i="36"/>
  <c r="K152" i="36"/>
  <c r="J152" i="36"/>
  <c r="P151" i="36"/>
  <c r="L151" i="36"/>
  <c r="K151" i="36"/>
  <c r="J151" i="36"/>
  <c r="P150" i="36"/>
  <c r="L150" i="36"/>
  <c r="K150" i="36"/>
  <c r="J150" i="36"/>
  <c r="P149" i="36"/>
  <c r="L149" i="36"/>
  <c r="K149" i="36"/>
  <c r="J149" i="36"/>
  <c r="P148" i="36"/>
  <c r="K148" i="36"/>
  <c r="J148" i="36"/>
  <c r="P147" i="36"/>
  <c r="L147" i="36"/>
  <c r="K147" i="36"/>
  <c r="M147" i="36" s="1"/>
  <c r="J147" i="36"/>
  <c r="P146" i="36"/>
  <c r="L146" i="36"/>
  <c r="K146" i="36"/>
  <c r="J146" i="36"/>
  <c r="P145" i="36"/>
  <c r="K145" i="36"/>
  <c r="J145" i="36"/>
  <c r="P144" i="36"/>
  <c r="K144" i="36"/>
  <c r="J144" i="36"/>
  <c r="P143" i="36"/>
  <c r="K143" i="36"/>
  <c r="J143" i="36"/>
  <c r="P142" i="36"/>
  <c r="K142" i="36"/>
  <c r="J142" i="36"/>
  <c r="P141" i="36"/>
  <c r="L141" i="36"/>
  <c r="K141" i="36"/>
  <c r="J141" i="36"/>
  <c r="P140" i="36"/>
  <c r="L140" i="36"/>
  <c r="K140" i="36"/>
  <c r="M140" i="36" s="1"/>
  <c r="J140" i="36"/>
  <c r="P139" i="36"/>
  <c r="L139" i="36"/>
  <c r="K139" i="36"/>
  <c r="J139" i="36"/>
  <c r="P138" i="36"/>
  <c r="K138" i="36"/>
  <c r="J138" i="36"/>
  <c r="P137" i="36"/>
  <c r="K137" i="36"/>
  <c r="J137" i="36"/>
  <c r="P136" i="36"/>
  <c r="K136" i="36"/>
  <c r="J136" i="36"/>
  <c r="P135" i="36"/>
  <c r="L135" i="36"/>
  <c r="K135" i="36"/>
  <c r="J135" i="36"/>
  <c r="P134" i="36"/>
  <c r="L134" i="36"/>
  <c r="K134" i="36"/>
  <c r="J134" i="36"/>
  <c r="P133" i="36"/>
  <c r="L133" i="36"/>
  <c r="K133" i="36"/>
  <c r="J133" i="36"/>
  <c r="P132" i="36"/>
  <c r="L132" i="36"/>
  <c r="K132" i="36"/>
  <c r="J132" i="36"/>
  <c r="P131" i="36"/>
  <c r="L131" i="36"/>
  <c r="K131" i="36"/>
  <c r="J131" i="36"/>
  <c r="P130" i="36"/>
  <c r="L130" i="36"/>
  <c r="K130" i="36"/>
  <c r="J130" i="36"/>
  <c r="P129" i="36"/>
  <c r="K129" i="36"/>
  <c r="J129" i="36"/>
  <c r="P128" i="36"/>
  <c r="L128" i="36"/>
  <c r="K128" i="36"/>
  <c r="J128" i="36"/>
  <c r="P127" i="36"/>
  <c r="L127" i="36"/>
  <c r="K127" i="36"/>
  <c r="J127" i="36"/>
  <c r="P126" i="36"/>
  <c r="K126" i="36"/>
  <c r="J126" i="36"/>
  <c r="P125" i="36"/>
  <c r="L125" i="36"/>
  <c r="K125" i="36"/>
  <c r="J125" i="36"/>
  <c r="P124" i="36"/>
  <c r="L124" i="36"/>
  <c r="K124" i="36"/>
  <c r="J124" i="36"/>
  <c r="P123" i="36"/>
  <c r="K123" i="36"/>
  <c r="J123" i="36"/>
  <c r="P122" i="36"/>
  <c r="K122" i="36"/>
  <c r="J122" i="36"/>
  <c r="P121" i="36"/>
  <c r="L121" i="36"/>
  <c r="K121" i="36"/>
  <c r="J121" i="36"/>
  <c r="P120" i="36"/>
  <c r="L120" i="36"/>
  <c r="K120" i="36"/>
  <c r="J120" i="36"/>
  <c r="P119" i="36"/>
  <c r="K119" i="36"/>
  <c r="J119" i="36"/>
  <c r="P118" i="36"/>
  <c r="L118" i="36"/>
  <c r="K118" i="36"/>
  <c r="J118" i="36"/>
  <c r="P117" i="36"/>
  <c r="L117" i="36"/>
  <c r="K117" i="36"/>
  <c r="M117" i="36" s="1"/>
  <c r="J117" i="36"/>
  <c r="P116" i="36"/>
  <c r="L116" i="36"/>
  <c r="K116" i="36"/>
  <c r="J116" i="36"/>
  <c r="P115" i="36"/>
  <c r="L115" i="36"/>
  <c r="M115" i="36" s="1"/>
  <c r="P114" i="36"/>
  <c r="K114" i="36"/>
  <c r="J114" i="36"/>
  <c r="P113" i="36"/>
  <c r="L113" i="36"/>
  <c r="K113" i="36"/>
  <c r="J113" i="36"/>
  <c r="P112" i="36"/>
  <c r="L112" i="36"/>
  <c r="K112" i="36"/>
  <c r="J112" i="36"/>
  <c r="P111" i="36"/>
  <c r="L111" i="36"/>
  <c r="K111" i="36"/>
  <c r="J111" i="36"/>
  <c r="P110" i="36"/>
  <c r="K110" i="36"/>
  <c r="J110" i="36"/>
  <c r="P109" i="36"/>
  <c r="L109" i="36"/>
  <c r="K109" i="36"/>
  <c r="J109" i="36"/>
  <c r="P108" i="36"/>
  <c r="K108" i="36"/>
  <c r="J108" i="36"/>
  <c r="P107" i="36"/>
  <c r="L107" i="36"/>
  <c r="M107" i="36" s="1"/>
  <c r="J107" i="36"/>
  <c r="P106" i="36"/>
  <c r="K106" i="36"/>
  <c r="J106" i="36"/>
  <c r="P105" i="36"/>
  <c r="K105" i="36"/>
  <c r="J105" i="36"/>
  <c r="P104" i="36"/>
  <c r="L104" i="36"/>
  <c r="K104" i="36"/>
  <c r="J104" i="36"/>
  <c r="P103" i="36"/>
  <c r="L103" i="36"/>
  <c r="K103" i="36"/>
  <c r="M103" i="36" s="1"/>
  <c r="J103" i="36"/>
  <c r="P102" i="36"/>
  <c r="L102" i="36"/>
  <c r="K102" i="36"/>
  <c r="J102" i="36"/>
  <c r="P101" i="36"/>
  <c r="L101" i="36"/>
  <c r="K101" i="36"/>
  <c r="J101" i="36"/>
  <c r="P100" i="36"/>
  <c r="K100" i="36"/>
  <c r="J100" i="36"/>
  <c r="P99" i="36"/>
  <c r="L99" i="36"/>
  <c r="K99" i="36"/>
  <c r="M99" i="36" s="1"/>
  <c r="J99" i="36"/>
  <c r="P98" i="36"/>
  <c r="L98" i="36"/>
  <c r="K98" i="36"/>
  <c r="J98" i="36"/>
  <c r="P97" i="36"/>
  <c r="K97" i="36"/>
  <c r="J97" i="36"/>
  <c r="P96" i="36"/>
  <c r="L96" i="36"/>
  <c r="K96" i="36"/>
  <c r="J96" i="36"/>
  <c r="P95" i="36"/>
  <c r="L95" i="36"/>
  <c r="K95" i="36"/>
  <c r="J95" i="36"/>
  <c r="P94" i="36"/>
  <c r="L94" i="36"/>
  <c r="K94" i="36"/>
  <c r="J94" i="36"/>
  <c r="P93" i="36"/>
  <c r="L93" i="36"/>
  <c r="K93" i="36"/>
  <c r="J93" i="36"/>
  <c r="P92" i="36"/>
  <c r="K92" i="36"/>
  <c r="J92" i="36"/>
  <c r="P91" i="36"/>
  <c r="K91" i="36"/>
  <c r="J91" i="36"/>
  <c r="P90" i="36"/>
  <c r="K90" i="36"/>
  <c r="J90" i="36"/>
  <c r="P89" i="36"/>
  <c r="K89" i="36"/>
  <c r="J89" i="36"/>
  <c r="P88" i="36"/>
  <c r="L88" i="36"/>
  <c r="K88" i="36"/>
  <c r="J88" i="36"/>
  <c r="P87" i="36"/>
  <c r="K87" i="36"/>
  <c r="J87" i="36"/>
  <c r="P86" i="36"/>
  <c r="L86" i="36"/>
  <c r="K86" i="36"/>
  <c r="J86" i="36"/>
  <c r="P85" i="36"/>
  <c r="K85" i="36"/>
  <c r="J85" i="36"/>
  <c r="P84" i="36"/>
  <c r="L84" i="36"/>
  <c r="K84" i="36"/>
  <c r="J84" i="36"/>
  <c r="P83" i="36"/>
  <c r="L83" i="36"/>
  <c r="K83" i="36"/>
  <c r="M83" i="36" s="1"/>
  <c r="J83" i="36"/>
  <c r="P82" i="36"/>
  <c r="K82" i="36"/>
  <c r="J82" i="36"/>
  <c r="P81" i="36"/>
  <c r="L81" i="36"/>
  <c r="K81" i="36"/>
  <c r="J81" i="36"/>
  <c r="P80" i="36"/>
  <c r="K80" i="36"/>
  <c r="J80" i="36"/>
  <c r="P79" i="36"/>
  <c r="K79" i="36"/>
  <c r="J79" i="36"/>
  <c r="P78" i="36"/>
  <c r="L78" i="36"/>
  <c r="K78" i="36"/>
  <c r="J78" i="36"/>
  <c r="P77" i="36"/>
  <c r="K77" i="36"/>
  <c r="J77" i="36"/>
  <c r="P76" i="36"/>
  <c r="K76" i="36"/>
  <c r="J76" i="36"/>
  <c r="P75" i="36"/>
  <c r="K75" i="36"/>
  <c r="J75" i="36"/>
  <c r="P74" i="36"/>
  <c r="L74" i="36"/>
  <c r="K74" i="36"/>
  <c r="J74" i="36"/>
  <c r="P73" i="36"/>
  <c r="K73" i="36"/>
  <c r="J73" i="36"/>
  <c r="P72" i="36"/>
  <c r="K72" i="36"/>
  <c r="J72" i="36"/>
  <c r="P71" i="36"/>
  <c r="K71" i="36"/>
  <c r="J71" i="36"/>
  <c r="P70" i="36"/>
  <c r="L70" i="36"/>
  <c r="M70" i="36" s="1"/>
  <c r="J70" i="36"/>
  <c r="P69" i="36"/>
  <c r="K69" i="36"/>
  <c r="J69" i="36"/>
  <c r="P68" i="36"/>
  <c r="L68" i="36"/>
  <c r="K68" i="36"/>
  <c r="J68" i="36"/>
  <c r="P67" i="36"/>
  <c r="K67" i="36"/>
  <c r="J67" i="36"/>
  <c r="P66" i="36"/>
  <c r="K66" i="36"/>
  <c r="J66" i="36"/>
  <c r="P65" i="36"/>
  <c r="L65" i="36"/>
  <c r="K65" i="36"/>
  <c r="J65" i="36"/>
  <c r="P64" i="36"/>
  <c r="K64" i="36"/>
  <c r="J64" i="36"/>
  <c r="P63" i="36"/>
  <c r="L63" i="36"/>
  <c r="K63" i="36"/>
  <c r="J63" i="36"/>
  <c r="P62" i="36"/>
  <c r="L62" i="36"/>
  <c r="K62" i="36"/>
  <c r="J62" i="36"/>
  <c r="P61" i="36"/>
  <c r="K61" i="36"/>
  <c r="J61" i="36"/>
  <c r="P60" i="36"/>
  <c r="K60" i="36"/>
  <c r="J60" i="36"/>
  <c r="P59" i="36"/>
  <c r="K59" i="36"/>
  <c r="J59" i="36"/>
  <c r="P58" i="36"/>
  <c r="K58" i="36"/>
  <c r="J58" i="36"/>
  <c r="P57" i="36"/>
  <c r="K57" i="36"/>
  <c r="J57" i="36"/>
  <c r="P56" i="36"/>
  <c r="K56" i="36"/>
  <c r="J56" i="36"/>
  <c r="P55" i="36"/>
  <c r="K55" i="36"/>
  <c r="J55" i="36"/>
  <c r="P54" i="36"/>
  <c r="K54" i="36"/>
  <c r="J54" i="36"/>
  <c r="P53" i="36"/>
  <c r="L53" i="36"/>
  <c r="K53" i="36"/>
  <c r="J53" i="36"/>
  <c r="P52" i="36"/>
  <c r="K52" i="36"/>
  <c r="J52" i="36"/>
  <c r="P51" i="36"/>
  <c r="K51" i="36"/>
  <c r="J51" i="36"/>
  <c r="P50" i="36"/>
  <c r="K50" i="36"/>
  <c r="J50" i="36"/>
  <c r="P49" i="36"/>
  <c r="L49" i="36"/>
  <c r="K49" i="36"/>
  <c r="M49" i="36" s="1"/>
  <c r="J49" i="36"/>
  <c r="P48" i="36"/>
  <c r="L48" i="36"/>
  <c r="K48" i="36"/>
  <c r="J48" i="36"/>
  <c r="P47" i="36"/>
  <c r="L47" i="36"/>
  <c r="K47" i="36"/>
  <c r="J47" i="36"/>
  <c r="P46" i="36"/>
  <c r="K46" i="36"/>
  <c r="J46" i="36"/>
  <c r="P45" i="36"/>
  <c r="L45" i="36"/>
  <c r="K45" i="36"/>
  <c r="J45" i="36"/>
  <c r="P44" i="36"/>
  <c r="K44" i="36"/>
  <c r="J44" i="36"/>
  <c r="P43" i="36"/>
  <c r="K43" i="36"/>
  <c r="J43" i="36"/>
  <c r="P42" i="36"/>
  <c r="L42" i="36"/>
  <c r="K42" i="36"/>
  <c r="J42" i="36"/>
  <c r="P41" i="36"/>
  <c r="K41" i="36"/>
  <c r="J41" i="36"/>
  <c r="P40" i="36"/>
  <c r="K40" i="36"/>
  <c r="J40" i="36"/>
  <c r="P39" i="36"/>
  <c r="L39" i="36"/>
  <c r="K39" i="36"/>
  <c r="J39" i="36"/>
  <c r="P38" i="36"/>
  <c r="L38" i="36"/>
  <c r="K38" i="36"/>
  <c r="J38" i="36"/>
  <c r="P37" i="36"/>
  <c r="L37" i="36"/>
  <c r="K37" i="36"/>
  <c r="J37" i="36"/>
  <c r="P36" i="36"/>
  <c r="K36" i="36"/>
  <c r="J36" i="36"/>
  <c r="P35" i="36"/>
  <c r="K35" i="36"/>
  <c r="J35" i="36"/>
  <c r="P34" i="36"/>
  <c r="L34" i="36"/>
  <c r="K34" i="36"/>
  <c r="M34" i="36" s="1"/>
  <c r="J34" i="36"/>
  <c r="P33" i="36"/>
  <c r="L33" i="36"/>
  <c r="K33" i="36"/>
  <c r="M33" i="36" s="1"/>
  <c r="J33" i="36"/>
  <c r="P32" i="36"/>
  <c r="L32" i="36"/>
  <c r="K32" i="36"/>
  <c r="J32" i="36"/>
  <c r="P31" i="36"/>
  <c r="L31" i="36"/>
  <c r="K31" i="36"/>
  <c r="M31" i="36" s="1"/>
  <c r="J31" i="36"/>
  <c r="P30" i="36"/>
  <c r="K30" i="36"/>
  <c r="J30" i="36"/>
  <c r="P29" i="36"/>
  <c r="L29" i="36"/>
  <c r="K29" i="36"/>
  <c r="M29" i="36" s="1"/>
  <c r="J29" i="36"/>
  <c r="P28" i="36"/>
  <c r="L28" i="36"/>
  <c r="K28" i="36"/>
  <c r="J28" i="36"/>
  <c r="P27" i="36"/>
  <c r="K27" i="36"/>
  <c r="J27" i="36"/>
  <c r="P26" i="36"/>
  <c r="L26" i="36"/>
  <c r="K26" i="36"/>
  <c r="J26" i="36"/>
  <c r="P25" i="36"/>
  <c r="K25" i="36"/>
  <c r="J25" i="36"/>
  <c r="P24" i="36"/>
  <c r="L24" i="36"/>
  <c r="K24" i="36"/>
  <c r="J24" i="36"/>
  <c r="P23" i="36"/>
  <c r="K23" i="36"/>
  <c r="J23" i="36"/>
  <c r="P22" i="36"/>
  <c r="K22" i="36"/>
  <c r="J22" i="36"/>
  <c r="P21" i="36"/>
  <c r="K21" i="36"/>
  <c r="J21" i="36"/>
  <c r="P20" i="36"/>
  <c r="K20" i="36"/>
  <c r="J20" i="36"/>
  <c r="P19" i="36"/>
  <c r="L19" i="36"/>
  <c r="K19" i="36"/>
  <c r="J19" i="36"/>
  <c r="P18" i="36"/>
  <c r="K18" i="36"/>
  <c r="J18" i="36"/>
  <c r="P17" i="36"/>
  <c r="K17" i="36"/>
  <c r="J17" i="36"/>
  <c r="P16" i="36"/>
  <c r="K16" i="36"/>
  <c r="J16" i="36"/>
  <c r="P15" i="36"/>
  <c r="K15" i="36"/>
  <c r="J15" i="36"/>
  <c r="P14" i="36"/>
  <c r="L14" i="36"/>
  <c r="K14" i="36"/>
  <c r="J14" i="36"/>
  <c r="P13" i="36"/>
  <c r="K13" i="36"/>
  <c r="J13" i="36"/>
  <c r="P12" i="36"/>
  <c r="L12" i="36"/>
  <c r="K12" i="36"/>
  <c r="M12" i="36" s="1"/>
  <c r="J12" i="36"/>
  <c r="P11" i="36"/>
  <c r="K11" i="36"/>
  <c r="J11" i="36"/>
  <c r="P10" i="36"/>
  <c r="K10" i="36"/>
  <c r="J10" i="36"/>
  <c r="P9" i="36"/>
  <c r="L9" i="36"/>
  <c r="K9" i="36"/>
  <c r="J9" i="36"/>
  <c r="P8" i="36"/>
  <c r="K8" i="36"/>
  <c r="J8" i="36"/>
  <c r="K3" i="36"/>
  <c r="K2" i="36"/>
  <c r="H2" i="36"/>
  <c r="U2590" i="11"/>
  <c r="U2589" i="11"/>
  <c r="U2516" i="11"/>
  <c r="U2515" i="11"/>
  <c r="U2443" i="11"/>
  <c r="U2442" i="11"/>
  <c r="U2420" i="11"/>
  <c r="U2419" i="11"/>
  <c r="U2361" i="11"/>
  <c r="U2360" i="11"/>
  <c r="U2357" i="11"/>
  <c r="U2356" i="11"/>
  <c r="U2332" i="11"/>
  <c r="U2331" i="11"/>
  <c r="U2307" i="11"/>
  <c r="U2260" i="11"/>
  <c r="U2259" i="11"/>
  <c r="U2255" i="11"/>
  <c r="U2254" i="11"/>
  <c r="U2228" i="11"/>
  <c r="U2215" i="11"/>
  <c r="U2214" i="11"/>
  <c r="U2196" i="11"/>
  <c r="U2195" i="11"/>
  <c r="U2178" i="11"/>
  <c r="U2177" i="11"/>
  <c r="U2139" i="11"/>
  <c r="U2138" i="11"/>
  <c r="U2118" i="11"/>
  <c r="U2117" i="11"/>
  <c r="U2034" i="11"/>
  <c r="U2033" i="11"/>
  <c r="U2029" i="11"/>
  <c r="U2028" i="11"/>
  <c r="U2007" i="11"/>
  <c r="U2006" i="11"/>
  <c r="U1999" i="11"/>
  <c r="U1998" i="11"/>
  <c r="U1910" i="11"/>
  <c r="U1909" i="11"/>
  <c r="U1871" i="11"/>
  <c r="U1870" i="11"/>
  <c r="U1830" i="11"/>
  <c r="U1829" i="11"/>
  <c r="U1828" i="11"/>
  <c r="U1755" i="11"/>
  <c r="U1754" i="11"/>
  <c r="U1698" i="11"/>
  <c r="U1697" i="11"/>
  <c r="U1693" i="11"/>
  <c r="U1692" i="11"/>
  <c r="U1634" i="11"/>
  <c r="U1597" i="11"/>
  <c r="U1596" i="11"/>
  <c r="U1586" i="11"/>
  <c r="U1571" i="11"/>
  <c r="U1570" i="11"/>
  <c r="U1557" i="11"/>
  <c r="U1556" i="11"/>
  <c r="U1522" i="11"/>
  <c r="U1521" i="11"/>
  <c r="U1517" i="11"/>
  <c r="U1516" i="11"/>
  <c r="U1447" i="11"/>
  <c r="U1446" i="11"/>
  <c r="U1435" i="11"/>
  <c r="U1434" i="11"/>
  <c r="U1411" i="11"/>
  <c r="U1410" i="11"/>
  <c r="U1394" i="11"/>
  <c r="U1393" i="11"/>
  <c r="U1134" i="11"/>
  <c r="U1116" i="11"/>
  <c r="U1107" i="11"/>
  <c r="U1095" i="11"/>
  <c r="U1094" i="11"/>
  <c r="U1084" i="11"/>
  <c r="U1082" i="11"/>
  <c r="U1081" i="11"/>
  <c r="U1078" i="11"/>
  <c r="U1075" i="11"/>
  <c r="U1074" i="11"/>
  <c r="U1073" i="11"/>
  <c r="U1038" i="11"/>
  <c r="U1028" i="11"/>
  <c r="U1024" i="11"/>
  <c r="U1013" i="11"/>
  <c r="U1012" i="11"/>
  <c r="U1000" i="11"/>
  <c r="U999" i="11"/>
  <c r="U997" i="11"/>
  <c r="U996" i="11"/>
  <c r="U988" i="11"/>
  <c r="U981" i="11"/>
  <c r="U980" i="11"/>
  <c r="U978" i="11"/>
  <c r="U977" i="11"/>
  <c r="U969" i="11"/>
  <c r="U968" i="11"/>
  <c r="U965" i="11"/>
  <c r="U964" i="11"/>
  <c r="U935" i="11"/>
  <c r="U934" i="11"/>
  <c r="U932" i="11"/>
  <c r="U931" i="11"/>
  <c r="U929" i="11"/>
  <c r="U928" i="11"/>
  <c r="U912" i="11"/>
  <c r="U911" i="11"/>
  <c r="U909" i="11"/>
  <c r="U905" i="11"/>
  <c r="U904" i="11"/>
  <c r="U897" i="11"/>
  <c r="U896" i="11"/>
  <c r="U886" i="11"/>
  <c r="U885" i="11"/>
  <c r="U882" i="11"/>
  <c r="U881" i="11"/>
  <c r="U870" i="11"/>
  <c r="U869" i="11"/>
  <c r="U861" i="11"/>
  <c r="U860" i="11"/>
  <c r="U845" i="11"/>
  <c r="U844" i="11"/>
  <c r="U837" i="11"/>
  <c r="U836" i="11"/>
  <c r="U827" i="11"/>
  <c r="U826" i="11"/>
  <c r="U822" i="11"/>
  <c r="U821" i="11"/>
  <c r="U788" i="11"/>
  <c r="U787" i="11"/>
  <c r="U782" i="11"/>
  <c r="U781" i="11"/>
  <c r="U775" i="11"/>
  <c r="U774" i="11"/>
  <c r="U757" i="11"/>
  <c r="U756" i="11"/>
  <c r="U743" i="11"/>
  <c r="U742" i="11"/>
  <c r="U731" i="11"/>
  <c r="U730" i="11"/>
  <c r="U722" i="11"/>
  <c r="U721" i="11"/>
  <c r="U706" i="11"/>
  <c r="U705" i="11"/>
  <c r="U704" i="11"/>
  <c r="U669" i="11"/>
  <c r="U668" i="11"/>
  <c r="U650" i="11"/>
  <c r="U649" i="11"/>
  <c r="U647" i="11"/>
  <c r="U646" i="11"/>
  <c r="U604" i="11"/>
  <c r="U603" i="11"/>
  <c r="U593" i="11"/>
  <c r="U592" i="11"/>
  <c r="U583" i="11"/>
  <c r="U582" i="11"/>
  <c r="U579" i="11"/>
  <c r="U578" i="11"/>
  <c r="U562" i="11"/>
  <c r="U561" i="11"/>
  <c r="U558" i="11"/>
  <c r="U557" i="11"/>
  <c r="U555" i="11"/>
  <c r="U554" i="11"/>
  <c r="U551" i="11"/>
  <c r="U550" i="11"/>
  <c r="U542" i="11"/>
  <c r="U541" i="11"/>
  <c r="U536" i="11"/>
  <c r="U535" i="11"/>
  <c r="U518" i="11"/>
  <c r="U517" i="11"/>
  <c r="U516" i="11"/>
  <c r="U515" i="11"/>
  <c r="U514" i="11"/>
  <c r="U513" i="11"/>
  <c r="U506" i="11"/>
  <c r="U505" i="11"/>
  <c r="U495" i="11"/>
  <c r="U494" i="11"/>
  <c r="U490" i="11"/>
  <c r="U489" i="11"/>
  <c r="U488" i="11"/>
  <c r="U485" i="11"/>
  <c r="U484" i="11"/>
  <c r="U483" i="11"/>
  <c r="U482" i="11"/>
  <c r="U481" i="11"/>
  <c r="U464" i="11"/>
  <c r="U463" i="11"/>
  <c r="U454" i="11"/>
  <c r="U453" i="11"/>
  <c r="U420" i="11"/>
  <c r="U419" i="11"/>
  <c r="U390" i="11"/>
  <c r="U389" i="11"/>
  <c r="U378" i="11"/>
  <c r="U377" i="11"/>
  <c r="U376" i="11"/>
  <c r="U375" i="11"/>
  <c r="U373" i="11"/>
  <c r="U372" i="11"/>
  <c r="U371" i="11"/>
  <c r="U363" i="11"/>
  <c r="U362" i="11"/>
  <c r="U356" i="11"/>
  <c r="U355" i="11"/>
  <c r="U348" i="11"/>
  <c r="U347" i="11"/>
  <c r="U341" i="11"/>
  <c r="U340" i="11"/>
  <c r="U336" i="11"/>
  <c r="U335" i="11"/>
  <c r="U332" i="11"/>
  <c r="U331" i="11"/>
  <c r="U328" i="11"/>
  <c r="U327" i="11"/>
  <c r="U324" i="11"/>
  <c r="U323" i="11"/>
  <c r="U319" i="11"/>
  <c r="U318" i="11"/>
  <c r="U317" i="11"/>
  <c r="U312" i="11"/>
  <c r="U311" i="11"/>
  <c r="T298" i="11"/>
  <c r="U298" i="11" s="1"/>
  <c r="U297" i="11"/>
  <c r="U263" i="11"/>
  <c r="U262" i="11"/>
  <c r="U261" i="11"/>
  <c r="U260" i="11"/>
  <c r="U246" i="11"/>
  <c r="U245" i="11"/>
  <c r="U190" i="11"/>
  <c r="U189" i="11"/>
  <c r="U188" i="11"/>
  <c r="U187" i="11"/>
  <c r="U170" i="11"/>
  <c r="U169" i="11"/>
  <c r="U160" i="11"/>
  <c r="U159" i="11"/>
  <c r="U156" i="11"/>
  <c r="U155" i="11"/>
  <c r="U149" i="11"/>
  <c r="U148" i="11"/>
  <c r="U142" i="11"/>
  <c r="U141" i="11"/>
  <c r="U139" i="11"/>
  <c r="U138" i="11"/>
  <c r="U133" i="11"/>
  <c r="U132" i="11"/>
  <c r="U126" i="11"/>
  <c r="U125" i="11"/>
  <c r="U117" i="11"/>
  <c r="U116" i="11"/>
  <c r="U115" i="11"/>
  <c r="U114" i="11"/>
  <c r="U112" i="11"/>
  <c r="U111" i="11"/>
  <c r="U109" i="11"/>
  <c r="U108" i="11"/>
  <c r="U106" i="11"/>
  <c r="U105" i="11"/>
  <c r="U104" i="11"/>
  <c r="U103" i="11"/>
  <c r="U101" i="11"/>
  <c r="U100" i="11"/>
  <c r="U99" i="11"/>
  <c r="U98" i="11"/>
  <c r="U83" i="11"/>
  <c r="U82" i="11"/>
  <c r="U70" i="11"/>
  <c r="U69" i="11"/>
  <c r="U60" i="11"/>
  <c r="U59" i="11"/>
  <c r="W56" i="11"/>
  <c r="U39" i="11"/>
  <c r="U38" i="11"/>
  <c r="U31" i="11"/>
  <c r="U30" i="11"/>
  <c r="U26" i="11"/>
  <c r="U25" i="11"/>
  <c r="U19" i="11"/>
  <c r="U18" i="11"/>
  <c r="U15" i="11"/>
  <c r="U14" i="11"/>
  <c r="U7" i="11"/>
  <c r="U6" i="11"/>
  <c r="U4" i="11"/>
  <c r="U3" i="11"/>
  <c r="M160" i="36" l="1"/>
  <c r="M127" i="36"/>
  <c r="N187" i="36"/>
  <c r="O187" i="36" s="1"/>
  <c r="N81" i="36"/>
  <c r="O81" i="36" s="1"/>
  <c r="M84" i="36"/>
  <c r="M101" i="36"/>
  <c r="M104" i="36"/>
  <c r="M118" i="36"/>
  <c r="M128" i="36"/>
  <c r="M141" i="36"/>
  <c r="M125" i="36"/>
  <c r="M155" i="36"/>
  <c r="M14" i="36"/>
  <c r="M78" i="36"/>
  <c r="N109" i="36"/>
  <c r="O109" i="36" s="1"/>
  <c r="M112" i="36"/>
  <c r="M132" i="36"/>
  <c r="M135" i="36"/>
  <c r="M149" i="36"/>
  <c r="N159" i="36"/>
  <c r="O159" i="36" s="1"/>
  <c r="M32" i="36"/>
  <c r="M42" i="36"/>
  <c r="M102" i="36"/>
  <c r="M109" i="36"/>
  <c r="M116" i="36"/>
  <c r="M139" i="36"/>
  <c r="M146" i="36"/>
  <c r="M159" i="36"/>
  <c r="N96" i="36"/>
  <c r="O96" i="36" s="1"/>
  <c r="M26" i="36"/>
  <c r="M39" i="36"/>
  <c r="M53" i="36"/>
  <c r="N47" i="36"/>
  <c r="O47" i="36" s="1"/>
  <c r="M65" i="36"/>
  <c r="M124" i="36"/>
  <c r="N9" i="36"/>
  <c r="O9" i="36" s="1"/>
  <c r="N37" i="36"/>
  <c r="O37" i="36" s="1"/>
  <c r="M47" i="36"/>
  <c r="N62" i="36"/>
  <c r="O62" i="36" s="1"/>
  <c r="N94" i="36"/>
  <c r="O94" i="36" s="1"/>
  <c r="M157" i="36"/>
  <c r="N168" i="36"/>
  <c r="O168" i="36" s="1"/>
  <c r="M24" i="36"/>
  <c r="N31" i="36"/>
  <c r="O31" i="36" s="1"/>
  <c r="N34" i="36"/>
  <c r="O34" i="36" s="1"/>
  <c r="N101" i="36"/>
  <c r="O101" i="36" s="1"/>
  <c r="M111" i="36"/>
  <c r="M121" i="36"/>
  <c r="M131" i="36"/>
  <c r="M134" i="36"/>
  <c r="N141" i="36"/>
  <c r="O141" i="36" s="1"/>
  <c r="M151" i="36"/>
  <c r="L25" i="36"/>
  <c r="M25" i="36" s="1"/>
  <c r="L173" i="36"/>
  <c r="N173" i="36" s="1"/>
  <c r="O173" i="36" s="1"/>
  <c r="L18" i="36"/>
  <c r="N18" i="36" s="1"/>
  <c r="O18" i="36" s="1"/>
  <c r="L129" i="36"/>
  <c r="M129" i="36" s="1"/>
  <c r="L82" i="36"/>
  <c r="M82" i="36" s="1"/>
  <c r="L126" i="36"/>
  <c r="N126" i="36" s="1"/>
  <c r="O126" i="36" s="1"/>
  <c r="N19" i="36"/>
  <c r="O19" i="36" s="1"/>
  <c r="N49" i="36"/>
  <c r="O49" i="36" s="1"/>
  <c r="N68" i="36"/>
  <c r="O68" i="36" s="1"/>
  <c r="N86" i="36"/>
  <c r="O86" i="36" s="1"/>
  <c r="M93" i="36"/>
  <c r="M96" i="36"/>
  <c r="N133" i="36"/>
  <c r="O133" i="36" s="1"/>
  <c r="M153" i="36"/>
  <c r="M167" i="36"/>
  <c r="L186" i="36"/>
  <c r="N186" i="36" s="1"/>
  <c r="O186" i="36" s="1"/>
  <c r="M186" i="36"/>
  <c r="N190" i="36"/>
  <c r="O190" i="36" s="1"/>
  <c r="M201" i="36"/>
  <c r="M19" i="36"/>
  <c r="N33" i="36"/>
  <c r="O33" i="36" s="1"/>
  <c r="M68" i="36"/>
  <c r="M86" i="36"/>
  <c r="M113" i="36"/>
  <c r="N117" i="36"/>
  <c r="O117" i="36" s="1"/>
  <c r="M120" i="36"/>
  <c r="M130" i="36"/>
  <c r="M133" i="36"/>
  <c r="L136" i="36"/>
  <c r="M136" i="36" s="1"/>
  <c r="M150" i="36"/>
  <c r="M190" i="36"/>
  <c r="M205" i="36"/>
  <c r="L110" i="36"/>
  <c r="N110" i="36" s="1"/>
  <c r="O110" i="36" s="1"/>
  <c r="L30" i="36"/>
  <c r="M30" i="36" s="1"/>
  <c r="L90" i="36"/>
  <c r="M90" i="36" s="1"/>
  <c r="L175" i="36"/>
  <c r="M175" i="36" s="1"/>
  <c r="L183" i="36"/>
  <c r="M183" i="36" s="1"/>
  <c r="M9" i="36"/>
  <c r="L27" i="36"/>
  <c r="N27" i="36" s="1"/>
  <c r="O27" i="36" s="1"/>
  <c r="M37" i="36"/>
  <c r="M62" i="36"/>
  <c r="L80" i="36"/>
  <c r="M80" i="36" s="1"/>
  <c r="M94" i="36"/>
  <c r="M168" i="36"/>
  <c r="N207" i="36"/>
  <c r="O207" i="36" s="1"/>
  <c r="L191" i="36"/>
  <c r="M191" i="36" s="1"/>
  <c r="N121" i="36"/>
  <c r="O121" i="36" s="1"/>
  <c r="N131" i="36"/>
  <c r="O131" i="36" s="1"/>
  <c r="L148" i="36"/>
  <c r="N148" i="36" s="1"/>
  <c r="O148" i="36" s="1"/>
  <c r="L161" i="36"/>
  <c r="M161" i="36" s="1"/>
  <c r="L172" i="36"/>
  <c r="M172" i="36" s="1"/>
  <c r="L17" i="36"/>
  <c r="M17" i="36" s="1"/>
  <c r="M28" i="36"/>
  <c r="N38" i="36"/>
  <c r="O38" i="36" s="1"/>
  <c r="L41" i="36"/>
  <c r="M41" i="36" s="1"/>
  <c r="M48" i="36"/>
  <c r="L66" i="36"/>
  <c r="N66" i="36" s="1"/>
  <c r="O66" i="36" s="1"/>
  <c r="N70" i="36"/>
  <c r="O70" i="36" s="1"/>
  <c r="M81" i="36"/>
  <c r="M98" i="36"/>
  <c r="N14" i="36"/>
  <c r="O14" i="36" s="1"/>
  <c r="M38" i="36"/>
  <c r="M45" i="36"/>
  <c r="M63" i="36"/>
  <c r="M74" i="36"/>
  <c r="N78" i="36"/>
  <c r="O78" i="36" s="1"/>
  <c r="M88" i="36"/>
  <c r="M95" i="36"/>
  <c r="N112" i="36"/>
  <c r="O112" i="36" s="1"/>
  <c r="N132" i="36"/>
  <c r="O132" i="36" s="1"/>
  <c r="N135" i="36"/>
  <c r="O135" i="36" s="1"/>
  <c r="N149" i="36"/>
  <c r="O149" i="36" s="1"/>
  <c r="N26" i="36"/>
  <c r="O26" i="36" s="1"/>
  <c r="N39" i="36"/>
  <c r="O39" i="36" s="1"/>
  <c r="N88" i="36"/>
  <c r="O88" i="36" s="1"/>
  <c r="N95" i="36"/>
  <c r="O95" i="36" s="1"/>
  <c r="N167" i="36"/>
  <c r="O167" i="36" s="1"/>
  <c r="N104" i="36"/>
  <c r="O104" i="36" s="1"/>
  <c r="N125" i="36"/>
  <c r="O125" i="36" s="1"/>
  <c r="L76" i="36"/>
  <c r="M76" i="36" s="1"/>
  <c r="L10" i="36"/>
  <c r="N10" i="36" s="1"/>
  <c r="O10" i="36" s="1"/>
  <c r="N28" i="36"/>
  <c r="O28" i="36" s="1"/>
  <c r="L73" i="36"/>
  <c r="M73" i="36" s="1"/>
  <c r="N124" i="36"/>
  <c r="O124" i="36" s="1"/>
  <c r="N127" i="36"/>
  <c r="O127" i="36" s="1"/>
  <c r="N130" i="36"/>
  <c r="O130" i="36" s="1"/>
  <c r="L138" i="36"/>
  <c r="N138" i="36" s="1"/>
  <c r="O138" i="36" s="1"/>
  <c r="L180" i="36"/>
  <c r="M180" i="36" s="1"/>
  <c r="N205" i="36"/>
  <c r="O205" i="36" s="1"/>
  <c r="L20" i="36"/>
  <c r="N20" i="36" s="1"/>
  <c r="O20" i="36" s="1"/>
  <c r="L23" i="36"/>
  <c r="N23" i="36" s="1"/>
  <c r="O23" i="36" s="1"/>
  <c r="L61" i="36"/>
  <c r="N61" i="36" s="1"/>
  <c r="O61" i="36" s="1"/>
  <c r="L64" i="36"/>
  <c r="N64" i="36" s="1"/>
  <c r="O64" i="36" s="1"/>
  <c r="L114" i="36"/>
  <c r="N114" i="36" s="1"/>
  <c r="O114" i="36" s="1"/>
  <c r="N118" i="36"/>
  <c r="O118" i="36" s="1"/>
  <c r="L193" i="36"/>
  <c r="N193" i="36" s="1"/>
  <c r="O193" i="36" s="1"/>
  <c r="L196" i="36"/>
  <c r="M196" i="36" s="1"/>
  <c r="L206" i="36"/>
  <c r="M206" i="36" s="1"/>
  <c r="L185" i="36"/>
  <c r="M185" i="36" s="1"/>
  <c r="N188" i="36"/>
  <c r="O188" i="36" s="1"/>
  <c r="L21" i="36"/>
  <c r="N21" i="36" s="1"/>
  <c r="O21" i="36" s="1"/>
  <c r="L100" i="36"/>
  <c r="N100" i="36" s="1"/>
  <c r="O100" i="36" s="1"/>
  <c r="L178" i="36"/>
  <c r="M178" i="36" s="1"/>
  <c r="L194" i="36"/>
  <c r="M194" i="36" s="1"/>
  <c r="N107" i="36"/>
  <c r="O107" i="36" s="1"/>
  <c r="L144" i="36"/>
  <c r="N144" i="36" s="1"/>
  <c r="O144" i="36" s="1"/>
  <c r="L40" i="36"/>
  <c r="N40" i="36" s="1"/>
  <c r="O40" i="36" s="1"/>
  <c r="L58" i="36"/>
  <c r="N58" i="36" s="1"/>
  <c r="O58" i="36" s="1"/>
  <c r="L87" i="36"/>
  <c r="M87" i="36" s="1"/>
  <c r="N102" i="36"/>
  <c r="O102" i="36" s="1"/>
  <c r="L200" i="36"/>
  <c r="N200" i="36" s="1"/>
  <c r="O200" i="36" s="1"/>
  <c r="L203" i="36"/>
  <c r="N203" i="36" s="1"/>
  <c r="O203" i="36" s="1"/>
  <c r="L105" i="36"/>
  <c r="M105" i="36" s="1"/>
  <c r="L15" i="36"/>
  <c r="M15" i="36" s="1"/>
  <c r="L75" i="36"/>
  <c r="N75" i="36" s="1"/>
  <c r="O75" i="36" s="1"/>
  <c r="L91" i="36"/>
  <c r="N91" i="36" s="1"/>
  <c r="O91" i="36" s="1"/>
  <c r="L97" i="36"/>
  <c r="N97" i="36" s="1"/>
  <c r="O97" i="36" s="1"/>
  <c r="N140" i="36"/>
  <c r="O140" i="36" s="1"/>
  <c r="N156" i="36"/>
  <c r="O156" i="36" s="1"/>
  <c r="L165" i="36"/>
  <c r="N165" i="36" s="1"/>
  <c r="O165" i="36" s="1"/>
  <c r="L13" i="36"/>
  <c r="N13" i="36" s="1"/>
  <c r="O13" i="36" s="1"/>
  <c r="L51" i="36"/>
  <c r="M51" i="36" s="1"/>
  <c r="L164" i="36"/>
  <c r="M164" i="36" s="1"/>
  <c r="L46" i="36"/>
  <c r="N46" i="36" s="1"/>
  <c r="O46" i="36" s="1"/>
  <c r="L56" i="36"/>
  <c r="M56" i="36" s="1"/>
  <c r="L72" i="36"/>
  <c r="M72" i="36" s="1"/>
  <c r="L137" i="36"/>
  <c r="N137" i="36" s="1"/>
  <c r="O137" i="36" s="1"/>
  <c r="N150" i="36"/>
  <c r="O150" i="36" s="1"/>
  <c r="N153" i="36"/>
  <c r="O153" i="36" s="1"/>
  <c r="L162" i="36"/>
  <c r="N162" i="36" s="1"/>
  <c r="O162" i="36" s="1"/>
  <c r="L16" i="36"/>
  <c r="N16" i="36" s="1"/>
  <c r="O16" i="36" s="1"/>
  <c r="L35" i="36"/>
  <c r="N35" i="36" s="1"/>
  <c r="O35" i="36" s="1"/>
  <c r="L44" i="36"/>
  <c r="N44" i="36" s="1"/>
  <c r="O44" i="36" s="1"/>
  <c r="L71" i="36"/>
  <c r="M71" i="36" s="1"/>
  <c r="N160" i="36"/>
  <c r="O160" i="36" s="1"/>
  <c r="L171" i="36"/>
  <c r="M171" i="36" s="1"/>
  <c r="L174" i="36"/>
  <c r="N174" i="36" s="1"/>
  <c r="O174" i="36" s="1"/>
  <c r="L204" i="36"/>
  <c r="N204" i="36" s="1"/>
  <c r="O204" i="36" s="1"/>
  <c r="L50" i="36"/>
  <c r="N50" i="36" s="1"/>
  <c r="O50" i="36" s="1"/>
  <c r="L57" i="36"/>
  <c r="M57" i="36" s="1"/>
  <c r="L60" i="36"/>
  <c r="M60" i="36" s="1"/>
  <c r="L69" i="36"/>
  <c r="N69" i="36" s="1"/>
  <c r="O69" i="36" s="1"/>
  <c r="N74" i="36"/>
  <c r="O74" i="36" s="1"/>
  <c r="N83" i="36"/>
  <c r="O83" i="36" s="1"/>
  <c r="L89" i="36"/>
  <c r="N89" i="36" s="1"/>
  <c r="O89" i="36" s="1"/>
  <c r="L106" i="36"/>
  <c r="N106" i="36" s="1"/>
  <c r="O106" i="36" s="1"/>
  <c r="L145" i="36"/>
  <c r="N145" i="36" s="1"/>
  <c r="O145" i="36" s="1"/>
  <c r="N151" i="36"/>
  <c r="O151" i="36" s="1"/>
  <c r="L177" i="36"/>
  <c r="M177" i="36" s="1"/>
  <c r="L192" i="36"/>
  <c r="M192" i="36" s="1"/>
  <c r="L181" i="36"/>
  <c r="N181" i="36" s="1"/>
  <c r="O181" i="36" s="1"/>
  <c r="L184" i="36"/>
  <c r="N184" i="36" s="1"/>
  <c r="O184" i="36" s="1"/>
  <c r="L8" i="36"/>
  <c r="L22" i="36"/>
  <c r="M22" i="36" s="1"/>
  <c r="L77" i="36"/>
  <c r="M77" i="36" s="1"/>
  <c r="N93" i="36"/>
  <c r="O93" i="36" s="1"/>
  <c r="L154" i="36"/>
  <c r="M154" i="36" s="1"/>
  <c r="N157" i="36"/>
  <c r="O157" i="36" s="1"/>
  <c r="L166" i="36"/>
  <c r="N166" i="36" s="1"/>
  <c r="O166" i="36" s="1"/>
  <c r="L142" i="36"/>
  <c r="N142" i="36" s="1"/>
  <c r="O142" i="36" s="1"/>
  <c r="L163" i="36"/>
  <c r="N163" i="36" s="1"/>
  <c r="O163" i="36" s="1"/>
  <c r="L169" i="36"/>
  <c r="N169" i="36" s="1"/>
  <c r="O169" i="36" s="1"/>
  <c r="L199" i="36"/>
  <c r="M199" i="36" s="1"/>
  <c r="E5" i="36"/>
  <c r="H3" i="36" s="1"/>
  <c r="H4" i="36" s="1"/>
  <c r="H5" i="36" s="1"/>
  <c r="K4" i="36"/>
  <c r="N45" i="36"/>
  <c r="O45" i="36" s="1"/>
  <c r="N128" i="36"/>
  <c r="O128" i="36" s="1"/>
  <c r="N134" i="36"/>
  <c r="O134" i="36" s="1"/>
  <c r="N139" i="36"/>
  <c r="O139" i="36" s="1"/>
  <c r="N197" i="36"/>
  <c r="O197" i="36" s="1"/>
  <c r="N17" i="36"/>
  <c r="O17" i="36" s="1"/>
  <c r="L119" i="36"/>
  <c r="N119" i="36" s="1"/>
  <c r="O119" i="36" s="1"/>
  <c r="N178" i="36"/>
  <c r="O178" i="36" s="1"/>
  <c r="L11" i="36"/>
  <c r="N11" i="36" s="1"/>
  <c r="O11" i="36" s="1"/>
  <c r="N48" i="36"/>
  <c r="O48" i="36" s="1"/>
  <c r="L52" i="36"/>
  <c r="N52" i="36" s="1"/>
  <c r="O52" i="36" s="1"/>
  <c r="L54" i="36"/>
  <c r="M54" i="36" s="1"/>
  <c r="L85" i="36"/>
  <c r="N85" i="36" s="1"/>
  <c r="O85" i="36" s="1"/>
  <c r="L108" i="36"/>
  <c r="M108" i="36" s="1"/>
  <c r="N146" i="36"/>
  <c r="O146" i="36" s="1"/>
  <c r="N155" i="36"/>
  <c r="O155" i="36" s="1"/>
  <c r="L195" i="36"/>
  <c r="M195" i="36" s="1"/>
  <c r="L202" i="36"/>
  <c r="N202" i="36" s="1"/>
  <c r="O202" i="36" s="1"/>
  <c r="N32" i="36"/>
  <c r="O32" i="36" s="1"/>
  <c r="N42" i="36"/>
  <c r="O42" i="36" s="1"/>
  <c r="L79" i="36"/>
  <c r="M79" i="36" s="1"/>
  <c r="N115" i="36"/>
  <c r="O115" i="36" s="1"/>
  <c r="L176" i="36"/>
  <c r="M176" i="36" s="1"/>
  <c r="N24" i="36"/>
  <c r="O24" i="36" s="1"/>
  <c r="N65" i="36"/>
  <c r="O65" i="36" s="1"/>
  <c r="L67" i="36"/>
  <c r="N67" i="36" s="1"/>
  <c r="O67" i="36" s="1"/>
  <c r="N113" i="36"/>
  <c r="O113" i="36" s="1"/>
  <c r="N120" i="36"/>
  <c r="O120" i="36" s="1"/>
  <c r="L122" i="36"/>
  <c r="N122" i="36" s="1"/>
  <c r="O122" i="36" s="1"/>
  <c r="L158" i="36"/>
  <c r="M158" i="36" s="1"/>
  <c r="N12" i="36"/>
  <c r="O12" i="36" s="1"/>
  <c r="L36" i="36"/>
  <c r="N36" i="36" s="1"/>
  <c r="O36" i="36" s="1"/>
  <c r="L59" i="36"/>
  <c r="N59" i="36" s="1"/>
  <c r="O59" i="36" s="1"/>
  <c r="N63" i="36"/>
  <c r="O63" i="36" s="1"/>
  <c r="L92" i="36"/>
  <c r="M92" i="36" s="1"/>
  <c r="N53" i="36"/>
  <c r="O53" i="36" s="1"/>
  <c r="L55" i="36"/>
  <c r="N55" i="36" s="1"/>
  <c r="O55" i="36" s="1"/>
  <c r="N84" i="36"/>
  <c r="O84" i="36" s="1"/>
  <c r="N98" i="36"/>
  <c r="O98" i="36" s="1"/>
  <c r="N111" i="36"/>
  <c r="O111" i="36" s="1"/>
  <c r="N116" i="36"/>
  <c r="O116" i="36" s="1"/>
  <c r="N147" i="36"/>
  <c r="O147" i="36" s="1"/>
  <c r="N170" i="36"/>
  <c r="O170" i="36" s="1"/>
  <c r="L189" i="36"/>
  <c r="N189" i="36" s="1"/>
  <c r="O189" i="36" s="1"/>
  <c r="L123" i="36"/>
  <c r="N123" i="36" s="1"/>
  <c r="O123" i="36" s="1"/>
  <c r="L143" i="36"/>
  <c r="M143" i="36" s="1"/>
  <c r="L152" i="36"/>
  <c r="L182" i="36"/>
  <c r="N182" i="36" s="1"/>
  <c r="O182" i="36" s="1"/>
  <c r="N201" i="36"/>
  <c r="O201" i="36" s="1"/>
  <c r="N29" i="36"/>
  <c r="O29" i="36" s="1"/>
  <c r="L43" i="36"/>
  <c r="N43" i="36" s="1"/>
  <c r="O43" i="36" s="1"/>
  <c r="N99" i="36"/>
  <c r="O99" i="36" s="1"/>
  <c r="N103" i="36"/>
  <c r="O103" i="36" s="1"/>
  <c r="L179" i="36"/>
  <c r="N179" i="36" s="1"/>
  <c r="O179" i="36" s="1"/>
  <c r="L198" i="36"/>
  <c r="N198" i="36" s="1"/>
  <c r="O198" i="36" s="1"/>
  <c r="N180" i="36" l="1"/>
  <c r="O180" i="36" s="1"/>
  <c r="M27" i="36"/>
  <c r="M66" i="36"/>
  <c r="M173" i="36"/>
  <c r="M138" i="36"/>
  <c r="M18" i="36"/>
  <c r="N183" i="36"/>
  <c r="O183" i="36" s="1"/>
  <c r="N73" i="36"/>
  <c r="O73" i="36" s="1"/>
  <c r="N191" i="36"/>
  <c r="O191" i="36" s="1"/>
  <c r="M110" i="36"/>
  <c r="N82" i="36"/>
  <c r="O82" i="36" s="1"/>
  <c r="M114" i="36"/>
  <c r="N41" i="36"/>
  <c r="O41" i="36" s="1"/>
  <c r="N171" i="36"/>
  <c r="O171" i="36" s="1"/>
  <c r="N136" i="36"/>
  <c r="O136" i="36" s="1"/>
  <c r="M148" i="36"/>
  <c r="N90" i="36"/>
  <c r="O90" i="36" s="1"/>
  <c r="N76" i="36"/>
  <c r="O76" i="36" s="1"/>
  <c r="N22" i="36"/>
  <c r="O22" i="36" s="1"/>
  <c r="N175" i="36"/>
  <c r="O175" i="36" s="1"/>
  <c r="N30" i="36"/>
  <c r="O30" i="36" s="1"/>
  <c r="N51" i="36"/>
  <c r="O51" i="36" s="1"/>
  <c r="N56" i="36"/>
  <c r="O56" i="36" s="1"/>
  <c r="N129" i="36"/>
  <c r="O129" i="36" s="1"/>
  <c r="N161" i="36"/>
  <c r="O161" i="36" s="1"/>
  <c r="N172" i="36"/>
  <c r="O172" i="36" s="1"/>
  <c r="N199" i="36"/>
  <c r="O199" i="36" s="1"/>
  <c r="N80" i="36"/>
  <c r="O80" i="36" s="1"/>
  <c r="N25" i="36"/>
  <c r="O25" i="36" s="1"/>
  <c r="M23" i="36"/>
  <c r="M106" i="36"/>
  <c r="M126" i="36"/>
  <c r="M119" i="36"/>
  <c r="M100" i="36"/>
  <c r="M89" i="36"/>
  <c r="M144" i="36"/>
  <c r="M85" i="36"/>
  <c r="M137" i="36"/>
  <c r="M16" i="36"/>
  <c r="M182" i="36"/>
  <c r="M67" i="36"/>
  <c r="M166" i="36"/>
  <c r="M97" i="36"/>
  <c r="M61" i="36"/>
  <c r="M75" i="36"/>
  <c r="M162" i="36"/>
  <c r="N92" i="36"/>
  <c r="O92" i="36" s="1"/>
  <c r="M184" i="36"/>
  <c r="M198" i="36"/>
  <c r="M50" i="36"/>
  <c r="M174" i="36"/>
  <c r="M152" i="36"/>
  <c r="M169" i="36"/>
  <c r="M21" i="36"/>
  <c r="M91" i="36"/>
  <c r="M69" i="36"/>
  <c r="M36" i="36"/>
  <c r="M64" i="36"/>
  <c r="M11" i="36"/>
  <c r="M35" i="36"/>
  <c r="M122" i="36"/>
  <c r="M59" i="36"/>
  <c r="M44" i="36"/>
  <c r="M163" i="36"/>
  <c r="M204" i="36"/>
  <c r="M10" i="36"/>
  <c r="M55" i="36"/>
  <c r="M20" i="36"/>
  <c r="M179" i="36"/>
  <c r="M46" i="36"/>
  <c r="M189" i="36"/>
  <c r="M203" i="36"/>
  <c r="M13" i="36"/>
  <c r="M58" i="36"/>
  <c r="M142" i="36"/>
  <c r="M200" i="36"/>
  <c r="M52" i="36"/>
  <c r="M165" i="36"/>
  <c r="M8" i="36"/>
  <c r="M123" i="36"/>
  <c r="M193" i="36"/>
  <c r="M145" i="36"/>
  <c r="M202" i="36"/>
  <c r="M40" i="36"/>
  <c r="M43" i="36"/>
  <c r="M181" i="36"/>
  <c r="N196" i="36"/>
  <c r="O196" i="36" s="1"/>
  <c r="N143" i="36"/>
  <c r="O143" i="36" s="1"/>
  <c r="N192" i="36"/>
  <c r="O192" i="36" s="1"/>
  <c r="N60" i="36"/>
  <c r="O60" i="36" s="1"/>
  <c r="N8" i="36"/>
  <c r="O8" i="36" s="1"/>
  <c r="N108" i="36"/>
  <c r="O108" i="36" s="1"/>
  <c r="N57" i="36"/>
  <c r="O57" i="36" s="1"/>
  <c r="N185" i="36"/>
  <c r="O185" i="36" s="1"/>
  <c r="N152" i="36"/>
  <c r="O152" i="36" s="1"/>
  <c r="N164" i="36"/>
  <c r="O164" i="36" s="1"/>
  <c r="N71" i="36"/>
  <c r="O71" i="36" s="1"/>
  <c r="N77" i="36"/>
  <c r="O77" i="36" s="1"/>
  <c r="N154" i="36"/>
  <c r="O154" i="36" s="1"/>
  <c r="N105" i="36"/>
  <c r="O105" i="36" s="1"/>
  <c r="N195" i="36"/>
  <c r="O195" i="36" s="1"/>
  <c r="N206" i="36"/>
  <c r="O206" i="36" s="1"/>
  <c r="N15" i="36"/>
  <c r="O15" i="36" s="1"/>
  <c r="N194" i="36"/>
  <c r="O194" i="36" s="1"/>
  <c r="N177" i="36"/>
  <c r="O177" i="36" s="1"/>
  <c r="N72" i="36"/>
  <c r="O72" i="36" s="1"/>
  <c r="N87" i="36"/>
  <c r="O87" i="36" s="1"/>
  <c r="K5" i="36"/>
  <c r="N79" i="36"/>
  <c r="O79" i="36" s="1"/>
  <c r="N176" i="36"/>
  <c r="O176" i="36" s="1"/>
  <c r="N158" i="36"/>
  <c r="O158" i="36" s="1"/>
  <c r="N54" i="36"/>
  <c r="O54" i="36" s="1"/>
</calcChain>
</file>

<file path=xl/connections.xml><?xml version="1.0" encoding="utf-8"?>
<connections xmlns="http://schemas.openxmlformats.org/spreadsheetml/2006/main">
  <connection id="1" name="Conexão" type="104" refreshedVersion="0" background="1">
    <extLst>
      <ext xmlns:x15="http://schemas.microsoft.com/office/spreadsheetml/2010/11/main" uri="{DE250136-89BD-433C-8126-D09CA5730AF9}">
        <x15:connection id="Calendário"/>
      </ext>
    </extLst>
  </connection>
  <connection id="2" name="LinkedTable_base" type="102" refreshedVersion="6" minRefreshableVersion="5">
    <extLst>
      <ext xmlns:x15="http://schemas.microsoft.com/office/spreadsheetml/2010/11/main" uri="{DE250136-89BD-433C-8126-D09CA5730AF9}">
        <x15:connection id="base">
          <x15:rangePr sourceName="_xlcn.LinkedTable_base1"/>
        </x15:connection>
      </ext>
    </extLst>
  </connection>
  <connection id="3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<sst xmlns="http://schemas.openxmlformats.org/spreadsheetml/2006/main" count="15565" uniqueCount="3489">
  <si>
    <t>Data</t>
  </si>
  <si>
    <t>Jogo</t>
  </si>
  <si>
    <t>Saldo Fulltbet</t>
  </si>
  <si>
    <t>Método</t>
  </si>
  <si>
    <t>Descrição</t>
  </si>
  <si>
    <t>Esporte</t>
  </si>
  <si>
    <t>Horário de início</t>
  </si>
  <si>
    <t>Data de liquidação</t>
  </si>
  <si>
    <t>Lucro / Perda</t>
  </si>
  <si>
    <t>L/P Líquido</t>
  </si>
  <si>
    <t>L/P Bruto</t>
  </si>
  <si>
    <t>Stake/Responsabilidade</t>
  </si>
  <si>
    <t>Odd</t>
  </si>
  <si>
    <t>0x1</t>
  </si>
  <si>
    <t>Saques e Depósitos</t>
  </si>
  <si>
    <t>Ajuste</t>
  </si>
  <si>
    <t>1x0</t>
  </si>
  <si>
    <t>FC Ararat-Armenia vs Shirak Gumri / Correct Score</t>
  </si>
  <si>
    <t>Deportivo Saprissa vs AD Municipal Liberia / Correct Score</t>
  </si>
  <si>
    <t>Club Guaraní vs Club Sportivo Luqueño / Correct Score</t>
  </si>
  <si>
    <t>Deportivo Macara vs El Nacional / Correct Score</t>
  </si>
  <si>
    <t>Olympique Lyonnais vs FC Nantes / Correct Score</t>
  </si>
  <si>
    <t>Oriente Petrolero vs Blooming Santa Cruz / Correct Score</t>
  </si>
  <si>
    <t>VfB Stuttgart II vs TSV Havelse / Correct Score</t>
  </si>
  <si>
    <t>SC Freiburg vs 1. FSV Mainz 05 / Correct Score</t>
  </si>
  <si>
    <t>AC Sparta Praha vs FK Pardubice / Correct Score</t>
  </si>
  <si>
    <t>Atalanta vs Fiorentina / Correct Score</t>
  </si>
  <si>
    <t>NK Celje vs FC Koper / Correct Score</t>
  </si>
  <si>
    <t>De Graafschap vs FC Eindhoven / Correct Score</t>
  </si>
  <si>
    <t>FC Basel vs FC St. Gallen / Correct Score</t>
  </si>
  <si>
    <t>Racing Genk vs Oud-Heverlee Leuven / Correct Score</t>
  </si>
  <si>
    <t>FC Midtjylland vs FC Nordsjælland / Correct Score</t>
  </si>
  <si>
    <t>FC Slovan Liberec vs SK Sigma Olomouc / Correct Score</t>
  </si>
  <si>
    <t>Slovan Bratislava vs MFK Zemplín Michalovce / Correct Score</t>
  </si>
  <si>
    <t>Aston Villa vs Wolverhampton Wanderers / Correct Score</t>
  </si>
  <si>
    <t>RC Strasbourg vs Stade Brestois 29 / Correct Score</t>
  </si>
  <si>
    <t>Rangers vs Falkirk / Correct Score</t>
  </si>
  <si>
    <t>Trapani vs S.S. Monopoli 1966 / Correct Score</t>
  </si>
  <si>
    <t>FC Yverdon-Sport vs Etoile-Carouge FC / Correct Score</t>
  </si>
  <si>
    <t>US Avranches vs Aubervilliers / Correct Score</t>
  </si>
  <si>
    <t>Bohemians 1905 vs FK Teplice / Correct Score</t>
  </si>
  <si>
    <t>UD Ibiza vs Algeciras / Correct Score</t>
  </si>
  <si>
    <t>Slavia Sofia vs PFC Dobrudzha Dobrich / Correct Score</t>
  </si>
  <si>
    <t>Universidad Católica del Ecuador vs Orense SC / Correct Score</t>
  </si>
  <si>
    <t>Gil Vicente vs Tondela / Correct Score</t>
  </si>
  <si>
    <t>NEC vs Sparta Rotterdam / Correct Score</t>
  </si>
  <si>
    <t>Olympique Marseille vs Toulouse FC / Correct Score</t>
  </si>
  <si>
    <t>AC Milan vs Lazio / Correct Score</t>
  </si>
  <si>
    <t>FC Luzern vs FC Winterthur / Correct Score</t>
  </si>
  <si>
    <t>Independiente Medellín vs América de Cali / Correct Score</t>
  </si>
  <si>
    <t>Racing Club vs Tigre / Correct Score</t>
  </si>
  <si>
    <t>Bologna vs Cremonese / Correct Score</t>
  </si>
  <si>
    <t>Samsunspor vs Alanyaspor / Correct Score</t>
  </si>
  <si>
    <t>Shakhtar Donetsk vs Kryvbas Kryvyi Rih / Correct Score</t>
  </si>
  <si>
    <t>El Gounah vs Asyut Petroleum / Correct Score</t>
  </si>
  <si>
    <t>Real Tomayapo vs Oriente Petrolero / Correct Score</t>
  </si>
  <si>
    <t>Liverpool vs Sunderland / Correct Score</t>
  </si>
  <si>
    <t>Hamburger SV vs Holstein Kiel / Correct Score</t>
  </si>
  <si>
    <t>Brighton &amp; Hove Albion vs Aston Villa / Correct Score</t>
  </si>
  <si>
    <t>Arsenal vs Brentford / Correct Score</t>
  </si>
  <si>
    <t>Union Saint Gilloise vs Zulte Waregem / Correct Score</t>
  </si>
  <si>
    <t>SK Puntigamer Sturm Graz vs WSG Tirol / Correct Score</t>
  </si>
  <si>
    <t>Leeds United vs Chelsea / Half-time Correct Score</t>
  </si>
  <si>
    <t>Kahraba Ismailia vs Pyramids FC / Correct Score</t>
  </si>
  <si>
    <t>Napoli vs Cagliari / Correct Score</t>
  </si>
  <si>
    <t>SC Freiburg vs SV Darmstadt 98 / Correct Score</t>
  </si>
  <si>
    <t>CSKA Sofia vs Lokomotiv Plovdiv / Correct Score</t>
  </si>
  <si>
    <t>FC Botosani vs Afc Hermannstadt / Correct Score</t>
  </si>
  <si>
    <t>Atalanta vs Genoa / Correct Score</t>
  </si>
  <si>
    <t>Algeria vs Sudan / Correct Score</t>
  </si>
  <si>
    <t>Borussia Mönchengladbach vs FC St. Pauli / Correct Score</t>
  </si>
  <si>
    <t>Ajax vs FC Groningen / Correct Score</t>
  </si>
  <si>
    <t>Placar</t>
  </si>
  <si>
    <t>OMQB</t>
  </si>
  <si>
    <t>Lay CS</t>
  </si>
  <si>
    <t>0x0</t>
  </si>
  <si>
    <t>Odd Fulltbet</t>
  </si>
  <si>
    <t>ROI</t>
  </si>
  <si>
    <t>Over 1,5 FT</t>
  </si>
  <si>
    <t>Manchester United vs West Ham / Correct Score</t>
  </si>
  <si>
    <t>Juve Stabia vs Bari / Correct Score</t>
  </si>
  <si>
    <t>Bologna vs Parma / Correct Score</t>
  </si>
  <si>
    <t>FC Botev Vratsa vs Spartak Varna / Correct Score</t>
  </si>
  <si>
    <t>Real Madrid vs Celta de Vigo / Correct Score</t>
  </si>
  <si>
    <t>Botafogo FR vs Fortaleza EC / Correct Score</t>
  </si>
  <si>
    <t>SC Internacional vs Red Bull Bragantino / Correct Score</t>
  </si>
  <si>
    <t>Corinthians vs EC Juventude / Correct Score</t>
  </si>
  <si>
    <t>Fluminense FC vs Esporte Clube Bahia / Correct Score</t>
  </si>
  <si>
    <t>Atlético Mineiro vs Vasco da Gama / Correct Score</t>
  </si>
  <si>
    <t>FC København vs SønderjyskE / Correct Score</t>
  </si>
  <si>
    <t>NK Celje vs ND Primorje / Correct Score</t>
  </si>
  <si>
    <t>Borussia Dortmund vs 1899 Hoffenheim / Correct Score</t>
  </si>
  <si>
    <t>SK Puntigamer Sturm Graz vs Grazer AK / Correct Score</t>
  </si>
  <si>
    <t>Celtic vs Hearts / Correct Score</t>
  </si>
  <si>
    <t>Brighton &amp; Hove Albion vs West Ham / Correct Score</t>
  </si>
  <si>
    <t>FC Volendam vs NEC / Correct Score</t>
  </si>
  <si>
    <t>AZ Alkmaar vs Go Ahead Eagles / Correct Score</t>
  </si>
  <si>
    <t>FC Nordsjælland vs Silkeborg IF / Correct Score</t>
  </si>
  <si>
    <t>SK Beveren vs Francs Borains / Correct Score</t>
  </si>
  <si>
    <t>Real Betis vs FC Barcelona / Correct Score</t>
  </si>
  <si>
    <t>RB Leipzig vs Eintracht Frankfurt / Correct Score</t>
  </si>
  <si>
    <t>Stade Lausanne-Ouchy vs FC Rapperswil Jona / Correct Score</t>
  </si>
  <si>
    <t>Stockport County vs Cambridge United / Correct Score</t>
  </si>
  <si>
    <t>Port Vale vs Bristol Rovers / Correct Score</t>
  </si>
  <si>
    <t>Wigan Athletic vs Barrow / Correct Score</t>
  </si>
  <si>
    <t>Grimsby Town vs Wealdstone / Correct Score</t>
  </si>
  <si>
    <t>VfB Stuttgart vs FC Bayern München / Correct Score</t>
  </si>
  <si>
    <t>Dinamo Zagreb vs Hajduk Split / Correct Score</t>
  </si>
  <si>
    <t>Villarreal vs Getafe / Correct Score</t>
  </si>
  <si>
    <t>Lille OSC vs Olympique Marseille / Correct Score</t>
  </si>
  <si>
    <t>Connah's Quay Nomads F.C. vs Colwyn Bay / Correct Score</t>
  </si>
  <si>
    <t>Cardiff Metropolitan vs Llanelli Town / Correct Score</t>
  </si>
  <si>
    <t>Greenock Morton vs Queen's Park / Correct Score</t>
  </si>
  <si>
    <t>Helmond Sport vs MVV Maastricht / Correct Score</t>
  </si>
  <si>
    <t>Cambuur Leeuwarden vs Den Bosch / Correct Score</t>
  </si>
  <si>
    <t>Almere City vs Jong Ajax / Correct Score</t>
  </si>
  <si>
    <t>RKC Waalwijk vs VVV-Venlo / Correct Score</t>
  </si>
  <si>
    <t>Roda JC vs Jong AZ Alkmaar / Correct Score</t>
  </si>
  <si>
    <t>Le Mans FC vs Amiens SC / Correct Score</t>
  </si>
  <si>
    <t>ADO Den Haag vs FC Emmen / Correct Score</t>
  </si>
  <si>
    <t>Otelul Galati vs FC Unirea Slobozia / Correct Score</t>
  </si>
  <si>
    <t>Ratchaburi vs Sukhothai FC / Correct Score</t>
  </si>
  <si>
    <t>Meta 5 Pro</t>
  </si>
  <si>
    <t>Saldo Inicial</t>
  </si>
  <si>
    <t>FC Kairat Almaty vs Olympiacos / Correct Score</t>
  </si>
  <si>
    <t>Wolverhampton Wanderers vs Manchester United / Correct Score</t>
  </si>
  <si>
    <t>Osasuna vs Levante UD / Correct Score</t>
  </si>
  <si>
    <t>Deportes Tolima vs Fortaleza FC / Correct Score</t>
  </si>
  <si>
    <t>Stade Reims vs Stade Lavallois / Correct Score</t>
  </si>
  <si>
    <t>San Antonio vs Real Tomayapo / Correct Score</t>
  </si>
  <si>
    <t>Beitar Jerusalem vs Hapoel Jerusalem / Correct Score</t>
  </si>
  <si>
    <t>UD Las Palmas vs Mirandés / Correct Score</t>
  </si>
  <si>
    <t>Alanyaspor vs Antalyaspor / Correct Score</t>
  </si>
  <si>
    <t>Besiktas JK vs Gazişehir Gaziantep F.K. / Correct Score</t>
  </si>
  <si>
    <t>Ludogorets Razgrad vs Slavia Sofia / Correct Score</t>
  </si>
  <si>
    <t>Monza vs FC Sudtirol / Correct Score</t>
  </si>
  <si>
    <t>FK Radnik Surdulica vs FK Mladost Lucani / Correct Score</t>
  </si>
  <si>
    <t>Ascoli vs Forlì F.C. / Correct Score</t>
  </si>
  <si>
    <t>Modena FC 2018 vs Catanzaro / Correct Score</t>
  </si>
  <si>
    <t>Tottenham Hotspur vs SK Slavia Praha / Correct Score</t>
  </si>
  <si>
    <t>Sheffield United vs Norwich City / Correct Score</t>
  </si>
  <si>
    <t>Watford vs Sheffield Wednesday / Correct Score</t>
  </si>
  <si>
    <t>Blackburn Rovers vs Oxford United / Correct Score</t>
  </si>
  <si>
    <t>FC Bayern München vs Sporting CP / Match Odds</t>
  </si>
  <si>
    <t>FC Bayern München vs Sporting CP / Correct Score</t>
  </si>
  <si>
    <t>Lay Zebra</t>
  </si>
  <si>
    <t>Borussia Dortmund vs Bodø/Glimt / Correct Score</t>
  </si>
  <si>
    <t>Club Brugge vs Arsenal / Correct Score</t>
  </si>
  <si>
    <t>Athletic Bilbao vs Paris Saint-Germain / Correct Score</t>
  </si>
  <si>
    <t>Juventus vs Paphos FC / Correct Score</t>
  </si>
  <si>
    <t>Ipswich Town vs Stoke City / Correct Score</t>
  </si>
  <si>
    <t>Villarreal vs FC København / Correct Score</t>
  </si>
  <si>
    <t>Villarreal vs FC København / Half-time Correct Score</t>
  </si>
  <si>
    <t>Erro</t>
  </si>
  <si>
    <t>Pau FC vs Amiens SC</t>
  </si>
  <si>
    <t>Montego Bay United vs Harbour View / Correct Score</t>
  </si>
  <si>
    <t>Ferencvárosi TC vs Rangers / Correct Score</t>
  </si>
  <si>
    <t>KF Drita vs AZ Alkmaar / Correct Score</t>
  </si>
  <si>
    <t>FC Midtjylland vs Racing Genk / Correct Score</t>
  </si>
  <si>
    <t>Futebol</t>
  </si>
  <si>
    <t>Manchester United vs AFC Bournemouth</t>
  </si>
  <si>
    <t>Barcelona SC vs Orense SC</t>
  </si>
  <si>
    <t>Atlético de Madrid B vs Sevilla Atletico</t>
  </si>
  <si>
    <t>1. FC Schweinfurt 05 vs TSV Havelse</t>
  </si>
  <si>
    <t>Racing Genk vs Westerlo</t>
  </si>
  <si>
    <t>Moreirense FC vs Benfica</t>
  </si>
  <si>
    <t>UD Almería vs Burgos CF</t>
  </si>
  <si>
    <t>FC Bayern München vs 1. FSV Mainz 05</t>
  </si>
  <si>
    <t>RC Lens vs OGC Nice</t>
  </si>
  <si>
    <t>Famalicão vs Estoril-Praia</t>
  </si>
  <si>
    <t>Hamrun Spartans vs Marsaxlokk FC</t>
  </si>
  <si>
    <t>SC Lokeren-Temse vs Racing Genk B</t>
  </si>
  <si>
    <t>Aberdeen vs Kilmarnock</t>
  </si>
  <si>
    <t>SC Freiburg vs Borussia Dortmund</t>
  </si>
  <si>
    <t>Olympique Lyonnais vs Le Havre AC</t>
  </si>
  <si>
    <t>Crystal Palace vs Manchester City</t>
  </si>
  <si>
    <t>Ferencvárosi TC vs Debreceni VSC</t>
  </si>
  <si>
    <t>Dynamo Kyiv vs NK Veres Rivne</t>
  </si>
  <si>
    <t>FC Red Bull Salzburg vs RZ Pellets WAC</t>
  </si>
  <si>
    <t>BSC Young Boys vs FC Luzern</t>
  </si>
  <si>
    <t>FC Schalke 04 vs 1. FC Nürnberg</t>
  </si>
  <si>
    <t>SV Darmstadt 98 vs Preußen Münster</t>
  </si>
  <si>
    <t>SV Elversberg vs Fortuna Düsseldorf</t>
  </si>
  <si>
    <t>Buriram United vs Port FC</t>
  </si>
  <si>
    <t>AC Milan vs Sassuolo</t>
  </si>
  <si>
    <t>Atalanta B vs Sorrento</t>
  </si>
  <si>
    <t>CD Gualberto Villarroel vs Universitario de Vinto</t>
  </si>
  <si>
    <t>Saint-Étienne vs SC Bastia</t>
  </si>
  <si>
    <t>Cesena vs Mantova</t>
  </si>
  <si>
    <t>FC Barcelona vs Osasuna</t>
  </si>
  <si>
    <t>Bayer 04 Leverkusen vs 1. FC Köln</t>
  </si>
  <si>
    <t>Liverpool vs Brighton &amp; Hove Albion</t>
  </si>
  <si>
    <t>Walsall vs Shrewsbury Town</t>
  </si>
  <si>
    <t>Chelsea vs Everton</t>
  </si>
  <si>
    <t>FC St. Pauli vs 1. FC Heidenheim</t>
  </si>
  <si>
    <t>1899 Hoffenheim vs Hamburger SV</t>
  </si>
  <si>
    <t>MSV Duisburg vs FC Erzgebirge Aue</t>
  </si>
  <si>
    <t>1. FC Union Berlin vs RB Leipzig</t>
  </si>
  <si>
    <t>FC Aarau vs Etoile-Carouge FC</t>
  </si>
  <si>
    <t>Willem II vs Cambuur Leeuwarden</t>
  </si>
  <si>
    <t>Jong PSV Eindhoven vs Almere City</t>
  </si>
  <si>
    <t>Over 0,5 HT</t>
  </si>
  <si>
    <t>Arsenal vs Aston Villa</t>
  </si>
  <si>
    <t>Resultado</t>
  </si>
  <si>
    <t>Vitoria de Guimaraes vs AVS Futebol SAD</t>
  </si>
  <si>
    <t>Feyenoord vs Heerenveen</t>
  </si>
  <si>
    <t>Dundee United vs Celtic</t>
  </si>
  <si>
    <t>Manchester City vs Brentford</t>
  </si>
  <si>
    <t>TOP Oss vs FC Utrecht</t>
  </si>
  <si>
    <t>Fatih Karagümrük Istanbul vs Ugur Okullari Istanbulspor</t>
  </si>
  <si>
    <t>AILA</t>
  </si>
  <si>
    <t>Trading</t>
  </si>
  <si>
    <t>Back Casa</t>
  </si>
  <si>
    <t>Under 2,5</t>
  </si>
  <si>
    <t>Back Visitante</t>
  </si>
  <si>
    <t>AEK Athens vs CS Universitatea Craiova</t>
  </si>
  <si>
    <t>AZ Alkmaar vs Jagiellonia Bialystok</t>
  </si>
  <si>
    <t>NK Celje vs Shelbourne FC</t>
  </si>
  <si>
    <t>USM Alger vs ES Ben Aknoun</t>
  </si>
  <si>
    <t>Santa Clara vs Sporting CP</t>
  </si>
  <si>
    <t>FC Volendam vs SC Genemuiden</t>
  </si>
  <si>
    <t>SV Spakenburg vs FC Twente</t>
  </si>
  <si>
    <t>Galatasaray SK vs Istanbul Basaksehir FK</t>
  </si>
  <si>
    <t>Estoril-Praia vs Sporting de Braga</t>
  </si>
  <si>
    <t>US Avranches vs Stade Brestois 29</t>
  </si>
  <si>
    <t>En Avant Guingamp vs Stade Lavallois</t>
  </si>
  <si>
    <t>Borussia Dortmund vs Borussia Mönchengladbach</t>
  </si>
  <si>
    <t>ADO Den Haag vs Jong PSV Eindhoven</t>
  </si>
  <si>
    <t>SC Paderborn 07 vs SV Darmstadt 98</t>
  </si>
  <si>
    <t>Kuching City vs Melaka FC</t>
  </si>
  <si>
    <t>Pulau Pinang vs PDRM FA</t>
  </si>
  <si>
    <t>Projeto +EV</t>
  </si>
  <si>
    <t>Over 2,5</t>
  </si>
  <si>
    <t>Over 1,5 HT</t>
  </si>
  <si>
    <t>Everton vs Arsenal</t>
  </si>
  <si>
    <t>UD Las Palmas vs Cultural Leonesa</t>
  </si>
  <si>
    <t>Leeds United vs Crystal Palace</t>
  </si>
  <si>
    <t>Union Saint Gilloise vs Zulte Waregem</t>
  </si>
  <si>
    <t>Gil Vicente vs Rio Ave</t>
  </si>
  <si>
    <t>NEC vs Ajax</t>
  </si>
  <si>
    <t>RB Leipzig vs Bayer 04 Leverkusen</t>
  </si>
  <si>
    <t>Tottenham Hotspur vs Liverpool</t>
  </si>
  <si>
    <t>Westerlo vs RAAL La Louviere</t>
  </si>
  <si>
    <t>Besiktas JK vs Caykur Rizespor</t>
  </si>
  <si>
    <t>FC Thun vs FC Zürich</t>
  </si>
  <si>
    <t>Lazio vs Cremonese</t>
  </si>
  <si>
    <t>Heracles Almelo vs Heerenveen</t>
  </si>
  <si>
    <t>Brighton &amp; Hove Albion vs Sunderland</t>
  </si>
  <si>
    <t>Swindon Town vs Crawley Town</t>
  </si>
  <si>
    <t>Manchester City vs West Ham</t>
  </si>
  <si>
    <t>Motherwell vs Dundee</t>
  </si>
  <si>
    <t>Queens Park Rangers vs Leicester City</t>
  </si>
  <si>
    <t>Crvena Zvezda vs FK Mladost Lucani</t>
  </si>
  <si>
    <t>Hamburger SV vs Eintracht Frankfurt</t>
  </si>
  <si>
    <t>VfB Stuttgart vs 1899 Hoffenheim</t>
  </si>
  <si>
    <t>GD Chaves vs Portimonense</t>
  </si>
  <si>
    <t>Eyüpspor vs Fenerbahçe SK</t>
  </si>
  <si>
    <t>Hansa Rostock vs 1. FC Saarbrücken</t>
  </si>
  <si>
    <t>Rot-Weiss Essen vs SSV Ulm 1846</t>
  </si>
  <si>
    <t>Kazma Sporting Club vs Al Naser</t>
  </si>
  <si>
    <t>VfL Wolfsburg vs SC Freiburg</t>
  </si>
  <si>
    <t>Zira IK vs Imisli Futbol Klubu</t>
  </si>
  <si>
    <t>Preston North End vs Norwich City</t>
  </si>
  <si>
    <t>Southampton vs Coventry City</t>
  </si>
  <si>
    <t>Newcastle United vs Chelsea</t>
  </si>
  <si>
    <t>Perth Glory vs Adelaide United</t>
  </si>
  <si>
    <t>BTTS</t>
  </si>
  <si>
    <t>Empate Anula</t>
  </si>
  <si>
    <t>0X0</t>
  </si>
  <si>
    <t>SuperOdds</t>
  </si>
  <si>
    <t>Real Betis vs Getafe</t>
  </si>
  <si>
    <t>Mount Pleasant FA vs Spanish Town Police</t>
  </si>
  <si>
    <t>Granada CF vs Albacete Balompié</t>
  </si>
  <si>
    <t>Aston Villa vs Manchester United</t>
  </si>
  <si>
    <t>1. FC Heidenheim vs FC Bayern München</t>
  </si>
  <si>
    <t>Fiorentina vs Udinese</t>
  </si>
  <si>
    <t>FC Volendam vs Sparta Rotterdam</t>
  </si>
  <si>
    <t>1899 Hoffenheim II vs SV Wehen Wiesbaden</t>
  </si>
  <si>
    <t>Villarreal vs FC Barcelona</t>
  </si>
  <si>
    <t>Feyenoord vs FC Twente</t>
  </si>
  <si>
    <t>Girona vs Atlético de Madrid</t>
  </si>
  <si>
    <t>Preußen Münster vs SV Elversberg</t>
  </si>
  <si>
    <t>Málaga vs UD Almería</t>
  </si>
  <si>
    <t>Alanyaspor vs Fatih Karagümrük Istanbul</t>
  </si>
  <si>
    <t>Coventry City vs Swansea City</t>
  </si>
  <si>
    <t>Leicester City vs Watford</t>
  </si>
  <si>
    <t>Chelsea vs Aston Villa</t>
  </si>
  <si>
    <t>Brentford vs AFC Bournemouth</t>
  </si>
  <si>
    <t>Catanzaro vs Cesena</t>
  </si>
  <si>
    <t>Nottingham Forest vs Manchester City</t>
  </si>
  <si>
    <t>Marathón vs Olancho FC</t>
  </si>
  <si>
    <t>Sporting CP vs Rio Ave</t>
  </si>
  <si>
    <t>Al-Arabi Doha vs Al-Rayyan</t>
  </si>
  <si>
    <t>Crystal Palace vs Tottenham Hotspur</t>
  </si>
  <si>
    <t>Bologna vs Sassuolo</t>
  </si>
  <si>
    <t>Sunderland vs Leeds United</t>
  </si>
  <si>
    <t>Al-Ula FC vs Al-Anwar Club</t>
  </si>
  <si>
    <t>Superodds</t>
  </si>
  <si>
    <t>Dupla Chance</t>
  </si>
  <si>
    <t>Under 3,5</t>
  </si>
  <si>
    <t>Casa</t>
  </si>
  <si>
    <t>Visitante</t>
  </si>
  <si>
    <t>Over 1,5</t>
  </si>
  <si>
    <t>Lille OSC vs Stade Rennais</t>
  </si>
  <si>
    <t>Espanyol vs FC Barcelona</t>
  </si>
  <si>
    <t>Real Valladolid vs Racing Santander</t>
  </si>
  <si>
    <t>Club Football Estrela vs Sporting de Braga</t>
  </si>
  <si>
    <t>Juventus vs Lecce</t>
  </si>
  <si>
    <t>Aston Villa vs Nottingham Forest</t>
  </si>
  <si>
    <t>Celtic vs Rangers</t>
  </si>
  <si>
    <t>Cagliari vs AC Milan</t>
  </si>
  <si>
    <t>Gil Vicente vs Sporting CP</t>
  </si>
  <si>
    <t>Sunderland vs Manchester City</t>
  </si>
  <si>
    <t>Brentford vs Tottenham Hotspur</t>
  </si>
  <si>
    <t>Liverpool vs Leeds United</t>
  </si>
  <si>
    <t>Derby County vs Middlesbrough</t>
  </si>
  <si>
    <t>Southampton vs Millwall</t>
  </si>
  <si>
    <t>Preston North End vs Sheffield Wednesday</t>
  </si>
  <si>
    <t>Bristol City vs Portsmouth</t>
  </si>
  <si>
    <t>Real Sociedad vs Atlético de Madrid</t>
  </si>
  <si>
    <t>Internazionale vs Bologna</t>
  </si>
  <si>
    <t>Paris Saint-Germain vs Paris FC</t>
  </si>
  <si>
    <t>Manchester City vs Chelsea</t>
  </si>
  <si>
    <t>FC Lorient vs FC Metz</t>
  </si>
  <si>
    <t>Stade Brestois 29 vs AJ Auxerre</t>
  </si>
  <si>
    <t>Fulham vs Liverpool</t>
  </si>
  <si>
    <t>Real Madrid vs Real Betis</t>
  </si>
  <si>
    <t>Newcastle United vs Crystal Palace</t>
  </si>
  <si>
    <t>Tottenham Hotspur vs Sunderland</t>
  </si>
  <si>
    <t>Middlesbrough vs Southampton</t>
  </si>
  <si>
    <t>Fiorentina vs Cremonese</t>
  </si>
  <si>
    <t>Olympique Marseille vs FC Nantes</t>
  </si>
  <si>
    <t>Leeds United vs Manchester United</t>
  </si>
  <si>
    <t>Cosenza Calcio vs S.S. Monopoli 1966</t>
  </si>
  <si>
    <t>Benevento vs Crotone</t>
  </si>
  <si>
    <t>Nigeria vs Mozambique</t>
  </si>
  <si>
    <t>Galatasaray SK vs Trabzonspor</t>
  </si>
  <si>
    <t>JS Kabylie vs MB Rouissat</t>
  </si>
  <si>
    <t>Egypt vs Benin</t>
  </si>
  <si>
    <t>Resultado_Binario</t>
  </si>
  <si>
    <t>Fulham vs Chelsea</t>
  </si>
  <si>
    <t>Sporting CP vs Vitoria de Guimaraes</t>
  </si>
  <si>
    <t>Rangers vs Aberdeen</t>
  </si>
  <si>
    <t>Sassuolo vs Juventus</t>
  </si>
  <si>
    <t>Ivory Coast vs Burkina Faso</t>
  </si>
  <si>
    <t>Newcastle United vs Leeds United</t>
  </si>
  <si>
    <t>Parma vs Internazionale</t>
  </si>
  <si>
    <t>Manchester City vs Brighton &amp; Hove Albion</t>
  </si>
  <si>
    <t>Napoli vs Hellas Verona</t>
  </si>
  <si>
    <t>Bologna vs Atalanta</t>
  </si>
  <si>
    <t>Internazionale vs Napoli</t>
  </si>
  <si>
    <t>Hellas Verona vs Lazio</t>
  </si>
  <si>
    <t>Manchester United vs Brighton &amp; Hove Albion</t>
  </si>
  <si>
    <t>Padova vs Modena FC 2018</t>
  </si>
  <si>
    <t>FC Bayern München vs VfL Wolfsburg</t>
  </si>
  <si>
    <t>West Ham vs Queens Park Rangers</t>
  </si>
  <si>
    <t>Levante UD vs Espanyol</t>
  </si>
  <si>
    <t>Norwich City vs Walsall</t>
  </si>
  <si>
    <t>Heerenveen vs Feyenoord</t>
  </si>
  <si>
    <t>Racing Santander vs Real Zaragoza</t>
  </si>
  <si>
    <t>Atalanta vs Torino</t>
  </si>
  <si>
    <t>PSV Eindhoven vs Excelsior Rotterdam</t>
  </si>
  <si>
    <t>Al-Akhdoud vs Al Ahli Jeddah</t>
  </si>
  <si>
    <t>Bayer 04 Leverkusen vs VfB Stuttgart</t>
  </si>
  <si>
    <t>AS Roma vs Sassuolo</t>
  </si>
  <si>
    <t>Sorrento vs Foggia</t>
  </si>
  <si>
    <t>Juve Stabia vs Pescara</t>
  </si>
  <si>
    <t>Real Sociedad B vs Albacete Balompié</t>
  </si>
  <si>
    <t>SC Freiburg vs Hamburger SV</t>
  </si>
  <si>
    <t>Frosinone vs Catanzaro</t>
  </si>
  <si>
    <t>1. FC Heidenheim vs 1. FC Köln</t>
  </si>
  <si>
    <t>Mirandés vs UD Almería</t>
  </si>
  <si>
    <t>Preston North End vs Wigan Athletic</t>
  </si>
  <si>
    <t>Arsenal vs Liverpool</t>
  </si>
  <si>
    <t>AC Milan vs Genoa</t>
  </si>
  <si>
    <t>Atlético de Madrid vs Real Madrid</t>
  </si>
  <si>
    <t>Paris Saint-Germain vs Olympique Marseille</t>
  </si>
  <si>
    <t>Al-Nassr Riyadh vs Al-Qadisiyah</t>
  </si>
  <si>
    <t>Qatar SC vs Al Sadd</t>
  </si>
  <si>
    <t>Under 0,5</t>
  </si>
  <si>
    <t>Al-Fateh Al-Hasa vs Al-Riyadh</t>
  </si>
  <si>
    <t>Jong AZ Alkmaar vs Jong Ajax</t>
  </si>
  <si>
    <t>Al-Ettifaq vs Al-Khaleej Saihat</t>
  </si>
  <si>
    <t>AS Roma vs Torino</t>
  </si>
  <si>
    <t>Sporting de Charleroi vs Club Brugge</t>
  </si>
  <si>
    <t>1. FSV Mainz 05 vs 1. FC Heidenheim</t>
  </si>
  <si>
    <t>Borussia Dortmund vs Werder Bremen</t>
  </si>
  <si>
    <t>Huddersfield Town vs Rotherham United</t>
  </si>
  <si>
    <t>VfB Stuttgart vs Eintracht Frankfurt</t>
  </si>
  <si>
    <t>Al Ahli Jeddah vs Al-Taawoun Buraidah</t>
  </si>
  <si>
    <t>1. FC Köln vs FC Bayern München</t>
  </si>
  <si>
    <t>RB Leipzig vs SC Freiburg</t>
  </si>
  <si>
    <t>1899 Hoffenheim vs Borussia Mönchengladbach</t>
  </si>
  <si>
    <t>Napoli vs Parma</t>
  </si>
  <si>
    <t>Vitoria de Guimaraes vs FC Porto</t>
  </si>
  <si>
    <t>Real Sociedad vs FC Barcelona</t>
  </si>
  <si>
    <t>AC Milan vs Lecce</t>
  </si>
  <si>
    <t>Olympique Lyonnais vs Stade Brestois 29</t>
  </si>
  <si>
    <t>Aston Villa vs Everton</t>
  </si>
  <si>
    <t>Stade Rennais vs Le Havre AC</t>
  </si>
  <si>
    <t>Palermo vs Spezia</t>
  </si>
  <si>
    <t>Atlético de Madrid vs Deportivo Alaves</t>
  </si>
  <si>
    <t>VfB Stuttgart vs 1. FC Union Berlin</t>
  </si>
  <si>
    <t>Wolverhampton Wanderers vs Newcastle United</t>
  </si>
  <si>
    <t>Heracles Almelo vs FC Twente</t>
  </si>
  <si>
    <t>Holstein Kiel vs SC Paderborn 07</t>
  </si>
  <si>
    <t>VfL Bochum vs SV Darmstadt 98</t>
  </si>
  <si>
    <t>Rio Ave vs Benfica</t>
  </si>
  <si>
    <t>NAC Breda vs NEC</t>
  </si>
  <si>
    <t>Real Betis vs Villarreal</t>
  </si>
  <si>
    <t>Saint-Étienne vs Clermont Foot</t>
  </si>
  <si>
    <t>Union Saint Gilloise vs KV Mechelen</t>
  </si>
  <si>
    <t>Fortuna Sittard vs PSV Eindhoven</t>
  </si>
  <si>
    <t>Rapid Bucuresti vs FC Metaloglobus Bucuresti</t>
  </si>
  <si>
    <t>Osasuna vs Real Oviedo</t>
  </si>
  <si>
    <t>RB Leipzig vs FC Bayern München</t>
  </si>
  <si>
    <t>Al-Nassr Riyadh vs Al-Shabab Riyadh</t>
  </si>
  <si>
    <t>Nottingham Forest vs Arsenal</t>
  </si>
  <si>
    <t>Real Zaragoza vs Real Sociedad B</t>
  </si>
  <si>
    <t>PEC Zwolle vs AZ Alkmaar</t>
  </si>
  <si>
    <t>Napoli vs Sassuolo</t>
  </si>
  <si>
    <t>RC Lens vs AJ Auxerre</t>
  </si>
  <si>
    <t>Tottenham Hotspur vs West Ham</t>
  </si>
  <si>
    <t>Chelsea vs Brentford</t>
  </si>
  <si>
    <t>Southampton vs Hull City</t>
  </si>
  <si>
    <t>Al-Rayyan vs Al-Shamal</t>
  </si>
  <si>
    <t>Hamburger SV vs Borussia Mönchengladbach</t>
  </si>
  <si>
    <t>VfL Wolfsburg vs 1. FC Heidenheim</t>
  </si>
  <si>
    <t>Venezia vs Catanzaro</t>
  </si>
  <si>
    <t>Benevento vs S.S.D. Casarano Calcio</t>
  </si>
  <si>
    <t>Wrexham vs Norwich City</t>
  </si>
  <si>
    <t>Hansa Rostock vs FC Erzgebirge Aue</t>
  </si>
  <si>
    <t>1. FC Saarbrücken vs Energie Cottbus</t>
  </si>
  <si>
    <t>Coventry City vs Leicester City</t>
  </si>
  <si>
    <t>Preußen Münster vs Karlsruher SC</t>
  </si>
  <si>
    <t>Farense vs Oliveirense</t>
  </si>
  <si>
    <t>Espanyol vs Girona</t>
  </si>
  <si>
    <t>Paris Saint-Germain vs Lille OSC</t>
  </si>
  <si>
    <t>West Bromwich Albion vs Middlesbrough</t>
  </si>
  <si>
    <t>Club Brugge vs RAAL La Louviere</t>
  </si>
  <si>
    <t>CD Castellon vs Leganés</t>
  </si>
  <si>
    <t>ADO Den Haag vs Cambuur Leeuwarden</t>
  </si>
  <si>
    <t>Annecy FC vs Amiens SC</t>
  </si>
  <si>
    <t>USL Dunkerque vs Pau FC</t>
  </si>
  <si>
    <t>AS Monaco vs FC Lorient</t>
  </si>
  <si>
    <t>Al-Ittihad Jeddah vs Al-Ettifaq</t>
  </si>
  <si>
    <t>Como vs AC Milan</t>
  </si>
  <si>
    <t>Sporting CP vs Paris Saint-Germain</t>
  </si>
  <si>
    <t>Wrexham vs Leicester City</t>
  </si>
  <si>
    <t>Villarreal vs Ajax</t>
  </si>
  <si>
    <t>Tottenham Hotspur vs Borussia Dortmund</t>
  </si>
  <si>
    <t>Preston North End vs Hull City</t>
  </si>
  <si>
    <t>Ipswich Town vs Bristol City</t>
  </si>
  <si>
    <t>West Bromwich Albion vs Norwich City</t>
  </si>
  <si>
    <t>Bodø/Glimt vs Manchester City</t>
  </si>
  <si>
    <t>Al Ahli Jeddah vs Al-Khaleej Saihat</t>
  </si>
  <si>
    <t>FC Kairat Almaty vs Club Brugge</t>
  </si>
  <si>
    <t>Al-Shabab Riyadh vs Al Najma Club</t>
  </si>
  <si>
    <t>São Paulo vs Portuguesa</t>
  </si>
  <si>
    <t>Botafogo FR vs Volta Redonda FC</t>
  </si>
  <si>
    <t>Newcastle United vs PSV Eindhoven</t>
  </si>
  <si>
    <t>SK Slavia Praha vs FC Barcelona</t>
  </si>
  <si>
    <t>FC Bayern München vs Union Saint Gilloise</t>
  </si>
  <si>
    <t>Juventus vs Benfica</t>
  </si>
  <si>
    <t>Atalanta vs Athletic Bilbao</t>
  </si>
  <si>
    <t>Watford vs Portsmouth</t>
  </si>
  <si>
    <t>Southampton vs Sheffield United</t>
  </si>
  <si>
    <t>AZ Alkmaar vs Excelsior Rotterdam</t>
  </si>
  <si>
    <t>Al-Ettifaq vs Neom SC</t>
  </si>
  <si>
    <t>FK Qarabag vs Eintracht Frankfurt</t>
  </si>
  <si>
    <t>Lincoln City vs Burton Albion</t>
  </si>
  <si>
    <t>SC Freiburg vs Maccabi Tel Aviv</t>
  </si>
  <si>
    <t>Bologna vs Celtic</t>
  </si>
  <si>
    <t>Feyenoord vs SK Puntigamer Sturm Graz</t>
  </si>
  <si>
    <t>Al-Qadisiyah vs Al-Ittihad Jeddah</t>
  </si>
  <si>
    <t>Al-Hilal Riyadh vs Al-Fayha FC</t>
  </si>
  <si>
    <t>0x1 Zebra</t>
  </si>
  <si>
    <t>1x0 Favorito</t>
  </si>
  <si>
    <t>Sporting de Braga vs Alverca</t>
  </si>
  <si>
    <t>Deportivo La Coruña vs Racing Santander</t>
  </si>
  <si>
    <t>SV Wehen Wiesbaden vs SC Verl</t>
  </si>
  <si>
    <t>Real Sociedad vs Celta de Vigo</t>
  </si>
  <si>
    <t>Arsenal vs Manchester United</t>
  </si>
  <si>
    <t>Paris FC vs Angers SCO</t>
  </si>
  <si>
    <t>Feyenoord vs Heracles Almelo</t>
  </si>
  <si>
    <t>FC Metz vs Olympique Lyonnais</t>
  </si>
  <si>
    <t>Borussia Mönchengladbach vs VfB Stuttgart</t>
  </si>
  <si>
    <t>Hearts vs Celtic</t>
  </si>
  <si>
    <t>Newcastle United vs Aston Villa</t>
  </si>
  <si>
    <t>Hajduk Split vs Istra 1961</t>
  </si>
  <si>
    <t>Novara vs Pro Patria</t>
  </si>
  <si>
    <t>SC Paderborn 07 vs Preußen Münster</t>
  </si>
  <si>
    <t>SC Telstar vs AZ Alkmaar</t>
  </si>
  <si>
    <t>Olympique Marseille vs RC Lens</t>
  </si>
  <si>
    <t>FC Twente vs Excelsior Rotterdam</t>
  </si>
  <si>
    <t>Villarreal vs Real Madrid</t>
  </si>
  <si>
    <t>1. FC Magdeburg vs Dynamo Dresden</t>
  </si>
  <si>
    <t>PSV Eindhoven vs NAC Breda</t>
  </si>
  <si>
    <t>NEC vs PEC Zwolle</t>
  </si>
  <si>
    <t>Real Sporting de Gijon vs Mirandés</t>
  </si>
  <si>
    <t>Club Brugge vs Zulte Waregem</t>
  </si>
  <si>
    <t>Fiorentina vs Cagliari</t>
  </si>
  <si>
    <t>FC Aarau vs AC Bellinzona</t>
  </si>
  <si>
    <t>FC Lugano vs FC Winterthur</t>
  </si>
  <si>
    <t>Crotone vs Potenza</t>
  </si>
  <si>
    <t>Stade Rennais vs FC Lorient</t>
  </si>
  <si>
    <t>Bolton Wanderers vs Leyton Orient</t>
  </si>
  <si>
    <t>Colchester United vs Fleetwood Town</t>
  </si>
  <si>
    <t>Leicester City vs Oxford United</t>
  </si>
  <si>
    <t>Birmingham City vs Stoke City</t>
  </si>
  <si>
    <t>Salford City vs Bristol Rovers</t>
  </si>
  <si>
    <t>Fulham vs Brighton &amp; Hove Albion</t>
  </si>
  <si>
    <t>Bayer 04 Leverkusen vs Werder Bremen</t>
  </si>
  <si>
    <t>FC Bayern München vs FC Augsburg</t>
  </si>
  <si>
    <t>Frosinone vs Reggiana</t>
  </si>
  <si>
    <t>Cesena vs Bari</t>
  </si>
  <si>
    <t>Eintracht Frankfurt vs 1899 Hoffenheim</t>
  </si>
  <si>
    <t>Energie Cottbus vs 1. FC Schweinfurt 05</t>
  </si>
  <si>
    <t>FC Erzgebirge Aue vs SSV Ulm 1846</t>
  </si>
  <si>
    <t>Rot-Weiss Essen vs TSV Havelse</t>
  </si>
  <si>
    <t>Huddersfield Town vs Bradford City</t>
  </si>
  <si>
    <t>Millwall vs Charlton Athletic</t>
  </si>
  <si>
    <t>Middlesbrough vs Preston North End</t>
  </si>
  <si>
    <t>FK Qarabag vs FC Kapaz</t>
  </si>
  <si>
    <t>Rayo Vallecano vs Osasuna</t>
  </si>
  <si>
    <t>1899 Hoffenheim II vs Alemannia Aachen</t>
  </si>
  <si>
    <t>SpVgg Greuther Fürth vs Eintracht Braunschweig</t>
  </si>
  <si>
    <t>Hannover 96 vs Fortuna Düsseldorf</t>
  </si>
  <si>
    <t>Briton Ferry vs Llanelli Town</t>
  </si>
  <si>
    <t>FC Vaduz vs FC Wil 1900</t>
  </si>
  <si>
    <t>Roda JC vs TOP Oss</t>
  </si>
  <si>
    <t>Vitesse vs ADO Den Haag</t>
  </si>
  <si>
    <t>Pau FC vs Grenoble Foot 38</t>
  </si>
  <si>
    <t>Viktoria Köln vs 1. FC Saarbrücken</t>
  </si>
  <si>
    <t>SV Darmstadt 98 vs 1. FC Nürnberg</t>
  </si>
  <si>
    <t>Trabzonspor vs Kasimpasa SK</t>
  </si>
  <si>
    <t>Arminia Bielefeld vs Holstein Kiel</t>
  </si>
  <si>
    <t>Al Hussein SC vs Al-Jazeera Amman</t>
  </si>
  <si>
    <t>ComissãoR$</t>
  </si>
  <si>
    <t>Comissão%</t>
  </si>
  <si>
    <t>Stakes</t>
  </si>
  <si>
    <t>0x1 Favorito</t>
  </si>
  <si>
    <t>1x0 Zebra</t>
  </si>
  <si>
    <t>Norwich City vs Coventry City</t>
  </si>
  <si>
    <t>Al-Nassr Riyadh vs Al-Taawoun Buraidah</t>
  </si>
  <si>
    <t>Jong AZ Alkmaar vs Almere City</t>
  </si>
  <si>
    <t>Otelul Galati vs FC Csikszereda Miercurea Ciuc</t>
  </si>
  <si>
    <t>Cardiff City vs Barnsley</t>
  </si>
  <si>
    <t>Werder Bremen vs 1899 Hoffenheim</t>
  </si>
  <si>
    <t>Doncaster Rovers vs Leyton Orient</t>
  </si>
  <si>
    <t>Patro Maasmechelen vs Royal Olympic Club Charleroi</t>
  </si>
  <si>
    <t>Notts County vs Swindon Town</t>
  </si>
  <si>
    <t>Plymouth Argyle vs Mansfield Town</t>
  </si>
  <si>
    <t>Kampala City Council FC vs UPDF FC</t>
  </si>
  <si>
    <t>Fluminense FC vs Grêmio FBPA</t>
  </si>
  <si>
    <t>SC Internacional vs Athlético Paranaense</t>
  </si>
  <si>
    <t>EC Vitória vs Clube do Remo</t>
  </si>
  <si>
    <t>Alianza FC Valledupar vs Boyacá Chicó</t>
  </si>
  <si>
    <t>Manchester City vs Galatasaray SK</t>
  </si>
  <si>
    <t>Borussia Dortmund vs Internazionale</t>
  </si>
  <si>
    <t>Paris Saint-Germain vs Newcastle United</t>
  </si>
  <si>
    <t>PSV Eindhoven vs FC Bayern München</t>
  </si>
  <si>
    <t>Eintracht Frankfurt vs Tottenham Hotspur</t>
  </si>
  <si>
    <t>Liverpool vs FK Qarabag</t>
  </si>
  <si>
    <t>Napoli vs Chelsea</t>
  </si>
  <si>
    <t>Athletic Bilbao vs Sporting CP</t>
  </si>
  <si>
    <t>Pyramids FC vs El Gounah</t>
  </si>
  <si>
    <t>Deportivo Táchira vs Anzoategui FC</t>
  </si>
  <si>
    <t>Real Betis vs Feyenoord</t>
  </si>
  <si>
    <t>Racing Genk vs Malmö FF</t>
  </si>
  <si>
    <t>FC Porto vs Rangers</t>
  </si>
  <si>
    <t>Nottingham Forest vs Ferencvárosi TC</t>
  </si>
  <si>
    <t>Mount Pleasant FA vs Arnett Gardens</t>
  </si>
  <si>
    <t>VfB Stuttgart vs BSC Young Boys</t>
  </si>
  <si>
    <t>FC Midtjylland vs Dinamo Zagreb</t>
  </si>
  <si>
    <t>Al-Qadisiyah vs Al-Hilal Riyadh</t>
  </si>
  <si>
    <t>FC Volendam vs Go Ahead Eagles</t>
  </si>
  <si>
    <t>Atlético Bucaramanga vs Alianza FC Valledupar</t>
  </si>
  <si>
    <t>Rot-Weiss Essen vs SV Wehen Wiesbaden</t>
  </si>
  <si>
    <t>CD Castellon vs Andorra FC</t>
  </si>
  <si>
    <t>Galatasaray SK vs Kayserispor</t>
  </si>
  <si>
    <t>Borussia Dortmund vs 1. FC Heidenheim</t>
  </si>
  <si>
    <t>Legia Warszawa vs Korona Kielce</t>
  </si>
  <si>
    <t>Toulouse FC vs AJ Auxerre</t>
  </si>
  <si>
    <t>Heerenveen vs FC Utrecht</t>
  </si>
  <si>
    <t>Panathinaikos vs Kifisia FC</t>
  </si>
  <si>
    <t>BSC Young Boys vs FC Zürich</t>
  </si>
  <si>
    <t>Real Betis vs Valencia</t>
  </si>
  <si>
    <t>Celtic vs Falkirk</t>
  </si>
  <si>
    <t>FK Qarabag vs PFK Turan Tovuz</t>
  </si>
  <si>
    <t>FC Slovan Liberec vs FC Zlín</t>
  </si>
  <si>
    <t>VfB Stuttgart vs SC Freiburg</t>
  </si>
  <si>
    <t>Aston Villa vs Brentford</t>
  </si>
  <si>
    <t>Manchester United vs Fulham</t>
  </si>
  <si>
    <t>Olympique Lyonnais vs Lille OSC</t>
  </si>
  <si>
    <t>Levadiakos vs Asteras Tripolis</t>
  </si>
  <si>
    <t>FK Novi Pazar vs FK Spartak Subotica</t>
  </si>
  <si>
    <t>PSV Eindhoven vs Feyenoord</t>
  </si>
  <si>
    <t>Real Madrid vs Rayo Vallecano</t>
  </si>
  <si>
    <t>UD Almería vs AD Ceuta FC</t>
  </si>
  <si>
    <t>FC Wil 1900 vs Stade Nyonnais</t>
  </si>
  <si>
    <t>FC Luzern vs FC St. Gallen</t>
  </si>
  <si>
    <t>Buriram United vs Bangkok United</t>
  </si>
  <si>
    <t>Ratchaburi vs Muangthong United</t>
  </si>
  <si>
    <t>Hertha BSC vs SV Darmstadt 98</t>
  </si>
  <si>
    <t>Excelsior Rotterdam vs Ajax</t>
  </si>
  <si>
    <t>Elche CF vs FC Barcelona</t>
  </si>
  <si>
    <t>Hamburger SV vs FC Bayern München</t>
  </si>
  <si>
    <t>Chelsea vs West Ham</t>
  </si>
  <si>
    <t>Beitar Jerusalem vs Hapoel Haifa</t>
  </si>
  <si>
    <t>Besiktas JK vs Konyaspor</t>
  </si>
  <si>
    <t>Napoli vs Fiorentina</t>
  </si>
  <si>
    <t>Widzew Lódz vs Jagiellonia Bialystok</t>
  </si>
  <si>
    <t>Helmond Sport vs De Graafschap</t>
  </si>
  <si>
    <t>Ipswich Town vs Preston North End</t>
  </si>
  <si>
    <t>St Mirren vs Dundee</t>
  </si>
  <si>
    <t>Stockport County vs Plymouth Argyle</t>
  </si>
  <si>
    <t>Middlesbrough vs Norwich City</t>
  </si>
  <si>
    <t>RB Leipzig vs 1. FSV Mainz 05</t>
  </si>
  <si>
    <t>Leeds United vs Arsenal</t>
  </si>
  <si>
    <t>Eintracht Frankfurt vs Bayer 04 Leverkusen</t>
  </si>
  <si>
    <t>FK Partizan vs FK Radnicki Niš</t>
  </si>
  <si>
    <t>FK Jablonec vs FK Teplice</t>
  </si>
  <si>
    <t>Venezia vs Carrarese</t>
  </si>
  <si>
    <t>Osasuna vs Villarreal</t>
  </si>
  <si>
    <t>1899 Hoffenheim vs 1. FC Union Berlin</t>
  </si>
  <si>
    <t>Hansa Rostock vs FC Ingolstadt 04</t>
  </si>
  <si>
    <t>Bristol Rovers vs Newport County</t>
  </si>
  <si>
    <t>MTK Budapest vs Kazincbarcika SC</t>
  </si>
  <si>
    <t>TSV 1860 München vs Alemannia Aachen</t>
  </si>
  <si>
    <t>Viktoria Köln vs Waldhof Mannheim</t>
  </si>
  <si>
    <t>Holstein Kiel vs SpVgg Greuther Fürth</t>
  </si>
  <si>
    <t>FK Radnicki 1923 vs FK IMT Novi Beograd</t>
  </si>
  <si>
    <t>BG Pathumthani United vs Chiangrai United</t>
  </si>
  <si>
    <t>RC Lens vs Le Havre AC</t>
  </si>
  <si>
    <t>Ascoli vs Livorno</t>
  </si>
  <si>
    <t>1. FC Köln vs VfL Wolfsburg</t>
  </si>
  <si>
    <t>Almere City vs Roda JC</t>
  </si>
  <si>
    <t>ADO Den Haag vs Jong AZ Alkmaar</t>
  </si>
  <si>
    <t>FC Eindhoven vs MVV Maastricht</t>
  </si>
  <si>
    <t>RKC Waalwijk vs TOP Oss</t>
  </si>
  <si>
    <t>NAC Breda vs FC Twente</t>
  </si>
  <si>
    <t>AC Bellinzona vs Neuchâtel Xamax</t>
  </si>
  <si>
    <t>Dinamo Bucuresti vs Petrolul Ploiesti</t>
  </si>
  <si>
    <t>TSV Havelse vs FC Erzgebirge Aue</t>
  </si>
  <si>
    <t>LASK Linz vs FC Blau-Weiss Linz</t>
  </si>
  <si>
    <t>1. FC Magdeburg vs Hannover 96</t>
  </si>
  <si>
    <t>Al-Kholood Club vs Al-Nassr Riyadh</t>
  </si>
  <si>
    <t>Antalyaspor vs Trabzonspor</t>
  </si>
  <si>
    <t>Zaglebie Lubin vs GKS Katowice</t>
  </si>
  <si>
    <t>Al-Duhail SC vs Al-Rayyan</t>
  </si>
  <si>
    <t>Al-Shamal vs Al-Sailiya</t>
  </si>
  <si>
    <t>Al-Taawoun Buraidah vs Al-Akhdoud</t>
  </si>
  <si>
    <t>Vitesse vs FC Eindhoven</t>
  </si>
  <si>
    <t>AVS Futebol SAD vs Sporting de Braga</t>
  </si>
  <si>
    <t>Al-Hilal Riyadh vs Al Ahli Jeddah</t>
  </si>
  <si>
    <t>Jong PSV Eindhoven vs Cambuur Leeuwarden</t>
  </si>
  <si>
    <t>Al-Riyadh vs Al-Nassr Riyadh</t>
  </si>
  <si>
    <t>Málaga vs Cultural Leonesa</t>
  </si>
  <si>
    <t>Valencia vs Real Madrid</t>
  </si>
  <si>
    <t>Juventus vs Lazio</t>
  </si>
  <si>
    <t>Stenhousemuir vs Falkirk</t>
  </si>
  <si>
    <t>Atlético de Madrid vs Real Betis</t>
  </si>
  <si>
    <t>Real Sporting de Gijon vs Huesca</t>
  </si>
  <si>
    <t>MSV Duisburg vs SC Verl</t>
  </si>
  <si>
    <t>C.S. Cartaginés vs Municipal Pérez Zeledón</t>
  </si>
  <si>
    <t>Athletic Bilbao vs Levante UD</t>
  </si>
  <si>
    <t>FC Bayern München vs 1899 Hoffenheim</t>
  </si>
  <si>
    <t>FC Midtjylland vs FC København</t>
  </si>
  <si>
    <t>SK Beveren vs Lommel SK</t>
  </si>
  <si>
    <t>Botev Plovdiv vs Beroe</t>
  </si>
  <si>
    <t>MŠK Žilina vs KFC Komárno</t>
  </si>
  <si>
    <t>Monza vs Avellino</t>
  </si>
  <si>
    <t>Caykur Rizespor vs Galatasaray SK</t>
  </si>
  <si>
    <t>Alemannia Aachen vs Rot-Weiss Essen</t>
  </si>
  <si>
    <t>Rakow Czestochowa vs Radomiak Radom</t>
  </si>
  <si>
    <t>Go Ahead Eagles vs SC Telstar</t>
  </si>
  <si>
    <t>AlbinoLeffe vs Pro Patria</t>
  </si>
  <si>
    <t>Hannover 96 vs Holstein Kiel</t>
  </si>
  <si>
    <t>Bologna vs Parma</t>
  </si>
  <si>
    <t>Pogon Szczecin vs Termalica Bruk-Bet Nieciecza</t>
  </si>
  <si>
    <t>FC Utrecht vs Feyenoord</t>
  </si>
  <si>
    <t>Deportes Tolima vs Llaneros FC Villavicencio</t>
  </si>
  <si>
    <t>FC Nantes vs Olympique Lyonnais</t>
  </si>
  <si>
    <t>Real Sociedad vs Elche CF</t>
  </si>
  <si>
    <t>Fiorentina vs Torino</t>
  </si>
  <si>
    <t>Águilas Doradas vs Cúcuta Deportivo</t>
  </si>
  <si>
    <t>Portuguesa vs Atlética Ponte Preta</t>
  </si>
  <si>
    <t>Beerschot VA vs Club NXT</t>
  </si>
  <si>
    <t>FC Twente vs Heerenveen</t>
  </si>
  <si>
    <t>Estoril-Praia vs Tondela</t>
  </si>
  <si>
    <t>PEC Zwolle vs FC Volendam</t>
  </si>
  <si>
    <t>Al-Qadisiyah vs Al-Fateh Al-Hasa</t>
  </si>
  <si>
    <t>Newcastle United vs Brentford</t>
  </si>
  <si>
    <t>Palermo vs Empoli</t>
  </si>
  <si>
    <t>SC Freiburg vs Werder Bremen</t>
  </si>
  <si>
    <t>Al-Arabi Sports Club vs Kazma Sporting Club</t>
  </si>
  <si>
    <t>Asteras Tripolis vs NFC Volos</t>
  </si>
  <si>
    <t>RC Lens vs Stade Rennais</t>
  </si>
  <si>
    <t>LASK Linz vs WSG Tirol</t>
  </si>
  <si>
    <t>VfB Stuttgart II vs TSV 1860 München</t>
  </si>
  <si>
    <t>FC Barcelona vs Real Mallorca</t>
  </si>
  <si>
    <t>Wolverhampton Wanderers vs Chelsea</t>
  </si>
  <si>
    <t>Stockport County vs Leyton Orient</t>
  </si>
  <si>
    <t>Huddersfield Town vs Blackpool</t>
  </si>
  <si>
    <t>Notts County vs Barrow</t>
  </si>
  <si>
    <t>Coventry City vs Oxford United</t>
  </si>
  <si>
    <t>Arsenal vs Sunderland</t>
  </si>
  <si>
    <t>Bolton Wanderers vs Barnsley</t>
  </si>
  <si>
    <t>Birmingham City vs Leicester City</t>
  </si>
  <si>
    <t>VfL Wolfsburg vs Borussia Dortmund</t>
  </si>
  <si>
    <t>AFC Bournemouth vs Aston Villa</t>
  </si>
  <si>
    <t>Catanzaro vs Reggiana</t>
  </si>
  <si>
    <t>Marítimo vs Farense</t>
  </si>
  <si>
    <t>FK Jablonec vs 1.FC Slovácko</t>
  </si>
  <si>
    <t>Al-Riffa vs Al Hidd</t>
  </si>
  <si>
    <t>Casertana vs Foggia</t>
  </si>
  <si>
    <t>VfL Osnabrück vs TSV Havelse</t>
  </si>
  <si>
    <t>Andorra FC vs Real Sociedad B</t>
  </si>
  <si>
    <t>SV Wehen Wiesbaden vs 1. FC Schweinfurt 05</t>
  </si>
  <si>
    <t>FC Ingolstadt 04 vs Energie Cottbus</t>
  </si>
  <si>
    <t>Manchester United vs Tottenham Hotspur</t>
  </si>
  <si>
    <t>FC Schalke 04 vs Dynamo Dresden</t>
  </si>
  <si>
    <t>GD Chaves vs Penafiel</t>
  </si>
  <si>
    <t>Derry City vs Sligo Rovers</t>
  </si>
  <si>
    <t>Westerlo vs Sint-Truidense VV</t>
  </si>
  <si>
    <t>Lechia Gdansk vs Cracovia Kraków</t>
  </si>
  <si>
    <t>Cesena vs Pescara</t>
  </si>
  <si>
    <t>FC Red Bull Salzburg vs FK Austria Wien</t>
  </si>
  <si>
    <t>1. FC Union Berlin vs Eintracht Frankfurt</t>
  </si>
  <si>
    <t>Celta de Vigo vs Osasuna</t>
  </si>
  <si>
    <t>FC Vaduz vs Etoile-Carouge FC</t>
  </si>
  <si>
    <t>Stade Reims vs SC Bastia</t>
  </si>
  <si>
    <t>De Graafschap vs Jong Ajax</t>
  </si>
  <si>
    <t>Rapid Bucuresti vs Petrolul Ploiesti</t>
  </si>
  <si>
    <t>Al-Nassr Riyadh vs Al-Ittihad Jeddah</t>
  </si>
  <si>
    <t>Waldhof Mannheim vs SSV Ulm 1846</t>
  </si>
  <si>
    <t>MVV Maastricht vs Jong PSV Eindhoven</t>
  </si>
  <si>
    <t>Korona Kielce vs Zaglebie Lubin</t>
  </si>
  <si>
    <t>Preußen Münster vs VfL Bochum</t>
  </si>
  <si>
    <t>Kisvárda vs Kazincbarcika SC</t>
  </si>
  <si>
    <t>Esporte Clube Bahia vs Fluminense FC</t>
  </si>
  <si>
    <t>FC FCSB vs FC Botosani</t>
  </si>
  <si>
    <t>Al Ahli Jeddah vs Al Hazm</t>
  </si>
  <si>
    <t>CS Universitatea Craiova vs Otelul Galati</t>
  </si>
  <si>
    <t>Al-Fayha FC vs Al Najma Club</t>
  </si>
  <si>
    <t>Al-Sharjah vs Shabab Al-Ahli Dubai FC</t>
  </si>
  <si>
    <t>Grêmio FBPA vs Botafogo FR</t>
  </si>
  <si>
    <t>Rangers vs Kilmarnock</t>
  </si>
  <si>
    <t>Al-Khaleej Saihat vs Al-Qadisiyah</t>
  </si>
  <si>
    <t>Cavalier vs Spanish Town Police</t>
  </si>
  <si>
    <t>FC Porto vs Sporting CP</t>
  </si>
  <si>
    <t>AGF Aarhus vs Odense BK</t>
  </si>
  <si>
    <t>Villarreal vs Espanyol</t>
  </si>
  <si>
    <t>AS Roma vs Cagliari</t>
  </si>
  <si>
    <t>Racing Santander vs Mirandés</t>
  </si>
  <si>
    <t>Envigado FC vs Tigres FC</t>
  </si>
  <si>
    <t>Jong AZ Alkmaar vs FC Dordrecht</t>
  </si>
  <si>
    <t>Famalicão vs AVS Futebol SAD</t>
  </si>
  <si>
    <t>Hapoel Be'er Sheva vs Beitar Jerusalem</t>
  </si>
  <si>
    <t>Atalanta vs Cremonese</t>
  </si>
  <si>
    <t>Fenerbahçe SK vs Gençlerbirligi SK</t>
  </si>
  <si>
    <t>Unión Magdalena vs Boca Juniors de Cali</t>
  </si>
  <si>
    <t>Birmingham City vs West Bromwich Albion</t>
  </si>
  <si>
    <t>Hearts vs Hibernian</t>
  </si>
  <si>
    <t>Solihull Moors vs Eastleigh</t>
  </si>
  <si>
    <t>Cosenza Calcio vs Siracusa</t>
  </si>
  <si>
    <t>Chelsea vs Leeds United</t>
  </si>
  <si>
    <t>Venezia vs Modena FC 2018</t>
  </si>
  <si>
    <t>Everton vs AFC Bournemouth</t>
  </si>
  <si>
    <t>Leicester City vs Southampton</t>
  </si>
  <si>
    <t>São Paulo vs Grêmio FBPA</t>
  </si>
  <si>
    <t>Swindon Town vs Newport County</t>
  </si>
  <si>
    <t>Mount Pleasant FA vs Treasure Beach FC</t>
  </si>
  <si>
    <t>NEC vs FC Utrecht</t>
  </si>
  <si>
    <t>Motherwell vs Rangers</t>
  </si>
  <si>
    <t>Falkirk vs Dundee</t>
  </si>
  <si>
    <t>Boreham Wood vs Yeovil Town</t>
  </si>
  <si>
    <t>Crystal Palace vs Burnley</t>
  </si>
  <si>
    <t>Aston Villa vs Brighton &amp; Hove Albion</t>
  </si>
  <si>
    <t>FC Zürich vs FC Winterthur</t>
  </si>
  <si>
    <t>Manchester City vs Fulham</t>
  </si>
  <si>
    <t>Nottingham Forest vs Wolverhampton Wanderers</t>
  </si>
  <si>
    <t>FC København vs Viborg FF</t>
  </si>
  <si>
    <t>Go Ahead Eagles vs Heerenveen</t>
  </si>
  <si>
    <t>1. FC Nürnberg vs Karlsruher SC</t>
  </si>
  <si>
    <t>CS Constantine vs ES Sétif</t>
  </si>
  <si>
    <t>Brentford vs Arsenal</t>
  </si>
  <si>
    <t>FC Sion vs FC Basel</t>
  </si>
  <si>
    <t>Den Bosch vs FC Eindhoven</t>
  </si>
  <si>
    <t>Al-Qadisiyah vs Neom SC</t>
  </si>
  <si>
    <t>Al Hazm vs Al-Akhdoud</t>
  </si>
  <si>
    <t>Manchester City vs Newcastle United</t>
  </si>
  <si>
    <t>RB Leipzig vs Borussia Dortmund</t>
  </si>
  <si>
    <t>UD Almería vs Córdoba CF</t>
  </si>
  <si>
    <t>RC Lens vs AS Monaco</t>
  </si>
  <si>
    <t>Real Betis vs Rayo Vallecano</t>
  </si>
  <si>
    <t>Chelsea vs Burnley</t>
  </si>
  <si>
    <t>FC Bayern München vs Eintracht Frankfurt</t>
  </si>
  <si>
    <t>Venezia vs Pescara</t>
  </si>
  <si>
    <t>1. FC Köln vs 1899 Hoffenheim</t>
  </si>
  <si>
    <t>VfL Wolfsburg vs FC Augsburg</t>
  </si>
  <si>
    <t>Wrexham vs Ipswich Town</t>
  </si>
  <si>
    <t>VfL Osnabrück vs Rot-Weiss Essen</t>
  </si>
  <si>
    <t>SV Darmstadt 98 vs Fortuna Düsseldorf</t>
  </si>
  <si>
    <t>SV Elversberg vs Eintracht Braunschweig</t>
  </si>
  <si>
    <t>Plymouth Argyle vs Cardiff City</t>
  </si>
  <si>
    <t>CR Belouizdad vs MC El Bayadh</t>
  </si>
  <si>
    <t>Athletic Bilbao vs Elche CF</t>
  </si>
  <si>
    <t>1. FSV Mainz 05 vs Hamburger SV</t>
  </si>
  <si>
    <t>Sassuolo vs Hellas Verona</t>
  </si>
  <si>
    <t>Zamalek vs Haras El Hodood</t>
  </si>
  <si>
    <t>Frosinone vs Empoli</t>
  </si>
  <si>
    <t>FC Dordrecht vs Jong Ajax</t>
  </si>
  <si>
    <t>Cambuur Leeuwarden vs RKC Waalwijk</t>
  </si>
  <si>
    <t>FC Emmen vs Jong PSV Eindhoven</t>
  </si>
  <si>
    <t>Fortuna Sittard vs Excelsior Rotterdam</t>
  </si>
  <si>
    <t>Hammarby IF vs IK Brage</t>
  </si>
  <si>
    <t>SC Austria Lustenau vs KSV 1919</t>
  </si>
  <si>
    <t>Cherno More vs FC Botev Vratsa</t>
  </si>
  <si>
    <t>Lille OSC vs Crvena Zvezda</t>
  </si>
  <si>
    <t>Zrinjski Mostar vs Crystal Palace</t>
  </si>
  <si>
    <t>Grimsby Town vs Walsall</t>
  </si>
  <si>
    <t>Wolverhampton Wanderers vs Arsenal</t>
  </si>
  <si>
    <t>AC Milan vs Como</t>
  </si>
  <si>
    <t>Levante UD vs Villarreal</t>
  </si>
  <si>
    <t>Borussia Dortmund vs Atalanta</t>
  </si>
  <si>
    <t>Benfica vs Real Madrid</t>
  </si>
  <si>
    <t>Girona vs FC Barcelona</t>
  </si>
  <si>
    <t>Coventry City vs Middlesbrough</t>
  </si>
  <si>
    <t>Jong FC Utrecht vs Willem II</t>
  </si>
  <si>
    <t>Al-Hilal Riyadh vs Al-Wahda Abu Dhabi</t>
  </si>
  <si>
    <t>Al-Sharjah vs Nasaf Qarshi</t>
  </si>
  <si>
    <t>Boca Juniors vs Platense</t>
  </si>
  <si>
    <t>CD Castellon vs Deportivo La Coruña</t>
  </si>
  <si>
    <t>Olympique Lyonnais vs OGC Nice</t>
  </si>
  <si>
    <t>Panathinaikos vs Athlitiki Enosi Larissa</t>
  </si>
  <si>
    <t>Sint-Truidense VV vs Zulte Waregem</t>
  </si>
  <si>
    <t>Anderlecht vs RAAL La Louviere</t>
  </si>
  <si>
    <t>Györi ETO FC vs Kisvárda</t>
  </si>
  <si>
    <t>FC Koper vs NK Radomlje</t>
  </si>
  <si>
    <t>RB Leipzig vs VfL Wolfsburg</t>
  </si>
  <si>
    <t>Lech Poznan vs Piast Gliwice</t>
  </si>
  <si>
    <t>Nacional da Madeira vs FC Porto</t>
  </si>
  <si>
    <t>FC Basel vs FC Lugano</t>
  </si>
  <si>
    <t>Motherwell vs Aberdeen</t>
  </si>
  <si>
    <t>Göztepe vs Kayserispor</t>
  </si>
  <si>
    <t>Monza vs Juve Stabia</t>
  </si>
  <si>
    <t>Kifisia FC vs OFI Crete</t>
  </si>
  <si>
    <t>Pogon Szczecin vs Arka Gdynia</t>
  </si>
  <si>
    <t>Heerenveen vs PEC Zwolle</t>
  </si>
  <si>
    <t>Grimsby Town vs Wolverhampton Wanderers</t>
  </si>
  <si>
    <t>Energie Cottbus vs Waldhof Mannheim</t>
  </si>
  <si>
    <t>VfL Bochum vs SC Paderborn 07</t>
  </si>
  <si>
    <t>Dynamo Dresden vs SV Elversberg</t>
  </si>
  <si>
    <t>Real Madrid vs Real Sociedad</t>
  </si>
  <si>
    <t>Excelsior Rotterdam vs AZ Alkmaar</t>
  </si>
  <si>
    <t>Heracles Almelo vs NAC Breda</t>
  </si>
  <si>
    <t>Werder Bremen vs FC Bayern München</t>
  </si>
  <si>
    <t>1899 Hoffenheim vs SC Freiburg</t>
  </si>
  <si>
    <t>Bayer 04 Leverkusen vs FC St. Pauli</t>
  </si>
  <si>
    <t>Cracovia Kraków vs Jagiellonia Bialystok</t>
  </si>
  <si>
    <t>TSV Havelse vs TSV 1860 München</t>
  </si>
  <si>
    <t>SV Wehen Wiesbaden vs MSV Duisburg</t>
  </si>
  <si>
    <t>1. FC Kaiserslautern vs SpVgg Greuther Fürth</t>
  </si>
  <si>
    <t>Eintracht Braunschweig vs SV Darmstadt 98</t>
  </si>
  <si>
    <t>AS Monaco vs FC Nantes</t>
  </si>
  <si>
    <t>Elche CF vs Osasuna</t>
  </si>
  <si>
    <t>Derry City vs Dundalk</t>
  </si>
  <si>
    <t>Colwyn Bay vs The New Saints</t>
  </si>
  <si>
    <t>UD Almería vs Andorra FC</t>
  </si>
  <si>
    <t>Borussia Dortmund vs 1. FSV Mainz 05</t>
  </si>
  <si>
    <t>Almere City vs Helmond Sport</t>
  </si>
  <si>
    <t>Randers FC vs Vejle BK</t>
  </si>
  <si>
    <t>ADO Den Haag vs MVV Maastricht</t>
  </si>
  <si>
    <t>Al-Ittihad Jeddah vs Al-Fayha FC</t>
  </si>
  <si>
    <t>Radomiak Radom vs Korona Kielce</t>
  </si>
  <si>
    <t>Unión de Santa Fe vs Aldosivi</t>
  </si>
  <si>
    <t>CA Peñarol vs Deportivo Maldonado</t>
  </si>
  <si>
    <t>Atlético Mineiro vs América-MG</t>
  </si>
  <si>
    <t>Atlético Grau vs Juan Pablo II College</t>
  </si>
  <si>
    <t>Villarreal vs Valencia</t>
  </si>
  <si>
    <t>Málaga vs Albacete Balompié</t>
  </si>
  <si>
    <t>AS Roma vs Cremonese</t>
  </si>
  <si>
    <t>Al-Rayyan vs Al-Ahli</t>
  </si>
  <si>
    <t>1. FC Heidenheim vs VfB Stuttgart</t>
  </si>
  <si>
    <t>Al-Wakra vs Al Sadd</t>
  </si>
  <si>
    <t>Deportivo Macara vs Leones del Norte</t>
  </si>
  <si>
    <t>Celta de Vigo vs Real Mallorca</t>
  </si>
  <si>
    <t>Racing Santander vs Burgos CF</t>
  </si>
  <si>
    <t>Bani Yas FC vs Al-Ain</t>
  </si>
  <si>
    <t>Aris Thessaloniki vs Kifisia FC</t>
  </si>
  <si>
    <t>AC Milan vs Parma</t>
  </si>
  <si>
    <t>AGF Aarhus vs Viborg FF</t>
  </si>
  <si>
    <t>Besiktas JK vs Göztepe</t>
  </si>
  <si>
    <t>Tottenham Hotspur vs Arsenal</t>
  </si>
  <si>
    <t>FC Erzgebirge Aue vs Energie Cottbus</t>
  </si>
  <si>
    <t>Livingston vs Rangers</t>
  </si>
  <si>
    <t>Celtic vs Hibernian</t>
  </si>
  <si>
    <t>Sunderland vs Fulham</t>
  </si>
  <si>
    <t>Hannover 96 vs Dynamo Dresden</t>
  </si>
  <si>
    <t>TSV 1860 München vs Hansa Rostock</t>
  </si>
  <si>
    <t>Famalicão vs Casa Pia</t>
  </si>
  <si>
    <t>Bologna vs Udinese</t>
  </si>
  <si>
    <t>Ternana vs Forlì F.C.</t>
  </si>
  <si>
    <t>Dhamk vs Al Ahli Jeddah</t>
  </si>
  <si>
    <t>Al-Fateh Al-Hasa vs Al-Akhdoud</t>
  </si>
  <si>
    <t>Al-Qadisiyah vs Al-Ettifaq</t>
  </si>
  <si>
    <t>FC Emmen vs Jong Ajax</t>
  </si>
  <si>
    <t>Brøndby IF vs SønderjyskE</t>
  </si>
  <si>
    <t>Fenerbahçe SK vs Kasimpasa SK</t>
  </si>
  <si>
    <t>Huachipato vs Carabobo FC</t>
  </si>
  <si>
    <t>Southampton vs Queens Park Rangers</t>
  </si>
  <si>
    <t>Internazionale vs Bodø/Glimt</t>
  </si>
  <si>
    <t>Salford City vs Shrewsbury Town</t>
  </si>
  <si>
    <t>Bradford City vs Rotherham United</t>
  </si>
  <si>
    <t>Forest Green Rovers vs Boston United</t>
  </si>
  <si>
    <t>Middlesbrough vs Leicester City</t>
  </si>
  <si>
    <t>Swansea City vs Preston North End</t>
  </si>
  <si>
    <t>Ceramica Cleopatra vs Ismaily</t>
  </si>
  <si>
    <t>Cambuur Leeuwarden vs FC Eindhoven</t>
  </si>
  <si>
    <t>Atlético de Madrid vs Club Brugge</t>
  </si>
  <si>
    <t>Londrina vs SC Penedense</t>
  </si>
  <si>
    <t>Real Madrid vs Benfica</t>
  </si>
  <si>
    <t>Stoke City vs Oxford United</t>
  </si>
  <si>
    <t>Sheffield United vs Coventry City</t>
  </si>
  <si>
    <t>National Bank vs Pharco FC</t>
  </si>
  <si>
    <t>River Plate vs Banfield</t>
  </si>
  <si>
    <t>Club Guaraní vs Juventud de Las Piedras</t>
  </si>
  <si>
    <t>Nottingham Forest vs Fenerbahçe SK</t>
  </si>
  <si>
    <t>Bologna vs Brann</t>
  </si>
  <si>
    <t>Celta de Vigo vs PAOK</t>
  </si>
  <si>
    <t>Al-Riyadh vs Al Ahli Jeddah</t>
  </si>
  <si>
    <t>Fiorentina vs Jagiellonia Bialystok</t>
  </si>
  <si>
    <t>VfB Stuttgart vs Celtic</t>
  </si>
  <si>
    <t>Samsunspor vs FK Shkendija 79</t>
  </si>
  <si>
    <t>Sporting CP vs Estoril-Praia</t>
  </si>
  <si>
    <t>Albacete Balompié vs UD Almería</t>
  </si>
  <si>
    <t>RC Strasbourg vs RC Lens</t>
  </si>
  <si>
    <t>FC Porto vs Futebol Clube de Arouca</t>
  </si>
  <si>
    <t>RKC Waalwijk vs FC Eindhoven</t>
  </si>
  <si>
    <t>Monza vs Virtus Entella</t>
  </si>
  <si>
    <t>Dynamo Dresden vs SV Darmstadt 98</t>
  </si>
  <si>
    <t>Trabzonspor vs Fatih Karagümrük Istanbul</t>
  </si>
  <si>
    <t>CD Castellon vs Racing Santander</t>
  </si>
  <si>
    <t>Internazionale vs Genoa</t>
  </si>
  <si>
    <t>NEC vs Fortuna Sittard</t>
  </si>
  <si>
    <t>Borussia Dortmund vs FC Bayern München</t>
  </si>
  <si>
    <t>Leeds United vs Manchester City</t>
  </si>
  <si>
    <t>Real Mallorca vs Real Sociedad</t>
  </si>
  <si>
    <t>Galatasaray SK vs Alanyaspor</t>
  </si>
  <si>
    <t>FC Barcelona vs Villarreal</t>
  </si>
  <si>
    <t>Bayer 04 Leverkusen vs 1. FSV Mainz 05</t>
  </si>
  <si>
    <t>1899 Hoffenheim vs FC St. Pauli</t>
  </si>
  <si>
    <t>Doncaster Rovers vs Cardiff City</t>
  </si>
  <si>
    <t>Mansfield Town vs AFC Wimbledon</t>
  </si>
  <si>
    <t>Leicester City vs Norwich City</t>
  </si>
  <si>
    <t>Hansa Rostock vs Rot-Weiss Essen</t>
  </si>
  <si>
    <t>Arminia Bielefeld vs Hannover 96</t>
  </si>
  <si>
    <t>Campeonato</t>
  </si>
  <si>
    <t>Holanda 2</t>
  </si>
  <si>
    <t>França 2</t>
  </si>
  <si>
    <t>Alemanha 1</t>
  </si>
  <si>
    <t>Inglaterra 1</t>
  </si>
  <si>
    <t>Espanha 1</t>
  </si>
  <si>
    <t>Portugal 1</t>
  </si>
  <si>
    <t>Turquia 1</t>
  </si>
  <si>
    <t>Holanda 1</t>
  </si>
  <si>
    <t>Inglaterra 2</t>
  </si>
  <si>
    <t>Itália 1</t>
  </si>
  <si>
    <t>França 1</t>
  </si>
  <si>
    <t>Itália 2</t>
  </si>
  <si>
    <t>Champion League</t>
  </si>
  <si>
    <t>Arábia Saudita 1</t>
  </si>
  <si>
    <t>Alemanha 2</t>
  </si>
  <si>
    <t>Alemanha 3</t>
  </si>
  <si>
    <t>Suiça 1</t>
  </si>
  <si>
    <t>Espanha 2</t>
  </si>
  <si>
    <t>Romênia 1</t>
  </si>
  <si>
    <t>Inglaterra 3</t>
  </si>
  <si>
    <t>Europa League</t>
  </si>
  <si>
    <t>Escócia 1</t>
  </si>
  <si>
    <t>Dinamarca 1</t>
  </si>
  <si>
    <t>Girona vs Celta de Vigo</t>
  </si>
  <si>
    <t>Hamburger SV vs RB Leipzig</t>
  </si>
  <si>
    <t>Antalyaspor vs Fenerbahçe SK</t>
  </si>
  <si>
    <t>Arsenal vs Chelsea</t>
  </si>
  <si>
    <t>Eintracht Frankfurt vs SC Freiburg</t>
  </si>
  <si>
    <t>FC Midtjylland vs Brøndby IF</t>
  </si>
  <si>
    <t>MSV Duisburg vs TSV Havelse</t>
  </si>
  <si>
    <t>Valencia vs Osasuna</t>
  </si>
  <si>
    <t>VfB Stuttgart vs VfL Wolfsburg</t>
  </si>
  <si>
    <t>Fulham vs Tottenham Hotspur</t>
  </si>
  <si>
    <t>Waldhof Mannheim vs Alemannia Aachen</t>
  </si>
  <si>
    <t>Rangers vs Celtic</t>
  </si>
  <si>
    <t>Real Madrid vs Getafe</t>
  </si>
  <si>
    <t>Wolverhampton Wanderers vs Liverpool</t>
  </si>
  <si>
    <t>Ipswich Town vs Hull City</t>
  </si>
  <si>
    <t>Barnsley vs Wycombe Wanderers</t>
  </si>
  <si>
    <t>AFC Bournemouth vs Brentford</t>
  </si>
  <si>
    <t>Venezia vs Avellino</t>
  </si>
  <si>
    <t>SC Verl vs SSV Jahn Regensburg</t>
  </si>
  <si>
    <t>TSV 1860 München vs FC Erzgebirge Aue</t>
  </si>
  <si>
    <t>Newcastle United vs Manchester United</t>
  </si>
  <si>
    <t>Aston Villa vs Chelsea</t>
  </si>
  <si>
    <t>Manchester City vs Nottingham Forest</t>
  </si>
  <si>
    <t>Brighton &amp; Hove Albion vs Arsenal</t>
  </si>
  <si>
    <t>Palermo vs Mantova</t>
  </si>
  <si>
    <t>Kifisia FC vs PAOK</t>
  </si>
  <si>
    <t>TSV Havelse vs Hansa Rostock</t>
  </si>
  <si>
    <t>Athletic Bilbao vs FC Barcelona</t>
  </si>
  <si>
    <t>Excelsior Rotterdam vs Heerenveen</t>
  </si>
  <si>
    <t>1. FC Köln vs Borussia Dortmund</t>
  </si>
  <si>
    <t>FC Groningen vs Ajax</t>
  </si>
  <si>
    <t>Plymouth Argyle vs Doncaster Rovers</t>
  </si>
  <si>
    <t>SC Freiburg vs Bayer 04 Leverkusen</t>
  </si>
  <si>
    <t>VfL Wolfsburg vs Hamburger SV</t>
  </si>
  <si>
    <t>Real Sociedad B vs CD Castellon</t>
  </si>
  <si>
    <t>Cardiff City vs Lincoln City</t>
  </si>
  <si>
    <t>FC Erzgebirge Aue vs Alemannia Aachen</t>
  </si>
  <si>
    <t>SV Darmstadt 98 vs Holstein Kiel</t>
  </si>
  <si>
    <t>1. FC Nürnberg vs Fortuna Düsseldorf</t>
  </si>
  <si>
    <t>Celta de Vigo vs Real Madrid</t>
  </si>
  <si>
    <t>Paris Saint-Germain vs AS Monaco</t>
  </si>
  <si>
    <t>FC Bayern München vs Borussia Mönchengladbach</t>
  </si>
  <si>
    <t>Al Ahli Jeddah vs Al-Ittihad Jeddah</t>
  </si>
  <si>
    <t>Roda JC vs Jong PSV Eindhoven</t>
  </si>
  <si>
    <t>AC Milan vs Internazionale</t>
  </si>
  <si>
    <t>Racing Santander vs Córdoba CF</t>
  </si>
  <si>
    <t>NAC Breda vs Feyenoord</t>
  </si>
  <si>
    <t>RC Lens vs FC Metz</t>
  </si>
  <si>
    <t>Villarreal vs Elche CF</t>
  </si>
  <si>
    <t>Fortuna Sittard vs SC Telstar</t>
  </si>
  <si>
    <t>Waldhof Mannheim vs TSV Havelse</t>
  </si>
  <si>
    <t>Preußen Münster vs Hertha BSC</t>
  </si>
  <si>
    <t>Karlsruher SC vs Dynamo Dresden</t>
  </si>
  <si>
    <t>Kayserispor vs Trabzonspor</t>
  </si>
  <si>
    <t>Mirassol FC vs Santos FC</t>
  </si>
  <si>
    <t>Atlético de Madrid vs Tottenham Hotspur</t>
  </si>
  <si>
    <t>Newcastle United vs FC Barcelona</t>
  </si>
  <si>
    <t>Atalanta vs FC Bayern München</t>
  </si>
  <si>
    <t>Aldershot Town vs Carlisle United</t>
  </si>
  <si>
    <t>Mansfield Town vs Reading</t>
  </si>
  <si>
    <t>Doncaster Rovers vs Luton Town</t>
  </si>
  <si>
    <t>Galatasaray SK vs Liverpool</t>
  </si>
  <si>
    <t>Over 2,5 FT</t>
  </si>
  <si>
    <t>Atlético Mineiro vs SC Internacional</t>
  </si>
  <si>
    <t>Esporte Clube Bahia vs EC Vitória</t>
  </si>
  <si>
    <t>Bodø/Glimt vs Sporting CP</t>
  </si>
  <si>
    <t>Paris Saint-Germain vs Chelsea</t>
  </si>
  <si>
    <t>Real Madrid vs Manchester City</t>
  </si>
  <si>
    <t>Middlesbrough vs Charlton Athletic</t>
  </si>
  <si>
    <t>Coventry City vs Preston North End</t>
  </si>
  <si>
    <t>Grêmio FBPA vs Red Bull Bragantino</t>
  </si>
  <si>
    <t>São Paulo vs Chapecoense</t>
  </si>
  <si>
    <t>Clube do Remo vs Fluminense FC</t>
  </si>
  <si>
    <t>HT/FT Casa</t>
  </si>
  <si>
    <t>LG Casa</t>
  </si>
  <si>
    <t>Brasil 1</t>
  </si>
  <si>
    <t>Real Madrid vs Elche CF</t>
  </si>
  <si>
    <t>West Ham vs Manchester City</t>
  </si>
  <si>
    <t>AD Ceuta FC vs Deportivo La Coruña</t>
  </si>
  <si>
    <t>Trabzonspor vs Caykur Rizespor</t>
  </si>
  <si>
    <t>Bayer 04 Leverkusen vs FC Bayern München</t>
  </si>
  <si>
    <t>Borussia Dortmund vs FC Augsburg</t>
  </si>
  <si>
    <t>Mansfield Town vs Barnsley</t>
  </si>
  <si>
    <t>1899 Hoffenheim vs VfL Wolfsburg</t>
  </si>
  <si>
    <t>Leicester City vs Queens Park Rangers</t>
  </si>
  <si>
    <t>Reading vs Plymouth Argyle</t>
  </si>
  <si>
    <t>Girona vs Athletic Bilbao</t>
  </si>
  <si>
    <t>Coventry City vs Southampton</t>
  </si>
  <si>
    <t>Eintracht Braunschweig vs Fortuna Düsseldorf</t>
  </si>
  <si>
    <t>Hansa Rostock vs MSV Duisburg</t>
  </si>
  <si>
    <t>Wrexham vs Swansea City</t>
  </si>
  <si>
    <t>Olympique Marseille vs AJ Auxerre</t>
  </si>
  <si>
    <t>Jong PSV Eindhoven vs FC Eindhoven</t>
  </si>
  <si>
    <t>SpVgg Greuther Fürth vs SV Elversberg</t>
  </si>
  <si>
    <t>Palmeiras vs Mirassol FC</t>
  </si>
  <si>
    <t>Real Sociedad vs Osasuna</t>
  </si>
  <si>
    <t>Santos FC vs Corinthians</t>
  </si>
  <si>
    <t>Fluminense FC vs Athlético Paranaense</t>
  </si>
  <si>
    <t>SC Internacional vs Esporte Clube Bahia</t>
  </si>
  <si>
    <t>VfB Stuttgart vs RB Leipzig</t>
  </si>
  <si>
    <t>Como vs AS Roma</t>
  </si>
  <si>
    <t>FC Barcelona vs Sevilla</t>
  </si>
  <si>
    <t>SønderjyskE vs AGF Aarhus</t>
  </si>
  <si>
    <t>Córdoba CF vs Real Sociedad B</t>
  </si>
  <si>
    <t>Chapecoense vs Grêmio FBPA</t>
  </si>
  <si>
    <t>Arsenal vs Bayer 04 Leverkusen</t>
  </si>
  <si>
    <t>Chelsea vs Paris Saint-Germain</t>
  </si>
  <si>
    <t>Plymouth Argyle vs Stevenage</t>
  </si>
  <si>
    <t>Cardiff City vs Wycombe Wanderers</t>
  </si>
  <si>
    <t>Venezia vs Padova</t>
  </si>
  <si>
    <t>Sporting CP vs Bodø/Glimt</t>
  </si>
  <si>
    <t>Santos FC vs SC Internacional</t>
  </si>
  <si>
    <t>Vasco da Gama vs Fluminense FC</t>
  </si>
  <si>
    <t>Esporte Clube Bahia vs Red Bull Bragantino</t>
  </si>
  <si>
    <t>Palmeiras vs Botafogo FR</t>
  </si>
  <si>
    <t>FC Bayern München vs Atalanta</t>
  </si>
  <si>
    <t>FC Barcelona vs Newcastle United</t>
  </si>
  <si>
    <t>Grêmio FBPA vs EC Vitória</t>
  </si>
  <si>
    <t>AC Sparta Praha vs AZ Alkmaar</t>
  </si>
  <si>
    <t>FC Midtjylland vs Nottingham Forest</t>
  </si>
  <si>
    <t>Leeds United vs Brentford</t>
  </si>
  <si>
    <t>RKC Waalwijk vs Den Bosch</t>
  </si>
  <si>
    <t>Benfica vs Vitoria de Guimaraes</t>
  </si>
  <si>
    <t>Borussia Dortmund vs Hamburger SV</t>
  </si>
  <si>
    <t>Osasuna vs Girona</t>
  </si>
  <si>
    <t>Fortuna Sittard vs FC Twente</t>
  </si>
  <si>
    <t>FC Bayern München vs 1. FC Union Berlin</t>
  </si>
  <si>
    <t>Sheffield United vs Wrexham</t>
  </si>
  <si>
    <t>FC Ingolstadt 04 vs Alemannia Aachen</t>
  </si>
  <si>
    <t>SC Paderborn 07 vs Dynamo Dresden</t>
  </si>
  <si>
    <t>1. FC Nürnberg vs 1. FC Kaiserslautern</t>
  </si>
  <si>
    <t>Ipswich Town vs Millwall</t>
  </si>
  <si>
    <t>Villarreal vs Real Sociedad</t>
  </si>
  <si>
    <t>RB Leipzig vs 1899 Hoffenheim</t>
  </si>
  <si>
    <t>Jong Ajax vs Almere City</t>
  </si>
  <si>
    <t>Vejle BK vs Odense BK</t>
  </si>
  <si>
    <t>Karlsruher SC vs SpVgg Greuther Fürth</t>
  </si>
  <si>
    <t>NK Aluminij vs NK Maribor</t>
  </si>
  <si>
    <t>Cruzeiro vs Santos FC</t>
  </si>
  <si>
    <t>Vasco da Gama vs Grêmio FBPA</t>
  </si>
  <si>
    <t>Athletic Bilbao vs Real Betis</t>
  </si>
  <si>
    <t>New York City FC vs Inter Miami CF</t>
  </si>
  <si>
    <t>Olympique Marseille vs Lille OSC</t>
  </si>
  <si>
    <t>Stade Rennais vs FC Metz</t>
  </si>
  <si>
    <t>MVV Maastricht vs Willem II</t>
  </si>
  <si>
    <t>MSV Duisburg vs TSV 1860 München</t>
  </si>
  <si>
    <t>Atalanta vs Hellas Verona</t>
  </si>
  <si>
    <t>FC Barcelona vs Rayo Vallecano</t>
  </si>
  <si>
    <t>1899 Hoffenheim II vs VfL Osnabrück</t>
  </si>
  <si>
    <t>Como vs Pisa</t>
  </si>
  <si>
    <t>De Graafschap vs ADO Den Haag</t>
  </si>
  <si>
    <t>Hollanda 2</t>
  </si>
  <si>
    <t>EUA 1</t>
  </si>
  <si>
    <t>Esporte Clube Bahia vs Athlético Paranaense</t>
  </si>
  <si>
    <t>SC Internacional vs São Paulo</t>
  </si>
  <si>
    <t>Botafogo FR vs Mirassol FC</t>
  </si>
  <si>
    <t>Deportivo La Coruña vs Córdoba CF</t>
  </si>
  <si>
    <t>FC Eindhoven vs FC Emmen</t>
  </si>
  <si>
    <t>Grêmio FBPA vs Clube do Remo / Match Odds</t>
  </si>
  <si>
    <t>Flamengo vs Santos FC / Match Odds</t>
  </si>
  <si>
    <t>Atlético Mineiro vs Athlético Paranaense / Both Teams To Score</t>
  </si>
  <si>
    <t>Alemannia Aachen vs SV Wehen Wiesbaden / Total 2.5</t>
  </si>
  <si>
    <t>Eintracht Frankfurt vs 1. FC Köln / Both Teams To Score</t>
  </si>
  <si>
    <t>Valencia vs Celta de Vigo / Both Teams To Score</t>
  </si>
  <si>
    <t>Andorra FC vs Racing Santander / Total 2.5</t>
  </si>
  <si>
    <t>Hannover 96 vs SV Elversberg / Total 2.5</t>
  </si>
  <si>
    <t>FC Schalke 04 vs Karlsruher SC / Total 2.5</t>
  </si>
  <si>
    <t>SpVgg Greuther Fürth vs SC Paderborn 07 / Both Teams To Score</t>
  </si>
  <si>
    <t>Vasco da Gama vs Botafogo FR / Total 2.5</t>
  </si>
  <si>
    <t>Dynamo Dresden vs Hertha BSC / Total 2.5</t>
  </si>
  <si>
    <t>Excelsior Rotterdam vs NEC / Correct Score</t>
  </si>
  <si>
    <t>AZ Alkmaar vs Fortuna Sittard / Both Teams To Score</t>
  </si>
  <si>
    <t>VfB Stuttgart vs Borussia Dortmund / Correct Score</t>
  </si>
  <si>
    <t>Rot-Weiss Essen vs MSV Duisburg / Both Teams To Score</t>
  </si>
  <si>
    <t>SC Freiburg vs FC Bayern München / Correct Score</t>
  </si>
  <si>
    <t>1899 Hoffenheim vs 1. FSV Mainz 05 / Correct Score</t>
  </si>
  <si>
    <t>TSV 1860 München vs Waldhof Mannheim / Total 2.5</t>
  </si>
  <si>
    <t>Real Sociedad vs Levante UD / Both Teams To Score</t>
  </si>
  <si>
    <t>1899 Hoffenheim vs 1. FSV Mainz 05 / Both Teams To Score</t>
  </si>
  <si>
    <t>Arminia Bielefeld vs SV Darmstadt 98 / Total 2.5</t>
  </si>
  <si>
    <t>Puebla vs FC Juárez / Both Teams To Score</t>
  </si>
  <si>
    <t>Sporting CP vs Santa Clara / Match Odds</t>
  </si>
  <si>
    <t>MVV Maastricht vs RKC Waalwijk / Correct Score</t>
  </si>
  <si>
    <t>Lincoln City vs AFC Wimbledon / Total 2.5</t>
  </si>
  <si>
    <t>Queens Park Rangers vs Watford / Total 2.5</t>
  </si>
  <si>
    <t>Palmeiras vs Grêmio FBPA / Match Odds</t>
  </si>
  <si>
    <t>Red Bull Bragantino vs Flamengo / Correct Score</t>
  </si>
  <si>
    <t>Palmeiras vs Grêmio FBPA / Total 2.5</t>
  </si>
  <si>
    <t>Universidad Católica vs Palestino / Both Teams To Score</t>
  </si>
  <si>
    <t>Girona vs Villarreal / Match Odds</t>
  </si>
  <si>
    <t>Girona vs Villarreal / Total 2.5</t>
  </si>
  <si>
    <t>Hull City vs Coventry City / Both Teams To Score</t>
  </si>
  <si>
    <t>Napoli vs AC Milan / Match Odds</t>
  </si>
  <si>
    <t>Juventus vs Genoa / Match Odds</t>
  </si>
  <si>
    <t>Sampdoria vs Empoli / Match Odds</t>
  </si>
  <si>
    <t>De Graafschap vs Jong AZ Alkmaar / 1st Half Total 1.5</t>
  </si>
  <si>
    <t>LTD Odds Parelhas</t>
  </si>
  <si>
    <t>Paris Saint-Germain vs Liverpool / Correct Score</t>
  </si>
  <si>
    <t>Al-Ittihad Jeddah vs Neom SC / Correct Score</t>
  </si>
  <si>
    <t>Al-Hilal Riyadh vs Al-Kholood Club / Match Odds</t>
  </si>
  <si>
    <t>1. FC Saarbrücken vs Alemannia Aachen / Total 2.5</t>
  </si>
  <si>
    <t>VfB Stuttgart II vs SSV Ulm 1846 / Both Teams To Score</t>
  </si>
  <si>
    <t>SC Verl vs Hansa Rostock / Total 2.5</t>
  </si>
  <si>
    <t>Atromitos Athens vs Kifisia FC / Both Teams To Score</t>
  </si>
  <si>
    <t>Sporting CP vs Arsenal / Correct Score</t>
  </si>
  <si>
    <t>Real Madrid vs FC Bayern München / Correct Score</t>
  </si>
  <si>
    <t>FC Vaduz vs AC Bellinzona / Match Odds</t>
  </si>
  <si>
    <t>Wrexham vs Southampton / Total 2.5</t>
  </si>
  <si>
    <t>MSV Duisburg vs VfL Osnabrück / Both Teams To Score</t>
  </si>
  <si>
    <t>Suiça 2</t>
  </si>
  <si>
    <t>Botafogo FR vs Caracas FC</t>
  </si>
  <si>
    <t>Sulamericana</t>
  </si>
  <si>
    <t>Olympique Marseille vs FC Metz</t>
  </si>
  <si>
    <t>Real Madrid vs Girona</t>
  </si>
  <si>
    <t>West Bromwich Albion vs Millwall</t>
  </si>
  <si>
    <t>West Ham vs Wolverhampton Wanderers</t>
  </si>
  <si>
    <t>AD Ceuta FC vs Real Sociedad B</t>
  </si>
  <si>
    <t>FC Augsburg vs 1899 Hoffenheim</t>
  </si>
  <si>
    <t>Fortuna Düsseldorf vs Holstein Kiel</t>
  </si>
  <si>
    <t>Karlsruher SC vs Arminia Bielefeld</t>
  </si>
  <si>
    <t>LTD Favorito</t>
  </si>
  <si>
    <t>Clube do Remo vs Vasco da Gama</t>
  </si>
  <si>
    <t>Club Football Estrela vs Sporting CP</t>
  </si>
  <si>
    <t>EC Vitória vs São Paulo</t>
  </si>
  <si>
    <t>Heracles Almelo vs Ajax</t>
  </si>
  <si>
    <t>SV Darmstadt 98 vs Hannover 96</t>
  </si>
  <si>
    <t>FC Barcelona vs Espanyol</t>
  </si>
  <si>
    <t>Liverpool vs Fulham</t>
  </si>
  <si>
    <t>Elche CF vs Valencia</t>
  </si>
  <si>
    <t>Celtic vs St Mirren</t>
  </si>
  <si>
    <t>Southampton vs Derby County</t>
  </si>
  <si>
    <t>RB Leipzig vs Borussia Mönchengladbach</t>
  </si>
  <si>
    <t>Borussia Dortmund vs Bayer 04 Leverkusen</t>
  </si>
  <si>
    <t>Virtus Entella vs Venezia</t>
  </si>
  <si>
    <t>Milton Keynes Dons vs Bromley</t>
  </si>
  <si>
    <t>1. FC Nürnberg vs Dynamo Dresden</t>
  </si>
  <si>
    <t>Manchester United vs Leeds United / Match Odds</t>
  </si>
  <si>
    <t>Galatasaray SK vs Kocaelispor / Match Odds</t>
  </si>
  <si>
    <t>Benfica vs Nacional da Madeira / Match Odds</t>
  </si>
  <si>
    <t>Hajduk Split vs HNK Gorica / Both Teams To Score</t>
  </si>
  <si>
    <t>VfB Stuttgart vs Hamburger SV / Match Odds</t>
  </si>
  <si>
    <t>FC Erzgebirge Aue vs SC Verl / Total 2.5</t>
  </si>
  <si>
    <t>Athlético Paranaense vs Chapecoense / Match Odds</t>
  </si>
  <si>
    <t>NEC vs Feyenoord / Correct Score</t>
  </si>
  <si>
    <t>SønderjyskE vs Viborg FF / Total 2.5</t>
  </si>
  <si>
    <t>Nottingham Forest vs Aston Villa / Both Teams To Score</t>
  </si>
  <si>
    <t>Birmingham City vs Wrexham / Both Teams To Score</t>
  </si>
  <si>
    <t>Atlético de Madrid vs FC Barcelona / Match Odds</t>
  </si>
  <si>
    <t>Atlético de Madrid vs FC Barcelona / Correct Score</t>
  </si>
  <si>
    <t>Al-Qadisiyah vs Al-Shabab Riyadh / Match Odds</t>
  </si>
  <si>
    <t>LTD</t>
  </si>
  <si>
    <t>Aston Villa vs Bologna / Total 2.5</t>
  </si>
  <si>
    <t>Al-Nassr Riyadh vs Al-Ettifaq / Match Odds</t>
  </si>
  <si>
    <t>Free Fire</t>
  </si>
  <si>
    <t>Buriram United vs Shabab Al-Ahli Dubai FC / Total 1.5</t>
  </si>
  <si>
    <t>Palermo vs Cesena / Total 1.5</t>
  </si>
  <si>
    <t>Aris Thessaloniki vs NFC Volos / Total 1.5</t>
  </si>
  <si>
    <t>Werder Bremen vs Hamburger SV / Total 0.5</t>
  </si>
  <si>
    <t>IK Sirius vs Västerås SK FK / Total 2.5</t>
  </si>
  <si>
    <t>Internazionale vs Cagliari / Match Odds</t>
  </si>
  <si>
    <t>Internazionale vs Cagliari / Correct Score</t>
  </si>
  <si>
    <t>RC Lens vs Toulouse FC / Match Odds</t>
  </si>
  <si>
    <t>Real Sociedad B vs Racing Santander / Total 2.5</t>
  </si>
  <si>
    <t>Fenerbahçe SK vs Caykur Rizespor / Match Odds</t>
  </si>
  <si>
    <t>Fenerbahçe SK vs Caykur Rizespor / Correct Score</t>
  </si>
  <si>
    <t>Yunnan Yukun vs Tianjin Jinmenhu / Total 0.5</t>
  </si>
  <si>
    <t>Under 1,5</t>
  </si>
  <si>
    <t>Red Bull Bragantino vs Blooming Santa Cruz / Total 1.5</t>
  </si>
  <si>
    <t>Palmeiras vs Sporting Cristal / Total 2.5</t>
  </si>
  <si>
    <t>Palmeiras vs Sporting Cristal / Total 1.5</t>
  </si>
  <si>
    <t>Los Angeles FC vs San Jose Earthquakes / Total 0.5</t>
  </si>
  <si>
    <t>Flamengo vs Esporte Clube Bahia / Match Odds</t>
  </si>
  <si>
    <t>Flamengo vs Esporte Clube Bahia / Total 1.5</t>
  </si>
  <si>
    <t>Palmeiras vs Athlético Paranaense / Match Odds</t>
  </si>
  <si>
    <t>Manchester City vs Arsenal / Correct Score</t>
  </si>
  <si>
    <t>FC Bayern München vs VfB Stuttgart / Match Odds</t>
  </si>
  <si>
    <t>FC Bayern München vs VfB Stuttgart / Correct Score</t>
  </si>
  <si>
    <t>AS Monaco vs AJ Auxerre / Match Odds</t>
  </si>
  <si>
    <t>Minnesota United vs Portland Timbers / Total 1.5</t>
  </si>
  <si>
    <t>Cruzeiro vs Grêmio FBPA / Half Time/Full Time</t>
  </si>
  <si>
    <t>Cruzeiro vs Grêmio FBPA / Total 0.5</t>
  </si>
  <si>
    <t>New York City FC vs Charlotte FC / Total 0.5</t>
  </si>
  <si>
    <t>Club Deportes Santa Cruz vs Union San Felipe / Total 1.5</t>
  </si>
  <si>
    <t>FC Cincinnati vs Chicago Fire / Total 1.5</t>
  </si>
  <si>
    <t>Universidad Católica del Ecuador vs Libertad FC / Total 0.5</t>
  </si>
  <si>
    <t>HT/FT Visitante</t>
  </si>
  <si>
    <t>CA Peñarol vs Juventud de Las Piedras / Match Odds</t>
  </si>
  <si>
    <t>CA Peñarol vs Juventud de Las Piedras / Correct Score</t>
  </si>
  <si>
    <t>Carabobo FC vs Anzoategui FC / Total 2.5</t>
  </si>
  <si>
    <t>Deportivo La Coruña vs Mirandés / Correct Score</t>
  </si>
  <si>
    <t>Gazişehir Gaziantep F.K. vs Kayserispor / Correct Score</t>
  </si>
  <si>
    <t>FC Midtjylland vs AGF Aarhus / Correct Score</t>
  </si>
  <si>
    <t>FK Lyn vs Sandnes Ulf / Total 0.5</t>
  </si>
  <si>
    <t>Cardiff City U21 vs Hull City U21 / Total 1.5</t>
  </si>
  <si>
    <t>Uriguai 1</t>
  </si>
  <si>
    <t>Real Madrid vs Deportivo Alaves / Match Odds</t>
  </si>
  <si>
    <t>Real Madrid vs Deportivo Alaves / Total 1.5</t>
  </si>
  <si>
    <t>Leicester City vs Hull City / Correct Score</t>
  </si>
  <si>
    <t>Oud-Heverlee Leuven vs Westerlo / Correct Score</t>
  </si>
  <si>
    <t>Racing Genk vs Sporting de Charleroi / Correct Score</t>
  </si>
  <si>
    <t>Leicester City vs Hull City / Total 1.5</t>
  </si>
  <si>
    <t>West Bromwich Albion vs Watford / Total 1.5</t>
  </si>
  <si>
    <t>FC Blau-Weiss Linz vs RZ Pellets WAC / Correct Score</t>
  </si>
  <si>
    <t>Pumas UNAM vs FC Juárez / Correct Score</t>
  </si>
  <si>
    <t>Áustria 1</t>
  </si>
  <si>
    <t>Bélgica 1</t>
  </si>
  <si>
    <t>México 1</t>
  </si>
  <si>
    <t>Real Betis vs Real Madrid / Half Time/Full Time</t>
  </si>
  <si>
    <t>Real Betis vs Real Madrid / Total 1.5</t>
  </si>
  <si>
    <t>Napoli vs Cremonese / Match Odds</t>
  </si>
  <si>
    <t>RB Leipzig vs 1. FC Union Berlin / Match Odds</t>
  </si>
  <si>
    <t>FC Eindhoven vs Helmond Sport / Total 3.5</t>
  </si>
  <si>
    <t>Red Star FC 93 vs En Avant Guingamp / Correct Score</t>
  </si>
  <si>
    <t>RB Leipzig vs 1. FC Union Berlin / Total 2.5</t>
  </si>
  <si>
    <t>Kazincbarcika SC vs MTK Budapest / Total 0.5</t>
  </si>
  <si>
    <t>Napoli vs Cremonese / Total 1.5</t>
  </si>
  <si>
    <t>Shelbourne FC vs Drogheda United / Total 1.5</t>
  </si>
  <si>
    <t>Den Bosch vs ADO Den Haag / Total 1.5</t>
  </si>
  <si>
    <t>Jong AZ Alkmaar vs Roda JC / Total 1.5</t>
  </si>
  <si>
    <t>Monza vs Modena FC 2018 / Total 1.5</t>
  </si>
  <si>
    <t>Al-Fateh Al-Hasa vs Al-Khaleej Saihat / Correct Score</t>
  </si>
  <si>
    <t>Al Hazm vs Al-Riyadh / Total 1.5</t>
  </si>
  <si>
    <t>Zaglebie Lubin vs Termalica Bruk-Bet Nieciecza / Total 1.5</t>
  </si>
  <si>
    <t>SJK vs FF Jaro / Total 1.5</t>
  </si>
  <si>
    <t>Ústí nad Labem vs FK Viktoria Žižkov / Total 1.5</t>
  </si>
  <si>
    <t>Persib Bandung vs Arema / Total 0.5</t>
  </si>
  <si>
    <t>Sukhothai FC vs Ratchaburi / Total 1.5</t>
  </si>
  <si>
    <t>Salford City vs Bromley / Correct Score</t>
  </si>
  <si>
    <t>PSV Eindhoven vs PEC Zwolle / Total 1.5</t>
  </si>
  <si>
    <t>Malmö FF vs IK Sirius / Correct Score</t>
  </si>
  <si>
    <t>Malmö FF vs IK Sirius / Total 1.5</t>
  </si>
  <si>
    <t>FC Nordsjælland vs AGF Aarhus / Correct Score</t>
  </si>
  <si>
    <t>Randers FC vs FC Fredericia / Correct Score</t>
  </si>
  <si>
    <t>Al Najma Club vs Al-Taawoun Buraidah / Total 1.5</t>
  </si>
  <si>
    <t>San Jose Earthquakes vs Austin FC / Total 1.5</t>
  </si>
  <si>
    <t>Atlético San Luis vs Santos Laguna / Correct Score</t>
  </si>
  <si>
    <t>Atlético San Luis vs Santos Laguna / Total 0.5</t>
  </si>
  <si>
    <t>Houston Dynamo vs San Diego FC / Correct Score</t>
  </si>
  <si>
    <t>FC Dallas vs Minnesota United / Correct Score</t>
  </si>
  <si>
    <t>FC Barcelona vs Celta de Vigo / Match Odds</t>
  </si>
  <si>
    <t>FC Barcelona vs Celta de Vigo / Correct Score</t>
  </si>
  <si>
    <t>Burnley vs Manchester City / Match Odds</t>
  </si>
  <si>
    <t>Bayer 04 Leverkusen vs FC Bayern München / Match Odds</t>
  </si>
  <si>
    <t>Bayer 04 Leverkusen vs FC Bayern München / Correct Score</t>
  </si>
  <si>
    <t>Middlesbrough vs Sheffield Wednesday / Total 1.5</t>
  </si>
  <si>
    <t>Viborg FF vs Brøndby IF / Total 0.5</t>
  </si>
  <si>
    <t>Viborg FF vs Brøndby IF / Correct Score</t>
  </si>
  <si>
    <t>FC Yverdon-Sport vs Neuchâtel Xamax / Correct Score</t>
  </si>
  <si>
    <t>Istra 1961 vs Dinamo Zagreb / Total 1.5</t>
  </si>
  <si>
    <t>Hammarby IF vs Halmstads BK / Total 1.5</t>
  </si>
  <si>
    <t>FC København vs Odense BK / Total 1.5</t>
  </si>
  <si>
    <t>Liaoning Tieren F.C. vs Dalian Yingbo / Correct Score</t>
  </si>
  <si>
    <t>LG Casa Layback</t>
  </si>
  <si>
    <t>Senta no Pudim</t>
  </si>
  <si>
    <t>Club Independiente Petrolero vs Universitario de Vinto / Total 2.5</t>
  </si>
  <si>
    <t>Curupira</t>
  </si>
  <si>
    <t>Botbet</t>
  </si>
  <si>
    <t>São Paulo vs Mirassol FC / Total 1.5</t>
  </si>
  <si>
    <t>FC Cincinnati vs New York Red Bulls / Total 1.5</t>
  </si>
  <si>
    <t>Esporte Clube Bahia vs Santos FC / Correct Score</t>
  </si>
  <si>
    <t>Clube do Remo vs Cruzeiro / Match Odds</t>
  </si>
  <si>
    <t>Academia de Balompie Boliviano vs Blooming Santa Cruz / Correct Score</t>
  </si>
  <si>
    <t>Deportivo Pereira vs Atlético Nacional / Total 1.5</t>
  </si>
  <si>
    <t>FC Thun vs FC Lugano / Correct Score</t>
  </si>
  <si>
    <t>Independiente del Valle vs Leones del Norte / Total 1.5</t>
  </si>
  <si>
    <t>NAC Breda vs Ajax / Correct Score</t>
  </si>
  <si>
    <t>Saint-Étienne vs Troyes AC / Total 1.5</t>
  </si>
  <si>
    <t>FC Twente vs NEC / Total 1.5</t>
  </si>
  <si>
    <t>Hapoel Be'er Sheva vs Beitar Jerusalem / Correct Score</t>
  </si>
  <si>
    <t>Arsenal vs Newcastle United / Total 1.5</t>
  </si>
  <si>
    <t>Arsenal vs Newcastle United / Match Odds</t>
  </si>
  <si>
    <t>Celtic vs Falkirk / Match Odds</t>
  </si>
  <si>
    <t>Manchester City vs Southampton / Match Odds</t>
  </si>
  <si>
    <t>Angers SCO vs Paris Saint-Germain / Total 1.5</t>
  </si>
  <si>
    <t>Venezia vs Empoli / Match Odds</t>
  </si>
  <si>
    <t>Feyenoord vs FC Groningen / Correct Score</t>
  </si>
  <si>
    <t>Wolverhampton Wanderers vs Tottenham Hotspur / Total 2.5</t>
  </si>
  <si>
    <t>West Ham vs Everton / Match Odds</t>
  </si>
  <si>
    <t>Feyenoord vs FC Groningen / Total 2.5</t>
  </si>
  <si>
    <t>Lincoln City vs Wycombe Wanderers / Correct Score</t>
  </si>
  <si>
    <t>Liverpool vs Crystal Palace / Total 3.5</t>
  </si>
  <si>
    <t>Burton Albion vs Exeter City / Total 2.5</t>
  </si>
  <si>
    <t>Burton Albion vs Exeter City / Correct Score</t>
  </si>
  <si>
    <t>Sheffield United vs Preston North End / Total 2.5</t>
  </si>
  <si>
    <t>Oxford United vs Sheffield Wednesday / Total 2.5</t>
  </si>
  <si>
    <t>FC Augsburg vs Eintracht Frankfurt / Match Odds</t>
  </si>
  <si>
    <t>FC Augsburg vs Eintracht Frankfurt / Correct Score</t>
  </si>
  <si>
    <t>VfL Wolfsburg vs Borussia Mönchengladbach / Correct Score</t>
  </si>
  <si>
    <t>Burton Albion vs Exeter City / Total 1.5</t>
  </si>
  <si>
    <t>Stoke City vs Portsmouth / Total 1.5</t>
  </si>
  <si>
    <t>Olympique Lyonnais vs AJ Auxerre / Match Odds</t>
  </si>
  <si>
    <t>Virtus Entella vs Padova / Total 1.5</t>
  </si>
  <si>
    <t>Korona Kielce vs GKS Katowice / Total 1.5</t>
  </si>
  <si>
    <t>Milton Keynes Dons vs Tranmere Rovers / Match Odds</t>
  </si>
  <si>
    <t>Fulham vs Aston Villa / Match Odds</t>
  </si>
  <si>
    <t>Shanghai Port vs Wuhan Three Towns / Total 1.5</t>
  </si>
  <si>
    <t>Chengdu Rongcheng vs Zhejiang Professional / Match Odds</t>
  </si>
  <si>
    <t>Hertha BSC vs Holstein Kiel / Total 1.5</t>
  </si>
  <si>
    <t>Hertha BSC vs Holstein Kiel / Correct Score</t>
  </si>
  <si>
    <t>Karlsruher SC vs Hannover 96 / Total 2.5</t>
  </si>
  <si>
    <t>Stockport County vs Peterborough United / Total 2.5</t>
  </si>
  <si>
    <t>Vanspor FK vs Ugur Okullari Istanbulspor / Correct Score</t>
  </si>
  <si>
    <t>Beijing Guoan vs Tianjin Jinmenhu / Total 0.5</t>
  </si>
  <si>
    <t>Middlesbrough vs Watford / Total 1.5</t>
  </si>
  <si>
    <t>Western Sydney Wanderers vs Melbourne Victory / Total 3.5</t>
  </si>
  <si>
    <t>LG Punter</t>
  </si>
  <si>
    <t>Seu Jorge Mendigo</t>
  </si>
  <si>
    <t>Lay Contemplativo</t>
  </si>
  <si>
    <t>LTD Leo Farias</t>
  </si>
  <si>
    <t>Santos Laguna vs Monterrey / Correct Score</t>
  </si>
  <si>
    <t>Los Angeles Galaxy vs Real Salt Lake / Total 1.5</t>
  </si>
  <si>
    <t>Metropolitanos FC vs Estudiantes de Mérida / Match Odds</t>
  </si>
  <si>
    <t>Metropolitanos FC vs Estudiantes de Mérida / Correct Score</t>
  </si>
  <si>
    <t>Athlético Paranaense vs EC Vitória / Match Odds</t>
  </si>
  <si>
    <t>Athlético Paranaense vs EC Vitória / Correct Score</t>
  </si>
  <si>
    <t>Grêmio FBPA vs Coritiba / Total 1.5</t>
  </si>
  <si>
    <t>Olympique Marseille vs OGC Nice / Half Time/Full Time</t>
  </si>
  <si>
    <t>Club Football Estrela vs FC Porto / Match Odds</t>
  </si>
  <si>
    <t>Club Football Estrela vs FC Porto / Correct Score</t>
  </si>
  <si>
    <t>Lillestrøm SK vs Bodø/Glimt / Total 1.5</t>
  </si>
  <si>
    <t>Torino vs Internazionale / Correct Score</t>
  </si>
  <si>
    <t>Borussia Dortmund vs SC Freiburg / Match Odds</t>
  </si>
  <si>
    <t>Aalesunds FK vs Kristiansund BK / Correct Score</t>
  </si>
  <si>
    <t>Rangers vs Motherwell / Correct Score</t>
  </si>
  <si>
    <t>Stade Rennais vs FC Nantes / Total 1.5</t>
  </si>
  <si>
    <t>VfB Stuttgart vs Werder Bremen / Match Odds</t>
  </si>
  <si>
    <t>VfB Stuttgart vs Werder Bremen / Total 1.5</t>
  </si>
  <si>
    <t>Genoa vs Como / Total 1.5</t>
  </si>
  <si>
    <t>FC Lorient vs RC Strasbourg / Total 2.5</t>
  </si>
  <si>
    <t>Widzew Lódz vs Motor Lublin / Total 1.5</t>
  </si>
  <si>
    <t>FC Fredericia vs Odense BK / Correct Score</t>
  </si>
  <si>
    <t>1. FC Nürnberg vs 1. FC Magdeburg / Total 2.5</t>
  </si>
  <si>
    <t>Nõmme Kalju FC vs Pärnu JK Vaprus / Match Odds</t>
  </si>
  <si>
    <t>KAA Gent vs Club Brugge / Total 1.5</t>
  </si>
  <si>
    <t>VfL Bochum vs SpVgg Greuther Fürth / Total 1.5</t>
  </si>
  <si>
    <t>Fiorentina vs Sassuolo / Correct Score</t>
  </si>
  <si>
    <t>Melbourne City FC vs Adelaide United / Total 3.5</t>
  </si>
  <si>
    <t>CD Guadalajara vs Club Tijuana / Match Odds</t>
  </si>
  <si>
    <t>Portutal 1</t>
  </si>
  <si>
    <t>Besiktas JK vs Fatih Karagümrük Istanbul / Total 0.5</t>
  </si>
  <si>
    <t>Besiktas JK vs Fatih Karagümrük Istanbul / Match Odds</t>
  </si>
  <si>
    <t>HNK Gorica vs Istra 1961 / Match Odds</t>
  </si>
  <si>
    <t>BK Häcken vs IK Sirius / Total 1.5</t>
  </si>
  <si>
    <t>Al-Gharafa SC vs Al Shahaniya / Match Odds</t>
  </si>
  <si>
    <t>Umm-Salal vs Al-Ahli / Correct Score</t>
  </si>
  <si>
    <t>Al-Rayyan vs Al-Arabi Doha / Correct Score</t>
  </si>
  <si>
    <t>Back to Bahia</t>
  </si>
  <si>
    <t>Papai Smurf</t>
  </si>
  <si>
    <t>Apagar das Luzes</t>
  </si>
  <si>
    <t>Manta FC vs Universidad Católica del Ecuador / Match Odds</t>
  </si>
  <si>
    <t>Manchester United vs Brentford / Total 1.5</t>
  </si>
  <si>
    <t>Paris Saint-Germain vs FC Bayern München / Match Odds</t>
  </si>
  <si>
    <t>Paris Saint-Germain vs FC Bayern München / Correct Score</t>
  </si>
  <si>
    <t>Northampton Town vs Barnsley / Total 3.5</t>
  </si>
  <si>
    <t>Northampton Town vs Barnsley / Total 1.5</t>
  </si>
  <si>
    <t>Peterborough United vs Mansfield Town / Total 0.5</t>
  </si>
  <si>
    <t>Peterborough United vs Mansfield Town / Total 3.5</t>
  </si>
  <si>
    <t>Southampton vs Ipswich Town / Correct Score</t>
  </si>
  <si>
    <t>Beitar Jerusalem vs Hapoel Petah Tikva / Match Odds</t>
  </si>
  <si>
    <t>IFK Norrköping vs Landskrona BoIS / Match Odds</t>
  </si>
  <si>
    <t>Neom SC vs Al Hazm / Total 2.5</t>
  </si>
  <si>
    <t>Maccabi Tel Aviv vs Hapoel Be'er Sheva / Correct Score</t>
  </si>
  <si>
    <t>Al-Shabab Riyadh vs Al-Fateh Al-Hasa / Total 1.5</t>
  </si>
  <si>
    <t>Rei do Mate</t>
  </si>
  <si>
    <t>Over 0,5 FT</t>
  </si>
  <si>
    <t>Over HT</t>
  </si>
  <si>
    <t>Barcelona SC vs Universidad Católica</t>
  </si>
  <si>
    <t>Ganhou</t>
  </si>
  <si>
    <t>Lanus vs LDU Quito</t>
  </si>
  <si>
    <t>Perdeu</t>
  </si>
  <si>
    <t>Stake Fulltbet</t>
  </si>
  <si>
    <t>Casa Ataque</t>
  </si>
  <si>
    <t>Odd Casa Ataque</t>
  </si>
  <si>
    <t>Stake Casa Ataque</t>
  </si>
  <si>
    <t>BetBra</t>
  </si>
  <si>
    <t>Resultado Fulltbet</t>
  </si>
  <si>
    <t>Lucro Fulltbet</t>
  </si>
  <si>
    <t>Lucro Casa Ataque</t>
  </si>
  <si>
    <t>Comissão Casa Ataque</t>
  </si>
  <si>
    <t>Proporção Stakes</t>
  </si>
  <si>
    <t>Lucro Líquido Casa Ataque</t>
  </si>
  <si>
    <t>Sporting CP vs Tondela / Correct Score</t>
  </si>
  <si>
    <t>Al-Nassr Riyadh vs Al Ahli Jeddah / Total 1.5</t>
  </si>
  <si>
    <t>Tromsø vs Brann / Correct Score</t>
  </si>
  <si>
    <t>Hapoel Tel Aviv vs Maccabi Haifa / Match Odds</t>
  </si>
  <si>
    <t>Al-Muharraq vs Budaiya / Match Odds</t>
  </si>
  <si>
    <t>Al-Riyadh vs Al-Qadisiyah / Total 1.5</t>
  </si>
  <si>
    <t>Shabab Al-Ahli Dubai FC vs Khor Fakkan / Match Odds</t>
  </si>
  <si>
    <t>Uthai Thani FC vs Bangkok United / Match Odds</t>
  </si>
  <si>
    <t>Rayong FC vs Buriram United / Total 1.5</t>
  </si>
  <si>
    <t>Chiangrai United vs Ratchaburi / Match Odds</t>
  </si>
  <si>
    <t>BetFlow</t>
  </si>
  <si>
    <t>Saldo BetBra</t>
  </si>
  <si>
    <t>Corinthians vs CA Peñarol / Total 1.5</t>
  </si>
  <si>
    <t>Rayo Vallecano vs RC Strasbourg / Match Odds</t>
  </si>
  <si>
    <t>Rayo Vallecano vs RC Strasbourg / Correct Score</t>
  </si>
  <si>
    <t>Nottingham Forest vs Aston Villa / Match Odds</t>
  </si>
  <si>
    <t>Ta la na conta</t>
  </si>
  <si>
    <t>FAR Rabat vs Raja Casablanca</t>
  </si>
  <si>
    <t>Vasco da Gama vs Club Olimpia</t>
  </si>
  <si>
    <t>Club Bolívar vs Fluminense FC</t>
  </si>
  <si>
    <t>Caykur Rizespor vs Konyaspor</t>
  </si>
  <si>
    <t>Middelfart Boldklub vs Aarhus Fremad</t>
  </si>
  <si>
    <t>Al-Arabi Al-Saudi vs Al-Jubail</t>
  </si>
  <si>
    <t>Deportivo La Coruña vs Leganés</t>
  </si>
  <si>
    <t>HB Køge vs Boldklubben af 1893</t>
  </si>
  <si>
    <t>Cercle Brugge vs Zulte Waregem</t>
  </si>
  <si>
    <t>Auckland FC vs Melbourne City FC</t>
  </si>
  <si>
    <t>MFK Chrudim vs AC Sparta Praha B</t>
  </si>
  <si>
    <t>Yanbian Longding vs Wuxi Wugou</t>
  </si>
  <si>
    <t>Melbourne Victory vs Sydney FC</t>
  </si>
  <si>
    <t>Dynamo Dresden vs 1. FC Kaiserslautern</t>
  </si>
  <si>
    <t>Ipswich Town vs Queens Park Rangers</t>
  </si>
  <si>
    <t>Sheffield Wednesday vs West Bromwich</t>
  </si>
  <si>
    <t>Bristol City vs Stoke City</t>
  </si>
  <si>
    <t>HNK Vukovar 1991 vs NK Osijek</t>
  </si>
  <si>
    <t>Atalanta vs Genoa</t>
  </si>
  <si>
    <t>Houston Dynamo vs Colorado Rapids</t>
  </si>
  <si>
    <t>FK Teplice vs 1.FC Slovácko</t>
  </si>
  <si>
    <t>FC St. Pauli vs 1. FSV Mainz 05</t>
  </si>
  <si>
    <t>AGF Aarhus vs SønderjyskE</t>
  </si>
  <si>
    <t>Antalyaspor vs Alanyaspor</t>
  </si>
  <si>
    <t>Real Betis vs Real Oviedo</t>
  </si>
  <si>
    <t>FCV Dender EH vs RAAL La Louviere</t>
  </si>
  <si>
    <t>Independiente Medellín vs Águ</t>
  </si>
  <si>
    <t>Alianza FC Valledupar vs Millo</t>
  </si>
  <si>
    <t>Chelsea vs Nottingham Forest</t>
  </si>
  <si>
    <t>FC Unirea Slobozia vs Afc Hermannstadt</t>
  </si>
  <si>
    <t>Grêmio FBPA vs Flamengo / Total 1.5</t>
  </si>
  <si>
    <t>Mirassol FC vs Chapecoense / Match Odds</t>
  </si>
  <si>
    <t>Paris Saint-Germain vs Stade Brestois 29 / Total 1.5</t>
  </si>
  <si>
    <t>Coquimbo Unido vs Huachipato / Total 4.5</t>
  </si>
  <si>
    <t>Le Havre AC vs Olympique Marseille / Total 1.5</t>
  </si>
  <si>
    <t>Paris Saint-Germain vs Stade Brestois 29 / 1st Half Total 0.5</t>
  </si>
  <si>
    <t>Stade Rennais vs Paris FC / 1st Half Total 0.5</t>
  </si>
  <si>
    <t>Antofagasta vs Club Deportivo San Luis / Both Teams To Score</t>
  </si>
  <si>
    <t>Deportes Copiapó vs Union San Felipe / Total 2.5</t>
  </si>
  <si>
    <t>Antofagasta vs Club Deportivo San Luis / 1st Half Total 0.5</t>
  </si>
  <si>
    <t>Feyenoord vs AZ Alkmaar / Total 2.5</t>
  </si>
  <si>
    <t>Excelsior Rotterdam vs FC Volendam / Total 2.5</t>
  </si>
  <si>
    <t>Athletic Bilbao vs Valencia / Total 0.5</t>
  </si>
  <si>
    <t>SC Telstar vs Heracles Almelo / 1st Half Total 0.5</t>
  </si>
  <si>
    <t>Nottingham Forest vs Newcastle United / Total 2.5</t>
  </si>
  <si>
    <t>Crystal Palace vs Everton / Total 2.5</t>
  </si>
  <si>
    <t>Fortuna Düsseldorf vs SV Elversberg / Match Odds</t>
  </si>
  <si>
    <t>New England Revolution vs Philadelphia Union / Total 2.5</t>
  </si>
  <si>
    <t>Real Tomayapo vs San Antonio / 1st Half Total 0.5</t>
  </si>
  <si>
    <t>Al-Fayha FC vs Al-Qadisiyah / 1st Half Total 0.5</t>
  </si>
  <si>
    <t>Manchester City vs Brentford / Match Odds</t>
  </si>
  <si>
    <t>VfL Bochum vs Hannover 96 / Total 2.5</t>
  </si>
  <si>
    <t>Orense SC vs Leones del Norte / Total 1.5</t>
  </si>
  <si>
    <t>Levante UD vs Osasuna / Total 4.5</t>
  </si>
  <si>
    <t>RC Lens vs FC Nantes / Match Odds</t>
  </si>
  <si>
    <t>FC Sudtirol vs Juve Stabia / Total 2.5</t>
  </si>
  <si>
    <t>Venezia vs Palermo / Match Odds</t>
  </si>
  <si>
    <t>Venezia vs Palermo / Total 1.5</t>
  </si>
  <si>
    <t>HNK Rijeka vs HNK Vukovar 1991 / Total 2.5</t>
  </si>
  <si>
    <t>Arbroath vs Dunfermline Athletic / 1st Half Total 0.5</t>
  </si>
  <si>
    <t>IF Elfsborg vs IF Brommapojkarna / Total 2.5</t>
  </si>
  <si>
    <t>1. FC Kaiserslautern vs Arminia Bielefeld / Match Odds</t>
  </si>
  <si>
    <t>JS Kabylie vs ES Sétif / 1st Half Total 0.5</t>
  </si>
  <si>
    <t>Ilves vs AC Oulu / Total 2.5</t>
  </si>
  <si>
    <t>Junior vs Cerro Porteño / Match Odds</t>
  </si>
  <si>
    <t>Junior vs Cerro Porteño / Double Chance</t>
  </si>
  <si>
    <t>Crystal Palace vs Shakhtar Donetsk / Total 3.5</t>
  </si>
  <si>
    <t>Crystal Palace vs Shakhtar Donetsk / Total 2.5</t>
  </si>
  <si>
    <t>Aston Villa vs Nottingham Forest / 1st Half Total 0.5</t>
  </si>
  <si>
    <t>Universidad Católica vs Cruzeiro / Match Odds</t>
  </si>
  <si>
    <t>TransINVEST Vilnius vs FK Suduva / Total 1.5</t>
  </si>
  <si>
    <t>Mamelodi Sundowns vs Kaizer Chiefs / 1st Half Total 0.5</t>
  </si>
  <si>
    <t>AmaZulu vs Golden Arrows / 1st Half Total 0.5</t>
  </si>
  <si>
    <t>Shabab Al-Ahli Dubai FC vs Al-Nasr (UAE) / 1st Half Total 0.5</t>
  </si>
  <si>
    <t>Wuhan Three Towns vs Qingdao Hainiu / Total 2.5</t>
  </si>
  <si>
    <t>Beijing Guoan vs Dalian Yingbo / 1st Half Total 0.5</t>
  </si>
  <si>
    <t>Deportivo Recoleta vs Santos FC / Total 1.5</t>
  </si>
  <si>
    <t>Sporting Cristal vs Palmeiras / Both Teams To Score</t>
  </si>
  <si>
    <t>Juventud de Las Piedras vs Atlético Mineiro / Total 1.5</t>
  </si>
  <si>
    <t>Arsenal vs Atlético de Madrid / 1st Half Total 0.5</t>
  </si>
  <si>
    <t>Al-Ittihad Kalba vs Khor Fakkan / Total 1.5</t>
  </si>
  <si>
    <t>Al-Sitra vs Al Ahli Club / Total 2.5</t>
  </si>
  <si>
    <t>Universitario de Vinto vs Blooming Santa Cruz / Total 3.5</t>
  </si>
  <si>
    <t>Everton vs Manchester City / 1st Half Total 0.5</t>
  </si>
  <si>
    <t>Shamrock Rovers vs Drogheda United / 1st Half Total 0.5</t>
  </si>
  <si>
    <t>Once Caldas vs Atlético Nacional / Match Odds</t>
  </si>
  <si>
    <t>Real Zaragoza vs Granada CF / Total 2.5</t>
  </si>
  <si>
    <t>Girona vs Real Mallorca / Total 2.5</t>
  </si>
  <si>
    <t>Bohemian FC vs Derry City / Match Odds</t>
  </si>
  <si>
    <t>Al Diraiyah vs Abha / Match Odds</t>
  </si>
  <si>
    <t>Al Diraiyah vs Abha / Total 1.5</t>
  </si>
  <si>
    <t>Stade Nyonnais vs FC Wil 1900 / Correct Score</t>
  </si>
  <si>
    <t>Brøndby IF vs FC Nordsjælland / Total 3.5</t>
  </si>
  <si>
    <t>Brøndby IF vs FC Nordsjælland / Correct Score</t>
  </si>
  <si>
    <t>HB Køge vs Boldklubben af 1893 / Correct Score</t>
  </si>
  <si>
    <t>Al Diraiyah vs Abha / 1st Half Total 0.5</t>
  </si>
  <si>
    <t>Viking FK vs Rosenborg BK / Match Odds</t>
  </si>
  <si>
    <t>Andorra FC vs Albacete Balompié / Total 0.5</t>
  </si>
  <si>
    <t>Haugesund vs Sandnes Ulf / Both Teams To Score</t>
  </si>
  <si>
    <t>Empoli vs Avellino / Match Odds</t>
  </si>
  <si>
    <t>Carrarese vs Cesena / Correct Score</t>
  </si>
  <si>
    <t>Spezia vs Venezia / Total 1.5</t>
  </si>
  <si>
    <t>Kuching City vs Terengganu FC / Match Odds</t>
  </si>
  <si>
    <t>Shandong Taishan vs Qingdao West Coast / Match Odds</t>
  </si>
  <si>
    <t>Palermo vs Catanzaro / Both Teams To Score</t>
  </si>
  <si>
    <t>Shandong Taishan vs Qingdao West Coast / 1st Half Total 0.5</t>
  </si>
  <si>
    <t>Houston Dynamo vs Colorado Rapids / Correct Score</t>
  </si>
  <si>
    <t>New England Revolution vs Charlotte FC / Total 2.5</t>
  </si>
  <si>
    <t>New England Revolution vs Charlotte FC / Correct Score</t>
  </si>
  <si>
    <t>Oriente Petrolero vs Real Tomayapo / Match Odds</t>
  </si>
  <si>
    <t>Athlético Paranaense vs Grêmio FBPA / Half Time/Full Time</t>
  </si>
  <si>
    <t>Athlético Paranaense vs Grêmio FBPA / Match Odds</t>
  </si>
  <si>
    <t>Athlético Paranaense vs Grêmio FBPA / Correct Score</t>
  </si>
  <si>
    <t>New York Red Bulls vs FC Dallas / Correct Score</t>
  </si>
  <si>
    <t>Miami FC vs Brooklyn FC / Correct Score</t>
  </si>
  <si>
    <t>Columbus Crew vs Minnesota United / Total 1.5</t>
  </si>
  <si>
    <t>Palmeiras vs Santos FC / Match Odds</t>
  </si>
  <si>
    <t>Palmeiras vs Santos FC / Correct Score</t>
  </si>
  <si>
    <t>Palmeiras vs Santos FC / Total 1.5</t>
  </si>
  <si>
    <t>Jaguares de Córdoba vs Cúcuta Deportivo / Match Odds</t>
  </si>
  <si>
    <t>FC Porto vs Alverca / Match Odds</t>
  </si>
  <si>
    <t>FC Porto vs Alverca / Total 1.5</t>
  </si>
  <si>
    <t>NEC vs SC Telstar / Match Odds</t>
  </si>
  <si>
    <t>NEC vs SC Telstar / Total 3.5</t>
  </si>
  <si>
    <t>OGC Nice vs RC Lens / Correct Score</t>
  </si>
  <si>
    <t>Botafogo FR vs Clube do Remo / Match Odds</t>
  </si>
  <si>
    <t>Osasuna vs FC Barcelona / Total 3.5</t>
  </si>
  <si>
    <t>Osasuna vs FC Barcelona / Correct Score</t>
  </si>
  <si>
    <t>Osasuna vs FC Barcelona / Total 2.5</t>
  </si>
  <si>
    <t>Atalanta vs Genoa / Total 0.5</t>
  </si>
  <si>
    <t>Osasuna vs FC Barcelona / Total 0.5</t>
  </si>
  <si>
    <t>Botafogo FR vs Clube do Remo / Total 1.5</t>
  </si>
  <si>
    <t>FC Schalke 04 vs Fortuna Düsseldorf / Match Odds</t>
  </si>
  <si>
    <t>FC Basel vs FC Thun / Correct Score</t>
  </si>
  <si>
    <t>Motor Lublin vs Lech Poznan / Total 3.5</t>
  </si>
  <si>
    <t>FC Porto vs Alverca / 1st Half Total 0.5</t>
  </si>
  <si>
    <t>Ajax vs PSV Eindhoven / Correct Score</t>
  </si>
  <si>
    <t>Al Hazm vs Al-Hilal Riyadh / Total 1.5</t>
  </si>
  <si>
    <t>Toronto FC vs San Jose Earthquakes / Total 2.5</t>
  </si>
  <si>
    <t>Famalicão vs Benfica / Match Odds</t>
  </si>
  <si>
    <t>Fenerbahçe SK vs Istanbul Basaksehir FK / Correct Score</t>
  </si>
  <si>
    <t>HNK Vukovar 1991 vs NK Osijek / Match Odds</t>
  </si>
  <si>
    <t>Arsenal vs Fulham / Match Odds</t>
  </si>
  <si>
    <t>Arsenal vs Fulham / Correct Score</t>
  </si>
  <si>
    <t>Fenerbahçe SK vs Istanbul Basaksehir FK / Total 1.5</t>
  </si>
  <si>
    <t>FC Groningen vs Excelsior Rotterdam / Total 1.5</t>
  </si>
  <si>
    <t>CD Castellon vs Córdoba CF / 1st Half Total 0.5</t>
  </si>
  <si>
    <t>Bayer 04 Leverkusen vs RB Leipzig / Total 1.5</t>
  </si>
  <si>
    <t>Arsenal vs Fulham / Total 1.5</t>
  </si>
  <si>
    <t>Paris Saint-Germain vs FC Lorient / Match Odds</t>
  </si>
  <si>
    <t>FC Vaduz vs Stade Lausanne-Ouchy / Total 3.5</t>
  </si>
  <si>
    <t>FC Utrecht vs NAC Breda / Total 0.5</t>
  </si>
  <si>
    <t>Crawley Town vs Salford City / Total 0.5</t>
  </si>
  <si>
    <t>Stevenage vs Wigan Athletic / Correct Score</t>
  </si>
  <si>
    <t>Brentford vs West Ham / Both Teams To Score</t>
  </si>
  <si>
    <t>Stevenage vs Wigan Athletic / Total 0.5</t>
  </si>
  <si>
    <t>Brentford vs West Ham / Total 2.5</t>
  </si>
  <si>
    <t>Eintracht Frankfurt vs Hamburger SV / Total 3.5</t>
  </si>
  <si>
    <t>1. FC Union Berlin vs 1. FC Köln / Match Odds</t>
  </si>
  <si>
    <t>FC Bayern München vs 1. FC Heidenheim / Match Odds</t>
  </si>
  <si>
    <t>1899 Hoffenheim vs VfB Stuttgart / Correct Score</t>
  </si>
  <si>
    <t>Brentford vs West Ham / Total 1.5</t>
  </si>
  <si>
    <t>FC Bayern München vs 1. FC Heidenheim / Total 4.5</t>
  </si>
  <si>
    <t>Werder Bremen vs FC Augsburg / Total 3.5</t>
  </si>
  <si>
    <t>FC Nantes vs Olympique Marseille / Total 3.5</t>
  </si>
  <si>
    <t>Werder Bremen vs FC Augsburg / Total 1.5</t>
  </si>
  <si>
    <t>Villarreal vs Levante UD / Match Odds</t>
  </si>
  <si>
    <t>Villarreal vs Levante UD / Total 3.5</t>
  </si>
  <si>
    <t>Hull City vs Norwich City / Total 3.5</t>
  </si>
  <si>
    <t>Hull City vs Norwich City / Correct Score</t>
  </si>
  <si>
    <t>Swansea City vs Charlton Athletic / Match Odds</t>
  </si>
  <si>
    <t>Ipswich Town vs Queens Park Rangers / Match Odds</t>
  </si>
  <si>
    <t>Villarreal vs Levante UD / Total 2.5</t>
  </si>
  <si>
    <t>Millwall vs Oxford United / Match Odds</t>
  </si>
  <si>
    <t>Watford vs Coventry City / Match Odds</t>
  </si>
  <si>
    <t>Bristol City vs Stoke City / Match Odds</t>
  </si>
  <si>
    <t>Villarreal vs Levante UD / Total 1.5</t>
  </si>
  <si>
    <t>Derby County vs Sheffield United / Total 2.5</t>
  </si>
  <si>
    <t>Arminia Bielefeld vs VfL Bochum / Match Odds</t>
  </si>
  <si>
    <t>Holstein Kiel vs Eintracht Braunschweig / Total 2.5</t>
  </si>
  <si>
    <t>Holstein Kiel vs Eintracht Braunschweig / Match Odds</t>
  </si>
  <si>
    <t>Derby County vs Sheffield United / Total 1.5</t>
  </si>
  <si>
    <t>Arminia Bielefeld vs VfL Bochum / Both Teams To Score</t>
  </si>
  <si>
    <t>Millwall vs Oxford United / Total 1.5</t>
  </si>
  <si>
    <t>Watford vs Coventry City / Total 1.5</t>
  </si>
  <si>
    <t>Millwall vs Oxford United / 1st Half Total 0.5</t>
  </si>
  <si>
    <t>Wrexham vs Middlesbrough / Both Teams To Score</t>
  </si>
  <si>
    <t>Noruega 1</t>
  </si>
  <si>
    <t>Mirassol FC vs Corinthians / Both Teams To Score</t>
  </si>
  <si>
    <t>FBC Melgar vs Universidad Técnica de Cajamarca / Match Odds</t>
  </si>
  <si>
    <t>América de Cali vs Deportivo Pereira / Total 1.5</t>
  </si>
  <si>
    <t>Austin FC vs Saint Louis City SC / Match Odds</t>
  </si>
  <si>
    <t>Austin FC vs Saint Louis City SC / Correct Score</t>
  </si>
  <si>
    <t>River Plate vs Atlético Tucumán / Total 1.5</t>
  </si>
  <si>
    <t>River Plate vs Atlético Tucumán / Match Odds</t>
  </si>
  <si>
    <t>Independiente Medellín vs Águilas Doradas / Match Odds</t>
  </si>
  <si>
    <t>New York City FC vs DC United / Match Odds</t>
  </si>
  <si>
    <t>Flamengo vs Vasco da Gama / Match Odds</t>
  </si>
  <si>
    <t>Flamengo vs Vasco da Gama / Correct Score</t>
  </si>
  <si>
    <t>Olympique Lyonnais vs Stade Rennais / Correct Score</t>
  </si>
  <si>
    <t>New York City FC vs DC United / Total 1.5</t>
  </si>
  <si>
    <t>Internazionale vs Parma / Match Odds</t>
  </si>
  <si>
    <t>Flamengo vs Vasco da Gama / Total 1.5</t>
  </si>
  <si>
    <t>Al-Qadisiyah vs Al-Nassr Riyadh / Correct Score</t>
  </si>
  <si>
    <t>Flamengo vs Vasco da Gama / 1st Half Total 1.5</t>
  </si>
  <si>
    <t>SC Freiburg vs VfL Wolfsburg / Total 2.5</t>
  </si>
  <si>
    <t>Olympique Lyonnais vs Stade Rennais / Total 1.5</t>
  </si>
  <si>
    <t>Kayserispor vs Eyüpspor / Correct Score</t>
  </si>
  <si>
    <t>SC Freiburg vs VfL Wolfsburg / Total 1.5</t>
  </si>
  <si>
    <t>Sporting de Braga vs Estoril-Praia / Match Odds</t>
  </si>
  <si>
    <t>Al-Qadisiyah vs Al-Nassr Riyadh / Total 1.5</t>
  </si>
  <si>
    <t>Juventus vs Hellas Verona / Total 2.5</t>
  </si>
  <si>
    <t>Juventus vs Hellas Verona / Match Odds</t>
  </si>
  <si>
    <t>Borussia Mönchengladbach vs Borussia Dortmund / Total 2.5</t>
  </si>
  <si>
    <t>Pogon Szczecin vs Wisla Plock / Match Odds</t>
  </si>
  <si>
    <t>Pogon Szczecin vs Wisla Plock / Correct Score</t>
  </si>
  <si>
    <t>Juventus vs Hellas Verona / Total 1.5</t>
  </si>
  <si>
    <t>FC Red Bull Salzburg vs SK Puntigamer Sturm Graz / Match Odds</t>
  </si>
  <si>
    <t>FC Red Bull Salzburg vs SK Puntigamer Sturm Graz / Total 1.5</t>
  </si>
  <si>
    <t>AGF Aarhus vs SønderjyskE / 1st Half Total 0.5</t>
  </si>
  <si>
    <t>Paris FC vs Stade Brestois 29 / Total 2.5</t>
  </si>
  <si>
    <t>AZ Alkmaar vs FC Twente / Total 3.5</t>
  </si>
  <si>
    <t>AZ Alkmaar vs FC Twente / Correct Score</t>
  </si>
  <si>
    <t>Juventus vs Hellas Verona / 1st Half Total 0.5</t>
  </si>
  <si>
    <t>Start vs Tromsø / Total 1.5</t>
  </si>
  <si>
    <t>FC Lugano vs BSC Young Boys / Correct Score</t>
  </si>
  <si>
    <t>Lille OSC vs Le Havre AC / Total 2.5</t>
  </si>
  <si>
    <t>Zaglebie Lubin vs Cracovia Kraków / Total 0.5</t>
  </si>
  <si>
    <t>AFC Bournemouth vs Crystal Palace / Total 2.5</t>
  </si>
  <si>
    <t>Fortuna Sittard vs Feyenoord / Match Odds</t>
  </si>
  <si>
    <t>PEC Zwolle vs Heracles Almelo / Total 1.5</t>
  </si>
  <si>
    <t>Racing Santander vs Huesca / Match Odds</t>
  </si>
  <si>
    <t>Hammarby IF vs Västerås SK FK / Match Odds</t>
  </si>
  <si>
    <t>Celta de Vigo vs Elche CF / Both Teams To Score</t>
  </si>
  <si>
    <t>Lille OSC vs Le Havre AC / 1st Half Total 0.5</t>
  </si>
  <si>
    <t>1. FC Magdeburg vs Hertha BSC / Match Odds</t>
  </si>
  <si>
    <t>1. FC Magdeburg vs Hertha BSC / Correct Score</t>
  </si>
  <si>
    <t>Karlsruher SC vs SV Darmstadt 98 / Match Odds</t>
  </si>
  <si>
    <t>Karlsruher SC vs SV Darmstadt 98 / Correct Score</t>
  </si>
  <si>
    <t>Racing Santander vs Huesca / Total 1.5</t>
  </si>
  <si>
    <t>Hammarby IF vs Västerås SK FK / 1st Half Total 0.5</t>
  </si>
  <si>
    <t>Bologna vs Cagliari / Total 0.5</t>
  </si>
  <si>
    <t>Hannover 96 vs Preußen Münster / Total 1.5</t>
  </si>
  <si>
    <t>Los Angeles Galaxy vs Vancouver Whitecaps / Match Odds</t>
  </si>
  <si>
    <t>San Diego FC vs Los Angeles FC / Match Odds</t>
  </si>
  <si>
    <t>Argentina 1</t>
  </si>
  <si>
    <t>Universitario de Vinto vs Blooming Santa Cruz / Match Odds</t>
  </si>
  <si>
    <t>Vélez Sársfield vs Newell's Old Boys / Match Odds</t>
  </si>
  <si>
    <t>Sevilla vs Real Sociedad / Total 2.5</t>
  </si>
  <si>
    <t>Everton vs Manchester City / Match Odds</t>
  </si>
  <si>
    <t>LASK Linz vs SK Rapid Wien / Correct Score</t>
  </si>
  <si>
    <t>Everton vs Manchester City / Both Teams To Score</t>
  </si>
  <si>
    <t>Al-Ittihad Jeddah vs Al-Kholood Club / Correct Score</t>
  </si>
  <si>
    <t>Al-Ettifaq vs Al Najma Club / Total 3.5</t>
  </si>
  <si>
    <t>Bodø/Glimt vs Molde / Total 1.5</t>
  </si>
  <si>
    <t>Derry City vs Galway United / Total 1.5</t>
  </si>
  <si>
    <t>Hearts vs Rangers / Both Teams To Score</t>
  </si>
  <si>
    <t>Arsenal vs Atlético de Madrid / Match Odds</t>
  </si>
  <si>
    <t>Arsenal vs Atlético de Madrid / Total 1.5</t>
  </si>
  <si>
    <t>Al-Khaleej Saihat vs Al-Hilal Riyadh / Match Odds</t>
  </si>
  <si>
    <t>Al-Khaleej Saihat vs Al-Hilal Riyadh / Total 2.5</t>
  </si>
  <si>
    <t>Dibba Al Fujairah vs Al-Bataeh / Match Odds</t>
  </si>
  <si>
    <t>MFK Skalica vs FK Košice / Correct Score</t>
  </si>
  <si>
    <t>Ajman vs Al-Jazira Club / Total 1.5</t>
  </si>
  <si>
    <t>Shandong Taishan vs Shanghai Shenhua / Correct Score</t>
  </si>
  <si>
    <t>FC Bayern München vs Paris Saint-Germain / Match Odds</t>
  </si>
  <si>
    <t>FC Bayern München vs Paris Saint-Germain / Total 1.5</t>
  </si>
  <si>
    <t>Yunnan Yukun vs Zhejiang Professional / Total 1.5</t>
  </si>
  <si>
    <t>Crystal Palace vs Shakhtar Donetsk / Correct Score</t>
  </si>
  <si>
    <t>Al-Shabab Riyadh vs Al-Nassr Riyadh / Match Odds</t>
  </si>
  <si>
    <t>St. Patrick's Athletic vs Waterford FC / Match Odds</t>
  </si>
  <si>
    <t>Standard de Liège vs Oud-Heverlee Leuven / Correct Score</t>
  </si>
  <si>
    <t>RC Lens vs FC Nantes / Total 3.5</t>
  </si>
  <si>
    <t>Lech Poznan vs Arka Gdynia / Match Odds</t>
  </si>
  <si>
    <t>Pescara vs Spezia / Match Odds</t>
  </si>
  <si>
    <t>FC Sudtirol vs Juve Stabia / Correct Score</t>
  </si>
  <si>
    <t>FC Sudtirol vs Juve Stabia / Match Odds</t>
  </si>
  <si>
    <t>Monza vs Empoli / Correct Score</t>
  </si>
  <si>
    <t>Venezia vs Palermo / Total 2.5</t>
  </si>
  <si>
    <t>Borussia Dortmund vs Eintracht Frankfurt / Correct Score</t>
  </si>
  <si>
    <t>Cádiz vs Deportivo La Coruña / Total 0.5</t>
  </si>
  <si>
    <t>FC Sudtirol vs Juve Stabia / Total 1.5</t>
  </si>
  <si>
    <t>RC Lens vs FC Nantes / 1st Half Total 0.5</t>
  </si>
  <si>
    <t>Lech Poznan vs Arka Gdynia / 1st Half Total 0.5</t>
  </si>
  <si>
    <t>Catanzaro vs Bari / Total 2.5</t>
  </si>
  <si>
    <t>Borussia Dortmund vs Eintracht Frankfurt / Total 1.5</t>
  </si>
  <si>
    <t>HNK Rijeka vs HNK Vukovar 1991 / Total 1.5</t>
  </si>
  <si>
    <t>FC Erzgebirge Aue vs MSV Duisburg / Both Teams To Score</t>
  </si>
  <si>
    <t>Hamarkameratene vs Vålerenga / Total 1.5</t>
  </si>
  <si>
    <t>Hamarkameratene vs Vålerenga / Match Odds</t>
  </si>
  <si>
    <t>Viborg FF vs SønderjyskE / Total 3.5</t>
  </si>
  <si>
    <t>IF Elfsborg vs IF Brommapojkarna / Both Teams To Score</t>
  </si>
  <si>
    <t>Borussia Dortmund vs Eintracht Frankfurt / 1st Half Total 0.5</t>
  </si>
  <si>
    <t>SC Paderborn 07 vs Karlsruher SC / Total 1.5</t>
  </si>
  <si>
    <t>Rakow Czestochowa vs Korona Kielce / Match Odds</t>
  </si>
  <si>
    <t>Vojvodina vs FK Cukaricki / Correct Score</t>
  </si>
  <si>
    <t>FC Hertha Wels vs SK Sturm Graz II / Match Odds</t>
  </si>
  <si>
    <t>KuPS vs SJK / 1st Half Total 0.5</t>
  </si>
  <si>
    <t>Aalborg BK vs Middelfart Boldklub / 1st Half Total 0.5</t>
  </si>
  <si>
    <t>SC Paderborn 07 vs Karlsruher SC / 1st Half Total 0.5</t>
  </si>
  <si>
    <t>TPS vs HJK Helsinki / 1st Half Total 0.5</t>
  </si>
  <si>
    <t>Ilves vs AC Oulu / 1st Half Total 0.5</t>
  </si>
  <si>
    <t>Terengganu FC vs Imigresen FC / 1st Half Total 0.5</t>
  </si>
  <si>
    <t>Guffo</t>
  </si>
  <si>
    <t>Lay Visitante</t>
  </si>
  <si>
    <t>Polônia 1</t>
  </si>
  <si>
    <t>Back Mandante</t>
  </si>
  <si>
    <t>Irlanda 1</t>
  </si>
  <si>
    <t>Seattle Sounders vs San Diego FC / 1st Half Total 0.5</t>
  </si>
  <si>
    <t>Alianza Lima vs Sporting Cristal / Total 1.5</t>
  </si>
  <si>
    <t>Independiente del Valle vs Barcelona SC / Total 2.5</t>
  </si>
  <si>
    <t>Esporte Clube Bahia vs Cruzeiro / Total 2.5</t>
  </si>
  <si>
    <t>Rhode Island FC vs Tampa Bay Rowdies / Total 2.5</t>
  </si>
  <si>
    <t>Charlotte FC vs FC Cincinnati / Correct Score</t>
  </si>
  <si>
    <t>Real Tomayapo vs San Antonio / Correct Score</t>
  </si>
  <si>
    <t>Independiente Rivadavia vs Unión de Santa Fe / 1st Half Total 0.5</t>
  </si>
  <si>
    <t>Indy Eleven vs Sporting Club Jacksonville / Correct Score</t>
  </si>
  <si>
    <t>Esporte Clube Bahia vs Cruzeiro / Total 1.5</t>
  </si>
  <si>
    <t>Charlotte FC vs FC Cincinnati / Total 1.5</t>
  </si>
  <si>
    <t>Ceará SC vs Atlético Goianiense / Match Odds</t>
  </si>
  <si>
    <t>CF Montreal vs Orlando City / Match Odds</t>
  </si>
  <si>
    <t>CF Montreal vs Orlando City / Correct Score</t>
  </si>
  <si>
    <t>Fluminense FC vs EC Vitória / Total 1.5</t>
  </si>
  <si>
    <t>Lusitânia de Lourosa vs SC União Torreense / Match Odds</t>
  </si>
  <si>
    <t>Real Sociedad vs Real Betis / Match Odds</t>
  </si>
  <si>
    <t>Málaga vs Real Sporting de Gijon / Total 2.5</t>
  </si>
  <si>
    <t>Real Sociedad vs Real Betis / Total 3.5</t>
  </si>
  <si>
    <t>Chicago Fire vs New York Red Bulls / Match Odds</t>
  </si>
  <si>
    <t>1. FC Nürnberg vs FC Schalke 04 / Match Odds</t>
  </si>
  <si>
    <t>FC Luzern vs Servette FC / Correct Score</t>
  </si>
  <si>
    <t>Górnik Zabrze vs Zaglebie Lubin / Match Odds</t>
  </si>
  <si>
    <t>Deportivo Morón vs Los Andes / Match Odds</t>
  </si>
  <si>
    <t>1. FC Nürnberg vs FC Schalke 04 / Total 2.5</t>
  </si>
  <si>
    <t>Universitatea Cluj vs Rapid Bucuresti / Match Odds</t>
  </si>
  <si>
    <t>FC Luzern vs Servette FC / Both Teams To Score</t>
  </si>
  <si>
    <t>Red Star FC 93 vs Montpellier HSC / Correct Score</t>
  </si>
  <si>
    <t>Annecy FC vs Rodez / Correct Score</t>
  </si>
  <si>
    <t>Bolton Wanderers vs Bradford City / 1st Half Total 0.5</t>
  </si>
  <si>
    <t>Real Sociedad vs Real Betis / 1st Half Total 0.5</t>
  </si>
  <si>
    <t>Hapoel Tel Aviv vs Maccabi Tel Aviv / Total 1.5</t>
  </si>
  <si>
    <t>Stal Mielec vs Puszcza Niepolomice / 1st Half Total 0.5</t>
  </si>
  <si>
    <t>Galatasaray SK vs Antalyaspor / Match Odds</t>
  </si>
  <si>
    <t>Galatasaray SK vs Antalyaspor / Correct Score</t>
  </si>
  <si>
    <t>Real Valladolid vs Real Zaragoza / Match Odds</t>
  </si>
  <si>
    <t>Atlético de Madrid vs Celta de Vigo / Total 2.5</t>
  </si>
  <si>
    <t>Atlético de Madrid vs Celta de Vigo / Total 3.5</t>
  </si>
  <si>
    <t>Atlético de Madrid vs Celta de Vigo / Match Odds</t>
  </si>
  <si>
    <t>Manchester City vs Brentford / Correct Score</t>
  </si>
  <si>
    <t>Bodø/Glimt vs Brann / Match Odds</t>
  </si>
  <si>
    <t>FK Partizan vs OFK Beograd / 1st Half Total 0.5</t>
  </si>
  <si>
    <t>Atlético de Madrid vs Celta de Vigo / 1st Half Total 0.5</t>
  </si>
  <si>
    <t>Manchester City vs Brentford / 1st Half Total 0.5</t>
  </si>
  <si>
    <t>Istanbul Basaksehir FK vs Samsunspor / 1st Half Total 0.5</t>
  </si>
  <si>
    <t>Feirense vs Oliveirense / Match Odds</t>
  </si>
  <si>
    <t>FC Koper vs NK Aluminij / 1st Half Total 0.5</t>
  </si>
  <si>
    <t>Albacete Balompié vs Cultural Leonesa / Match Odds</t>
  </si>
  <si>
    <t>Dinamo Zagreb vs Hajduk Split / Both Teams To Score</t>
  </si>
  <si>
    <t>Fulham vs AFC Bournemouth / Match Odds</t>
  </si>
  <si>
    <t>Zulte Waregem vs FCV Dender EH / Match Odds</t>
  </si>
  <si>
    <t>Fulham vs AFC Bournemouth / Total 3.5</t>
  </si>
  <si>
    <t>Fulham vs AFC Bournemouth / Total 2.5</t>
  </si>
  <si>
    <t>Aberdeen vs Dundee United / Match Odds</t>
  </si>
  <si>
    <t>Grazer AK vs SCR Altach / 1st Half Total 0.5</t>
  </si>
  <si>
    <t>1899 Hoffenheim vs Werder Bremen / Total 1.5</t>
  </si>
  <si>
    <t>FC Augsburg vs Borussia Mönchengladbach / Match Odds</t>
  </si>
  <si>
    <t>FC Augsburg vs Borussia Mönchengladbach / Correct Score</t>
  </si>
  <si>
    <t>FC Augsburg vs Borussia Mönchengladbach / Total 3.5</t>
  </si>
  <si>
    <t>Willem II vs RKC Waalwijk / 1st Half Total 0.5</t>
  </si>
  <si>
    <t>Dinamo Zagreb vs Hajduk Split / 1st Half Total 0.5</t>
  </si>
  <si>
    <t>RB Leipzig vs FC St. Pauli / 1st Half Total 0.5</t>
  </si>
  <si>
    <t>FC Augsburg vs Borussia Mönchengladbach / Total 1.5</t>
  </si>
  <si>
    <t>AD Ceuta FC vs CD Castellon / Total 3.5</t>
  </si>
  <si>
    <t>Chengdu Rongcheng vs Henan Songshan Longmen / Match Odds</t>
  </si>
  <si>
    <t>Västerås SK FK vs GAIS / 1st Half Total 0.5</t>
  </si>
  <si>
    <t>Elche CF vs Deportivo Alaves / Both Teams To Score</t>
  </si>
  <si>
    <t>NK Bravo vs NK Radomlje / 1st Half Total 0.5</t>
  </si>
  <si>
    <t>Middlesbrough vs Southampton / Both Teams To Score</t>
  </si>
  <si>
    <t>Energie Cottbus vs SV Wehen Wiesbaden / Both Teams To Score</t>
  </si>
  <si>
    <t>Tallinna FC Levadia vs Harju JK Laagri / 1st Half Total 0.5</t>
  </si>
  <si>
    <t>Östersunds FK vs Falkenbergs FF / 1st Half Total 0.5</t>
  </si>
  <si>
    <t>VfL Bochum vs Hannover 96 / 1st Half Total 0.5</t>
  </si>
  <si>
    <t>Holstein Kiel vs 1. FC Magdeburg / Total 1.5</t>
  </si>
  <si>
    <t>Colorado Springs Switchbacks FC vs Orange County SC / Match Odds</t>
  </si>
  <si>
    <t>O Mito</t>
  </si>
  <si>
    <t>Pumas UNAM vs Club América / Total 2.5</t>
  </si>
  <si>
    <t>Minnesota United vs Austin FC / Correct Score</t>
  </si>
  <si>
    <t>Grêmio FBPA vs Flamengo / Both Teams To Score</t>
  </si>
  <si>
    <t>Cusco FC vs CD Los Chankas / Correct Score</t>
  </si>
  <si>
    <t>River Plate vs San Lorenzo / Match Odds</t>
  </si>
  <si>
    <t>Avaí FC vs Fortaleza EC / Total 0.5</t>
  </si>
  <si>
    <t>Santos FC vs Red Bull Bragantino / Match Odds</t>
  </si>
  <si>
    <t>The Strongest vs Club Bamin Real Potosí / 1st Half Total 0.5</t>
  </si>
  <si>
    <t>Imperatriz-MA vs Trem Desportivo / 1st Half Total 0.5</t>
  </si>
  <si>
    <t>Vitória FC vs Democrata GV / Match Odds</t>
  </si>
  <si>
    <t>Paris Saint-Germain vs Stade Brestois 29 / Match Odds</t>
  </si>
  <si>
    <t>Atlético Mineiro vs Botafogo FR / Match Odds</t>
  </si>
  <si>
    <t>Stade Rennais vs Paris FC / Total 3.5</t>
  </si>
  <si>
    <t>Toulouse FC vs Olympique Lyonnais / Total 2.5</t>
  </si>
  <si>
    <t>Al-Ittihad Jeddah vs Dhamk / Total 1.5</t>
  </si>
  <si>
    <t>1. FSV Mainz 05 vs 1. FC Union Berlin / Correct Score</t>
  </si>
  <si>
    <t>AJ Auxerre vs OGC Nice / Both Teams To Score</t>
  </si>
  <si>
    <t>Racing Genk vs Westerlo / Correct Score</t>
  </si>
  <si>
    <t>1. FSV Mainz 05 vs 1. FC Union Berlin / Total 1.5</t>
  </si>
  <si>
    <t>Antofagasta vs Club Deportivo San Luis / Match Odds</t>
  </si>
  <si>
    <t>Real Oviedo vs Getafe / Total 0.5</t>
  </si>
  <si>
    <t>AVS Futebol SAD vs FC Porto / Total 1.5</t>
  </si>
  <si>
    <t>Córdoba CF vs Granada CF / Total 0.5</t>
  </si>
  <si>
    <t>Al-Riyadh vs Al-Fateh Al-Hasa / Match Odds</t>
  </si>
  <si>
    <t>Parma vs AS Roma / Total 1.5</t>
  </si>
  <si>
    <t>AC Omonia Nicosia vs AEK Larnaca / Match Odds</t>
  </si>
  <si>
    <t>SC Telstar vs Heracles Almelo / Match Odds</t>
  </si>
  <si>
    <t>FK Košice vs KFC Komárno / Match Odds</t>
  </si>
  <si>
    <t>Fortuna Sittard vs PEC Zwolle / Match Odds</t>
  </si>
  <si>
    <t>FC Twente vs Sparta Rotterdam / Match Odds</t>
  </si>
  <si>
    <t>NAC Breda vs Heerenveen / Total 1.5</t>
  </si>
  <si>
    <t>BSC Young Boys vs FC Basel / Correct Score</t>
  </si>
  <si>
    <t>Leganés vs Racing Santander / Total 1.5</t>
  </si>
  <si>
    <t>Feyenoord vs AZ Alkmaar / Total 1.5</t>
  </si>
  <si>
    <t>FC Twente vs Sparta Rotterdam / 1st Half Total 0.5</t>
  </si>
  <si>
    <t>Hamburger SV vs SC Freiburg / Total 3.5</t>
  </si>
  <si>
    <t>Hamburger SV vs SC Freiburg / Total 2.5</t>
  </si>
  <si>
    <t>Nottingham Forest vs Newcastle United / Both Teams To Score</t>
  </si>
  <si>
    <t>Real Mallorca vs Villarreal / Total 2.5</t>
  </si>
  <si>
    <t>FC Nordsjælland vs FC Midtjylland / Total 3.5</t>
  </si>
  <si>
    <t>FC Nordsjælland vs FC Midtjylland / Total 2.5</t>
  </si>
  <si>
    <t>Burnley vs Aston Villa / Total 1.5</t>
  </si>
  <si>
    <t>Beijing Guoan vs Shanghai Port / Match Odds</t>
  </si>
  <si>
    <t>Hertha BSC vs SpVgg Greuther Fürth / Correct Score</t>
  </si>
  <si>
    <t>Andorra FC vs UD Las Palmas / Total 2.5</t>
  </si>
  <si>
    <t>Chonburi vs Nakhon Ratchasima / Correct Score</t>
  </si>
  <si>
    <t>Liaoning Tieren F.C. vs Yunnan Yukun / Correct Score</t>
  </si>
  <si>
    <t>Kalmar FF vs Halmstads BK / 1st Half Total 0.5</t>
  </si>
  <si>
    <t>Chonburi vs Nakhon Ratchasima / Total 0.5</t>
  </si>
  <si>
    <t>Hellas Verona vs Como / Total 2.5</t>
  </si>
  <si>
    <t>BG Pathumthani United vs Prachuap FC / Total 1.5</t>
  </si>
  <si>
    <t>Qingdao West Coast vs Wuhan Three Towns / Total 2.5</t>
  </si>
  <si>
    <t>Qingdao West Coast vs Wuhan Three Towns / Match Odds</t>
  </si>
  <si>
    <t>Busan I'Park vs Cheonan City / Match Odds</t>
  </si>
  <si>
    <t>Busan I'Park vs Cheonan City / 1st Half Total 0.5</t>
  </si>
  <si>
    <t>Yokohama F. Marinos vs Kashima Antlers / Match Odds</t>
  </si>
  <si>
    <t>Cruz Azul vs Atlas / Match Odds</t>
  </si>
  <si>
    <t>San Jose Earthquakes vs Vancouver Whitecaps / Match Odds</t>
  </si>
  <si>
    <t>Seattle Sounders vs San Diego FC / Match Odds</t>
  </si>
  <si>
    <t>Portland Timbers vs Sporting Kansas City / Match Odds</t>
  </si>
  <si>
    <t>Seattle Sounders vs San Diego FC / Total 1.5</t>
  </si>
  <si>
    <t>San Jose Earthquakes vs Vancouver Whitecaps / Total 1.5</t>
  </si>
  <si>
    <t>Phoenix Rising FC vs San Antonio FC / Total 2.5</t>
  </si>
  <si>
    <t>Colorado Rapids vs Saint Louis City SC / Correct Score</t>
  </si>
  <si>
    <t>Nashville Soccer Club vs DC United / Match Odds</t>
  </si>
  <si>
    <t>Nashville Soccer Club vs DC United / Total 2.5</t>
  </si>
  <si>
    <t>Alianza Lima vs Sporting Cristal / Total 2.5</t>
  </si>
  <si>
    <t>Club Jaiba Brava vs CD Tepatitlan de Morelos / Match Odds</t>
  </si>
  <si>
    <t>Ai Se Eu te Quero</t>
  </si>
  <si>
    <t>Mushuc Runa vs LDU Quito / Total 0.5</t>
  </si>
  <si>
    <t>Benfica vs Sporting de Braga / Match Odds</t>
  </si>
  <si>
    <t>Santa Clara vs Nacional da Madeira / Match Odds</t>
  </si>
  <si>
    <t>Gil Vicente vs Futebol Clube de Arouca / Correct Score</t>
  </si>
  <si>
    <t>Tondela vs Moreirense FC / Match Odds</t>
  </si>
  <si>
    <t>Benfica vs Sporting de Braga / Total 2.5</t>
  </si>
  <si>
    <t>Rayo Vallecano vs Girona / Total 0.5</t>
  </si>
  <si>
    <t>Tottenham Hotspur vs Leeds United / Both Teams To Score</t>
  </si>
  <si>
    <t>FC Vaduz vs FC Aarau / Correct Score</t>
  </si>
  <si>
    <t>Neuchâtel Xamax vs Etoile-Carouge FC / Match Odds</t>
  </si>
  <si>
    <t>FC Yverdon-Sport vs FC Rapperswil Jona / Match Odds</t>
  </si>
  <si>
    <t>Benfica vs Sporting de Braga / 1st Half Total 0.5</t>
  </si>
  <si>
    <t>FC Yverdon-Sport vs FC Rapperswil Jona / Both Teams To Score</t>
  </si>
  <si>
    <t>Al-Taawoun Buraidah vs Al Ahli Jeddah / Total 1.5</t>
  </si>
  <si>
    <t>Randers FC vs Odense BK / Correct Score</t>
  </si>
  <si>
    <t>FC Vaduz vs FC Aarau / Both Teams To Score</t>
  </si>
  <si>
    <t>IK Sirius vs Örgryte IS / Match Odds</t>
  </si>
  <si>
    <t>Egersund vs Odds Ballklubb / Both Teams To Score</t>
  </si>
  <si>
    <t>Khor Fakkan vs Al-Wahda Abu Dhabi / Match Odds</t>
  </si>
  <si>
    <t>Al-Jazira Club vs Al-Wasl / Correct Score</t>
  </si>
  <si>
    <t>IK Sirius vs Örgryte IS / Total 1.5</t>
  </si>
  <si>
    <t>Al Ahli Club vs Al Hidd / Both Teams To Score</t>
  </si>
  <si>
    <t>Slask Wroclaw vs LKS Lódz / Both Teams To Score</t>
  </si>
  <si>
    <t>IK Sirius vs Örgryte IS / 1st Half Total 0.5</t>
  </si>
  <si>
    <t>SK Super Nova vs FK Tukums 2000 / 1st Half Total 0.5</t>
  </si>
  <si>
    <t>Slask Wroclaw vs LKS Lódz / 1st Half Total 0.5</t>
  </si>
  <si>
    <t>Al-Nasr (UAE) vs Al-Ittihad Kalba / Match Odds</t>
  </si>
  <si>
    <t>Emami East Bengal FC vs Roundglass Punjab FC / Correct Score</t>
  </si>
  <si>
    <t>Al-Nasr (UAE) vs Al-Ittihad Kalba / 1st Half Total 0.5</t>
  </si>
  <si>
    <t>Vovô Smurf</t>
  </si>
  <si>
    <t>Mushuc Runa vs LDU Quito / 1st Half Total 0.5</t>
  </si>
  <si>
    <t>Benfica vs Sporting de Braga / Correct Score</t>
  </si>
  <si>
    <t>Club Sportivo Ameliano vs Deportivo Recoleta / 1st Half Total 0.5</t>
  </si>
  <si>
    <t>Cruzeiro vs Goiás EC / Total 1.5</t>
  </si>
  <si>
    <t>Club Aurora vs CDT Real Oruro / Correct Score</t>
  </si>
  <si>
    <t>Club Aurora vs CDT Real Oruro / Total 1.5</t>
  </si>
  <si>
    <t>SC Internacional vs Athletic Club MG / Total 1.5</t>
  </si>
  <si>
    <t>Osasuna vs Atlético de Madrid / Total 1.5</t>
  </si>
  <si>
    <t>San Antonio vs Universitario de Vinto / Correct Score</t>
  </si>
  <si>
    <t>JS Saoura vs CR Belouizdad / Total 0.5</t>
  </si>
  <si>
    <t>Grasshopper Club Zürich vs FC Winterthur / Correct Score</t>
  </si>
  <si>
    <t>FC Luzern vs FC Zürich / Match Odds</t>
  </si>
  <si>
    <t>Servette FC vs FC Lausanne-Sport / Match Odds</t>
  </si>
  <si>
    <t>Servette FC vs FC Lausanne-Sport / Correct Score</t>
  </si>
  <si>
    <t>Real Betis vs Elche CF / Match Odds</t>
  </si>
  <si>
    <t>Al-Nassr Riyadh vs Al-Hilal Riyadh / Total 1.5</t>
  </si>
  <si>
    <t>Al-Nassr Riyadh vs Al-Hilal Riyadh / Match Odds</t>
  </si>
  <si>
    <t>Al-Nassr Riyadh vs Al-Hilal Riyadh / Correct Score</t>
  </si>
  <si>
    <t>Southampton vs Middlesbrough / Both Teams To Score</t>
  </si>
  <si>
    <t>Real Betis vs Elche CF / Total 2.5</t>
  </si>
  <si>
    <t>Servette FC vs FC Lausanne-Sport / 1st Half Total 0.5</t>
  </si>
  <si>
    <t>Southampton vs Middlesbrough / 1st Half Total 0.5</t>
  </si>
  <si>
    <t>Hapoel Tel Aviv vs Hapoel Petah Tikva / Match Odds</t>
  </si>
  <si>
    <t>Real Betis vs Elche CF / Both Teams To Score</t>
  </si>
  <si>
    <t>Al-Kholood Club vs Al-Akhdoud / Total 0.5</t>
  </si>
  <si>
    <t>Real Betis vs Elche CF / 1st Half Total 0.5</t>
  </si>
  <si>
    <t>FK Mladá Boleslav vs FK Dukla Praha / Correct Score</t>
  </si>
  <si>
    <t>Celta de Vigo vs Levante UD / 1st Half Total 0.5</t>
  </si>
  <si>
    <t>Mohun Bagan Super Giants vs Inter Kashi / 1st Half Total 0.5</t>
  </si>
  <si>
    <t>Cachorro Manso</t>
  </si>
  <si>
    <t>Drakito Under</t>
  </si>
  <si>
    <t>Fluminense FC vs Operário Ferroviário / Correct Score</t>
  </si>
  <si>
    <t>Cruzeiro vs Goiás EC / 1st Half Total 0.5</t>
  </si>
  <si>
    <t>SC Internacional vs Athletic Club MG / 1st Half Total 0.5</t>
  </si>
  <si>
    <t>Deportivo Táchira vs Metropolitanos FC / 1st Half Total 0.5</t>
  </si>
  <si>
    <t>Unión Magdalena vs Real Cartagena / 1st Half Total 0.5</t>
  </si>
  <si>
    <t>Real Betis vs Elche CF / Total 3.5</t>
  </si>
  <si>
    <t>FC Epicentr Kamianets-Podilskyi vs Polissya Zhytomyr / 1st Half Total 0.5</t>
  </si>
  <si>
    <t>San Diego FC vs Austin FC / Both Teams To Score</t>
  </si>
  <si>
    <t>Real Salt Lake vs Houston Dynamo / Both Teams To Score</t>
  </si>
  <si>
    <t>Real Salt Lake vs Houston Dynamo / Total 3.5</t>
  </si>
  <si>
    <t>Real Salt Lake vs Houston Dynamo / Correct Score</t>
  </si>
  <si>
    <t>Saint Louis City SC vs Los Angeles FC / Match Odds</t>
  </si>
  <si>
    <t>Minnesota United vs Colorado Rapids / Total 1.5</t>
  </si>
  <si>
    <t>Minnesota United vs Colorado Rapids / Correct Score</t>
  </si>
  <si>
    <t>Real Salt Lake vs Houston Dynamo / 1st Half Total 0.5</t>
  </si>
  <si>
    <t>Seattle Sounders vs San Jose Earthquakes / Total 1.5</t>
  </si>
  <si>
    <t>Seattle Sounders vs San Jose Earthquakes / Both Teams To Score</t>
  </si>
  <si>
    <t>Club Bolívar vs Nacional Potosi / Match Odds</t>
  </si>
  <si>
    <t>San Diego FC vs Austin FC / 1st Half Total 0.5</t>
  </si>
  <si>
    <t>FC Cincinnati vs Inter Miami CF / Correct Score</t>
  </si>
  <si>
    <t>DC United vs Chicago Fire / Total 1.5</t>
  </si>
  <si>
    <t>New England Revolution vs Nashville Soccer Club / Both Teams To Score</t>
  </si>
  <si>
    <t>Charlotte FC vs New York City FC / Correct Score</t>
  </si>
  <si>
    <t>Clube do Remo vs Esporte Clube Bahia / 1st Half Total 0.5</t>
  </si>
  <si>
    <t>FC Dallas vs Vancouver Whitecaps / 1st Half Total 0.5</t>
  </si>
  <si>
    <t>DC United vs Chicago Fire / 1st Half Total 0.5</t>
  </si>
  <si>
    <t>Club Independiente Petrolero vs Blooming Santa Cruz / Correct Score</t>
  </si>
  <si>
    <t>Club Independiente Petrolero vs Blooming Santa Cruz / Total 1.5</t>
  </si>
  <si>
    <t>Vasco da Gama vs Paysandu PA / Total 1.5</t>
  </si>
  <si>
    <t>Deportivo Alaves vs FC Barcelona / Total 2.5</t>
  </si>
  <si>
    <t>Deportivo Alaves vs FC Barcelona / Total 3.5</t>
  </si>
  <si>
    <t>RC Lens vs Paris Saint-Germain / Half Time/Full Time</t>
  </si>
  <si>
    <t>RC Lens vs Paris Saint-Germain / Total 1.5</t>
  </si>
  <si>
    <t>Manchester City vs Crystal Palace / Match Odds</t>
  </si>
  <si>
    <t>Rangers vs Hibernian / Match Odds</t>
  </si>
  <si>
    <t>Hearts vs Falkirk / Total 2.5</t>
  </si>
  <si>
    <t>Rakow Czestochowa vs Jagiellonia Bialystok / Total 1.5</t>
  </si>
  <si>
    <t>SK Slavia Praha vs FK Jablonec / Match Odds</t>
  </si>
  <si>
    <t>Almere City vs Willem II / Correct Score</t>
  </si>
  <si>
    <t>Manchester City vs Crystal Palace / Total 1.5</t>
  </si>
  <si>
    <t>Manchester City vs Crystal Palace / 1st Half Total 0.5</t>
  </si>
  <si>
    <t>RC Lens vs Paris Saint-Germain / Total 0.5</t>
  </si>
  <si>
    <t>RC Lens vs Paris Saint-Germain / 1st Half Total 0.5</t>
  </si>
  <si>
    <t>Motherwell vs Celtic / 1st Half Total 0.5</t>
  </si>
  <si>
    <t>Lazio vs Internazionale / 1st Half Total 0.5</t>
  </si>
  <si>
    <t>Gençlerbirligi SK vs Trabzonspor / Both Teams To Score</t>
  </si>
  <si>
    <t>Villarreal vs Sevilla / Match Odds</t>
  </si>
  <si>
    <t>Maccabi Netanya vs Hapoel Haifa / Match Odds</t>
  </si>
  <si>
    <t>Ironi Tiberias vs Maccabi Bnei Raina / Match Odds</t>
  </si>
  <si>
    <t>Almere City vs Willem II / 1st Half Total 0.5</t>
  </si>
  <si>
    <t>Helsingborgs IF vs IK Oddevold / Total 1.5</t>
  </si>
  <si>
    <t>Dinamo Zagreb vs HNK Rijeka / Match Odds</t>
  </si>
  <si>
    <t>Villarreal vs Sevilla / Total 2.5</t>
  </si>
  <si>
    <t>Stade Brestois 29 vs RC Strasbourg / Total 2.5</t>
  </si>
  <si>
    <t>Helsingborgs IF vs IK Oddevold / 1st Half Total 0.5</t>
  </si>
  <si>
    <t>Villarreal vs Sevilla / 1st Half Total 0.5</t>
  </si>
  <si>
    <t>Al-Tai FC vs Jeddah Club / Match Odds</t>
  </si>
  <si>
    <t>Al-Kuwait vs Svay Rieng F.C. / 1st Half Total 0.5</t>
  </si>
  <si>
    <t>Al-Raed Buraidah vs Abha / 1st Half Total 0.5</t>
  </si>
  <si>
    <t>Vissel Kobe vs Kyoto Sanga / Total 1.5</t>
  </si>
  <si>
    <t>Akademisk Boldklub vs Roskilde FC</t>
  </si>
  <si>
    <t>Crvena Zvezda vs Vojvodina Novi Sad</t>
  </si>
  <si>
    <t>New England Revolution vs Nashville Soccer Club / Total 2.5</t>
  </si>
  <si>
    <t>Carabobo FC vs Estudiantes de Mérida / Total 1.5</t>
  </si>
  <si>
    <t>Deportivo Alaves vs FC Barcelona / Match Odds</t>
  </si>
  <si>
    <t>Manchester City vs Crystal Palace / Total 2.5</t>
  </si>
  <si>
    <t>Deportivo Alaves vs FC Barcelona / 1st Half Total 0.5</t>
  </si>
  <si>
    <t>Almere City vs Willem II / Total 2.5</t>
  </si>
  <si>
    <t>NFC Volos vs Aris Thessaloniki / 1st Half Total 0.5</t>
  </si>
  <si>
    <t>Vissel Kobe vs Kyoto Sanga / 1st Half Total 0.5</t>
  </si>
  <si>
    <t>Suécia 2</t>
  </si>
  <si>
    <t>Pachuca vs Pumas UNAM / 1st Half Total 0.5</t>
  </si>
  <si>
    <t>Club Libertad Asunción vs Club 2 de Mayo / Match Odds</t>
  </si>
  <si>
    <t>Real Madrid vs Real Oviedo / Match Odds</t>
  </si>
  <si>
    <t>Real Madrid vs Real Oviedo / 1st Half Total 0.5</t>
  </si>
  <si>
    <t>Al-Qadisiyah vs Al Hazm / Match Odds</t>
  </si>
  <si>
    <t>Girona vs Real Sociedad / Match Odds</t>
  </si>
  <si>
    <t>Girona vs Real Sociedad / Total 1.5</t>
  </si>
  <si>
    <t>Girona vs Real Sociedad / 1st Half Total 0.5</t>
  </si>
  <si>
    <t>Girona vs Real Sociedad / Total 0.5</t>
  </si>
  <si>
    <t>Al-Fateh Al-Hasa vs Al Najma Club / Match Odds</t>
  </si>
  <si>
    <t>Al-Fateh Al-Hasa vs Al Najma Club / Total 2.5</t>
  </si>
  <si>
    <t>FC København vs FC Midtjylland / Both Teams To Score</t>
  </si>
  <si>
    <t>SKN St. Pölten vs FC Hertha Wels / Match Odds</t>
  </si>
  <si>
    <t>FC Sion vs FC Lugano / Match Odds</t>
  </si>
  <si>
    <t>FC Sion vs FC Lugano / Correct Score</t>
  </si>
  <si>
    <t>FC Basel vs FC St. Gallen / Total 3.5</t>
  </si>
  <si>
    <t>EC Vitória vs Flamengo / Total 2.5</t>
  </si>
  <si>
    <t>Club Libertad Asunción vs Club 2 de Mayo / Both Teams To Score</t>
  </si>
  <si>
    <t>Hobro IK vs Aarhus Fremad / Total 2.5</t>
  </si>
  <si>
    <t>Gomel FC vs Baranovichi FC</t>
  </si>
  <si>
    <t>Universitario de Deportes vs Atlético Grau / Match Odds</t>
  </si>
  <si>
    <t>Coquimbo Unido vs Audax Italiano / Match Odds</t>
  </si>
  <si>
    <t>Coquimbo Unido vs Audax Italiano / Total 1.5</t>
  </si>
  <si>
    <t>Coquimbo Unido vs Audax Italiano / 1st Half Total 0.5</t>
  </si>
  <si>
    <t>Notts County vs Chesterfield / Both Teams To Score</t>
  </si>
  <si>
    <t>Aston Villa vs Liverpool / Match Odds</t>
  </si>
  <si>
    <t>CD Castellon vs Cádiz / Match Odds</t>
  </si>
  <si>
    <t>Etoile-Carouge FC vs AC Bellinzona / Match Odds</t>
  </si>
  <si>
    <t>FC Rapperswil Jona vs Stade Nyonnais / Match Odds</t>
  </si>
  <si>
    <t>Etoile-Carouge FC vs AC Bellinzona / Total 3.5</t>
  </si>
  <si>
    <t>Puskas Akademia FC vs MTK Budapest / Correct Score</t>
  </si>
  <si>
    <t>Bohemian FC vs Drogheda United / 1st Half Total 0.5</t>
  </si>
  <si>
    <t>St. Patrick's Athletic vs Shelbourne FC / 1st Half Total 0.5</t>
  </si>
  <si>
    <t>CD Castellon vs Cádiz / 1st Half Total 0.5</t>
  </si>
  <si>
    <t>Çorum Belediyespor vs Bodrum Belediyesi Bodrumspor / Match Odds</t>
  </si>
  <si>
    <t>Al-Taawoun Buraidah vs Al-Riyadh / 1st Half Total 0.5</t>
  </si>
  <si>
    <t>Dhamk vs Al-Fayha FC / 1st Half Total 0.5</t>
  </si>
  <si>
    <t>Al-Sharjah vs Khor Fakkan / Total 1.5</t>
  </si>
  <si>
    <t>Shanghai Port vs Zhejiang Professional / Match Odds</t>
  </si>
  <si>
    <t>Shanghai Port vs Zhejiang Professional / Correct Score</t>
  </si>
  <si>
    <t>Pulau Pinang vs DPMM FC / Match Odds</t>
  </si>
  <si>
    <t>Pachuca vs Pumas UNAM / Match Odds</t>
  </si>
  <si>
    <t>Libertad FC vs Deportivo Cuenca / 1st Half Total 0.5</t>
  </si>
  <si>
    <t>Aston Villa vs Liverpool / Total 2.5</t>
  </si>
  <si>
    <t>Al-Taawoun Buraidah vs Al-Riyadh / Total 1.5</t>
  </si>
  <si>
    <t>HNK Vukovar 1991 vs NK Varaždin / Total 1.5</t>
  </si>
  <si>
    <t>Real Salt Lake vs Colorado Rapids / Total 1.5</t>
  </si>
  <si>
    <t>Palmeiras vs Cruzeiro / Match Odds</t>
  </si>
  <si>
    <t>Deportes Limache vs Universidad Católica / Total 2.5</t>
  </si>
  <si>
    <t>New York Red Bulls vs New York City FC / Correct Score</t>
  </si>
  <si>
    <t>DC United vs Saint Louis City SC / Match Odds</t>
  </si>
  <si>
    <t>Orlando City vs Atlanta United FC / Match Odds</t>
  </si>
  <si>
    <t>Orlando City vs Atlanta United FC / Total 3.5</t>
  </si>
  <si>
    <t>DC United vs Saint Louis City SC / Correct Score</t>
  </si>
  <si>
    <t>Fluminense FC vs São Paulo / Match Odds</t>
  </si>
  <si>
    <t>O'Higgins vs Universidad de Concepción / Match Odds</t>
  </si>
  <si>
    <t>Atlético Mineiro vs Mirassol FC / Match Odds</t>
  </si>
  <si>
    <t>SC Internacional vs Vasco da Gama / Both Teams To Score</t>
  </si>
  <si>
    <t>Fluminense FC vs São Paulo / Total 1.5</t>
  </si>
  <si>
    <t>CF Montreal vs Chicago Fire / Total 2.5</t>
  </si>
  <si>
    <t>Atlético Mineiro vs Mirassol FC / Both Teams To Score</t>
  </si>
  <si>
    <t>CF Montreal vs Chicago Fire / Total 1.5</t>
  </si>
  <si>
    <t>Sporting CP vs Gil Vicente / Match Odds</t>
  </si>
  <si>
    <t>Famalicão vs Alverca / Total 0.5</t>
  </si>
  <si>
    <t>Willem II vs Almere City / Match Odds</t>
  </si>
  <si>
    <t>Al-Hilal Riyadh vs Neom SC / Correct Score</t>
  </si>
  <si>
    <t>Al Ahli Jeddah vs Al-Kholood Club / Match Odds</t>
  </si>
  <si>
    <t>FBC Melgar vs Sport Huancayo / Match Odds</t>
  </si>
  <si>
    <t>Dinamo Bucuresti vs CFR Cluj / Total 0.5</t>
  </si>
  <si>
    <t>Dinamo Bucuresti vs CFR Cluj / Match Odds</t>
  </si>
  <si>
    <t>Universitario de Vinto vs Club Bolívar / Total 2.5</t>
  </si>
  <si>
    <t>FBC Melgar vs Sport Huancayo / Total 1.5</t>
  </si>
  <si>
    <t>Nacional da Madeira vs Vitoria de Guimaraes / Match Odds</t>
  </si>
  <si>
    <t>Samsunspor vs Göztepe / Match Odds</t>
  </si>
  <si>
    <t>Samsunspor vs Göztepe / Total 1.5</t>
  </si>
  <si>
    <t>Nacional da Madeira vs Vitoria de Guimaraes / Total 0.5</t>
  </si>
  <si>
    <t>UD Almería vs UD Las Palmas / Match Odds</t>
  </si>
  <si>
    <t>Granada CF vs Burgos CF / Total 0.5</t>
  </si>
  <si>
    <t>Casa Pia vs Rio Ave / Total 1.5</t>
  </si>
  <si>
    <t>Al-Hilal Riyadh vs Neom SC / Match Odds</t>
  </si>
  <si>
    <t>UD Almería vs UD Las Palmas / Total 2.5</t>
  </si>
  <si>
    <t>AC Oulu vs TPS / Match Odds</t>
  </si>
  <si>
    <t>Asteras Tripolis vs Kifisia FC / Match Odds</t>
  </si>
  <si>
    <t>Zrinjski Mostar vs NK Posušje / Match Odds</t>
  </si>
  <si>
    <t>Bodø/Glimt vs Tromsø / Total 3.5</t>
  </si>
  <si>
    <t>Al-Jazira Club vs Bani Yas FC / Match Odds</t>
  </si>
  <si>
    <t>Bodø/Glimt vs Tromsø / Total 1.5</t>
  </si>
  <si>
    <t>Al-Hilal Riyadh vs Neom SC / Total 1.5</t>
  </si>
  <si>
    <t>Racing Santander vs Real Valladolid / Total 1.5</t>
  </si>
  <si>
    <t>Racing Santander vs Real Valladolid / 1st Half Total 0.5</t>
  </si>
  <si>
    <t>SCR Altach vs SV Guntamatic Ried / Correct Score</t>
  </si>
  <si>
    <t>MŠK Žilina vs FK Železiarne Podbrezová / Match Odds</t>
  </si>
  <si>
    <t>Ústí nad Labem vs SK Slavia Praha B / Match Odds</t>
  </si>
  <si>
    <t>1.FC Slovácko vs FK Mladá Boleslav / Correct Score</t>
  </si>
  <si>
    <t>Bodø/Glimt vs Tromsø / 1st Half Total 0.5</t>
  </si>
  <si>
    <t>Cultural Leonesa vs SD Eibar / Match Odds</t>
  </si>
  <si>
    <t>Viking FK vs Start / Match Odds</t>
  </si>
  <si>
    <t>Molde vs Kristiansund BK / Total 3.5</t>
  </si>
  <si>
    <t>Chelsea vs Manchester City / Correct Score</t>
  </si>
  <si>
    <t>Fredrikstad vs Hamarkameratene / Match Odds</t>
  </si>
  <si>
    <t>FC St. Pauli vs VfL Wolfsburg / Match Odds</t>
  </si>
  <si>
    <t>SC Freiburg vs RB Leipzig / Match Odds</t>
  </si>
  <si>
    <t>Werder Bremen vs Borussia Dortmund / Total 3.5</t>
  </si>
  <si>
    <t>Werder Bremen vs Borussia Dortmund / Correct Score</t>
  </si>
  <si>
    <t>FC Porto vs Santa Clara / 1st Half Total 0.5</t>
  </si>
  <si>
    <t>Borussia Mönchengladbach vs 1899 Hoffenheim / Match Odds</t>
  </si>
  <si>
    <t>DAC Dunajská Streda vs Spartak Trnava / 1st Half Total 0.5</t>
  </si>
  <si>
    <t>Halmstads BK vs IF Elfsborg / Match Odds</t>
  </si>
  <si>
    <t>Lillestrøm SK vs Sandefjord Fotball / Total 1.5</t>
  </si>
  <si>
    <t>Werder Bremen vs Borussia Dortmund / Total 0.5</t>
  </si>
  <si>
    <t>FC St. Pauli vs VfL Wolfsburg / Total 1.5</t>
  </si>
  <si>
    <t>Fredrikstad vs Hamarkameratene / Total 1.5</t>
  </si>
  <si>
    <t>SC Freiburg vs RB Leipzig / Total 3.5</t>
  </si>
  <si>
    <t>AmaZulu vs Kaizer Chiefs / Total 0.5</t>
  </si>
  <si>
    <t>Eintracht Frankfurt vs VfB Stuttgart / Total 1.5</t>
  </si>
  <si>
    <t>Bayer 04 Leverkusen vs Hamburger SV / 1st Half Total 0.5</t>
  </si>
  <si>
    <t>Stabæk vs Raufoss / 1st Half Total 0.5</t>
  </si>
  <si>
    <t>Yunnan Yukun vs Shanghai Shenhua / Match Odds</t>
  </si>
  <si>
    <t>Yunnan Yukun vs Shanghai Shenhua / Correct Score</t>
  </si>
  <si>
    <t>Shandong Taishan vs Chongqing Tonglianglong / Match Odds</t>
  </si>
  <si>
    <t>Alemannia Aachen vs TSV Havelse / Match Odds</t>
  </si>
  <si>
    <t>SSV Jahn Regensburg vs Energie Cottbus / Both Teams To Score</t>
  </si>
  <si>
    <t>Newcastle United Jets vs Sydney FC / Total 3.5</t>
  </si>
  <si>
    <t>Newcastle United Jets vs Sydney FC / Total 2.5</t>
  </si>
  <si>
    <t>Celtic vs Hearts / 1st Half Total 0.5</t>
  </si>
  <si>
    <t>Shandong Taishan vs Chongqing Tonglianglong / 1st Half Total 0.5</t>
  </si>
  <si>
    <t>Urawa Red Diamonds vs FC Tokyo / Total 0.5</t>
  </si>
  <si>
    <t>Ambas Marcam Leo Farias</t>
  </si>
  <si>
    <t>Borussia Mönchengladbach vs 1899 Hoffenheim</t>
  </si>
  <si>
    <t>Deportivo Macara vs Independiente del Valle / 1st Half Total 0.5</t>
  </si>
  <si>
    <t>Sint-Truidense VV vs KAA Gent / 1st Half Total 0.5</t>
  </si>
  <si>
    <t>Gazisehir Gaziantep F.K. vs Istanbul Basaksehir FK / Total 3.5</t>
  </si>
  <si>
    <t>Futebol Clube de Arouca vs Tondela / Total 2.5</t>
  </si>
  <si>
    <t>FBC Melgar vs Sport Huancayo / 1st Half Total 0.5</t>
  </si>
  <si>
    <t>Standard de Liège vs Racing Genk / Total 2.5</t>
  </si>
  <si>
    <t>Asteras Tripolis vs Kifisia FC / Total 2.5</t>
  </si>
  <si>
    <t>SCR Altach vs SV Guntamatic Ried / Total 2.5</t>
  </si>
  <si>
    <t>FK Teplice vs FK Dukla Praha / Total 2.5</t>
  </si>
  <si>
    <t>Arda FK vs Lokomotiv Plovdiv / Total 2.5</t>
  </si>
  <si>
    <t>Cultural Leonesa vs SD Eibar / Total 2.5</t>
  </si>
  <si>
    <t>Chelsea vs Manchester City / Total 1.5</t>
  </si>
  <si>
    <t>IFK Mariehamn vs KuPS / Total 2.5</t>
  </si>
  <si>
    <t>FK Lyn vs Kongsvinger IL / Total 3.5</t>
  </si>
  <si>
    <t>AS Trencín vs FK Košice / 1st Half Total 0.5</t>
  </si>
  <si>
    <t>Fatih Karagümrük Istanbul vs Alanyaspor / Total 2.5</t>
  </si>
  <si>
    <t>Hødd vs Sogndal / Total 2.5</t>
  </si>
  <si>
    <t>SJK vs FC Inter Turku / Total 2.5</t>
  </si>
  <si>
    <t>FC St. Pauli vs VfL Wolfsburg / 1st Half Total 0.5</t>
  </si>
  <si>
    <t>SC Freiburg vs RB Leipzig / Total 2.5</t>
  </si>
  <si>
    <t>Pumas UNAM vs Pachuca / Match Odds</t>
  </si>
  <si>
    <t>Inter Miami CF vs Portland Timbers / Match Odds</t>
  </si>
  <si>
    <t>Red Bull Bragantino vs EC Vitória / Both Teams To Score</t>
  </si>
  <si>
    <t>Vila Nova FC vs Avaí FC / Match Odds</t>
  </si>
  <si>
    <t>Inter Miami CF vs Portland Timbers / Total 1.5</t>
  </si>
  <si>
    <t>Criciúma EC vs Atlético Goianiense / Total 0.5</t>
  </si>
  <si>
    <t>CD Los Chankas vs Deportivo Moquegua / Match Odds</t>
  </si>
  <si>
    <t>FC Barcelona vs Real Betis / Match Odds</t>
  </si>
  <si>
    <t>Esporte Clube Bahia vs Grêmio FBPA / Match Odds</t>
  </si>
  <si>
    <t>Paris FC vs Paris Saint-Germain / Total 3.5</t>
  </si>
  <si>
    <t>Paris FC vs Paris Saint-Germain / Both Teams To Score</t>
  </si>
  <si>
    <t>Lille OSC vs AJ Auxerre / Both Teams To Score</t>
  </si>
  <si>
    <t>Lille OSC vs AJ Auxerre / Total 1.5</t>
  </si>
  <si>
    <t>FC Barcelona vs Real Betis / Total 1.5</t>
  </si>
  <si>
    <t>Al-Shabab Riyadh vs Al-Ittihad Jeddah / Match Odds</t>
  </si>
  <si>
    <t>OGC Nice vs FC Metz / 1st Half Total 0.5</t>
  </si>
  <si>
    <t>Al-Shabab Riyadh vs Al-Ittihad Jeddah / Total 0.5</t>
  </si>
  <si>
    <t>Botafogo FR vs Corinthians / Both Teams To Score</t>
  </si>
  <si>
    <t>Antalyaspor vs Kocaelispor / Total 1.5</t>
  </si>
  <si>
    <t>Antalyaspor vs Kocaelispor / Correct Score</t>
  </si>
  <si>
    <t>Kasimpasa SK vs Galatasaray SK / Match Odds</t>
  </si>
  <si>
    <t>Levante UD vs Real Mallorca / Total 2.5</t>
  </si>
  <si>
    <t>Rayo Vallecano vs Villarreal / Match Odds</t>
  </si>
  <si>
    <t>Atlético de Madrid vs Girona / Total 1.5</t>
  </si>
  <si>
    <t>Newcastle United vs West Ham / Total 2.5</t>
  </si>
  <si>
    <t>Asociacion Deportiva Tarma vs Comerciantes Unidos / Match Odds</t>
  </si>
  <si>
    <t>Atalanta vs Bologna / Total 2.5</t>
  </si>
  <si>
    <t>Atalanta vs Bologna / Correct Score</t>
  </si>
  <si>
    <t>Fenerbahçe SK vs Eyüpspor / Total 1.5</t>
  </si>
  <si>
    <t>Atalanta vs Bologna / Total 0.5</t>
  </si>
  <si>
    <t>FC Midtjylland vs Brøndby IF / Total 2.5</t>
  </si>
  <si>
    <t>Lechia Gdansk vs Legia Warszawa / Total 1.5</t>
  </si>
  <si>
    <t>Asociacion Deportiva Tarma vs Comerciantes Unidos / Total 1.5</t>
  </si>
  <si>
    <t>BSC Young Boys vs FC Sion / Correct Score</t>
  </si>
  <si>
    <t>FC St. Gallen vs FC Thun / Match Odds</t>
  </si>
  <si>
    <t>Brentford vs Crystal Palace / Half Time/Full Time</t>
  </si>
  <si>
    <t>Leeds United vs Brighton &amp; Hove Albion / Both Teams To Score</t>
  </si>
  <si>
    <t>Kayserispor vs Konyaspor / Correct Score</t>
  </si>
  <si>
    <t>Hannover 96 vs 1. FC Nürnberg / Half Time/Full Time</t>
  </si>
  <si>
    <t>Dynamo Dresden vs Holstein Kiel / Match Odds</t>
  </si>
  <si>
    <t>SV Elversberg vs Preußen Münster / Match Odds</t>
  </si>
  <si>
    <t>FC Schalke 04 vs Eintracht Braunschweig / Half Time/Full Time</t>
  </si>
  <si>
    <t>FC Schalke 04 vs Eintracht Braunschweig / Total 1.5</t>
  </si>
  <si>
    <t>FC Schalke 04 vs Eintracht Braunschweig / Match Odds</t>
  </si>
  <si>
    <t>SV Darmstadt 98 vs SC Paderborn 07 / Total 1.5</t>
  </si>
  <si>
    <t>NK Slaven Belupo vs Dinamo Zagreb / Total 1.5</t>
  </si>
  <si>
    <t>Internazionale vs Hellas Verona / Match Odds</t>
  </si>
  <si>
    <t>Wolverhampton Wanderers vs Fulham / Total 1.5</t>
  </si>
  <si>
    <t>Hannover 96 vs 1. FC Nürnberg / Total 3.5</t>
  </si>
  <si>
    <t>Arminia Bielefeld vs Hertha BSC / Total 1.5</t>
  </si>
  <si>
    <t>Heerenveen vs Ajax / Total 0.5</t>
  </si>
  <si>
    <t>Sparta Rotterdam vs Excelsior Rotterdam / Match Odds</t>
  </si>
  <si>
    <t>FC Volendam vs SC Telstar / Total 2.5</t>
  </si>
  <si>
    <t>PEC Zwolle vs Feyenoord / Both Teams To Score</t>
  </si>
  <si>
    <t>PEC Zwolle vs Feyenoord / Total 0.5</t>
  </si>
  <si>
    <t>Arminia Bielefeld vs Hertha BSC / Total 0.5</t>
  </si>
  <si>
    <t>FC Utrecht vs Fortuna Sittard / Total 1.5</t>
  </si>
  <si>
    <t>IF Brommapojkarna vs Kalmar FF / Match Odds</t>
  </si>
  <si>
    <t>Internazionale vs Hellas Verona / 1st Half Total 0.5</t>
  </si>
  <si>
    <t>FC Red Bull Salzburg vs TSV Egger Glas Hartberg / Total 1.5</t>
  </si>
  <si>
    <t>Deportivo La Coruña vs Andorra FC / Total 1.5</t>
  </si>
  <si>
    <t>Seattle Sounders vs Los Angeles Galaxy / Total 3.5</t>
  </si>
  <si>
    <t>Seattle Sounders vs Los Angeles Galaxy / Both Teams To Score</t>
  </si>
  <si>
    <t>Seattle Sounders vs Los Angeles Galaxy / Correct Score</t>
  </si>
  <si>
    <t>Seattle Sounders vs Los Angeles Galaxy / Total 1.5</t>
  </si>
  <si>
    <t>Olympique Lyonnais vs RC Lens / Correct Score</t>
  </si>
  <si>
    <t>Olympique Lyonnais vs RC Lens / Total 3.5</t>
  </si>
  <si>
    <t>Atalanta vs Bologna / Total 1.5</t>
  </si>
  <si>
    <t>Deportivo Maldonado vs Danubio / Match Odds</t>
  </si>
  <si>
    <t>Arsenal vs Burnley / Total 1.5</t>
  </si>
  <si>
    <t>Arsenal vs Burnley / Match Odds</t>
  </si>
  <si>
    <t>Leganés vs Huesca / Total 0.5</t>
  </si>
  <si>
    <t>Al-Ula FC vs Al Orubah / Double Chance</t>
  </si>
  <si>
    <t>Arsenal vs Burnley / 1st Half Total 0.5</t>
  </si>
  <si>
    <t>Petrolul Ploiesti vs Otelul Galati / Match Odds</t>
  </si>
  <si>
    <t>Arka Gdynia vs Termalica Bruk-Bet Nieciecza / Correct Score</t>
  </si>
  <si>
    <t>Djurgårdens IF vs IK Sirius / Double Chance</t>
  </si>
  <si>
    <t>IK Oddevold vs Örebro SK / Match Odds</t>
  </si>
  <si>
    <t>Al-Ula FC vs Al Orubah / 1st Half Total 0.5</t>
  </si>
  <si>
    <t>Lokomotiv Sofia vs Slavia Sofia / Match Odds</t>
  </si>
  <si>
    <t>Djurgårdens IF vs IK Sirius / Total 2.5</t>
  </si>
  <si>
    <t>Djurgårdens IF vs IK Sirius / Both Teams To Score</t>
  </si>
  <si>
    <t>FC Haka vs Klubi-04 / Match Odds</t>
  </si>
  <si>
    <t>Puszcza Niepolomice vs LKS Lódz / 1st Half Total 0.5</t>
  </si>
  <si>
    <t>DC 2X</t>
  </si>
  <si>
    <t>Puszcza Niepolomice vs LKS Lódz / AEM - SIM</t>
  </si>
  <si>
    <t>Saint Louis City SC vs Houston Dynamo / Match Odds</t>
  </si>
  <si>
    <t>Santa Fe vs Platense / Match Odds</t>
  </si>
  <si>
    <t>LDU de Portoviejo vs Libertad FC / Match Odds</t>
  </si>
  <si>
    <t>Fluminense FC vs Club Bolívar / Match Odds</t>
  </si>
  <si>
    <t>Coquimbo Unido vs Deportes Tolima / Match Odds</t>
  </si>
  <si>
    <t>Chelsea vs Tottenham Hotspur / Match Odds</t>
  </si>
  <si>
    <t>AFC Bournemouth vs Manchester City / Total 3.5</t>
  </si>
  <si>
    <t>AFC Bournemouth vs Manchester City / Total 1.5</t>
  </si>
  <si>
    <t>AFC Bournemouth vs Manchester City / Both Teams To Score</t>
  </si>
  <si>
    <t>Monza vs Juve Stabia / Match Odds</t>
  </si>
  <si>
    <t>Hapoel Be'er Sheva vs Maccabi Tel Aviv / 1st Half Total 0.5</t>
  </si>
  <si>
    <t>Helsingborgs IF vs Varbergs BoIS / 1st Half Total 0.5</t>
  </si>
  <si>
    <t>ES Ben Aknoun vs ES Mostaganem / Match Odds</t>
  </si>
  <si>
    <t>Value Bets</t>
  </si>
  <si>
    <t>Lay Mandante</t>
  </si>
  <si>
    <t>FC Rouen vs Stade Lavallois / Total 2.5</t>
  </si>
  <si>
    <t>AFC Bournemouth vs Manchester City / Total 2.5</t>
  </si>
  <si>
    <t>AFC Bournemouth vs Manchester City / 1st Half Total 0.5</t>
  </si>
  <si>
    <t>Chengdu Rongcheng vs Shanghai Port / Match Odds</t>
  </si>
  <si>
    <t>Chengdu Rongcheng vs Shanghai Port / Total 0.5</t>
  </si>
  <si>
    <t>Palmeiras vs Cerro Porteño / Total 2.5</t>
  </si>
  <si>
    <t>Palmeiras vs Cerro Porteño / Match Odds</t>
  </si>
  <si>
    <t>Flamengo vs Estudiantes de La Plata / Match Odds</t>
  </si>
  <si>
    <t>Gremio Novorizontino vs Chapecoense / Match Odds</t>
  </si>
  <si>
    <t>Fortaleza FC vs Orsomarso SC / Match Odds</t>
  </si>
  <si>
    <t>Talleres de Córdoba vs Atlético Tucumán / Match Odds</t>
  </si>
  <si>
    <t>SC Freiburg vs Aston Villa / Both Teams To Score</t>
  </si>
  <si>
    <t>Al Najma Club vs Al-Shabab Riyadh / Total 2.5</t>
  </si>
  <si>
    <t>Al Najma Club vs Al-Shabab Riyadh / Match Odds</t>
  </si>
  <si>
    <t>Aalesunds FK vs Brann / Double Chance</t>
  </si>
  <si>
    <t>Palermo vs Catanzaro / Total 1.5</t>
  </si>
  <si>
    <t>Lillestrøm SK vs Kristiansund BK / Match Odds</t>
  </si>
  <si>
    <t>SC Freiburg vs Aston Villa / 1st Half Total 0.5</t>
  </si>
  <si>
    <t>CR Belouizdad vs MC Oran / 1st Half Total 0.5</t>
  </si>
  <si>
    <t>Aalesunds FK vs Brann / Total 1.5</t>
  </si>
  <si>
    <t>SC União Torreense vs Casa Pia / Match Odds</t>
  </si>
  <si>
    <t>Ranheim vs Hødd / Match Odds</t>
  </si>
  <si>
    <t>Åsane vs Sandnes Ulf / Total 2.5</t>
  </si>
  <si>
    <t>GAIS vs Hammarby IF / Match Odds</t>
  </si>
  <si>
    <t>Al Najma Club vs Al-Shabab Riyadh / 1st Half Total 0.5</t>
  </si>
  <si>
    <t>Willem II vs FC Volendam / Draw No Bet</t>
  </si>
  <si>
    <t>Aalesunds FK vs Brann / 1st Half Total 0.5</t>
  </si>
  <si>
    <t>Ranheim vs Hødd / Both Teams To Score</t>
  </si>
  <si>
    <t>Palermo vs Catanzaro / 1st Half Total 0.5</t>
  </si>
  <si>
    <t>Lokomotiv Plovdiv vs CSKA Sofia / Double Chance</t>
  </si>
  <si>
    <t>Narva Trans vs Paide Linnameeskond / Draw No Bet</t>
  </si>
  <si>
    <t>FC Kuressaare vs FC Nõmme United / Double Chance</t>
  </si>
  <si>
    <t>FK Tukums 2000 vs Riga FC / Match Odds</t>
  </si>
  <si>
    <t>Narva Trans vs Paide Linnameeskond / 1st Half Total 0.5</t>
  </si>
  <si>
    <t>FC Kuressaare vs FC Nõmme United / Half-time Result</t>
  </si>
  <si>
    <t>Ilves vs FC Inter Turku / Half-time Result</t>
  </si>
  <si>
    <t>FK Tukums 2000 vs Riga FC / Both Teams To Score</t>
  </si>
  <si>
    <t>Ilves vs FC Inter Turku / Both Teams To Score</t>
  </si>
  <si>
    <t>FK Tukums 2000 vs Riga FC / 1st Half Total 0.5</t>
  </si>
  <si>
    <t>Ilves vs FC Inter Turku / 1st Half Total 0.5</t>
  </si>
  <si>
    <t>Chongqing Tonglianglong vs Yunnan Yukun / Both Teams To Score</t>
  </si>
  <si>
    <t>Chongqing Tonglianglong vs Yunnan Yukun / Match Odds</t>
  </si>
  <si>
    <t>Shanghai Shenhua vs Wuhan Three Towns / Match Odds</t>
  </si>
  <si>
    <t>Liaoning Tieren F.C. vs Qingdao Hainiu / Total 1.5</t>
  </si>
  <si>
    <t>Shanghai Shenhua vs Wuhan Three Towns / Total 1.5</t>
  </si>
  <si>
    <t>Lay Mandante HT</t>
  </si>
  <si>
    <t>DC 1X</t>
  </si>
  <si>
    <t>DC 12</t>
  </si>
  <si>
    <t>DNB Visitante</t>
  </si>
  <si>
    <t>Libertadores</t>
  </si>
  <si>
    <t>Santos FC vs San Lorenzo / Total 3.5</t>
  </si>
  <si>
    <t>FC Iberia 1999 vs Gagra Tblisi</t>
  </si>
  <si>
    <t>Cruz Azul vs Pumas UNAM / 1st Half Total 0.5</t>
  </si>
  <si>
    <t>Universidad Católica vs Barcelona SC / Match Odds</t>
  </si>
  <si>
    <t>Academia Puerto Cabello vs Juventud de Las Piedras / Both Teams To Score</t>
  </si>
  <si>
    <t>FC Utrecht vs Heerenveen / Match Odds</t>
  </si>
  <si>
    <t>FC Utrecht vs Heerenveen / Correct Score</t>
  </si>
  <si>
    <t>Anderlecht vs Sint-Truidense VV / Total 3.5</t>
  </si>
  <si>
    <t>VfL Wolfsburg vs SC Paderborn 07 / Total 2.5</t>
  </si>
  <si>
    <t>Al-Fayha FC vs Al-Hilal Riyadh / Match Odds</t>
  </si>
  <si>
    <t>Neom SC vs Al-Ettifaq / Correct Score</t>
  </si>
  <si>
    <t>Al-Nassr Riyadh vs Dhamk / Match Odds</t>
  </si>
  <si>
    <t>Al-Nassr Riyadh vs Dhamk / Correct Score</t>
  </si>
  <si>
    <t>FC Utrecht vs Heerenveen / 1st Half Total 0.5</t>
  </si>
  <si>
    <t>Neom SC vs Al-Ettifaq / Total 1.5</t>
  </si>
  <si>
    <t>KV Mechelen vs Club Brugge / Total 1.5</t>
  </si>
  <si>
    <t>Al-Nassr Riyadh vs Dhamk / Total 1.5</t>
  </si>
  <si>
    <t>KV Mechelen vs Club Brugge / 1st Half Total 0.5</t>
  </si>
  <si>
    <t>Ajax vs FC Groningen / Both Teams To Score</t>
  </si>
  <si>
    <t>Al-Fayha FC vs Al-Hilal Riyadh / 1st Half Total 0.5</t>
  </si>
  <si>
    <t>Ajax vs FC Groningen / 1st Half Total 0.5</t>
  </si>
  <si>
    <t>Atromitos Athens vs Panserraikos / Match Odds</t>
  </si>
  <si>
    <t>Shakhtar Donetsk vs Kolos Kovalyovka / Match Odds</t>
  </si>
  <si>
    <t>Metallurg Rustavi FC vs Samgurali FC</t>
  </si>
  <si>
    <t>Víkingur vs FH Hafnarfjördur / Match Odds</t>
  </si>
  <si>
    <t>Juan Pablo II College vs FBC Melgar / Both Teams To Score</t>
  </si>
  <si>
    <t>RC Lens vs OGC Nice / Half Time/Full Time</t>
  </si>
  <si>
    <t>Shamrock Rovers vs Sligo Rovers / Match Odds</t>
  </si>
  <si>
    <t>Fiorentina vs Atalanta / Total 3.5</t>
  </si>
  <si>
    <t>Fiorentina vs Atalanta / Match Odds</t>
  </si>
  <si>
    <t>Fiorentina vs Atalanta / Total 1.5</t>
  </si>
  <si>
    <t>Everton de Viña del Mar vs Coquimbo Unido / Total 0.5</t>
  </si>
  <si>
    <t>RC Lens vs OGC Nice / Total 1.5</t>
  </si>
  <si>
    <t>CFR Cluj vs FC Arges Pitesti / Total 0.5</t>
  </si>
  <si>
    <t>NK Osijek vs NK Slaven Belupo / Match Odds</t>
  </si>
  <si>
    <t>Viettel vs PVF-Cong An Nhan Dan FC / Match Odds</t>
  </si>
  <si>
    <t>Cruz Azul vs Pumas UNAM / Both Teams To Score</t>
  </si>
  <si>
    <t>Arbitragem</t>
  </si>
  <si>
    <t>BTTS Gringo Careca</t>
  </si>
  <si>
    <t>FC Sudtirol vs Bari / Match Odds</t>
  </si>
  <si>
    <t>Rot-Weiss Essen vs SpVgg Greuther Fürth / Total 0.5</t>
  </si>
  <si>
    <t>SV Guntamatic Ried vs SK Rapid Wien / Total 4.5</t>
  </si>
  <si>
    <t>Rot-Weiss Essen vs SpVgg Greuther Fürth / Half-time Result</t>
  </si>
  <si>
    <t>Aarhus Fremad vs Aalborg BK / Total 1.5</t>
  </si>
  <si>
    <t>San Diego FC vs Vancouver Whitecaps / Total 1.5</t>
  </si>
  <si>
    <t>Chicago Fire vs Toronto FC / Total 2.5</t>
  </si>
  <si>
    <t>Charlotte FC vs New England Revolution / Total 1.5</t>
  </si>
  <si>
    <t>Charlotte FC vs New England Revolution / Match Odds</t>
  </si>
  <si>
    <t>Charlotte FC vs New England Revolution / Both Teams To Score</t>
  </si>
  <si>
    <t>Chicago Fire vs Toronto FC / 1st Half Total 0.5</t>
  </si>
  <si>
    <t>DC United vs CF Montreal / Both Teams To Score</t>
  </si>
  <si>
    <t>FC Cincinnati vs Orlando City / Total 1.5</t>
  </si>
  <si>
    <t>Vancouver FC vs FC Supra du Quebec / Correct Score</t>
  </si>
  <si>
    <t>Mirassol FC vs Fluminense FC / Total 2.5</t>
  </si>
  <si>
    <t>Mirassol FC vs Fluminense FC / Correct Score</t>
  </si>
  <si>
    <t>Grêmio FBPA vs Santos FC / Half Time/Full Time</t>
  </si>
  <si>
    <t>Fortaleza EC vs Londrina / Match Odds</t>
  </si>
  <si>
    <t>Minnesota United vs Real Salt Lake / Correct Score</t>
  </si>
  <si>
    <t>EC Vitória vs SC Internacional / Both Teams To Score</t>
  </si>
  <si>
    <t>São Paulo vs Botafogo FR / Half Time/Full Time</t>
  </si>
  <si>
    <t>São Paulo vs Botafogo FR / Total 1.5</t>
  </si>
  <si>
    <t>Valencia vs FC Barcelona / Total 3.5</t>
  </si>
  <si>
    <t>Valencia vs FC Barcelona / Correct Score</t>
  </si>
  <si>
    <t>Celta de Vigo vs Sevilla / Match Odds</t>
  </si>
  <si>
    <t>Real Betis vs Levante UD / Total 4.5</t>
  </si>
  <si>
    <t>Celta de Vigo vs Sevilla / Correct Score</t>
  </si>
  <si>
    <t>Real Mallorca vs Real Oviedo / Match Odds</t>
  </si>
  <si>
    <t>Saint Louis City SC vs Austin FC / Both Teams To Score</t>
  </si>
  <si>
    <t>Saint Louis City SC vs Austin FC / Match Odds</t>
  </si>
  <si>
    <t>Saint Louis City SC vs Austin FC / Correct Score</t>
  </si>
  <si>
    <t>Royal Antwerp vs Westerlo / Total 4.5</t>
  </si>
  <si>
    <t>Royal Antwerp vs Westerlo / Correct Score</t>
  </si>
  <si>
    <t>Real Betis vs Levante UD / Total 2.5</t>
  </si>
  <si>
    <t>Espanyol vs Real Sociedad / Total 1.5</t>
  </si>
  <si>
    <t>Getafe vs Osasuna / Total 0.5</t>
  </si>
  <si>
    <t>Girona vs Elche CF / Both Teams To Score</t>
  </si>
  <si>
    <t>Saint Louis City SC vs Austin FC / Total 1.5</t>
  </si>
  <si>
    <t>Real Madrid vs Athletic Bilbao / Both Teams To Score</t>
  </si>
  <si>
    <t>Deportivo Moquegua vs Universitario de Deportes / Both Teams To Score</t>
  </si>
  <si>
    <t>Deportivo Moquegua vs Universitario de Deportes / Correct Score</t>
  </si>
  <si>
    <t>Real Mallorca vs Real Oviedo / Total 0.5</t>
  </si>
  <si>
    <t>FC Bayern München vs VfB Stuttgart / Total 1.5</t>
  </si>
  <si>
    <t>Universitatea Cluj vs Dinamo Bucuresti / Match Odds</t>
  </si>
  <si>
    <t>Pogon Szczecin vs GKS Katowice / Match Odds</t>
  </si>
  <si>
    <t>Pogon Szczecin vs GKS Katowice / Correct Score</t>
  </si>
  <si>
    <t>Dinamo Zagreb vs NK Lokomotiva / 1st Half Total 0.5</t>
  </si>
  <si>
    <t>Jagiellonia Bialystok vs Zaglebie Lubin / Total 1.5</t>
  </si>
  <si>
    <t>Rakow Czestochowa vs Arka Gdynia / Total 1.5</t>
  </si>
  <si>
    <t>Termalica Bruk-Bet Nieciecza vs Lechia Gdansk / Total 3.5</t>
  </si>
  <si>
    <t>Legia Warszawa vs Motor Lublin / Total 1.5</t>
  </si>
  <si>
    <t>KuPS vs FC Lahti / Match Odds</t>
  </si>
  <si>
    <t>NK Varaždin vs Istra 1961 / Match Odds</t>
  </si>
  <si>
    <t>Kalmar FF vs Degerfors IF / Match Odds</t>
  </si>
  <si>
    <t>IK Oddevold vs Östersunds FK / Total 2.5</t>
  </si>
  <si>
    <t>IK Oddevold vs Östersunds FK / Both Teams To Score</t>
  </si>
  <si>
    <t>Halmstads BK vs Örgryte IS / Match Odds</t>
  </si>
  <si>
    <t>Halmstads BK vs Örgryte IS / Total 1.5</t>
  </si>
  <si>
    <t>Dalian Yingbo vs Chengdu Rongcheng / Correct Score</t>
  </si>
  <si>
    <t>Beijing Guoan vs Henan Songshan Longmen / Total 1.5</t>
  </si>
  <si>
    <t>Shanghai Port vs Tianjin Jinmenhu / Correct Score</t>
  </si>
  <si>
    <t>PFC Oleksandria vs Kryvbas Kryvyi Rih / Correct Score</t>
  </si>
  <si>
    <t>Kyoto Sanga vs V-Varen Nagasaki / Total 1.5</t>
  </si>
  <si>
    <t>Kyoto Sanga vs V-Varen Nagasaki / Match Odds</t>
  </si>
  <si>
    <t>Freebetei 1x0</t>
  </si>
  <si>
    <t>Freebetei 0x1</t>
  </si>
  <si>
    <t>Freebetunder</t>
  </si>
  <si>
    <t>Suíça 1</t>
  </si>
  <si>
    <t>Áustria 2</t>
  </si>
  <si>
    <t>Brasil 2</t>
  </si>
  <si>
    <t>Portuguesa FC vs Deportivo La Guaira / Total 4.5</t>
  </si>
  <si>
    <t>Oud-Heverlee Leuven vs Racing Genk / Total 4.5</t>
  </si>
  <si>
    <t>Universitatea Cluj vs Dinamo Bucuresti / Double Chance</t>
  </si>
  <si>
    <t>Cracovia Kraków vs Korona Kielce / Match Odds</t>
  </si>
  <si>
    <t>Golden Arrows vs TS Galaxy FC / Total 0.5</t>
  </si>
  <si>
    <t>Marumo Gallants FC vs Stellenbosch FC / Half-time Result</t>
  </si>
  <si>
    <t>Norrby IF vs Ljungskile SK / Double Chance</t>
  </si>
  <si>
    <t>Auckland FC vs Sydney FC / Match Odds</t>
  </si>
  <si>
    <t>Pumas UNAM vs Cruz Azul / Both Teams To Score</t>
  </si>
  <si>
    <t>Club Deportivo San Luis vs Magallanes / Both Teams To Score</t>
  </si>
  <si>
    <t>Corinthians vs Atlético Mineiro / Total 0.5</t>
  </si>
  <si>
    <t>Inter Miami CF vs Philadelphia Union / Both Teams To Score</t>
  </si>
  <si>
    <t>Columbus Crew vs Atlanta United FC / Match Odds</t>
  </si>
  <si>
    <t>Cavalry vs Pacific / Match Odds</t>
  </si>
  <si>
    <t>Torino vs Juventus / Total 1.5</t>
  </si>
  <si>
    <t>Cruzeiro vs Chapecoense / Match Odds</t>
  </si>
  <si>
    <t>Atlético Goianiense vs São Bernardo FC / Correct Score</t>
  </si>
  <si>
    <t>Cruzeiro vs Chapecoense / Total 1.5</t>
  </si>
  <si>
    <t>Sport Huancayo vs Cienciano del Cuzco / Match Odds</t>
  </si>
  <si>
    <t>Sport Huancayo vs Cienciano del Cuzco / Correct Score</t>
  </si>
  <si>
    <t>Cremonese vs Como / Both Teams To Score</t>
  </si>
  <si>
    <t>Atletico Ottawa vs Forge / Correct Score</t>
  </si>
  <si>
    <t>Cremonese vs Como / Total 1.5</t>
  </si>
  <si>
    <t>Clube do Remo vs Athlético Paranaense / Both Teams To Score</t>
  </si>
  <si>
    <t>Villarreal vs Atlético de Madrid / Total 3.5</t>
  </si>
  <si>
    <t>Cruzeiro vs Chapecoense / 1st Half Total 0.5</t>
  </si>
  <si>
    <t>Huesca vs CD Castellon / Correct Score</t>
  </si>
  <si>
    <t>Málaga vs Racing Santander / Match Odds</t>
  </si>
  <si>
    <t>UD Las Palmas vs Real Zaragoza / Match Odds</t>
  </si>
  <si>
    <t>Deportes Concepción vs Huachipato / Match Odds</t>
  </si>
  <si>
    <t>SD Eibar vs Córdoba CF / Match Odds</t>
  </si>
  <si>
    <t>Sporting CP vs SC União Torreense / Total 2.5</t>
  </si>
  <si>
    <t>Sporting Cristal vs Asociacion Deportiva Tarma / Match Odds</t>
  </si>
  <si>
    <t>Napoli vs Udinese / Total 1.5</t>
  </si>
  <si>
    <t>Crystal Palace vs Arsenal / Correct Score</t>
  </si>
  <si>
    <t>Kristiansund BK vs Viking FK / Total 1.5</t>
  </si>
  <si>
    <t>Sint-Truidense VV vs KV Mechelen / Total 1.5</t>
  </si>
  <si>
    <t>Sporting Cristal vs Asociacion Deportiva Tarma / Total 1.5</t>
  </si>
  <si>
    <t>Nottingham Forest vs AFC Bournemouth / Total 4.5</t>
  </si>
  <si>
    <t>Nottingham Forest vs AFC Bournemouth / Total 2.5</t>
  </si>
  <si>
    <t>Fulham vs Newcastle United / Total 2.5</t>
  </si>
  <si>
    <t>Fulham vs Newcastle United / Total 3.5</t>
  </si>
  <si>
    <t>Brighton &amp; Hove Albion vs Manchester United / Total 3.5</t>
  </si>
  <si>
    <t>West Ham vs Leeds United / Total 3.5</t>
  </si>
  <si>
    <t>West Ham vs Leeds United / Total 2.5</t>
  </si>
  <si>
    <t>Fulham vs Newcastle United / Total 1.5</t>
  </si>
  <si>
    <t>Stal Mielec vs Polonia Bytom / Both Teams To Score</t>
  </si>
  <si>
    <t>Nottingham Forest vs AFC Bournemouth / Total 1.5</t>
  </si>
  <si>
    <t>Andorra FC vs AD Ceuta FC / Match Odds</t>
  </si>
  <si>
    <t>Brighton &amp; Hove Albion vs Manchester United / Total 2.5</t>
  </si>
  <si>
    <t>Sunderland vs Chelsea / Total 1.5</t>
  </si>
  <si>
    <t>Manchester City vs Aston Villa / Total 1.5</t>
  </si>
  <si>
    <t>Brighton &amp; Hove Albion vs Manchester United / Total 1.5</t>
  </si>
  <si>
    <t>Manchester City vs Aston Villa / 1st Half Total 0.5</t>
  </si>
  <si>
    <t>Parma vs Sassuolo / Total 2.5</t>
  </si>
  <si>
    <t>GKS Tychy vs Stal Rzeszów / Both Teams To Score</t>
  </si>
  <si>
    <t>Bodø/Glimt vs Brann / Total 1.5</t>
  </si>
  <si>
    <t>Hammarby IF vs AIK / Total 2.5</t>
  </si>
  <si>
    <t>Shandong Taishan vs Wuhan Three Towns / Both Teams To Score</t>
  </si>
  <si>
    <t>Yunnan Yukun vs Qingdao West Coast / Total 1.5</t>
  </si>
  <si>
    <t>Qingdao Hainiu vs Chongqing Tonglianglong / Correct Score</t>
  </si>
  <si>
    <t>Qingdao Hainiu vs Chongqing Tonglianglong / Total 0.5</t>
  </si>
  <si>
    <t>Los Angeles Galaxy vs Houston Dynamo / Total 1.5</t>
  </si>
  <si>
    <t>Los Angeles Galaxy vs Houston Dynamo / Total 0.5</t>
  </si>
  <si>
    <t>San Diego FC vs Vancouver Whitecaps / Total 3.5</t>
  </si>
  <si>
    <t>Atlético Goianiense vs São Bernardo FC / Total 0.5</t>
  </si>
  <si>
    <t>HB Køge vs Hobro IK / Total 3.5</t>
  </si>
  <si>
    <t>Mito Hollyhock vs Kawasaki Frontale / Total 4.5</t>
  </si>
  <si>
    <t>Banca CA</t>
  </si>
  <si>
    <t>Stake CA %</t>
  </si>
  <si>
    <t>Stake CA R$</t>
  </si>
  <si>
    <t>Stake FB</t>
  </si>
  <si>
    <t>Proporção</t>
  </si>
  <si>
    <t>Total Stakes</t>
  </si>
  <si>
    <t>Total dias</t>
  </si>
  <si>
    <t>Total jogos</t>
  </si>
  <si>
    <t>Jogos / dia</t>
  </si>
  <si>
    <t>Resultado mensal</t>
  </si>
  <si>
    <t>Ituano FC vs Botafogo PB / Correct Score</t>
  </si>
  <si>
    <t>Comerciantes Unidos vs Deportivo Garcilaso / Correct Score</t>
  </si>
  <si>
    <t>St Mirren vs Partick Thistle / Match Odds</t>
  </si>
  <si>
    <t>SC Paderborn 07 vs VfL Wolfsburg / Total 2.5</t>
  </si>
  <si>
    <t>Club Laguna SAF vs Maguary / Total 1.5</t>
  </si>
  <si>
    <t>Rapid Bucuresti vs CS Universitatea Craiova / Total 0.5</t>
  </si>
  <si>
    <t>Sandefjord Fotball vs Fredrikstad / Correct Score</t>
  </si>
  <si>
    <t>IFK Norrköping vs Östers IF / Both Teams To Score</t>
  </si>
  <si>
    <t>Lyngby BK vs AC Horsens / Total 1.5</t>
  </si>
  <si>
    <t>Strømsgodset vs Bryne / Match Odds</t>
  </si>
  <si>
    <t>KFUM Oslo vs Rosenborg BK / Match Odds</t>
  </si>
  <si>
    <t>Tromsø vs Aalesunds FK / Match Odds</t>
  </si>
  <si>
    <t>Hamarkameratene vs Lillestrøm SK / Total 1.5</t>
  </si>
  <si>
    <t>Tromsø vs Aalesunds FK / Total 1.5</t>
  </si>
  <si>
    <t>Hvidovre IF vs Esbjerg fB / Total 1.5</t>
  </si>
  <si>
    <t>Start vs Vålerenga / Match Odds</t>
  </si>
  <si>
    <t>Kolding IF vs Hillerød Fodbold / Total 1.5</t>
  </si>
  <si>
    <t>Noruega 2</t>
  </si>
  <si>
    <t>IFK Norrköping vs Östers IF / 1st Half Total 0.5</t>
  </si>
  <si>
    <t>Odds Ballklubb vs Ranheim / Total 1.5</t>
  </si>
  <si>
    <t>Flamengo vs Cusco FC / Match Odds</t>
  </si>
  <si>
    <t>Flamengo vs Cusco FC / Correct Score</t>
  </si>
  <si>
    <t>Millonarios vs O'Higgins / Total 3.5</t>
  </si>
  <si>
    <t>Stjarnan vs Víkingur / Total 4.5</t>
  </si>
  <si>
    <t>Stjarnan vs Víkingur / 1st Half Total 0.5</t>
  </si>
  <si>
    <t>Flamengo vs Cusco FC / Total 1.5</t>
  </si>
  <si>
    <t>FC Baník Ostrava vs FK Silon Táborsko / Total 3.5</t>
  </si>
  <si>
    <t>Cruzeiro vs Barcelona SC / Match Odds</t>
  </si>
  <si>
    <t>Palmeiras vs Junior / Match Odds</t>
  </si>
  <si>
    <t>Boca Juniors vs Universidad Católica / Double Chance</t>
  </si>
  <si>
    <t>América de Cali vs Deportivo Macara / Total 0.5</t>
  </si>
  <si>
    <t>Palmeiras vs Junior / Correct Score</t>
  </si>
  <si>
    <t>River Plate vs Blooming Santa Cruz / Total 0.5</t>
  </si>
  <si>
    <t>Vasco da Gama vs Barracas Central / Total 4.5</t>
  </si>
  <si>
    <t>Caracas FC vs Botafogo FR / Double Chance</t>
  </si>
  <si>
    <t>San Antonio vs Guabira / Match Odds</t>
  </si>
  <si>
    <t>San Antonio vs Guabira / Correct Score</t>
  </si>
  <si>
    <t>Shelbourne FC vs Galway United / Correct Score</t>
  </si>
  <si>
    <t>Shelbourne FC vs Galway United / Both Teams To Score</t>
  </si>
  <si>
    <t>Monza vs Catanzaro / Total 1.5</t>
  </si>
  <si>
    <t>Rosenborg BK vs Bodø/Glimt / Total 3.5</t>
  </si>
  <si>
    <t>Fredrikstad vs Start / Total 1.5</t>
  </si>
  <si>
    <t>Liaoning Tieren F.C. vs Shanghai Port / Total 4.5</t>
  </si>
  <si>
    <t>Shamrock Rovers vs St. Patrick's Athletic / Total 4.5</t>
  </si>
  <si>
    <t>Vålerenga vs Kristiansund BK / Total 3.5</t>
  </si>
  <si>
    <t>Universitario de Deportes vs Sport Huancayo / Match Odds</t>
  </si>
  <si>
    <t>Deportivo Toluca vs Tigres de la UANL / Correct Score</t>
  </si>
  <si>
    <t>Oakland Roots vs Colorado Springs Switchbacks FC / Total 1.5</t>
  </si>
  <si>
    <t>Deportivo Cuenca vs Delfin SC / Total 0.5</t>
  </si>
  <si>
    <t>Sport Club do Recife vs Clube Náutico Capibaribe / Match Odds</t>
  </si>
  <si>
    <t>Sport Boys vs Comerciantes Unidos / Total 0.5</t>
  </si>
  <si>
    <t>Santos FC vs EC Vitória / Total 1.5</t>
  </si>
  <si>
    <t>Pacific vs Atletico Ottawa / Total 1.5</t>
  </si>
  <si>
    <t>Universidad de Chile vs Deportes Concepción / Total 1.5</t>
  </si>
  <si>
    <t>Deportivo Garcilaso vs Juan Pablo II College / Match Odds</t>
  </si>
  <si>
    <t>Esporte Clube Bahia vs Botafogo FR / Total 1.5</t>
  </si>
  <si>
    <t>Esporte Clube Bahia vs Botafogo FR / Both Teams To Score</t>
  </si>
  <si>
    <t>Deportivo Garcilaso vs Juan Pablo II College / Both Teams To Score</t>
  </si>
  <si>
    <t>La Serena vs Colo-Colo / Correct Score</t>
  </si>
  <si>
    <t>Athlético Paranaense vs Mirassol FC / Match Odds</t>
  </si>
  <si>
    <t>Athlético Paranaense vs Mirassol FC / Half Time/Full Time</t>
  </si>
  <si>
    <t>Flamengo vs Coritiba / Match Odds</t>
  </si>
  <si>
    <t>Academia de Balompie Boliviano vs Always Ready / Both Teams To Score</t>
  </si>
  <si>
    <t>Granada CF vs Real Sporting de Gijon / Total 1.5</t>
  </si>
  <si>
    <t>Santiago Wanderers vs Unión Española / Both Teams To Score</t>
  </si>
  <si>
    <t>MB Rouissat vs USM Alger / Total 0.5</t>
  </si>
  <si>
    <t>AD Ceuta FC vs Albacete Balompié / Total 1.5</t>
  </si>
  <si>
    <t>AD Ceuta FC vs Albacete Balompié / Match Odds</t>
  </si>
  <si>
    <t>Molde vs Sandefjord Fotball / Half Time/Full Time</t>
  </si>
  <si>
    <t>Molde vs Sandefjord Fotball / Match Odds</t>
  </si>
  <si>
    <t>IF Gnistan vs SJK / Total 4.5</t>
  </si>
  <si>
    <t>AIK vs IK Sirius / Total 4.5</t>
  </si>
  <si>
    <t>GAIS vs Kalmar FF / Match Odds</t>
  </si>
  <si>
    <t>GIF Sundsvall vs Sandvikens IF / Both Teams To Score</t>
  </si>
  <si>
    <t>AIK vs IK Sirius / Total 1.5</t>
  </si>
  <si>
    <t>Chengdu Rongcheng vs Shandong Taishan / Total 4.5</t>
  </si>
  <si>
    <t>Chengdu Rongcheng vs Shandong Taishan / Total 1.5</t>
  </si>
  <si>
    <t>Henan Songshan Longmen vs Zhejiang Professional / Total 4.5</t>
  </si>
  <si>
    <t>Henan Songshan Longmen vs Zhejiang Professional / Total 1.5</t>
  </si>
  <si>
    <t>Qingdao West Coast vs Shanghai Shenhua / Correct Score</t>
  </si>
  <si>
    <t>Qingdao West Coast vs Shanghai Shenhua / Both Teams To Score</t>
  </si>
  <si>
    <t>El Paso Locomotive FC vs Lexington SC / Total 1.5</t>
  </si>
  <si>
    <t>Paris Saint-Germain vs Arsenal / Match Odds</t>
  </si>
  <si>
    <t>Gamba Osaka vs Tokyo Verdy / Double Chance</t>
  </si>
  <si>
    <t>Cerezo Osaka vs FC Tokyo / Total 1.5</t>
  </si>
  <si>
    <t>Vissel Kobe vs Kashima Antlers / Total 1.5</t>
  </si>
  <si>
    <t>Palestino vs Audax Italiano / Total 0.5</t>
  </si>
  <si>
    <t>Cruzeiro vs Fluminense FC / Match Odds</t>
  </si>
  <si>
    <t>Clube do Remo vs São Paulo / Both Teams To Score</t>
  </si>
  <si>
    <t>Clube do Remo vs São Paulo / Total 0.5</t>
  </si>
  <si>
    <t>Emelec vs Universidad Católica del Ecuador / Total 0.5</t>
  </si>
  <si>
    <t>Cruzeiro vs Fluminense FC / Total 0.5</t>
  </si>
  <si>
    <t>Cienciano del Cuzco vs Sporting Cristal / Correct Score</t>
  </si>
  <si>
    <t>Cienciano del Cuzco vs Sporting Cristal / Match Odds</t>
  </si>
  <si>
    <t>Cobreloa vs CSD Rangers / Both Teams To Score</t>
  </si>
  <si>
    <t>Cienciano del Cuzco vs Sporting Cristal / Total 1.5</t>
  </si>
  <si>
    <t>Cienciano del Cuzco vs Sporting Cristal / Both Teams To Score</t>
  </si>
  <si>
    <t>Palmeiras vs Chapecoense / Match Odds</t>
  </si>
  <si>
    <t>Palmeiras vs Chapecoense / Correct Score</t>
  </si>
  <si>
    <t>Leganés vs Mirandés / Total 1.5</t>
  </si>
  <si>
    <t>Huachipato vs Universidad Católica / Correct Score</t>
  </si>
  <si>
    <t>Vasco da Gama vs Atlético Mineiro / Total 1.5</t>
  </si>
  <si>
    <t>Germany vs Finland / Total 1.5</t>
  </si>
  <si>
    <t>UD Almería vs Real Valladolid / Match Odds</t>
  </si>
  <si>
    <t>UD Almería vs Real Valladolid / Both Teams To Score</t>
  </si>
  <si>
    <t>Burgos CF vs Andorra FC / Match Odds</t>
  </si>
  <si>
    <t>Racing Santander vs Cádiz / Match Odds</t>
  </si>
  <si>
    <t>Real Zaragoza vs Málaga / Total 1.5</t>
  </si>
  <si>
    <t>FBC Melgar vs Alianza Atletico / Match Odds</t>
  </si>
  <si>
    <t>UD Almería vs Real Valladolid / Total 0.5</t>
  </si>
  <si>
    <t>FBC Melgar vs Alianza Atletico / Total 1.5</t>
  </si>
  <si>
    <t>UD Almería vs Real Valladolid / 1st Half Total 0.5</t>
  </si>
  <si>
    <t>CD Castellon vs SD Eibar / Total 0.5</t>
  </si>
  <si>
    <t>Kongsvinger IL vs Åsane / Match Odds</t>
  </si>
  <si>
    <t>AC Horsens vs Kolding IF / Match Odds</t>
  </si>
  <si>
    <t>Red Bull Bragantino vs SC Internacional / Total 1.5</t>
  </si>
  <si>
    <t>BK Häcken vs Hammarby IF / Total 4.5</t>
  </si>
  <si>
    <t>Wuhan Three Towns vs Yunnan Yukun / Match Odds</t>
  </si>
  <si>
    <t>Wuhan Three Towns vs Yunnan Yukun / Correct Score</t>
  </si>
  <si>
    <t>Tianjin Jinmenhu vs Dalian Yingbo / Both Teams To Score</t>
  </si>
  <si>
    <t>Tianjin Jinmenhu vs Dalian Yingbo / Match Odds</t>
  </si>
  <si>
    <t>BK Häcken vs Hammarby IF / Total 1.5</t>
  </si>
  <si>
    <t>Mexico vs Australia / Total 1.5</t>
  </si>
  <si>
    <t>Deportivo Maldonado vs Club Nacional / Total 1.5</t>
  </si>
  <si>
    <t>Deportivo Maldonado vs Club Nacional / 1st Half Total 0.5</t>
  </si>
  <si>
    <t>Córdoba CF vs Huesca / Total 3.5</t>
  </si>
  <si>
    <t>Real Zaragoza vs Málaga / Total 3.5</t>
  </si>
  <si>
    <t>Wuhan Three Towns vs Yunnan Yukun / Double Chance</t>
  </si>
  <si>
    <t>FK Kauno Žalgiris vs Žalgiris Vilnius / Total 1.5</t>
  </si>
  <si>
    <t>Ho Chi Minh City FC vs Viettel / Total 3.5</t>
  </si>
  <si>
    <t>1.FC Slovácko vs SK Artis Brno / Total 1.5</t>
  </si>
  <si>
    <t>Universitario de Vinto vs Club Aurora / Total 4.5</t>
  </si>
  <si>
    <t>Club Deportes Santa Cruz vs Deportes Copiapó / Both Teams To Score</t>
  </si>
  <si>
    <t>Atlética Ponte Preta vs Botafogo SP / Total 0.5</t>
  </si>
  <si>
    <t>Curicó Unido vs Antofagasta / Total 1.5</t>
  </si>
  <si>
    <t>Barra FC vs Brusque FC / Total 3.5</t>
  </si>
  <si>
    <t>Barra FC vs Brusque FC / Total 1.5</t>
  </si>
  <si>
    <t>Wales vs Ghana / Both Teams To Score</t>
  </si>
  <si>
    <t>Croatia vs Belgium / Both Teams To Score</t>
  </si>
  <si>
    <t>Croatia vs Belgium / Total 1.5</t>
  </si>
  <si>
    <t>Over Triplex</t>
  </si>
  <si>
    <t>Colombia vs Jordan / Total 1.5</t>
  </si>
  <si>
    <t>Ecuador vs Guatemala / Total 1.5</t>
  </si>
  <si>
    <t>Antofagasta vs Magallanes / Both Teams To Score</t>
  </si>
  <si>
    <t>CRB vs São Bernardo FC / Correct Score</t>
  </si>
  <si>
    <t>Morocco vs Norway / Match Odds</t>
  </si>
  <si>
    <t>Ranheim vs Strømmen / Match Odds</t>
  </si>
  <si>
    <t>Liechtenstein vs Cyprus / Total 1.5</t>
  </si>
  <si>
    <t>Argentina vs Honduras / Total 1.5</t>
  </si>
  <si>
    <t>USA vs Germany / Both Teams To Score</t>
  </si>
  <si>
    <t>Olympique Akbou vs ES Ben Aknoun / Total 0.5</t>
  </si>
  <si>
    <t>Criciúma EC vs Londrina / Correct Score</t>
  </si>
  <si>
    <t>Belgium vs Tunisia / Total 1.5</t>
  </si>
  <si>
    <t>Haiti vs Peru / Match Odds</t>
  </si>
  <si>
    <t>JS Kabylie vs CR Belouizdad / Total 0.5</t>
  </si>
  <si>
    <t>Hungary vs Finland / Total 1.5</t>
  </si>
  <si>
    <t>Daegu FC vs Paju Citizen FC / Correct Score</t>
  </si>
  <si>
    <t>Mexico vs Serbia / Match Odds</t>
  </si>
  <si>
    <t>Andorra vs Liechtenstein / Total 0.5</t>
  </si>
  <si>
    <t>Sweden vs Greece / Total 1.5</t>
  </si>
  <si>
    <t>Slovenia vs Cyprus / Match Odds</t>
  </si>
  <si>
    <t>Dutching</t>
  </si>
  <si>
    <t>7P</t>
  </si>
  <si>
    <t>8P</t>
  </si>
  <si>
    <t>Deportes Limache vs Everton de Viña del Mar / Total 0.5</t>
  </si>
  <si>
    <t>SE Gama vs AA Aparecidense / Total 1.5</t>
  </si>
  <si>
    <t>Croatia vs Slovenia / Total 3.5</t>
  </si>
  <si>
    <t>Liechtenstein vs Cyprus / Total 3.5</t>
  </si>
  <si>
    <t>Operário Ferroviário vs EC Juventude / Total 0.5</t>
  </si>
  <si>
    <t>England vs New Zealand / Total 3.5</t>
  </si>
  <si>
    <t>Deportes Copiapó vs Santiago Wanderers / Total 1.5</t>
  </si>
  <si>
    <t>Machida Zelvia vs Nagoya Grampus / Total 0.5</t>
  </si>
  <si>
    <t>Deportes Concepción vs Coquimbo Unido / Total 3.5</t>
  </si>
  <si>
    <t>Deportes Concepción vs Coquimbo Unido / Total 1.5</t>
  </si>
  <si>
    <t>Denmark vs Congo DR / Total 0.5</t>
  </si>
  <si>
    <t>Vila Nova FC vs Botafogo SP / Correct Score</t>
  </si>
  <si>
    <t>Atlético Nacional vs Junior / Correct Score</t>
  </si>
  <si>
    <t>Netherlands vs Uzbekistan / Match Odds</t>
  </si>
  <si>
    <t>Netherlands vs Uzbekistan / Total 1.5</t>
  </si>
  <si>
    <t>Luis Terra</t>
  </si>
  <si>
    <t>Atletico Ottawa vs FC Supra du Quebec / Correct Score</t>
  </si>
  <si>
    <t>Clube Náutico Capibaribe vs Fortaleza EC / Correct Score</t>
  </si>
  <si>
    <t>UD Almería vs CD Castellon / Correct Score</t>
  </si>
  <si>
    <t>Hungary vs Kazakhstan / Match Odds</t>
  </si>
  <si>
    <t>IK Brage vs Ljungskile SK / Match Odds</t>
  </si>
  <si>
    <t>Östers IF vs IFK Värnamo / Match Odds</t>
  </si>
  <si>
    <t>Östers IF vs IFK Värnamo / Correct Score</t>
  </si>
  <si>
    <t>Hungary vs Kazakhstan / Total 1.5</t>
  </si>
  <si>
    <t>Armenia vs Moldova / Correct Score</t>
  </si>
  <si>
    <t>Armenia vs Moldova / Both Teams To Score</t>
  </si>
  <si>
    <t>LTD + 1x1</t>
  </si>
  <si>
    <t>1x1</t>
  </si>
  <si>
    <t>Tajikistan vs India / Total 0.5</t>
  </si>
  <si>
    <t>Phoenix Rising FC vs Louisville City FC / Correct Score</t>
  </si>
  <si>
    <t>Monterey Bay FC vs Sporting Club Jacksonville / Match Odds</t>
  </si>
  <si>
    <t>Sport Club do Recife vs Athletic Club MG / Correct Score</t>
  </si>
  <si>
    <t>Sport Club do Recife vs Athletic Club MG / Total 0.5</t>
  </si>
  <si>
    <t>Ceará SC vs Avaí FC / Correct Score</t>
  </si>
  <si>
    <t>England vs Costa Rica / Total 1.5</t>
  </si>
  <si>
    <t>Portugal vs Nigeria / Match Odds</t>
  </si>
  <si>
    <t>Málaga vs UD Las Palmas / Total 1.5</t>
  </si>
  <si>
    <t>Portugal vs Nigeria / Total 1.5</t>
  </si>
  <si>
    <t>Portugal vs Nigeria / Both Teams To Score</t>
  </si>
  <si>
    <t>Varbergs BoIS vs Norrby IF / Match Odds</t>
  </si>
  <si>
    <t>Varbergs BoIS vs Norrby IF / Total 1.5</t>
  </si>
  <si>
    <t>Over Alavancado</t>
  </si>
  <si>
    <t>England vs Costa Rica / Match Odds</t>
  </si>
  <si>
    <t>Örebro SK vs GIF Sundsvall / 1st Half Total 0.5</t>
  </si>
  <si>
    <t>Valida</t>
  </si>
  <si>
    <t>South Korea vs Czech Republic / Correct Score</t>
  </si>
  <si>
    <t>South Korea vs Czech Republic / Total 0.5</t>
  </si>
  <si>
    <t>Mexico vs South Africa / Match Odds</t>
  </si>
  <si>
    <t>Mexico vs South Africa / Correct Score</t>
  </si>
  <si>
    <t>Mexico vs South Africa / Total 1.5</t>
  </si>
  <si>
    <t>Tampere United vs OLS / Total 2.5</t>
  </si>
  <si>
    <t>Copa do Mundo</t>
  </si>
  <si>
    <t>Sweden vs Tunisia / Correct Score</t>
  </si>
  <si>
    <t>Sweden vs Tunisia / Total 3.5</t>
  </si>
  <si>
    <t>Ivory Coast vs Ecuador / Total 1.5</t>
  </si>
  <si>
    <t>Gremio Novorizontino vs Clube Náutico Capibaribe / Match Odds</t>
  </si>
  <si>
    <t>Universidad Católica vs Universidad de Concepción / Match Odds</t>
  </si>
  <si>
    <t>Gremio Novorizontino vs Clube Náutico Capibaribe / Total 0.5</t>
  </si>
  <si>
    <t>Universidad Católica vs Universidad de Concepción / Total 1.5</t>
  </si>
  <si>
    <t>Universidad Católica vs Universidad de Concepción / 1st Half Total 0.5</t>
  </si>
  <si>
    <t>Germany vs Curaçao / Match Odds</t>
  </si>
  <si>
    <t>Þór Akureyri vs ÍB Vestmannaeyja / Total 3.5</t>
  </si>
  <si>
    <t>Brusque FC vs Santa Cruz FC / Correct Score</t>
  </si>
  <si>
    <t>Åsane vs Odds Ballklubb / Correct Score</t>
  </si>
  <si>
    <t>Hødd vs Kongsvinger IL / Correct Score</t>
  </si>
  <si>
    <t>Stabæk vs Egersund / Match Odds</t>
  </si>
  <si>
    <t>Stabæk vs Egersund / Correct Score</t>
  </si>
  <si>
    <t>Strømsgodset vs Raufoss / Match Odds</t>
  </si>
  <si>
    <t>Falkenbergs FF vs Örebro SK / Match Odds</t>
  </si>
  <si>
    <t>Falkenbergs FF vs Örebro SK / Correct Score</t>
  </si>
  <si>
    <t>EC Juventude vs Atlética Ponte Preta / 1st Half Total 0.5</t>
  </si>
  <si>
    <t>Norrby IF vs IK Oddevold / Both Teams To Score</t>
  </si>
  <si>
    <t>Australia vs Turkey / Correct Score</t>
  </si>
  <si>
    <t>Haiti vs Scotland / Match Odds</t>
  </si>
  <si>
    <t>Haiti vs Scotland / Correct Score</t>
  </si>
  <si>
    <t>Colorado Springs Switchbacks FC vs Sacramento Republic / Correct Score</t>
  </si>
  <si>
    <t>Tampa Bay Rowdies vs Hartford Athletic FC / Total 1.5</t>
  </si>
  <si>
    <t>Tampa Bay Rowdies vs Hartford Athletic FC / Total 2.5</t>
  </si>
  <si>
    <t>Birmingham Legion FC vs Las Vegas Lights / Total 1.5</t>
  </si>
  <si>
    <t>Colo-Colo vs Cobresal / Match Odds</t>
  </si>
  <si>
    <t>Qatar vs Switzerland / Match Odds</t>
  </si>
  <si>
    <t>Qatar vs Switzerland / Total 1.5</t>
  </si>
  <si>
    <t>Coquimbo Unido vs O'Higgins / Total 0.5</t>
  </si>
  <si>
    <t>Coquimbo Unido vs O'Higgins / Match Odds</t>
  </si>
  <si>
    <t>Coquimbo Unido vs O'Higgins / Correct Score</t>
  </si>
  <si>
    <t>FK Auda vs FS Jelgava / Correct Score</t>
  </si>
  <si>
    <t>Leiknir Reykjavík vs IF Vestri / Total 0.5</t>
  </si>
  <si>
    <t>FC Inter Turku vs AC Oulu / Correct Score</t>
  </si>
  <si>
    <t>Ilves vs TPS / Correct Score</t>
  </si>
  <si>
    <t>USA vs Paraguay / Correct Score</t>
  </si>
  <si>
    <t>USA vs Paraguay / Total 0.5</t>
  </si>
  <si>
    <t>Atlético Goianiense vs CRB / Both Teams To Score</t>
  </si>
  <si>
    <t>St. Patrick's Athletic vs Drogheda United / Match Odds</t>
  </si>
  <si>
    <t>St. Patrick's Athletic vs Drogheda United / Correct Score</t>
  </si>
  <si>
    <t>Canada vs Bosnia-Herzegovina / Total 1.5</t>
  </si>
  <si>
    <t>Galway United vs Dundalk / Both Teams To Score</t>
  </si>
  <si>
    <t>Galway United vs Dundalk / Correct Score</t>
  </si>
  <si>
    <t>Galway United vs Dundalk / Total 0.5</t>
  </si>
  <si>
    <t>St. Patrick's Athletic vs Drogheda United / Total 1.5</t>
  </si>
  <si>
    <t>FK Tukums 2000 vs BFC Daugavpils / Total 0.5</t>
  </si>
  <si>
    <t>Revalida</t>
  </si>
  <si>
    <t>Seleções</t>
  </si>
  <si>
    <t>Chile 1</t>
  </si>
  <si>
    <t>Sniperback</t>
  </si>
  <si>
    <t>Masterlist</t>
  </si>
  <si>
    <t>Sandvikens IF vs IK Brage / Total 2.5</t>
  </si>
  <si>
    <t>Sandnes Ulf vs Strømmen / Total 0.5</t>
  </si>
  <si>
    <t>Dinamarca 2</t>
  </si>
  <si>
    <t>Iran vs New Zealand / Correct Score</t>
  </si>
  <si>
    <t>Iran vs New Zealand / Total 2.5</t>
  </si>
  <si>
    <t>Criciúma EC vs Ceará SC / Match Odds</t>
  </si>
  <si>
    <t>Saudi Arabia vs Uruguay / Total 1.5</t>
  </si>
  <si>
    <t>Belgium vs Egypt / Match Odds</t>
  </si>
  <si>
    <t>Belgium vs Egypt / Total 2.5</t>
  </si>
  <si>
    <t>Belgium vs Egypt / Correct Score</t>
  </si>
  <si>
    <t>Belgium vs Egypt / Total 1.5</t>
  </si>
  <si>
    <t>GIF Sundsvall vs Östers IF / Both Teams To Score</t>
  </si>
  <si>
    <t>GIF Sundsvall vs Östers IF / Correct Score</t>
  </si>
  <si>
    <t>IFK Norrköping vs Varbergs BoIS / Total 1.5</t>
  </si>
  <si>
    <t>Spain vs Cape Verde / Match Odds</t>
  </si>
  <si>
    <t>Spain vs Cape Verde / Total 2.5</t>
  </si>
  <si>
    <t>Spain vs Cape Verde / Correct Score</t>
  </si>
  <si>
    <t>Uzbekistan vs Colombia / Match Odds</t>
  </si>
  <si>
    <t>Ghana vs Panama / Total 1.5</t>
  </si>
  <si>
    <t>England vs Croatia / Match Odds</t>
  </si>
  <si>
    <t>England vs Croatia / Correct Score</t>
  </si>
  <si>
    <t>England vs Croatia / Total 1.5</t>
  </si>
  <si>
    <t>IF Gnistan vs FC Lahti / Match Odds</t>
  </si>
  <si>
    <t>Portugal vs Congo DR / Match Odds</t>
  </si>
  <si>
    <t>Portugal vs Congo DR / Total 2.5</t>
  </si>
  <si>
    <t>Paide Linnameeskond vs Harju JK Laagri / Total 1.5</t>
  </si>
  <si>
    <t>Riga FC vs Rigas Futbola Skola / Total 2.5</t>
  </si>
  <si>
    <t>Ilves vs FF Jaro / Match Odds</t>
  </si>
  <si>
    <t>FK Tukums 2000 vs FK Auda / Correct Score</t>
  </si>
  <si>
    <t>Austria vs Jordan / Correct Score</t>
  </si>
  <si>
    <t>Argentina vs Algeria / Match Odds</t>
  </si>
  <si>
    <t>Argentina vs Algeria / Total 1.5</t>
  </si>
  <si>
    <t>Fortaleza EC vs América-MG / Match Odds</t>
  </si>
  <si>
    <t>Fortaleza EC vs América-MG / Total 3.5</t>
  </si>
  <si>
    <t>Fortaleza EC vs América-MG / Total 2.5</t>
  </si>
  <si>
    <t>Iraq vs Norway / Match Odds</t>
  </si>
  <si>
    <t>Iraq vs Norway / Total 3.5</t>
  </si>
  <si>
    <t>Víkingur vs KR Reykjavik / Match Odds</t>
  </si>
  <si>
    <t>France vs Senegal / Match Odds</t>
  </si>
  <si>
    <t>France vs Senegal / Correct Score</t>
  </si>
  <si>
    <t>Víkingur vs KR Reykjavik / Total 1.5</t>
  </si>
  <si>
    <t>France vs Senegal / Total 0.5</t>
  </si>
  <si>
    <t>Víkingur vs KR Reykjavik / Half-time Result</t>
  </si>
  <si>
    <t>Landskrona BoIS vs United IK Nordic / Total 2.5</t>
  </si>
  <si>
    <t>IFK Värnamo vs Helsingborgs IF / Total 1.5</t>
  </si>
  <si>
    <t>FK Grobinas vs FK Liepaja / Total 1.5</t>
  </si>
  <si>
    <t>FC Kuressaare vs Narva Trans / Total 0.5</t>
  </si>
  <si>
    <t>Pärnu JK Vaprus vs Tallinna FC Flora / Total 2.5</t>
  </si>
  <si>
    <t>BFC Daugavpils vs SK Super Nova / Total 0.5</t>
  </si>
  <si>
    <t>Back FT/HT</t>
  </si>
  <si>
    <t>Back FT</t>
  </si>
  <si>
    <t>Back HT</t>
  </si>
  <si>
    <t>0x2</t>
  </si>
  <si>
    <t>Letônia 1</t>
  </si>
  <si>
    <t>France vs Senegal / Half-time Result</t>
  </si>
  <si>
    <t>Neutro</t>
  </si>
  <si>
    <t>FIFA World Cup - Group A Winner / Winner</t>
  </si>
  <si>
    <t>Mexico vs South Korea / Correct Score</t>
  </si>
  <si>
    <t>Mexico vs South Korea / Total 0.5</t>
  </si>
  <si>
    <t>Universidad de Chile vs O'Higgins / Match Odds</t>
  </si>
  <si>
    <t>Sport Club do Recife vs Atlético Goianiense / Match Odds</t>
  </si>
  <si>
    <t>Canada vs Qatar / Match Odds</t>
  </si>
  <si>
    <t>Switzerland vs Bosnia-Herzegovina / Match Odds</t>
  </si>
  <si>
    <t>Switzerland vs Bosnia-Herzegovina / Correct Score</t>
  </si>
  <si>
    <t>Switzerland vs Bosnia-Herzegovina / Total 0.5</t>
  </si>
  <si>
    <t>Czech Republic vs South Africa / Match Odds</t>
  </si>
  <si>
    <t>Czech Republic vs South Africa / Correct Score</t>
  </si>
  <si>
    <t>FC Elva vs Viimsi JK / Total 1.5</t>
  </si>
  <si>
    <t>Czech Republic vs South Africa / Total 1.5</t>
  </si>
  <si>
    <t>AC Oulu vs IFK Mariehamn / Match Odds</t>
  </si>
  <si>
    <t>Canada vs Qatar / Total 2.5</t>
  </si>
  <si>
    <t>Canada vs Qatar / Total 1.5</t>
  </si>
  <si>
    <t>Lay Super Zebra</t>
  </si>
  <si>
    <t>Longo Prazo</t>
  </si>
  <si>
    <t>Grupos</t>
  </si>
  <si>
    <t>New Zealand vs Egypt / Correct Score</t>
  </si>
  <si>
    <t>New Zealand vs Egypt / Total 2.5</t>
  </si>
  <si>
    <t>Uruguay vs Cape Verde / Match Odds</t>
  </si>
  <si>
    <t>Uruguay vs Cape Verde / Total 3.5</t>
  </si>
  <si>
    <t>Barra FC vs Amazonas FC / Correct Score</t>
  </si>
  <si>
    <t>Goiás EC vs Operário Ferroviário / Total 4.5</t>
  </si>
  <si>
    <t>Goiás EC vs Operário Ferroviário / Match Odds</t>
  </si>
  <si>
    <t>Goiás EC vs Operário Ferroviário / Total 3.5</t>
  </si>
  <si>
    <t>Fram Reykjavik vs Víkingur / Correct Score</t>
  </si>
  <si>
    <t>Belgium vs Iran / Match Odds</t>
  </si>
  <si>
    <t>Belgium vs Iran / Total 1.5</t>
  </si>
  <si>
    <t>Belgium vs Iran / Correct Score</t>
  </si>
  <si>
    <t>CRB vs Fortaleza EC / Total 1.5</t>
  </si>
  <si>
    <t>FIFA World Cup - Group D Winner / Winner</t>
  </si>
  <si>
    <t>FIFA World Cup - Group E Winner / Winner</t>
  </si>
  <si>
    <t>ÍB Vestmannaeyja vs Stjarnan / Total 3.5</t>
  </si>
  <si>
    <t>Valur vs Keflavik IF / Total 1.5</t>
  </si>
  <si>
    <t>Spain vs Saudi Arabia / Match Odds</t>
  </si>
  <si>
    <t>Norrby IF vs United IK Nordic / Total 0.5</t>
  </si>
  <si>
    <t>Bryne vs Åsane / Total 1.5</t>
  </si>
  <si>
    <t>Bryne vs Åsane / Match Odds</t>
  </si>
  <si>
    <t>Odds Ballklubb vs Hødd / Correct Score</t>
  </si>
  <si>
    <t>Moss vs Sandnes Ulf / Match Odds</t>
  </si>
  <si>
    <t>Moss vs Sandnes Ulf / Total 2.5</t>
  </si>
  <si>
    <t>Moss vs Sandnes Ulf / Total 1.5</t>
  </si>
  <si>
    <t>Tartu JK Tammeka vs Narva Trans / Correct Score</t>
  </si>
  <si>
    <t>Ecuador vs Curaçao / Total 0.5</t>
  </si>
  <si>
    <t>Ecuador vs Curaçao / Match Odds</t>
  </si>
  <si>
    <t>Ituano FC vs Figueirense FC / Correct Score</t>
  </si>
  <si>
    <t>Vila Nova FC vs Clube Náutico Capibaribe / Match Odds</t>
  </si>
  <si>
    <t>Vila Nova FC vs Clube Náutico Capibaribe / Correct Score</t>
  </si>
  <si>
    <t>Ceará SC vs Botafogo SP / Match Odds</t>
  </si>
  <si>
    <t>Germany vs Ivory Coast / Match Odds</t>
  </si>
  <si>
    <t>Germany vs Ivory Coast / Total 2.5</t>
  </si>
  <si>
    <t>Germany vs Ivory Coast / Total 1.5</t>
  </si>
  <si>
    <t>UD Almería vs Málaga / Total 0.5</t>
  </si>
  <si>
    <t>Netherlands vs Sweden / Match Odds</t>
  </si>
  <si>
    <t>Netherlands vs Sweden / Correct Score</t>
  </si>
  <si>
    <t>Tallinna FC Levadia vs Nõmme Kalju FC / Total 0.5</t>
  </si>
  <si>
    <t>Londrina vs Athletic Club MG / Total 0.5</t>
  </si>
  <si>
    <t>Brazil vs Haiti / Total 3.5</t>
  </si>
  <si>
    <t>Brazil vs Haiti / Match Odds</t>
  </si>
  <si>
    <t>Scotland vs Morocco / Match Odds</t>
  </si>
  <si>
    <t>Scotland vs Morocco / Total 1.5</t>
  </si>
  <si>
    <t>Scotland vs Morocco / Correct Score</t>
  </si>
  <si>
    <t>USA vs Australia / Total 2.5</t>
  </si>
  <si>
    <t>USA vs Australia / Match Odds</t>
  </si>
  <si>
    <t>USA vs Australia / Correct Score</t>
  </si>
  <si>
    <t>Galway United vs Derry City / Match Odds</t>
  </si>
  <si>
    <t>St. Patrick's Athletic vs Sligo Rovers / Match Odds</t>
  </si>
  <si>
    <t>UCD vs Kerry FC / Match Odds</t>
  </si>
  <si>
    <t>St. Patrick's Athletic vs Sligo Rovers / Total 0.5</t>
  </si>
  <si>
    <t>Galway United vs Derry City / Total 2.5</t>
  </si>
  <si>
    <t>Cork City FC vs Treaty United / Match Odds</t>
  </si>
  <si>
    <t>Waterford FC vs Shamrock Rovers / Total 1.5</t>
  </si>
  <si>
    <t>Bohemian FC vs Dundalk / Both Teams To Score</t>
  </si>
  <si>
    <t>Ranheim vs FK Lyn / Match Odds</t>
  </si>
  <si>
    <t>Irlanda 2</t>
  </si>
  <si>
    <t>0x3</t>
  </si>
  <si>
    <t>Germany vs Ivory Coast / Correct Score</t>
  </si>
  <si>
    <t>Turkey vs Paraguay / Correct Score</t>
  </si>
  <si>
    <t>Ajuste Caixa</t>
  </si>
  <si>
    <t>Jordan vs Algeria / Correct Score</t>
  </si>
  <si>
    <t>Norway vs Senegal / Match Odds</t>
  </si>
  <si>
    <t>France vs Iraq / Match Odds</t>
  </si>
  <si>
    <t>KR Reykjavik vs IA Akranes / Correct Score</t>
  </si>
  <si>
    <t>Shamrock Rovers vs Derry City / Total 2.5</t>
  </si>
  <si>
    <t>Shamrock Rovers vs Derry City / Match Odds</t>
  </si>
  <si>
    <t>Shelbourne FC vs Bohemian FC / Correct Score</t>
  </si>
  <si>
    <t>Argentina vs Austria / Match Odds</t>
  </si>
  <si>
    <t>IK Oddevold vs Ljungskile SK / Both Teams To Score</t>
  </si>
  <si>
    <t>IK Oddevold vs Ljungskile SK / Correct Score</t>
  </si>
  <si>
    <t>Varbergs BoIS vs Landskrona BoIS / Correct Score</t>
  </si>
  <si>
    <t>Colombia vs Congo DR / Correct Score</t>
  </si>
  <si>
    <t>Panama vs Croatia / Correct Score</t>
  </si>
  <si>
    <t>FC Inter Turku vs SJK / Total 2.5</t>
  </si>
  <si>
    <t>FC Inter Turku vs SJK / Match Odds</t>
  </si>
  <si>
    <t>FC Lahti vs TPS / Correct Score</t>
  </si>
  <si>
    <t>Colombia vs Congo DR / Match Odds</t>
  </si>
  <si>
    <t>Panama vs Croatia / Match Odds</t>
  </si>
  <si>
    <t>England vs Ghana / Match Odds</t>
  </si>
  <si>
    <t>Portugal vs Uzbekistan / Match Odds</t>
  </si>
  <si>
    <t>Saldo Bolsa</t>
  </si>
  <si>
    <t>Bolsa</t>
  </si>
  <si>
    <t>Betbra</t>
  </si>
  <si>
    <t>Fulltbet</t>
  </si>
  <si>
    <t>South Africa vs South Korea / Match Odds</t>
  </si>
  <si>
    <t>FIFA World Cup - Group C Winner / Winner</t>
  </si>
  <si>
    <t>Scotland vs Brazil / Correct Score</t>
  </si>
  <si>
    <t>FIFA World Cup - Group B Winner / Winner</t>
  </si>
  <si>
    <t>Scotland vs Brazil / Match Odds</t>
  </si>
  <si>
    <t>Morocco vs Haiti / Match Odds</t>
  </si>
  <si>
    <t>South Africa vs South Korea / Correct Score</t>
  </si>
  <si>
    <t>Bosnia-Herzegovina vs Qatar / Match Odds</t>
  </si>
  <si>
    <t>Bosnia-Herzegovina vs Qatar / Correct Score</t>
  </si>
  <si>
    <t>Valida Super Zebra</t>
  </si>
  <si>
    <t>Valida Zebra</t>
  </si>
  <si>
    <t>Ambos Zebra</t>
  </si>
  <si>
    <t>Pessoal Zebra</t>
  </si>
  <si>
    <t>Ambos Super Zebra</t>
  </si>
  <si>
    <t>Cuiabá EC vs Londrina / Match Odds</t>
  </si>
  <si>
    <t>Cuiabá EC vs Londrina / Correct Score</t>
  </si>
  <si>
    <t>Japan vs Sweden / Correct Score</t>
  </si>
  <si>
    <t>Japan vs Sweden / Total 0.5</t>
  </si>
  <si>
    <t>Ecuador vs Germany / Correct Score</t>
  </si>
  <si>
    <t>Ecuador vs Germany / Total 2.5</t>
  </si>
  <si>
    <t>BFC Daugavpils vs Riga FC / Total 0.5</t>
  </si>
  <si>
    <t>Over Limite 2ºT</t>
  </si>
  <si>
    <t>IFK Norrköping vs Norrby IF / Match Odds</t>
  </si>
  <si>
    <t>IFK Norrköping vs Norrby IF / Correct Score</t>
  </si>
  <si>
    <t>Athletic Club MG vs Avaí FC / Match Odds</t>
  </si>
  <si>
    <t>Atlético Goianiense vs Atlética Ponte Preta / Match Odds</t>
  </si>
  <si>
    <t>Athletic Club MG vs Avaí FC / Correct Score</t>
  </si>
  <si>
    <t>Atlético Goianiense vs Atlética Ponte Preta / Correct Score</t>
  </si>
  <si>
    <t>EC Juventude vs Ceará SC / Match Odds</t>
  </si>
  <si>
    <t>EC Juventude vs Ceará SC / Correct Score</t>
  </si>
  <si>
    <t>AC Oulu vs FC Lahti / Match Odds</t>
  </si>
  <si>
    <t>AC Oulu vs FC Lahti / Correct Score</t>
  </si>
  <si>
    <t>TPS vs FF Jaro / Match Odds</t>
  </si>
  <si>
    <t>TPS vs FF Jaro / Correct Score</t>
  </si>
  <si>
    <t>Operário Ferroviário vs América-MG / Match Odds</t>
  </si>
  <si>
    <t>Operário Ferroviário vs América-MG / Correct Score</t>
  </si>
  <si>
    <t>Sandnes Ulf vs Raufoss / Match Odds</t>
  </si>
  <si>
    <t>Sandnes Ulf vs Raufoss / Correct Score</t>
  </si>
  <si>
    <t>New Zealand vs Belgium / Match Odds</t>
  </si>
  <si>
    <t>Uruguay vs Spain / Match Odds</t>
  </si>
  <si>
    <t>Cape Verde vs Saudi Arabia / Correct Score</t>
  </si>
  <si>
    <t>Shamrock Rovers vs Galway United / Match Odds</t>
  </si>
  <si>
    <t>Shamrock Rovers vs Galway United / Correct Score</t>
  </si>
  <si>
    <t>Bohemian FC vs St. Patrick's Athletic / 1st Half Total 0.5</t>
  </si>
  <si>
    <t>Clube Náutico Capibaribe vs Goiás EC / Total 2.5</t>
  </si>
  <si>
    <t>Clube Náutico Capibaribe vs Goiás EC / Total 1.5</t>
  </si>
  <si>
    <t>South Africa vs Canada / Correct Score</t>
  </si>
  <si>
    <t>Athletic Club MG vs Avaí FC / Total 0.5</t>
  </si>
  <si>
    <t>Atlético Goianiense vs Atlética Ponte Preta / 1st Half Total 0.5</t>
  </si>
  <si>
    <t>IFK Norrköping vs Norrby IF / Total 1.5</t>
  </si>
  <si>
    <t>Qingdao West Coast vs Zhejiang Professional / Total 4.5</t>
  </si>
  <si>
    <t>Colombia vs Portugal / Correct Score</t>
  </si>
  <si>
    <t>Croatia vs Ghana / Correct Score</t>
  </si>
  <si>
    <t>Panama vs England / Match Odds</t>
  </si>
  <si>
    <t>Strømsgodset vs Odds Ballklubb / Correct Score</t>
  </si>
  <si>
    <t>Stabæk vs Bryne / Correct Score</t>
  </si>
  <si>
    <t>Varbergs BoIS vs Östers IF / Correct Score</t>
  </si>
  <si>
    <t>Beijing Guoan vs Wuhan Three Towns / Correct Score</t>
  </si>
  <si>
    <t>Shenzhen Peng City vs Chengdu Rongcheng / Total 1.5</t>
  </si>
  <si>
    <t>Henan Songshan Longmen vs Shanghai Port / Total 2.5</t>
  </si>
  <si>
    <t>Uruguay vs Spain / Correct Score</t>
  </si>
  <si>
    <t>FIFA World Cup - Group I Winner / Winner</t>
  </si>
  <si>
    <t>Norway vs France / Correct Score</t>
  </si>
  <si>
    <t>Norway vs France / Total 4.5</t>
  </si>
  <si>
    <t>Dundalk vs Waterford FC / Match Odds</t>
  </si>
  <si>
    <t>Shamrock Rovers vs Galway United / Total 2.5</t>
  </si>
  <si>
    <t>FK Liepaja vs Rigas Futbola Skola / Correct Score</t>
  </si>
  <si>
    <t>IK Brage vs Falkenbergs FF / Both Teams To Score</t>
  </si>
  <si>
    <t>Under 4,5</t>
  </si>
  <si>
    <t>Over 4,5</t>
  </si>
  <si>
    <t>FIFA World Cup 2026 / Winner</t>
  </si>
  <si>
    <t>Netherlands vs Morocco / Correct Score</t>
  </si>
  <si>
    <t>Germany vs Paraguay / Match Odds</t>
  </si>
  <si>
    <t>IA Akranes vs Fram Reykjavik / Correct Score</t>
  </si>
  <si>
    <t>Brazil vs Japan / Match Odds</t>
  </si>
  <si>
    <t>Brazil vs Japan / Correct Score</t>
  </si>
  <si>
    <t>Germany vs Paraguay / Correct Score</t>
  </si>
  <si>
    <t>9P</t>
  </si>
  <si>
    <t>Finlândia 1</t>
  </si>
  <si>
    <t>Mexico vs Ecuador / Match Odds</t>
  </si>
  <si>
    <t>Botafogo PB vs Brusque FC / Correct Score</t>
  </si>
  <si>
    <t>France vs Sweden / Match Odds</t>
  </si>
  <si>
    <t>Ivory Coast vs Norway / Total 1.5</t>
  </si>
  <si>
    <t>Mexico vs Ecuador / Correct Score</t>
  </si>
  <si>
    <t>USA vs Bosnia-Herzegovina / Match Odds</t>
  </si>
  <si>
    <t>LDU Quito vs Orense SC / Total 1.5</t>
  </si>
  <si>
    <t>Belgium vs Senegal / Match Odds</t>
  </si>
  <si>
    <t>Belgium vs Senegal / Correct Score</t>
  </si>
  <si>
    <t>Belgium vs Senegal / Total 2.5</t>
  </si>
  <si>
    <t>England vs Congo DR / Match Odds</t>
  </si>
  <si>
    <t>USA vs Bosnia-Herzegovina / Correct Score</t>
  </si>
  <si>
    <t>LG Zebra</t>
  </si>
  <si>
    <t>Fortaleza EC vs Atlética Ponte Preta / Match Odds</t>
  </si>
  <si>
    <t>Portugal vs Croatia / Match Odds</t>
  </si>
  <si>
    <t>Portugal vs Croatia / Correct Score</t>
  </si>
  <si>
    <t>Cuiabá EC vs América-MG / Match Odds</t>
  </si>
  <si>
    <t>Cuiabá EC vs América-MG / Correct Score</t>
  </si>
  <si>
    <t>Fortaleza EC vs Atlética Ponte Preta / Correct Score</t>
  </si>
  <si>
    <t>Switzerland vs Algeria / Correct Score</t>
  </si>
  <si>
    <t>Fortaleza EC vs Atlética Ponte Preta / 1st Half Total 0.5</t>
  </si>
  <si>
    <t>Víkingur vs KA Akureyrar / Match Odds</t>
  </si>
  <si>
    <t>Spain vs Austria / Match Odds</t>
  </si>
  <si>
    <t>FC Kuressaare vs Tallinna FC Flora / Correct Score</t>
  </si>
  <si>
    <t>Estônia 1</t>
  </si>
  <si>
    <t>Islândia 1</t>
  </si>
  <si>
    <t>Loudoun United FC vs Sporting Club Jacksonville / Correct Score</t>
  </si>
  <si>
    <t>Loudoun United FC vs Sporting Club Jacksonville / Total 2.5</t>
  </si>
  <si>
    <t>Loudoun United FC vs Sporting Club Jacksonville / Total 1.5</t>
  </si>
  <si>
    <t>Argentina vs Cape Verde / Match Odds</t>
  </si>
  <si>
    <t>Derry City vs Waterford FC / Match Odds</t>
  </si>
  <si>
    <t>Derry City vs Waterford FC / Total 2.5</t>
  </si>
  <si>
    <t>Derry City vs Waterford FC / Total 1.5</t>
  </si>
  <si>
    <t>IK Sirius vs Mjällby AIF / Match Odds</t>
  </si>
  <si>
    <t>IK Sirius vs Mjällby AIF / Total 1.5</t>
  </si>
  <si>
    <t>Kongsvinger IL vs Sogndal / Match Odds</t>
  </si>
  <si>
    <t>Yunnan Yukun vs Henan Songshan Longmen / Total 2.5</t>
  </si>
  <si>
    <t>Kongsvinger IL vs Sogndal / Correct Score</t>
  </si>
  <si>
    <t>Brazil vs Norway / Match Odds</t>
  </si>
  <si>
    <t>Brazil vs Norway / Correct Score</t>
  </si>
  <si>
    <t>Kalmar FF vs Örgryte IS / Match Odds</t>
  </si>
  <si>
    <t>IFK Göteborg vs AIK / Total 4.5</t>
  </si>
  <si>
    <t>IFK Göteborg vs AIK / Correct Score</t>
  </si>
  <si>
    <t>Kalmar FF vs Örgryte IS / Total 1.5</t>
  </si>
  <si>
    <t>Qingdao Hainiu vs Chengdu Rongcheng / Both Teams To Score</t>
  </si>
  <si>
    <t>San Antonio FC vs Monterey Bay FC / Correct Score</t>
  </si>
  <si>
    <t>Ferroviária vs SER Caxias Do Sul / Correct Score</t>
  </si>
  <si>
    <t>Paraguay vs France / Match Odds</t>
  </si>
  <si>
    <t>Indy Eleven vs Charleston Battery / Correct Score</t>
  </si>
  <si>
    <t>Criciúma EC vs Sport Club do Recife / Match Odds</t>
  </si>
  <si>
    <t>Gremio Novorizontino vs Atlético Goianiense / Match Odds</t>
  </si>
  <si>
    <t>Canada vs Morocco / Match Odds</t>
  </si>
  <si>
    <t>Canada vs Morocco / Correct Score</t>
  </si>
  <si>
    <t>Narva Trans vs Tallinna FC Levadia / Correct Score</t>
  </si>
  <si>
    <t>VPS vs IFK Mariehamn / Match Odds</t>
  </si>
  <si>
    <t>Tianjin Jinmenhu vs Shenzhen Peng City / Match Odds</t>
  </si>
  <si>
    <t>Dalian Yingbo vs Wuhan Three Towns / Match Odds</t>
  </si>
  <si>
    <t>Qingdao West Coast vs Shanghai Port / Total 4.5</t>
  </si>
  <si>
    <t>Gremio Novorizontino vs Atlético Goianiense / Correct Score</t>
  </si>
  <si>
    <t>Colombia vs Ghana / Match Odds</t>
  </si>
  <si>
    <t>Colombia vs Ghana / Correct Score</t>
  </si>
  <si>
    <t>Criciúma EC vs Sport Club do Recife / Correct Score</t>
  </si>
  <si>
    <t>VPS vs IFK Mariehamn / Correct Score</t>
  </si>
  <si>
    <t>Qingdao West Coast vs Shanghai Port / Both Teams To Score</t>
  </si>
  <si>
    <t>Dalian Yingbo vs Wuhan Three Towns / Total 2.5</t>
  </si>
  <si>
    <t>Dalian Yingbo vs Wuhan Three Towns / Total 1.5</t>
  </si>
  <si>
    <t>Botafogo SP vs Avaí FC / Match Odds</t>
  </si>
  <si>
    <t>Portugal vs Spain / Correct Score</t>
  </si>
  <si>
    <t>Botafogo SP vs Avaí FC / Correct Score</t>
  </si>
  <si>
    <t>Argentina vs Egypt / Match Odds</t>
  </si>
  <si>
    <t>Argentina vs Egypt / Total 2.5</t>
  </si>
  <si>
    <t>Argentina vs Egypt / Correct Score</t>
  </si>
  <si>
    <t>Hartford Athletic FC vs Orange County SC / Correct Score</t>
  </si>
  <si>
    <t>CDT Real Oruro vs Universitario de Vinto / Correct Score</t>
  </si>
  <si>
    <t>CDT Real Oruro vs Universitario de Vinto / Total 2.5</t>
  </si>
  <si>
    <t>Nacional Potosi vs Club Aurora / Match Odds</t>
  </si>
  <si>
    <t>France vs Morocco / Total 0.5</t>
  </si>
  <si>
    <t>France vs Morocco / Match Odds</t>
  </si>
  <si>
    <t>France vs Morocco / Correct Score</t>
  </si>
  <si>
    <t>Dinamo Minsk vs FK Sileks / Match Odds</t>
  </si>
  <si>
    <t>Hajduk Split vs MŠK Žilina / 1st Half Total 0.5</t>
  </si>
  <si>
    <t>Norway vs England / Match Odds</t>
  </si>
  <si>
    <t>Norway vs England / Correct Score</t>
  </si>
  <si>
    <t>CDT Real Oruro vs CD Gualberto Villarroel / Total 1.5</t>
  </si>
  <si>
    <t>Mushuc Runa vs Independiente del Valle / Total 1.5</t>
  </si>
  <si>
    <t>Manta FC vs Orense SC / Total 0.5</t>
  </si>
  <si>
    <t>Tromsø vs Vålerenga / Match Odds</t>
  </si>
  <si>
    <t>FC Nõmme United vs FC Kuressaare / Correct Score</t>
  </si>
  <si>
    <t>IF Gnistan vs IFK Mariehamn / Match Odds</t>
  </si>
  <si>
    <t>FC Nõmme United vs FC Kuressaare / Total 2.5</t>
  </si>
  <si>
    <t>Mjällby AIF vs AIK / Correct Score</t>
  </si>
  <si>
    <t>Shenzhen Peng City vs Qingdao West Coast / Both Teams To Score</t>
  </si>
  <si>
    <t>Shenzhen Peng City vs Qingdao West Coast / Total 1.5</t>
  </si>
  <si>
    <t>Sport Club do Recife vs Botafogo SP / Match Odds</t>
  </si>
  <si>
    <t>Sport Club do Recife vs Botafogo SP / Total 3.5</t>
  </si>
  <si>
    <t>Leones del Norte vs Universidad Católica del Ecuador / Match Odds</t>
  </si>
  <si>
    <t>EC Juventude vs Vila Nova FC / Total 1.5</t>
  </si>
  <si>
    <t>Spain vs Belgium / Correct Score</t>
  </si>
  <si>
    <t>Waterford FC vs St. Patrick's Athletic / Total 1.5</t>
  </si>
  <si>
    <t>Spain vs Belgium / Total 2.5</t>
  </si>
  <si>
    <t>Dundalk vs Drogheda United / Match Odds</t>
  </si>
  <si>
    <t>Dundalk vs Drogheda United / Correct Score</t>
  </si>
  <si>
    <t>Waterford FC vs St. Patrick's Athletic / Total 0.5</t>
  </si>
  <si>
    <t>VPS vs SJK / Match Odds</t>
  </si>
  <si>
    <t>Sport Club do Recife vs Botafogo SP / Correct Score</t>
  </si>
  <si>
    <t>VPS vs SJK / Correct Score</t>
  </si>
  <si>
    <t>Tromsø vs Vålerenga / Correct Score</t>
  </si>
  <si>
    <t>IF Gnistan vs IFK Mariehamn / Correct Score</t>
  </si>
  <si>
    <t>Chengdu Rongcheng vs Chongqing Tonglianglong / Total 1.5</t>
  </si>
  <si>
    <t>CF Montreal vs Vancouver FC / Total 1.5</t>
  </si>
  <si>
    <t>KR Reykjavik vs ÍB Vestmannaeyja / Match Odds</t>
  </si>
  <si>
    <t>KR Reykjavik vs ÍB Vestmannaeyja / Correct Score</t>
  </si>
  <si>
    <t>Sarpsborg 08 vs Viking FK / Total 1.5</t>
  </si>
  <si>
    <t>Fram Reykjavik vs Þór Akureyri / Total 1.5</t>
  </si>
  <si>
    <t>IF Brommapojkarna vs IK Sirius / Total 1.5</t>
  </si>
  <si>
    <t>Malmö FF vs IFK Göteborg / Match Odds</t>
  </si>
  <si>
    <t>Malmö FF vs IFK Göteborg / Correct Score</t>
  </si>
  <si>
    <t>Hammarby IF vs Kalmar FF / Match Odds</t>
  </si>
  <si>
    <t>Hammarby IF vs Kalmar FF / Correct Score</t>
  </si>
  <si>
    <t>Argentina vs Switzerland / Match Odds</t>
  </si>
  <si>
    <t>Argentina vs Switzerland / Correct Score</t>
  </si>
  <si>
    <t>CRB vs Goiás EC / Total 3.5</t>
  </si>
  <si>
    <t>Avaí FC vs Clube Náutico Capibaribe / Match Odds</t>
  </si>
  <si>
    <t>Sarpsborg 08 vs Viking FK / Correct Score</t>
  </si>
  <si>
    <t>Brann vs Start / Correct Score</t>
  </si>
  <si>
    <t>IF Brommapojkarna vs IK Sirius / Correct Score</t>
  </si>
  <si>
    <t>GAIS vs IF Elfsborg / Match Odds</t>
  </si>
  <si>
    <t>Brann vs Start / Total 0.5</t>
  </si>
  <si>
    <t>KFUM Oslo vs Bodø/Glimt / Total 1.5</t>
  </si>
  <si>
    <t>Argentina vs Switzerland / Half Time/Full Time</t>
  </si>
  <si>
    <t>HT/FT Neutro</t>
  </si>
  <si>
    <t>Ceará SC vs Athletic Club MG / Total 0.5</t>
  </si>
  <si>
    <t>Breidablik vs Keflavik IF / Correct Score</t>
  </si>
  <si>
    <t>Breidablik vs Keflavik IF / Total 2.5</t>
  </si>
  <si>
    <t>Djurgårdens IF vs Halmstads BK / Match Odds</t>
  </si>
  <si>
    <t>Djurgårdens IF vs Halmstads BK / Total 1.5</t>
  </si>
  <si>
    <t>Djurgårdens IF vs Halmstads BK / Correct Score</t>
  </si>
  <si>
    <t>Pessoal Super Zebra</t>
  </si>
  <si>
    <t>Blooming Santa Cruz vs CD Gualberto Villarroel / Correct Score</t>
  </si>
  <si>
    <t>Shamrock Rovers vs Floriana FC / Match Odds</t>
  </si>
  <si>
    <t>Levski Sofia vs FK Borac Banja Luka / Match Odds</t>
  </si>
  <si>
    <t>Zhejiang Professional vs Qingdao Hainiu / Total 1.5</t>
  </si>
  <si>
    <t>Shamrock Rovers vs Floriana FC / Correct Score</t>
  </si>
  <si>
    <t>Clyde vs Airdrieonians / Total 1.5</t>
  </si>
  <si>
    <t>Cove Rangers vs East Kilbride / Total 1.5</t>
  </si>
  <si>
    <t>Dunfermline Athletic vs Dumbarton / Total 1.5</t>
  </si>
  <si>
    <t>Levski Sofia vs FK Borac Banja Luka / Correct Score</t>
  </si>
  <si>
    <t>East Fife vs Greenock Morton / Total 1.5</t>
  </si>
  <si>
    <t>The New Saints vs Sabah FC / Total 1.5</t>
  </si>
  <si>
    <t>Inter Club d'Escaldes vs Lincoln Red Imps FC / Total 1.5</t>
  </si>
  <si>
    <t>Györi ETO FC vs Víkingur / Total 1.5</t>
  </si>
  <si>
    <t>Lay 2x2</t>
  </si>
  <si>
    <t>Barcelona SC vs Guayaquil City FC / Correct Score</t>
  </si>
  <si>
    <t>Barcelona SC vs Guayaquil City FC / Match Odds</t>
  </si>
  <si>
    <t>Miami FC vs Indy Eleven / Total 1.5</t>
  </si>
  <si>
    <t>Lexington SC vs New Mexico United / Total 1.5</t>
  </si>
  <si>
    <t>Club Bamin Real Potosí vs San Antonio / Total 1.5</t>
  </si>
  <si>
    <t>FK Sutjeska vs FC Kairat Almaty / Correct Score</t>
  </si>
  <si>
    <t>CS Universitatea Craiova vs ML Vitebsk / Match Odds</t>
  </si>
  <si>
    <t>CS Universitatea Craiova vs ML Vitebsk / Correct Score</t>
  </si>
  <si>
    <t>The Strongest vs Oriente Petrolero / Correct Score</t>
  </si>
  <si>
    <t>Universidad Católica del Ecuador vs LDU Quito / Match Odds</t>
  </si>
  <si>
    <t>Libertad FC vs Club Deportivo Técnico Universitario / Total 0.5</t>
  </si>
  <si>
    <t>Campeão</t>
  </si>
  <si>
    <t>CF Montreal vs Toronto FC / Total 0.5</t>
  </si>
  <si>
    <t>Saint Louis City SC vs Sporting Kansas City / Total 1.5</t>
  </si>
  <si>
    <t>Saint Louis City SC vs Sporting Kansas City / Total 0.5</t>
  </si>
  <si>
    <t>CRB vs Clube Náutico Capibaribe / Match Odds</t>
  </si>
  <si>
    <t>Botafogo FR vs Santos FC / Both Teams To Score</t>
  </si>
  <si>
    <t>Botafogo FR vs Santos FC / Total 0.5</t>
  </si>
  <si>
    <t>Academia de Balompie Boliviano vs Club Independiente Petrolero / Both Teams To Score</t>
  </si>
  <si>
    <t>Ferencvárosi TC vs Vojvodina / Match Odds</t>
  </si>
  <si>
    <t>Hamrun Spartans vs NSI Runavik / Match Odds</t>
  </si>
  <si>
    <t>Hamrun Spartans vs NSI Runavik / Total 2.5</t>
  </si>
  <si>
    <t>Žalgiris Vilnius vs OFK Petrovac / Match Odds</t>
  </si>
  <si>
    <t>Ilves vs Differdange 03 / Match Odds</t>
  </si>
  <si>
    <t>FC Inter Turku vs FK Sarajevo / Match Odds</t>
  </si>
  <si>
    <t>Ferencvárosi TC vs Vojvodina / Correct Score</t>
  </si>
  <si>
    <t>Žalgiris Vilnius vs OFK Petrovac / Correct Score</t>
  </si>
  <si>
    <t>Londrina vs Botafogo SP / Correct Score</t>
  </si>
  <si>
    <t>Fluminense FC vs Red Bull Bragantino / Match Odds</t>
  </si>
  <si>
    <t>Fluminense FC vs Red Bull Bragantino / Total 2.5</t>
  </si>
  <si>
    <t>Fluminense FC vs Red Bull Bragantino / Correct Score</t>
  </si>
  <si>
    <t>Fluminense FC vs Red Bull Bragantino / Both Teams To Score</t>
  </si>
  <si>
    <t>EC Juventude vs Cuiabá EC / Match Odds</t>
  </si>
  <si>
    <t>São Bernardo FC vs Avaí FC / Correct Score</t>
  </si>
  <si>
    <t>FC Cajamarca vs Juan Pablo II College / Correct Score</t>
  </si>
  <si>
    <t>NK Celje vs NŠ Mura / Total 2.5</t>
  </si>
  <si>
    <t>FC FCSB vs FC Arges Pitesti / Total 1.5</t>
  </si>
  <si>
    <t>Bodø/Glimt vs Fredrikstad / Match Odds</t>
  </si>
  <si>
    <t>Mjällby AIF vs Västerås SK FK / Total 0.5</t>
  </si>
  <si>
    <t>Beijing Guoan vs Liaoning Tieren F.C. / Match Odds</t>
  </si>
  <si>
    <t>Yunnan Yukun vs Shanghai Port / Total 3.5</t>
  </si>
  <si>
    <t>Qingdao West Coast vs Chengdu Rongcheng / Both Teams To Score</t>
  </si>
  <si>
    <t>Qingdao West Coast vs Chengdu Rongcheng / Total 1.5</t>
  </si>
  <si>
    <t>Seattle Sounders vs Portland Timbers / Correct Score</t>
  </si>
  <si>
    <t>Club Tijuana vs Tigres de la UANL / Total 1.5</t>
  </si>
  <si>
    <t>EC Juventude vs Cuiabá EC / Correct Score</t>
  </si>
  <si>
    <t>Beijing Guoan vs Liaoning Tieren F.C. / Correct Score</t>
  </si>
  <si>
    <t>BnR</t>
  </si>
  <si>
    <t>Barcelona SC vs Libertad FC / Total 1.5</t>
  </si>
  <si>
    <t>France vs England / Correct Score</t>
  </si>
  <si>
    <t>Atlético Goianiense vs Athletic Club MG / Match Odds</t>
  </si>
  <si>
    <t>Atlético Goianiense vs Athletic Club MG / Correct Score</t>
  </si>
  <si>
    <t>Criciúma EC vs Vila Nova FC / Match Odds</t>
  </si>
  <si>
    <t>Criciúma EC vs Vila Nova FC / Correct Score</t>
  </si>
  <si>
    <t>Molde vs Brann / Total 3.5</t>
  </si>
  <si>
    <t>Molde vs Brann / Match Odds</t>
  </si>
  <si>
    <t>Molde vs Brann / Correct Score</t>
  </si>
  <si>
    <t>Viking FK vs Sandefjord Fotball / Match Odds</t>
  </si>
  <si>
    <t>Viking FK vs Sandefjord Fotball / Correct Score</t>
  </si>
  <si>
    <t>Viking FK vs Sandefjord Fotball / Total 1.5</t>
  </si>
  <si>
    <t>Narva Trans vs Pärnu JK Vaprus / Correct Score</t>
  </si>
  <si>
    <t>Lillestrøm SK vs KFUM Oslo / Match Odds</t>
  </si>
  <si>
    <t>Lillestrøm SK vs KFUM Oslo / Correct Score</t>
  </si>
  <si>
    <t>AIK vs GAIS / Total 4.5</t>
  </si>
  <si>
    <t>Shanghai Shenhua vs Tianjin Jinmenhu / Match Odds</t>
  </si>
  <si>
    <t>Shanghai Shenhua vs Tianjin Jinmenhu / Total 0.5</t>
  </si>
  <si>
    <t>IK Oddevold vs Varbergs BoIS / Both Teams To Score</t>
  </si>
  <si>
    <t>FC Juárez vs Puebla / Total 1.5</t>
  </si>
  <si>
    <t>Shanghai Shenhua vs Tianjin Jinmenhu / Correct Score</t>
  </si>
  <si>
    <t>Alianza Lima vs Sport Huancayo / Match Odds</t>
  </si>
  <si>
    <t>Hammarby IF vs Degerfors IF / Match Odds</t>
  </si>
  <si>
    <t>Blooming Santa Cruz vs Real Tomayapo / Match Odds</t>
  </si>
  <si>
    <t>Blooming Santa Cruz vs Real Tomayapo / Correct Score</t>
  </si>
  <si>
    <t>Alianza Lima vs Sport Huancayo / Correct Score</t>
  </si>
  <si>
    <t>Hammarby IF vs Degerfors IF / Correct Score</t>
  </si>
  <si>
    <t>IFK Norrköping vs Sandvikens IF / Match Odds</t>
  </si>
  <si>
    <t>FC Anyang vs Gwangju FC / Match Odds</t>
  </si>
  <si>
    <t>Blooming Santa Cruz vs Real Tomayapo / Total 1.5</t>
  </si>
  <si>
    <t>Club Deportivo Técnico Universitario vs Aucas / Total 0.5</t>
  </si>
  <si>
    <t>KR Reykjavik vs Stjarnan / Correct Score</t>
  </si>
  <si>
    <t>CD Gualberto Villarroel vs The Strongest / Correct Score</t>
  </si>
  <si>
    <t>IF Elfsborg vs IK Sirius / Correct Score</t>
  </si>
  <si>
    <t>IF Elfsborg vs IK Sirius / Total 0.5</t>
  </si>
  <si>
    <t>Hammarby IF vs Degerfors IF / Total 1.5</t>
  </si>
  <si>
    <t>FC Kuressaare vs Nõmme Kalju FC / Correct Score</t>
  </si>
  <si>
    <t>United IK Nordic vs Örebro SK / Match Odds</t>
  </si>
  <si>
    <t>United IK Nordic vs Örebro SK / Correct Score</t>
  </si>
  <si>
    <t>IFK Norrköping vs Sandvikens IF / Correct Score</t>
  </si>
  <si>
    <t>FC Anyang vs Gwangju FC / Correct Score</t>
  </si>
  <si>
    <t>Scalping Under 2,5</t>
  </si>
  <si>
    <t>LG Favorito</t>
  </si>
  <si>
    <t>Nacional Potosi vs CDT Real Oruro / Total 1.5</t>
  </si>
  <si>
    <t>FH Hafnarfjördur vs Breidablik / Correct Score</t>
  </si>
  <si>
    <t>Mushuc Runa vs Orense SC / Total 1.5</t>
  </si>
  <si>
    <t>Örgryte IS vs Djurgårdens IF / Total 0.5</t>
  </si>
  <si>
    <t>Örgryte IS vs Djurgårdens IF / Correct Score</t>
  </si>
  <si>
    <t>CS Hunedoara vs FC Csikszereda Miercurea Ciuc / Total 0.5</t>
  </si>
  <si>
    <t>Cruz Azul vs Puebla / Match Odds</t>
  </si>
  <si>
    <t>Avaí FC vs América-MG / Correct Score</t>
  </si>
  <si>
    <t>Avaí FC vs América-MG / Total 2.5</t>
  </si>
  <si>
    <t>Gremio Novorizontino vs Criciúma EC / Total 0.5</t>
  </si>
  <si>
    <t>Atlético Mineiro vs Esporte Clube Bahia / Both Teams To Score</t>
  </si>
  <si>
    <t>Fenerbahçe SK vs Górnik Zabrze / Total 1.5</t>
  </si>
  <si>
    <t>FC Thun vs Dinamo Zagreb / Total 1.5</t>
  </si>
  <si>
    <t>SK Puntigamer Sturm Graz vs Hearts / Total 1.5</t>
  </si>
  <si>
    <t>IFK Göteborg vs Tallinna FC Levadia / Match Odds</t>
  </si>
  <si>
    <t>IFK Göteborg vs Tallinna FC Levadia / Total 3.5</t>
  </si>
  <si>
    <t>Mjällby AIF vs Lincoln Red Imps FC / Correct Score</t>
  </si>
  <si>
    <t>Cruz Azul vs Puebla / Correct Score</t>
  </si>
  <si>
    <t>Evento / Mercado</t>
  </si>
  <si>
    <t>Exchange</t>
  </si>
  <si>
    <t>Houston Dynamo vs DC United / Match Odds</t>
  </si>
  <si>
    <t>Nashville Soccer Club vs CF Montreal / Correct Score</t>
  </si>
  <si>
    <t>Charlotte FC vs Atlanta United FC / Match Odds</t>
  </si>
  <si>
    <t>Sporting Kansas City vs Minnesota United / Correct Score</t>
  </si>
  <si>
    <t>Clube Náutico Capibaribe vs Londrina / Correct Score</t>
  </si>
  <si>
    <t>SC Internacional vs Cruzeiro / Correct Score</t>
  </si>
  <si>
    <t>Chapecoense vs Flamengo / Match Odds</t>
  </si>
  <si>
    <t>Chapecoense vs Flamengo / Correct Score</t>
  </si>
  <si>
    <t>SC Internacional vs Cruzeiro / Both Teams To Score</t>
  </si>
  <si>
    <t>Sporting Kansas City vs Minnesota United / Both Teams To Score</t>
  </si>
  <si>
    <t>FC Cincinnati vs Vancouver Whitecaps / Correct Score</t>
  </si>
  <si>
    <t>New England Revolution vs Toronto FC / Match Odds</t>
  </si>
  <si>
    <t>New England Revolution vs Toronto FC / Correct Score</t>
  </si>
  <si>
    <t>Operário Ferroviário vs Atlética Ponte Preta / Match Odds</t>
  </si>
  <si>
    <t>Coritiba vs Palmeiras / Correct Score</t>
  </si>
  <si>
    <t>Ceará SC vs CRB / Correct Score</t>
  </si>
  <si>
    <t>Charlotte FC vs Atlanta United FC / Correct Score</t>
  </si>
  <si>
    <t>Operário Ferroviário vs Atlética Ponte Preta / Correct Score</t>
  </si>
  <si>
    <t>Confronto</t>
  </si>
  <si>
    <t>Defensa y Justicia vs Aldosivi / Total 2.5</t>
  </si>
  <si>
    <t>Defensa y Justicia vs Aldosivi / Correct Score</t>
  </si>
  <si>
    <t>Santa Fe vs Caracas FC / Match Odds</t>
  </si>
  <si>
    <t>Emelec vs Mushuc Runa / Match Odds</t>
  </si>
  <si>
    <t>Emelec vs Mushuc Runa / Correct Score</t>
  </si>
  <si>
    <t>Cuiabá EC vs Atlético Goianiense / Total 0.5</t>
  </si>
  <si>
    <t>Club Atlético Sarmiento vs Argentinos Juniors / Correct Score</t>
  </si>
  <si>
    <t>Athletic Club MG vs São Bernardo FC / Correct Score</t>
  </si>
  <si>
    <t>Botafogo FR vs EC Vitória / Match Odds</t>
  </si>
  <si>
    <t>Botafogo FR vs EC Vitória / Both Teams To Score</t>
  </si>
  <si>
    <t>Botafogo FR vs EC Vitória / Correct Score</t>
  </si>
  <si>
    <t>Belgrano vs Rosario Central / Correct Score</t>
  </si>
  <si>
    <t>Corinthians vs Clube do Remo / Match Odds</t>
  </si>
  <si>
    <t>Debreceni VSC vs Pyunik FC / Match Odds</t>
  </si>
  <si>
    <t>Paide Linnameeskond vs Zira IK / Correct Score</t>
  </si>
  <si>
    <t>San Jose Earthquakes vs Orlando City / Match Odds</t>
  </si>
  <si>
    <t>San Jose Earthquakes vs Orlando City / Correct Score</t>
  </si>
  <si>
    <t>Los Angeles FC vs Real Salt Lake / Correct Score</t>
  </si>
  <si>
    <t>Colorado Rapids vs San Diego FC / Correct Score</t>
  </si>
  <si>
    <t>Corinthians vs Clube do Remo / Correct Score</t>
  </si>
  <si>
    <t>Colo-Colo vs Deportes Limache / Correct Score</t>
  </si>
  <si>
    <t>Deportes Iquique vs Deportes Temuco / Both Teams To Score</t>
  </si>
  <si>
    <t>Platense vs Unión de Santa Fe / Correct Score</t>
  </si>
  <si>
    <t>CA Huracan vs Banfield / Correct Score</t>
  </si>
  <si>
    <t>Llaneros FC Villavicencio vs Deportivo Pereira / Correct Score</t>
  </si>
  <si>
    <t>Vélez Sársfield vs Instituto de Córdoba / Match Odds</t>
  </si>
  <si>
    <t>Vélez Sársfield vs Instituto de Córdoba / Correct Score</t>
  </si>
  <si>
    <t>Racing Club vs Gimnasia y Esgrima La Plata / Correct Score</t>
  </si>
  <si>
    <t>Club Aurora vs Academia de Balompie Boliviano / Both Teams To Score</t>
  </si>
  <si>
    <t>Racing Club vs Gimnasia y Esgrima La Plata / Total 2.5</t>
  </si>
  <si>
    <t>Alianza Atletico vs CD Los Chankas / Correct Score</t>
  </si>
  <si>
    <t>Víkingur vs Keflavik IF / Match Odds</t>
  </si>
  <si>
    <t>Club 2 de Mayo vs Rubio Ñú / Correct Score</t>
  </si>
  <si>
    <t>St. Patrick's Athletic vs Dundalk / Correct Score</t>
  </si>
  <si>
    <t>St. Patrick's Athletic vs Dundalk / Total 0.5</t>
  </si>
  <si>
    <t>Västerås SK FK vs Örgryte IS / Match Odds</t>
  </si>
  <si>
    <t>Colo-Colo vs Deportes Limache / Match Odds</t>
  </si>
  <si>
    <t>Saint Louis City SC vs Colorado Rapids / Correct Score</t>
  </si>
  <si>
    <t>Minnesota United vs Vancouver Whitecaps / Correct Score</t>
  </si>
  <si>
    <t>Universidad Católica vs La Serena / Match Odds</t>
  </si>
  <si>
    <t>Universidad Católica vs La Serena / Correct Score</t>
  </si>
  <si>
    <t>CF Montreal vs Inter Miami CF / Correct Score</t>
  </si>
  <si>
    <t>DC United vs Toronto FC / Match Odds</t>
  </si>
  <si>
    <t>New England Revolution vs Atlanta United FC / Match Odds</t>
  </si>
  <si>
    <t>New England Revolution vs Atlanta United FC / Correct Score</t>
  </si>
  <si>
    <t>Philadelphia Union vs Seattle Sounders / Match Odds</t>
  </si>
  <si>
    <t>CF Montreal vs Inter Miami CF / Total 0.5</t>
  </si>
  <si>
    <t>Vasco da Gama vs Mirassol FC / Both Teams To Score</t>
  </si>
  <si>
    <t>Millonarios vs Atlético Bucaramanga / Correct Score</t>
  </si>
  <si>
    <t>New York Red Bulls vs Charlotte FC / Correct Score</t>
  </si>
  <si>
    <t>Huachipato vs Cobresal / Correct Score</t>
  </si>
  <si>
    <t>Santos FC vs Chapecoense / Match Odds</t>
  </si>
  <si>
    <t>Athlético Paranaense vs SC Internacional / Match Odds</t>
  </si>
  <si>
    <t>Athlético Paranaense vs SC Internacional / Correct Score</t>
  </si>
  <si>
    <t>Independiente Medellín vs Deportivo Pasto / Correct Score</t>
  </si>
  <si>
    <t>Huachipato vs Cobresal / Both Teams To Score</t>
  </si>
  <si>
    <t>Lech Poznan vs Cracovia Kraków / Match Odds</t>
  </si>
  <si>
    <t>Lech Poznan vs Cracovia Kraków / Correct Score</t>
  </si>
  <si>
    <t>Haugesund vs Bryne / Match Odds</t>
  </si>
  <si>
    <t>Strømsgodset vs FK Lyn / Correct Score</t>
  </si>
  <si>
    <t>Galway United vs Waterford FC / Both Teams To Score</t>
  </si>
  <si>
    <t>FC Viktoria Plzen vs FC Slovan Liberec / Match Odds</t>
  </si>
  <si>
    <t>FC Viktoria Plzen vs FC Slovan Liberec / Correct Score</t>
  </si>
  <si>
    <t>FC Fredericia vs HB Køge / Match Odds</t>
  </si>
  <si>
    <t>FC Fredericia vs HB Køge / Correct Score</t>
  </si>
  <si>
    <t>IFK Mariehamn vs AC Oulu / Correct Score</t>
  </si>
  <si>
    <t>Degerfors IF vs Djurgårdens IF / Correct Score</t>
  </si>
  <si>
    <t>Jagiellonia Bialystok vs Korona Kielce / Match Odds</t>
  </si>
  <si>
    <t>Jagiellonia Bialystok vs Korona Kielce / Correct Score</t>
  </si>
  <si>
    <t>Wuhan Three Towns vs Chongqing Tonglianglong / Match Odds</t>
  </si>
  <si>
    <t>Wuhan Three Towns vs Chongqing Tonglianglong / Correct Score</t>
  </si>
  <si>
    <t>Liaoning Tieren F.C. vs Qingdao West Coast / Both Teams To Score</t>
  </si>
  <si>
    <t>Liaoning Tieren F.C. vs Qingdao West Coast / Correct Score</t>
  </si>
  <si>
    <t>Shanghai Port vs Shanghai Shenhua / Correct Score</t>
  </si>
  <si>
    <t>Vancouver FC vs Cavalry / Match Odds</t>
  </si>
  <si>
    <t>Universitario de Deportes vs Cusco FC / Correct Score</t>
  </si>
  <si>
    <t>Universitario de Deportes vs Cusco FC / Match Odds</t>
  </si>
  <si>
    <t>Deportivo Cali vs Jaguares de Córdoba / Match Odds</t>
  </si>
  <si>
    <t>Deportivo Cali vs Jaguares de Córdoba / Correct Score</t>
  </si>
  <si>
    <t>Huachipato vs Cobresal / Match Odds</t>
  </si>
  <si>
    <t>Haugesund vs Bryne / Correct Score</t>
  </si>
  <si>
    <t>Deportes Concepción vs O'Higgins / Match Odds</t>
  </si>
  <si>
    <t>Alianza FC Valledupar vs Fortaleza FC / Correct Score</t>
  </si>
  <si>
    <t>Clube do Remo vs EC Vitória / Correct Score</t>
  </si>
  <si>
    <t>Palmeiras vs Atlético Mineiro / Match Odds</t>
  </si>
  <si>
    <t>Palmeiras vs Atlético Mineiro / Correct Score</t>
  </si>
  <si>
    <t>Flamengo vs São Paulo / Match Odds</t>
  </si>
  <si>
    <t>Flamengo vs São Paulo / Correct Score</t>
  </si>
  <si>
    <t>América-MG vs Goiás EC / Correct Score</t>
  </si>
  <si>
    <t>Londrina vs Gremio Novorizontino / Correct Score</t>
  </si>
  <si>
    <t>Audax Italiano vs Universidad de Chile / Both Teams To Score</t>
  </si>
  <si>
    <t>Orense SC vs Independiente del Valle / Correct Score</t>
  </si>
  <si>
    <t>Fram Reykjavik vs FH Hafnarfjördur / Match Odds</t>
  </si>
  <si>
    <t>Fram Reykjavik vs FH Hafnarfjördur / Correct Score</t>
  </si>
  <si>
    <t>Criciúma EC vs Clube Náutico Capibaribe / Match Odds</t>
  </si>
  <si>
    <t>Criciúma EC vs Clube Náutico Capibaribe / Correct Score</t>
  </si>
  <si>
    <t>Cruzeiro vs Botafogo FR / Both Teams To Score</t>
  </si>
  <si>
    <t>Cruzeiro vs Botafogo FR / Correct Score</t>
  </si>
  <si>
    <t>Esporte Clube Bahia vs Corinthians / Both Teams To Score</t>
  </si>
  <si>
    <t>Cruzeiro vs Botafogo FR / Total 0.5</t>
  </si>
  <si>
    <t>Aalesunds FK vs Viking FK / Both Teams To Score</t>
  </si>
  <si>
    <t>Sarpsborg 08 vs Hamarkameratene / Match Odds</t>
  </si>
  <si>
    <t>Sarpsborg 08 vs Hamarkameratene / Both Teams To Score</t>
  </si>
  <si>
    <t>Sarpsborg 08 vs Hamarkameratene / Correct Score</t>
  </si>
  <si>
    <t>Strømmen vs Odds Ballklubb / Correct Score</t>
  </si>
  <si>
    <t>Åsane vs Egersund / Correct Score</t>
  </si>
  <si>
    <t>Malmö FF vs IF Elfsborg / Correct Score</t>
  </si>
  <si>
    <t>GAIS vs Halmstads BK / Correct Score</t>
  </si>
  <si>
    <t>Brann vs Vålerenga / Match Odds</t>
  </si>
  <si>
    <t>Brann vs Vålerenga / Correct Score</t>
  </si>
  <si>
    <t>FC Inter Turku vs IF Gnistan / Correct Score</t>
  </si>
  <si>
    <t>IK Sirius vs IFK Göteborg / Match Odds</t>
  </si>
  <si>
    <t>IF Brommapojkarna vs Hammarby IF / Correct Score</t>
  </si>
  <si>
    <t>IK Sirius vs IFK Göteborg / Correct Score</t>
  </si>
  <si>
    <t>Shandong Taishan vs Henan Songshan Longmen / Total 2.5</t>
  </si>
  <si>
    <t>GIF Sundsvall vs Falkenbergs FF / Both Teams To Score</t>
  </si>
  <si>
    <t>San Jose Earthquakes vs Los Angeles Galaxy / Correct Score</t>
  </si>
  <si>
    <t>Los Angeles FC vs Sporting Kansas City / Match Odds</t>
  </si>
  <si>
    <t>San Diego FC vs FC Dallas / Match Odds</t>
  </si>
  <si>
    <t>Sport Club do Recife vs Cuiabá EC / Match Odds</t>
  </si>
  <si>
    <t>CRB vs Vila Nova FC / Correct Score</t>
  </si>
  <si>
    <t>Unión Española vs Deportes Recoleta / Both Teams To Score</t>
  </si>
  <si>
    <t>Sport Club do Recife vs Cuiabá EC / Total 0.5</t>
  </si>
  <si>
    <t>Guayaquil City FC vs Universidad Católica del Ecuador / Correct Score</t>
  </si>
  <si>
    <t>CD Gualberto Villarroel vs Universitario de Vinto / Total 4.5</t>
  </si>
  <si>
    <t>Breidablik vs ÍB Vestmannaeyja / Correct Score</t>
  </si>
  <si>
    <t>MTK Budapest vs Zalaegerszegi TE / Total 4.5</t>
  </si>
  <si>
    <t>Östers IF vs Varbergs BoIS / Correct Score</t>
  </si>
  <si>
    <t>Rosenborg BK vs Fredrikstad / Match Odds</t>
  </si>
  <si>
    <t>BK Häcken vs AIK / Match Odds</t>
  </si>
  <si>
    <t>BK Häcken vs AIK / Correct Score</t>
  </si>
  <si>
    <t>Rubio Ñú vs Club Sportivo Ameliano / Total 2.5</t>
  </si>
  <si>
    <t>Fortaleza EC vs Botafogo SP / Correct Score</t>
  </si>
  <si>
    <t>Fortaleza EC vs Botafogo SP / Match Odds</t>
  </si>
  <si>
    <t>KF Dukagjini vs FC Lugano / Correct Score</t>
  </si>
  <si>
    <t>Lech Poznan vs AGF Aarhus / Correct Score</t>
  </si>
  <si>
    <t>Club Sportivo Luqueño vs Club Sportivo Trinidense / Total 0.5</t>
  </si>
  <si>
    <t>Over Limite 0.5 T2</t>
  </si>
  <si>
    <t>SK Rapid Wien vs FC Santa Coloma / Correct Score</t>
  </si>
  <si>
    <t>Vasco da Gama vs Independiente Medellín / Total 0.5</t>
  </si>
  <si>
    <t>Gimnasia y Esgrima La Plata vs River Plate / Total 0.5</t>
  </si>
  <si>
    <t>Mirassol FC vs Clube do Remo / Correct Score</t>
  </si>
  <si>
    <t>SC Internacional vs Flamengo / Correct Score</t>
  </si>
  <si>
    <t>Fluminense FC vs Esporte Clube Bahia / Both Teams To Score</t>
  </si>
  <si>
    <t>Fluminense FC vs Esporte Clube Bahia / Match Odds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</si>
</sst>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$&quot;\ #,##0.00;[Red]\-&quot;R$&quot;\ #,##0.00"/>
    <numFmt numFmtId="164" formatCode="#,##0.000"/>
    <numFmt numFmtId="165" formatCode="0.0%"/>
    <numFmt numFmtId="166" formatCode="0.000"/>
  </numFmts>
  <fonts count="3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20817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7"/>
      <color rgb="FF020817"/>
      <name val="Inter"/>
    </font>
    <font>
      <sz val="7"/>
      <color rgb="FF16A34A"/>
      <name val="Inter"/>
    </font>
    <font>
      <sz val="7"/>
      <color rgb="FFDC2626"/>
      <name val="Inter"/>
    </font>
  </fonts>
  <fills count="6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2E8F0"/>
      </bottom>
      <diagonal/>
    </border>
  </borders>
  <cellStyleXfs count="6">
    <xf numFmtId="0" fontId="0" fillId="0" borderId="0"/>
    <xf numFmtId="9" fontId="30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</cellStyleXfs>
  <cellXfs count="140">
    <xf numFmtId="0" fontId="0" fillId="0" borderId="0" xfId="0"/>
    <xf numFmtId="0" fontId="27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7" fillId="0" borderId="0" xfId="0" applyFont="1" applyBorder="1" applyAlignment="1">
      <alignment vertical="center"/>
    </xf>
    <xf numFmtId="0" fontId="29" fillId="2" borderId="1" xfId="0" applyFont="1" applyFill="1" applyBorder="1" applyAlignment="1">
      <alignment horizontal="left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right" vertical="center" wrapText="1"/>
    </xf>
    <xf numFmtId="0" fontId="27" fillId="0" borderId="0" xfId="0" applyFont="1" applyAlignment="1">
      <alignment vertical="center"/>
    </xf>
    <xf numFmtId="4" fontId="27" fillId="0" borderId="0" xfId="0" applyNumberFormat="1" applyFont="1" applyAlignment="1">
      <alignment vertical="center"/>
    </xf>
    <xf numFmtId="0" fontId="27" fillId="0" borderId="0" xfId="0" applyFont="1" applyFill="1" applyAlignment="1">
      <alignment vertical="center"/>
    </xf>
    <xf numFmtId="0" fontId="28" fillId="0" borderId="0" xfId="0" applyFont="1" applyAlignment="1">
      <alignment horizontal="center" vertical="center" wrapText="1"/>
    </xf>
    <xf numFmtId="16" fontId="28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165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4" fontId="25" fillId="4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10" fontId="25" fillId="0" borderId="0" xfId="1" applyNumberFormat="1" applyFont="1" applyAlignment="1">
      <alignment horizontal="center" vertical="center"/>
    </xf>
    <xf numFmtId="4" fontId="25" fillId="3" borderId="0" xfId="0" applyNumberFormat="1" applyFont="1" applyFill="1" applyAlignment="1">
      <alignment horizontal="center" vertical="center"/>
    </xf>
    <xf numFmtId="10" fontId="25" fillId="3" borderId="0" xfId="0" applyNumberFormat="1" applyFont="1" applyFill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165" fontId="16" fillId="0" borderId="0" xfId="1" applyNumberFormat="1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165" fontId="15" fillId="0" borderId="0" xfId="1" applyNumberFormat="1" applyFont="1" applyAlignment="1">
      <alignment horizontal="center" vertical="center"/>
    </xf>
    <xf numFmtId="4" fontId="15" fillId="3" borderId="0" xfId="0" applyNumberFormat="1" applyFont="1" applyFill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165" fontId="14" fillId="0" borderId="0" xfId="1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165" fontId="13" fillId="0" borderId="0" xfId="1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165" fontId="12" fillId="0" borderId="0" xfId="1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165" fontId="11" fillId="0" borderId="0" xfId="1" applyNumberFormat="1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4" fontId="31" fillId="0" borderId="0" xfId="0" applyNumberFormat="1" applyFont="1" applyAlignment="1">
      <alignment horizontal="center" vertical="center"/>
    </xf>
    <xf numFmtId="165" fontId="31" fillId="0" borderId="0" xfId="1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165" fontId="10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6" fontId="28" fillId="0" borderId="0" xfId="0" applyNumberFormat="1" applyFont="1" applyFill="1" applyAlignment="1">
      <alignment horizontal="center" vertical="center"/>
    </xf>
    <xf numFmtId="0" fontId="27" fillId="3" borderId="0" xfId="0" applyFont="1" applyFill="1"/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0" fontId="28" fillId="0" borderId="0" xfId="0" applyFont="1"/>
    <xf numFmtId="4" fontId="28" fillId="0" borderId="0" xfId="0" applyNumberFormat="1" applyFont="1" applyFill="1" applyAlignment="1">
      <alignment horizontal="center" vertical="center"/>
    </xf>
    <xf numFmtId="0" fontId="32" fillId="5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vertical="center" wrapText="1"/>
    </xf>
    <xf numFmtId="22" fontId="32" fillId="5" borderId="1" xfId="0" applyNumberFormat="1" applyFont="1" applyFill="1" applyBorder="1" applyAlignment="1">
      <alignment horizontal="center" vertical="center" wrapText="1"/>
    </xf>
    <xf numFmtId="8" fontId="33" fillId="5" borderId="1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4" fontId="5" fillId="0" borderId="0" xfId="0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4" fontId="4" fillId="0" borderId="0" xfId="0" applyNumberFormat="1" applyFont="1" applyBorder="1" applyAlignment="1">
      <alignment horizontal="center" vertical="center"/>
    </xf>
    <xf numFmtId="165" fontId="4" fillId="0" borderId="0" xfId="1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8" fontId="34" fillId="5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14" fontId="1" fillId="0" borderId="0" xfId="0" applyNumberFormat="1" applyFont="1" applyAlignment="1">
      <alignment vertical="center"/>
    </xf>
    <xf numFmtId="4" fontId="1" fillId="0" borderId="0" xfId="0" applyNumberFormat="1" applyFont="1" applyFill="1" applyAlignment="1">
      <alignment vertical="center"/>
    </xf>
    <xf numFmtId="10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applyFont="1" applyFill="1" applyBorder="1" applyAlignment="1">
      <alignment vertical="center"/>
    </xf>
    <xf numFmtId="14" fontId="1" fillId="0" borderId="0" xfId="0" applyNumberFormat="1" applyFont="1" applyBorder="1" applyAlignment="1">
      <alignment vertical="center"/>
    </xf>
    <xf numFmtId="4" fontId="1" fillId="0" borderId="0" xfId="0" applyNumberFormat="1" applyFont="1" applyFill="1" applyBorder="1" applyAlignment="1">
      <alignment vertical="center"/>
    </xf>
    <xf numFmtId="10" fontId="1" fillId="0" borderId="0" xfId="0" applyNumberFormat="1" applyFont="1" applyBorder="1" applyAlignment="1">
      <alignment vertical="center"/>
    </xf>
    <xf numFmtId="4" fontId="1" fillId="0" borderId="0" xfId="0" applyNumberFormat="1" applyFont="1" applyBorder="1" applyAlignment="1">
      <alignment vertical="center"/>
    </xf>
    <xf numFmtId="3" fontId="1" fillId="0" borderId="0" xfId="0" applyNumberFormat="1" applyFont="1" applyBorder="1" applyAlignment="1">
      <alignment vertical="center"/>
    </xf>
    <xf numFmtId="2" fontId="1" fillId="0" borderId="0" xfId="0" applyNumberFormat="1" applyFont="1" applyAlignment="1">
      <alignment vertical="center"/>
    </xf>
  </cellXfs>
  <cellStyles count="6">
    <cellStyle name="Normal" xfId="0" builtinId="0"/>
    <cellStyle name="Normal 2" xfId="2"/>
    <cellStyle name="Normal 3" xfId="4"/>
    <cellStyle name="Porcentagem" xfId="1" builtinId="5"/>
    <cellStyle name="Porcentagem 2" xfId="3"/>
    <cellStyle name="Porcentagem 3" xfId="5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4" formatCode="0.0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3BE7B"/>
      <color rgb="FFF8696B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id="2" name="base" displayName="base" ref="B2:S3547" totalsRowShown="0" headerRowDxfId="36" dataDxfId="35">
  <autoFilter ref="B2:S3547"/>
  <sortState ref="B3:R3093">
    <sortCondition ref="D3:D3093"/>
  </sortState>
  <tableColumns count="18">
    <tableColumn id="1" name="Evento / Mercado" dataDxfId="34"/>
    <tableColumn id="17" name="Exchange" dataDxfId="33"/>
    <tableColumn id="3" name="Data de liquidação" dataDxfId="32"/>
    <tableColumn id="4" name="L/P Líquido" dataDxfId="31"/>
    <tableColumn id="5" name="Comissão%" dataDxfId="30"/>
    <tableColumn id="6" name="L/P Bruto" dataDxfId="29">
      <calculatedColumnFormula>IF(E3&gt;0,E3/(1-F3),E3)</calculatedColumnFormula>
    </tableColumn>
    <tableColumn id="2" name="Método" dataDxfId="28"/>
    <tableColumn id="7" name="Placar" dataDxfId="27"/>
    <tableColumn id="8" name="Odd" dataDxfId="26"/>
    <tableColumn id="9" name="Stake/Responsabilidade" dataDxfId="25"/>
    <tableColumn id="10" name="Data" dataDxfId="24">
      <calculatedColumnFormula>INT(base[[#This Row],[Data de liquidação]])</calculatedColumnFormula>
    </tableColumn>
    <tableColumn id="11" name="ComissãoR$" dataDxfId="23">
      <calculatedColumnFormula>base[[#This Row],[L/P Bruto]]-base[[#This Row],[L/P Líquido]]</calculatedColumnFormula>
    </tableColumn>
    <tableColumn id="13" name="Stakes" dataDxfId="22">
      <calculatedColumnFormula>base[[#This Row],[L/P Líquido]]/base[[#This Row],[Stake/Responsabilidade]]</calculatedColumnFormula>
    </tableColumn>
    <tableColumn id="12" name="Resultado_Binario" dataDxfId="21">
      <calculatedColumnFormula>IF(base[[#This Row],[L/P Líquido]]&gt;0,1,0)</calculatedColumnFormula>
    </tableColumn>
    <tableColumn id="16" name="Campeonato" dataDxfId="20"/>
    <tableColumn id="14" name="Casa" dataDxfId="19">
      <calculatedColumnFormula>LEFT(base[[#This Row],[Evento / Mercado]],FIND("vs",base[[#This Row],[Evento / Mercado]])-2)</calculatedColumnFormula>
    </tableColumn>
    <tableColumn id="15" name="Visitante" dataDxfId="18">
      <calculatedColumnFormula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calculatedColumnFormula>
    </tableColumn>
    <tableColumn id="18" name="Confronto" dataDxfId="17">
      <calculatedColumnFormula>LEFT(base[[#This Row],[Evento / Mercado]],FIND("/",base[[#This Row],[Evento / Mercado]])-2)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betflow" displayName="betflow" ref="B7:P248" totalsRowShown="0" headerRowDxfId="16" dataDxfId="15">
  <autoFilter ref="B7:P248"/>
  <tableColumns count="15">
    <tableColumn id="1" name="Data" dataDxfId="14"/>
    <tableColumn id="2" name="Jogo" dataDxfId="13"/>
    <tableColumn id="3" name="Odd Casa Ataque" dataDxfId="12"/>
    <tableColumn id="4" name="Stake Casa Ataque" dataDxfId="11"/>
    <tableColumn id="5" name="Odd Fulltbet" dataDxfId="10"/>
    <tableColumn id="6" name="Stake Fulltbet" dataDxfId="9"/>
    <tableColumn id="7" name="Resultado Fulltbet" dataDxfId="8"/>
    <tableColumn id="8" name="Casa Ataque" dataDxfId="7"/>
    <tableColumn id="9" name="Lucro Fulltbet" dataDxfId="6">
      <calculatedColumnFormula>IF(H8="Ganhou",(F8-1)*G8,-G8)</calculatedColumnFormula>
    </tableColumn>
    <tableColumn id="10" name="Lucro Casa Ataque" dataDxfId="5">
      <calculatedColumnFormula>IF(H8="Perdeu",(D8-1)*E8,-E8)</calculatedColumnFormula>
    </tableColumn>
    <tableColumn id="11" name="Comissão Casa Ataque" dataDxfId="4">
      <calculatedColumnFormula>IF(H8="Perdeu",-K8*0.028,0)</calculatedColumnFormula>
    </tableColumn>
    <tableColumn id="12" name="Lucro Líquido Casa Ataque" dataDxfId="3">
      <calculatedColumnFormula>SUM(K8:L8)</calculatedColumnFormula>
    </tableColumn>
    <tableColumn id="13" name="Resultado" dataDxfId="2">
      <calculatedColumnFormula>SUM(J8:L8)</calculatedColumnFormula>
    </tableColumn>
    <tableColumn id="14" name="ROI" dataDxfId="1" dataCellStyle="Porcentagem">
      <calculatedColumnFormula>IFERROR(N8/SUM(G8,E8),"")</calculatedColumnFormula>
    </tableColumn>
    <tableColumn id="15" name="Proporção Stakes" dataDxfId="0" dataCellStyle="Porcentagem">
      <calculatedColumnFormula>IF(ISERR(betflow[[#This Row],[Stake Fulltbet]]/betflow[[#This Row],[Stake Casa Ataque]]),"",IF(betflow[[#This Row],[Stake Fulltbet]]/betflow[[#This Row],[Stake Casa Ataque]]&gt;500%,"",betflow[[#This Row],[Stake Fulltbet]]/betflow[[#This Row],[Stake Casa Ataque]]))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P241"/>
  <sheetViews>
    <sheetView showGridLines="0" tabSelected="1" zoomScale="80" zoomScaleNormal="80" workbookViewId="0">
      <pane xSplit="2" ySplit="3" topLeftCell="C226" activePane="bottomRight" state="frozen"/>
      <selection activeCell="G3111" sqref="G3111"/>
      <selection pane="topRight" activeCell="G3111" sqref="G3111"/>
      <selection pane="bottomLeft" activeCell="G3111" sqref="G3111"/>
      <selection pane="bottomRight" activeCell="F232" sqref="F232"/>
    </sheetView>
  </sheetViews>
  <sheetFormatPr defaultRowHeight="15" customHeight="1" outlineLevelCol="1"/>
  <cols>
    <col min="1" max="1" width="0.8984375" style="1" customWidth="1"/>
    <col min="2" max="2" width="6.19921875" style="1" bestFit="1" customWidth="1"/>
    <col min="3" max="3" width="10.8984375" style="1" bestFit="1" customWidth="1"/>
    <col min="4" max="4" width="6.5" style="1" customWidth="1" collapsed="1"/>
    <col min="5" max="5" width="8.69921875" style="1" bestFit="1" customWidth="1"/>
    <col min="6" max="6" width="6.5" style="1" bestFit="1" customWidth="1"/>
    <col min="8" max="8" width="6" style="1" customWidth="1"/>
    <col min="9" max="9" width="7.8984375" style="1" bestFit="1" customWidth="1"/>
    <col min="10" max="10" width="8.5" style="1" customWidth="1"/>
    <col min="11" max="11" width="8.796875" style="1" customWidth="1"/>
    <col min="12" max="13" width="9.8984375" customWidth="1"/>
    <col min="14" max="14" width="6.5" bestFit="1" customWidth="1"/>
    <col min="15" max="15" width="8.796875" style="1" customWidth="1"/>
    <col min="16" max="16" width="7.3984375" style="1" bestFit="1" customWidth="1"/>
    <col min="17" max="17" width="8.09765625" style="1" hidden="1" customWidth="1" outlineLevel="1"/>
    <col min="18" max="18" width="8" style="1" hidden="1" customWidth="1" outlineLevel="1"/>
    <col min="19" max="19" width="10.296875" style="1" hidden="1" customWidth="1" outlineLevel="1"/>
    <col min="20" max="20" width="10.69921875" style="1" hidden="1" customWidth="1" outlineLevel="1"/>
    <col min="21" max="21" width="9.3984375" style="1" hidden="1" customWidth="1" outlineLevel="1"/>
    <col min="22" max="22" width="7" style="1" hidden="1" customWidth="1" outlineLevel="1"/>
    <col min="23" max="23" width="14.09765625" style="1" hidden="1" customWidth="1" outlineLevel="1"/>
    <col min="24" max="24" width="11" style="1" hidden="1" customWidth="1" outlineLevel="1"/>
    <col min="25" max="25" width="14.59765625" style="1" hidden="1" customWidth="1" outlineLevel="1"/>
    <col min="26" max="27" width="6.5" style="1" hidden="1" customWidth="1" outlineLevel="1"/>
    <col min="28" max="28" width="10" style="1" hidden="1" customWidth="1" outlineLevel="1"/>
    <col min="29" max="29" width="5.59765625" style="1" hidden="1" customWidth="1" outlineLevel="1"/>
    <col min="30" max="30" width="6.5" style="1" hidden="1" customWidth="1" outlineLevel="1"/>
    <col min="31" max="31" width="9.3984375" style="1" hidden="1" customWidth="1" outlineLevel="1"/>
    <col min="32" max="32" width="9.69921875" hidden="1" customWidth="1" outlineLevel="1"/>
    <col min="33" max="33" width="9.796875" style="1" hidden="1" customWidth="1" outlineLevel="1"/>
    <col min="34" max="34" width="8.69921875" style="1" customWidth="1" collapsed="1"/>
    <col min="35" max="35" width="6.8984375" style="1" customWidth="1"/>
    <col min="36" max="36" width="8.09765625" style="1" customWidth="1"/>
    <col min="37" max="37" width="6" style="1" bestFit="1" customWidth="1"/>
    <col min="38" max="38" width="6.8984375" style="1" customWidth="1"/>
    <col min="39" max="39" width="7.3984375" style="1" bestFit="1" customWidth="1"/>
    <col min="40" max="40" width="8.69921875" style="1" bestFit="1" customWidth="1"/>
    <col min="41" max="43" width="8.3984375" style="1" customWidth="1"/>
    <col min="44" max="44" width="5.59765625" style="1" bestFit="1" customWidth="1"/>
    <col min="45" max="45" width="6.09765625" style="1" bestFit="1" customWidth="1"/>
    <col min="46" max="46" width="8.3984375" style="1" customWidth="1"/>
    <col min="47" max="47" width="7.8984375" style="1" bestFit="1" customWidth="1"/>
    <col min="48" max="48" width="6" style="1" hidden="1" customWidth="1" outlineLevel="1"/>
    <col min="49" max="49" width="7.8984375" style="1" hidden="1" customWidth="1" outlineLevel="1"/>
    <col min="50" max="50" width="6.09765625" style="1" hidden="1" customWidth="1" outlineLevel="1"/>
    <col min="51" max="51" width="6" style="1" hidden="1" customWidth="1" outlineLevel="1"/>
    <col min="52" max="52" width="10.296875" style="1" customWidth="1" collapsed="1"/>
    <col min="53" max="53" width="5.796875" style="1" bestFit="1" customWidth="1"/>
    <col min="54" max="54" width="7.3984375" style="1" customWidth="1"/>
    <col min="55" max="55" width="2.69921875" style="1" customWidth="1"/>
    <col min="56" max="56" width="10.8984375" style="1" bestFit="1" customWidth="1"/>
    <col min="57" max="57" width="8.796875" style="1"/>
    <col min="58" max="58" width="7.8984375" style="1" bestFit="1" customWidth="1"/>
    <col min="59" max="59" width="8.69921875" style="1" bestFit="1" customWidth="1"/>
    <col min="60" max="60" width="5.59765625" style="1" bestFit="1" customWidth="1"/>
    <col min="61" max="61" width="8.09765625" style="1" bestFit="1" customWidth="1"/>
    <col min="62" max="62" width="8.09765625" style="1" customWidth="1"/>
    <col min="63" max="63" width="8.796875" style="1"/>
    <col min="64" max="64" width="5.796875" style="1" bestFit="1" customWidth="1"/>
    <col min="65" max="16384" width="8.796875" style="1"/>
  </cols>
  <sheetData>
    <row r="2" spans="2:68" ht="15" customHeight="1">
      <c r="D2" s="2"/>
      <c r="E2" s="2"/>
      <c r="F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G2" s="2"/>
      <c r="AH2" s="2"/>
      <c r="AK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BC2" s="2"/>
    </row>
    <row r="3" spans="2:68" s="79" customFormat="1" ht="30" customHeight="1">
      <c r="B3" s="120"/>
      <c r="C3" s="11" t="s">
        <v>123</v>
      </c>
      <c r="D3" s="11" t="s">
        <v>74</v>
      </c>
      <c r="E3" s="11" t="s">
        <v>145</v>
      </c>
      <c r="F3" s="11" t="s">
        <v>1339</v>
      </c>
      <c r="G3" s="11" t="s">
        <v>3074</v>
      </c>
      <c r="H3" s="11" t="s">
        <v>2761</v>
      </c>
      <c r="I3" s="11" t="s">
        <v>2817</v>
      </c>
      <c r="J3" s="11" t="s">
        <v>2821</v>
      </c>
      <c r="K3" s="11" t="s">
        <v>2743</v>
      </c>
      <c r="L3" s="11" t="s">
        <v>2820</v>
      </c>
      <c r="M3" s="11" t="s">
        <v>3051</v>
      </c>
      <c r="N3" s="11" t="s">
        <v>3261</v>
      </c>
      <c r="O3" s="11" t="s">
        <v>3004</v>
      </c>
      <c r="P3" s="11" t="s">
        <v>1474</v>
      </c>
      <c r="Q3" s="11" t="s">
        <v>1236</v>
      </c>
      <c r="R3" s="11" t="s">
        <v>3303</v>
      </c>
      <c r="S3" s="11" t="s">
        <v>3304</v>
      </c>
      <c r="T3" s="11" t="s">
        <v>2714</v>
      </c>
      <c r="U3" s="11" t="s">
        <v>231</v>
      </c>
      <c r="V3" s="11" t="s">
        <v>2693</v>
      </c>
      <c r="W3" s="11" t="s">
        <v>122</v>
      </c>
      <c r="X3" s="11" t="s">
        <v>211</v>
      </c>
      <c r="Y3" s="11" t="s">
        <v>2894</v>
      </c>
      <c r="Z3" s="11" t="s">
        <v>2895</v>
      </c>
      <c r="AA3" s="11" t="s">
        <v>2758</v>
      </c>
      <c r="AB3" s="11" t="s">
        <v>1233</v>
      </c>
      <c r="AC3" s="11" t="s">
        <v>73</v>
      </c>
      <c r="AD3" s="11" t="s">
        <v>2871</v>
      </c>
      <c r="AE3" s="11" t="s">
        <v>210</v>
      </c>
      <c r="AF3" s="11" t="s">
        <v>1784</v>
      </c>
      <c r="AG3" s="11" t="s">
        <v>2314</v>
      </c>
      <c r="AH3" s="11" t="s">
        <v>2403</v>
      </c>
      <c r="AI3" s="11" t="s">
        <v>269</v>
      </c>
      <c r="AJ3" s="11" t="s">
        <v>14</v>
      </c>
      <c r="AK3" s="11" t="s">
        <v>2958</v>
      </c>
      <c r="AL3" s="11" t="s">
        <v>2</v>
      </c>
      <c r="AM3" s="120"/>
      <c r="AN3" s="11" t="s">
        <v>123</v>
      </c>
      <c r="AO3" s="11" t="s">
        <v>1474</v>
      </c>
      <c r="AP3" s="11" t="s">
        <v>145</v>
      </c>
      <c r="AQ3" s="11" t="s">
        <v>2821</v>
      </c>
      <c r="AR3" s="11" t="s">
        <v>3074</v>
      </c>
      <c r="AS3" s="11" t="s">
        <v>3213</v>
      </c>
      <c r="AT3" s="11" t="s">
        <v>3261</v>
      </c>
      <c r="AU3" s="11" t="s">
        <v>2820</v>
      </c>
      <c r="AV3" s="11" t="s">
        <v>2743</v>
      </c>
      <c r="AW3" s="11" t="s">
        <v>2817</v>
      </c>
      <c r="AX3" s="11" t="s">
        <v>2761</v>
      </c>
      <c r="AY3" s="11" t="s">
        <v>3304</v>
      </c>
      <c r="AZ3" s="11" t="s">
        <v>2714</v>
      </c>
      <c r="BA3" s="11" t="s">
        <v>122</v>
      </c>
      <c r="BB3" s="11" t="s">
        <v>2871</v>
      </c>
      <c r="BC3" s="11" t="s">
        <v>14</v>
      </c>
      <c r="BD3" s="11" t="s">
        <v>15</v>
      </c>
      <c r="BE3" s="11" t="s">
        <v>1475</v>
      </c>
      <c r="BF3" s="120"/>
      <c r="BG3" s="11" t="s">
        <v>123</v>
      </c>
      <c r="BH3" s="11" t="s">
        <v>2743</v>
      </c>
      <c r="BI3" s="11" t="s">
        <v>2817</v>
      </c>
      <c r="BJ3" s="11" t="s">
        <v>145</v>
      </c>
      <c r="BK3" s="11" t="s">
        <v>3261</v>
      </c>
      <c r="BL3" s="11" t="s">
        <v>3074</v>
      </c>
      <c r="BM3" s="11" t="s">
        <v>2714</v>
      </c>
      <c r="BN3" s="11" t="s">
        <v>14</v>
      </c>
      <c r="BO3" s="11" t="s">
        <v>15</v>
      </c>
      <c r="BP3" s="11" t="s">
        <v>2979</v>
      </c>
    </row>
    <row r="4" spans="2:68" ht="15" customHeight="1">
      <c r="B4" s="12">
        <v>45989</v>
      </c>
      <c r="C4" s="121"/>
      <c r="D4" s="121" t="e">
        <f>SUMIFS(#REF!,#REF!,Extrato!$B4,#REF!,Extrato!D$3)</f>
        <v>#REF!</v>
      </c>
      <c r="E4" s="121" t="e">
        <f>SUMIFS(#REF!,#REF!,Extrato!$B4,#REF!,Extrato!E$3)</f>
        <v>#REF!</v>
      </c>
      <c r="F4" s="121" t="e">
        <f>SUMIFS(#REF!,#REF!,Extrato!$B4,#REF!,Extrato!F$3)</f>
        <v>#REF!</v>
      </c>
      <c r="G4" s="121" t="e">
        <f>SUMIFS(#REF!,#REF!,Extrato!$B4,#REF!,Extrato!G$3)</f>
        <v>#REF!</v>
      </c>
      <c r="H4" s="121" t="e">
        <f>SUMIFS(#REF!,#REF!,Extrato!$B4,#REF!,Extrato!H$3)</f>
        <v>#REF!</v>
      </c>
      <c r="I4" s="121" t="e">
        <f>SUMIFS(#REF!,#REF!,Extrato!$B4,#REF!,Extrato!I$3)</f>
        <v>#REF!</v>
      </c>
      <c r="J4" s="121" t="e">
        <f>SUMIFS(#REF!,#REF!,Extrato!$B4,#REF!,Extrato!J$3)</f>
        <v>#REF!</v>
      </c>
      <c r="K4" s="121" t="e">
        <f>SUMIFS(#REF!,#REF!,Extrato!$B4,#REF!,Extrato!K$3)</f>
        <v>#REF!</v>
      </c>
      <c r="L4" s="121" t="e">
        <f>SUMIFS(#REF!,#REF!,Extrato!$B4,#REF!,Extrato!L$3)</f>
        <v>#REF!</v>
      </c>
      <c r="M4" s="121" t="e">
        <f>SUMIFS(#REF!,#REF!,Extrato!$B4,#REF!,Extrato!M$3)</f>
        <v>#REF!</v>
      </c>
      <c r="N4" s="121" t="e">
        <f>SUMIFS(#REF!,#REF!,Extrato!$B4,#REF!,Extrato!N$3)</f>
        <v>#REF!</v>
      </c>
      <c r="O4" s="121" t="e">
        <f>SUMIFS(#REF!,#REF!,Extrato!$B4,#REF!,Extrato!O$3)</f>
        <v>#REF!</v>
      </c>
      <c r="P4" s="121">
        <f>SUMIF(BetFlow!B:B,B4,BetFlow!J:J)</f>
        <v>0</v>
      </c>
      <c r="Q4" s="121" t="e">
        <f>SUMIFS(#REF!,#REF!,Extrato!$B4,#REF!,Extrato!Q$3)</f>
        <v>#REF!</v>
      </c>
      <c r="R4" s="121" t="e">
        <f>SUMIFS(#REF!,#REF!,Extrato!$B4,#REF!,Extrato!R$3)</f>
        <v>#REF!</v>
      </c>
      <c r="S4" s="121" t="e">
        <f>SUMIFS(#REF!,#REF!,Extrato!$B4,#REF!,Extrato!S$3)</f>
        <v>#REF!</v>
      </c>
      <c r="T4" s="121" t="e">
        <f>SUMIFS(#REF!,#REF!,Extrato!$B4,#REF!,Extrato!T$3)</f>
        <v>#REF!</v>
      </c>
      <c r="U4" s="121" t="e">
        <f>SUMIFS(#REF!,#REF!,Extrato!$B4,#REF!,Extrato!U$3)</f>
        <v>#REF!</v>
      </c>
      <c r="V4" s="121" t="e">
        <f>SUMIFS(#REF!,#REF!,Extrato!$B4,#REF!,Extrato!V$3)</f>
        <v>#REF!</v>
      </c>
      <c r="W4" s="121" t="e">
        <f>SUMIFS(#REF!,#REF!,Extrato!$B4,#REF!,Extrato!W$3)</f>
        <v>#REF!</v>
      </c>
      <c r="X4" s="121" t="e">
        <f>SUMIFS(#REF!,#REF!,Extrato!$B4,#REF!,Extrato!X$3)</f>
        <v>#REF!</v>
      </c>
      <c r="Y4" s="121" t="e">
        <f>SUMIFS(#REF!,#REF!,Extrato!$B4,#REF!,Extrato!Y$3)</f>
        <v>#REF!</v>
      </c>
      <c r="Z4" s="121" t="e">
        <f>SUMIFS(#REF!,#REF!,Extrato!$B4,#REF!,Extrato!Z$3)</f>
        <v>#REF!</v>
      </c>
      <c r="AA4" s="121" t="e">
        <f>SUMIFS(#REF!,#REF!,Extrato!$B4,#REF!,Extrato!AA$3)</f>
        <v>#REF!</v>
      </c>
      <c r="AB4" s="121" t="e">
        <f>SUMIFS(#REF!,#REF!,Extrato!$B4,#REF!,Extrato!AB$3)</f>
        <v>#REF!</v>
      </c>
      <c r="AC4" s="121" t="e">
        <f>SUMIFS(#REF!,#REF!,Extrato!$B4,#REF!,Extrato!AC$3)</f>
        <v>#REF!</v>
      </c>
      <c r="AD4" s="121" t="e">
        <f>SUMIFS(#REF!,#REF!,Extrato!$B4,#REF!,Extrato!AD$3)</f>
        <v>#REF!</v>
      </c>
      <c r="AE4" s="121" t="e">
        <f>SUMIFS(#REF!,#REF!,Extrato!$B4,#REF!,Extrato!AE$3)</f>
        <v>#REF!</v>
      </c>
      <c r="AF4" s="121" t="e">
        <f>SUMIFS(#REF!,#REF!,Extrato!$B4,#REF!,Extrato!AF$3)</f>
        <v>#REF!</v>
      </c>
      <c r="AG4" s="121" t="e">
        <f>SUMIFS(#REF!,#REF!,Extrato!$B4,#REF!,Extrato!AG$3)</f>
        <v>#REF!</v>
      </c>
      <c r="AH4" s="121" t="e">
        <f>SUMIFS(#REF!,#REF!,Extrato!$B4,#REF!,Extrato!AH$3)</f>
        <v>#REF!</v>
      </c>
      <c r="AI4" s="121" t="e">
        <f>SUMIFS(#REF!,#REF!,Extrato!$B4,#REF!,Extrato!AI$3)</f>
        <v>#REF!</v>
      </c>
      <c r="AJ4" s="121">
        <v>0</v>
      </c>
      <c r="AK4" s="121"/>
      <c r="AL4" s="25">
        <v>1350.05</v>
      </c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1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1"/>
    </row>
    <row r="5" spans="2:68" ht="15" customHeight="1">
      <c r="B5" s="12">
        <v>45990</v>
      </c>
      <c r="C5" s="121">
        <f t="shared" ref="C5:C68" si="0">AL4</f>
        <v>1350.05</v>
      </c>
      <c r="D5" s="121" t="e">
        <f>SUMIFS(#REF!,#REF!,Extrato!$B5,#REF!,Extrato!D$3)</f>
        <v>#REF!</v>
      </c>
      <c r="E5" s="121" t="e">
        <f>SUMIFS(#REF!,#REF!,Extrato!$B5,#REF!,Extrato!E$3)</f>
        <v>#REF!</v>
      </c>
      <c r="F5" s="121" t="e">
        <f>SUMIFS(#REF!,#REF!,Extrato!$B5,#REF!,Extrato!F$3)</f>
        <v>#REF!</v>
      </c>
      <c r="G5" s="121" t="e">
        <f>SUMIFS(#REF!,#REF!,Extrato!$B5,#REF!,Extrato!G$3)</f>
        <v>#REF!</v>
      </c>
      <c r="H5" s="121" t="e">
        <f>SUMIFS(#REF!,#REF!,Extrato!$B5,#REF!,Extrato!H$3)</f>
        <v>#REF!</v>
      </c>
      <c r="I5" s="121" t="e">
        <f>SUMIFS(#REF!,#REF!,Extrato!$B5,#REF!,Extrato!I$3)</f>
        <v>#REF!</v>
      </c>
      <c r="J5" s="121" t="e">
        <f>SUMIFS(#REF!,#REF!,Extrato!$B5,#REF!,Extrato!J$3)</f>
        <v>#REF!</v>
      </c>
      <c r="K5" s="121" t="e">
        <f>SUMIFS(#REF!,#REF!,Extrato!$B5,#REF!,Extrato!K$3)</f>
        <v>#REF!</v>
      </c>
      <c r="L5" s="121" t="e">
        <f>SUMIFS(#REF!,#REF!,Extrato!$B5,#REF!,Extrato!L$3)</f>
        <v>#REF!</v>
      </c>
      <c r="M5" s="121" t="e">
        <f>SUMIFS(#REF!,#REF!,Extrato!$B5,#REF!,Extrato!M$3)</f>
        <v>#REF!</v>
      </c>
      <c r="N5" s="121" t="e">
        <f>SUMIFS(#REF!,#REF!,Extrato!$B5,#REF!,Extrato!N$3)</f>
        <v>#REF!</v>
      </c>
      <c r="O5" s="121" t="e">
        <f>SUMIFS(#REF!,#REF!,Extrato!$B5,#REF!,Extrato!O$3)</f>
        <v>#REF!</v>
      </c>
      <c r="P5" s="121">
        <f>SUMIF(BetFlow!B:B,B5,BetFlow!J:J)</f>
        <v>0</v>
      </c>
      <c r="Q5" s="121" t="e">
        <f>SUMIFS(#REF!,#REF!,Extrato!$B5,#REF!,Extrato!Q$3)</f>
        <v>#REF!</v>
      </c>
      <c r="R5" s="121" t="e">
        <f>SUMIFS(#REF!,#REF!,Extrato!$B5,#REF!,Extrato!R$3)</f>
        <v>#REF!</v>
      </c>
      <c r="S5" s="121" t="e">
        <f>SUMIFS(#REF!,#REF!,Extrato!$B5,#REF!,Extrato!S$3)</f>
        <v>#REF!</v>
      </c>
      <c r="T5" s="121" t="e">
        <f>SUMIFS(#REF!,#REF!,Extrato!$B5,#REF!,Extrato!T$3)</f>
        <v>#REF!</v>
      </c>
      <c r="U5" s="121" t="e">
        <f>SUMIFS(#REF!,#REF!,Extrato!$B5,#REF!,Extrato!U$3)</f>
        <v>#REF!</v>
      </c>
      <c r="V5" s="121" t="e">
        <f>SUMIFS(#REF!,#REF!,Extrato!$B5,#REF!,Extrato!V$3)</f>
        <v>#REF!</v>
      </c>
      <c r="W5" s="121" t="e">
        <f>SUMIFS(#REF!,#REF!,Extrato!$B5,#REF!,Extrato!W$3)</f>
        <v>#REF!</v>
      </c>
      <c r="X5" s="121" t="e">
        <f>SUMIFS(#REF!,#REF!,Extrato!$B5,#REF!,Extrato!X$3)</f>
        <v>#REF!</v>
      </c>
      <c r="Y5" s="121" t="e">
        <f>SUMIFS(#REF!,#REF!,Extrato!$B5,#REF!,Extrato!Y$3)</f>
        <v>#REF!</v>
      </c>
      <c r="Z5" s="121" t="e">
        <f>SUMIFS(#REF!,#REF!,Extrato!$B5,#REF!,Extrato!Z$3)</f>
        <v>#REF!</v>
      </c>
      <c r="AA5" s="121" t="e">
        <f>SUMIFS(#REF!,#REF!,Extrato!$B5,#REF!,Extrato!AA$3)</f>
        <v>#REF!</v>
      </c>
      <c r="AB5" s="121" t="e">
        <f>SUMIFS(#REF!,#REF!,Extrato!$B5,#REF!,Extrato!AB$3)</f>
        <v>#REF!</v>
      </c>
      <c r="AC5" s="121" t="e">
        <f>SUMIFS(#REF!,#REF!,Extrato!$B5,#REF!,Extrato!AC$3)</f>
        <v>#REF!</v>
      </c>
      <c r="AD5" s="121" t="e">
        <f>SUMIFS(#REF!,#REF!,Extrato!$B5,#REF!,Extrato!AD$3)</f>
        <v>#REF!</v>
      </c>
      <c r="AE5" s="121" t="e">
        <f>SUMIFS(#REF!,#REF!,Extrato!$B5,#REF!,Extrato!AE$3)</f>
        <v>#REF!</v>
      </c>
      <c r="AF5" s="121" t="e">
        <f>SUMIFS(#REF!,#REF!,Extrato!$B5,#REF!,Extrato!AF$3)</f>
        <v>#REF!</v>
      </c>
      <c r="AG5" s="121" t="e">
        <f>SUMIFS(#REF!,#REF!,Extrato!$B5,#REF!,Extrato!AG$3)</f>
        <v>#REF!</v>
      </c>
      <c r="AH5" s="121" t="e">
        <f>SUMIFS(#REF!,#REF!,Extrato!$B5,#REF!,Extrato!AH$3)</f>
        <v>#REF!</v>
      </c>
      <c r="AI5" s="121" t="e">
        <f>SUMIFS(#REF!,#REF!,Extrato!$B5,#REF!,Extrato!AI$3)</f>
        <v>#REF!</v>
      </c>
      <c r="AJ5" s="121">
        <v>0</v>
      </c>
      <c r="AK5" s="121">
        <v>-84.15</v>
      </c>
      <c r="AL5" s="25" t="e">
        <f t="shared" ref="AL5:AL68" si="1">SUM(C5:AK5)</f>
        <v>#REF!</v>
      </c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1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1"/>
    </row>
    <row r="6" spans="2:68" ht="15" customHeight="1">
      <c r="B6" s="12">
        <v>45991</v>
      </c>
      <c r="C6" s="121" t="e">
        <f t="shared" si="0"/>
        <v>#REF!</v>
      </c>
      <c r="D6" s="121" t="e">
        <f>SUMIFS(#REF!,#REF!,Extrato!$B6,#REF!,Extrato!D$3)</f>
        <v>#REF!</v>
      </c>
      <c r="E6" s="121" t="e">
        <f>SUMIFS(#REF!,#REF!,Extrato!$B6,#REF!,Extrato!E$3)</f>
        <v>#REF!</v>
      </c>
      <c r="F6" s="121" t="e">
        <f>SUMIFS(#REF!,#REF!,Extrato!$B6,#REF!,Extrato!F$3)</f>
        <v>#REF!</v>
      </c>
      <c r="G6" s="121" t="e">
        <f>SUMIFS(#REF!,#REF!,Extrato!$B6,#REF!,Extrato!G$3)</f>
        <v>#REF!</v>
      </c>
      <c r="H6" s="121" t="e">
        <f>SUMIFS(#REF!,#REF!,Extrato!$B6,#REF!,Extrato!H$3)</f>
        <v>#REF!</v>
      </c>
      <c r="I6" s="121" t="e">
        <f>SUMIFS(#REF!,#REF!,Extrato!$B6,#REF!,Extrato!I$3)</f>
        <v>#REF!</v>
      </c>
      <c r="J6" s="121" t="e">
        <f>SUMIFS(#REF!,#REF!,Extrato!$B6,#REF!,Extrato!J$3)</f>
        <v>#REF!</v>
      </c>
      <c r="K6" s="121" t="e">
        <f>SUMIFS(#REF!,#REF!,Extrato!$B6,#REF!,Extrato!K$3)</f>
        <v>#REF!</v>
      </c>
      <c r="L6" s="121" t="e">
        <f>SUMIFS(#REF!,#REF!,Extrato!$B6,#REF!,Extrato!L$3)</f>
        <v>#REF!</v>
      </c>
      <c r="M6" s="121" t="e">
        <f>SUMIFS(#REF!,#REF!,Extrato!$B6,#REF!,Extrato!M$3)</f>
        <v>#REF!</v>
      </c>
      <c r="N6" s="121" t="e">
        <f>SUMIFS(#REF!,#REF!,Extrato!$B6,#REF!,Extrato!N$3)</f>
        <v>#REF!</v>
      </c>
      <c r="O6" s="121" t="e">
        <f>SUMIFS(#REF!,#REF!,Extrato!$B6,#REF!,Extrato!O$3)</f>
        <v>#REF!</v>
      </c>
      <c r="P6" s="121">
        <f>SUMIF(BetFlow!B:B,B6,BetFlow!J:J)</f>
        <v>0</v>
      </c>
      <c r="Q6" s="121" t="e">
        <f>SUMIFS(#REF!,#REF!,Extrato!$B6,#REF!,Extrato!Q$3)</f>
        <v>#REF!</v>
      </c>
      <c r="R6" s="121" t="e">
        <f>SUMIFS(#REF!,#REF!,Extrato!$B6,#REF!,Extrato!R$3)</f>
        <v>#REF!</v>
      </c>
      <c r="S6" s="121" t="e">
        <f>SUMIFS(#REF!,#REF!,Extrato!$B6,#REF!,Extrato!S$3)</f>
        <v>#REF!</v>
      </c>
      <c r="T6" s="121" t="e">
        <f>SUMIFS(#REF!,#REF!,Extrato!$B6,#REF!,Extrato!T$3)</f>
        <v>#REF!</v>
      </c>
      <c r="U6" s="121" t="e">
        <f>SUMIFS(#REF!,#REF!,Extrato!$B6,#REF!,Extrato!U$3)</f>
        <v>#REF!</v>
      </c>
      <c r="V6" s="121" t="e">
        <f>SUMIFS(#REF!,#REF!,Extrato!$B6,#REF!,Extrato!V$3)</f>
        <v>#REF!</v>
      </c>
      <c r="W6" s="121" t="e">
        <f>SUMIFS(#REF!,#REF!,Extrato!$B6,#REF!,Extrato!W$3)</f>
        <v>#REF!</v>
      </c>
      <c r="X6" s="121" t="e">
        <f>SUMIFS(#REF!,#REF!,Extrato!$B6,#REF!,Extrato!X$3)</f>
        <v>#REF!</v>
      </c>
      <c r="Y6" s="121" t="e">
        <f>SUMIFS(#REF!,#REF!,Extrato!$B6,#REF!,Extrato!Y$3)</f>
        <v>#REF!</v>
      </c>
      <c r="Z6" s="121" t="e">
        <f>SUMIFS(#REF!,#REF!,Extrato!$B6,#REF!,Extrato!Z$3)</f>
        <v>#REF!</v>
      </c>
      <c r="AA6" s="121" t="e">
        <f>SUMIFS(#REF!,#REF!,Extrato!$B6,#REF!,Extrato!AA$3)</f>
        <v>#REF!</v>
      </c>
      <c r="AB6" s="121" t="e">
        <f>SUMIFS(#REF!,#REF!,Extrato!$B6,#REF!,Extrato!AB$3)</f>
        <v>#REF!</v>
      </c>
      <c r="AC6" s="121" t="e">
        <f>SUMIFS(#REF!,#REF!,Extrato!$B6,#REF!,Extrato!AC$3)</f>
        <v>#REF!</v>
      </c>
      <c r="AD6" s="121" t="e">
        <f>SUMIFS(#REF!,#REF!,Extrato!$B6,#REF!,Extrato!AD$3)</f>
        <v>#REF!</v>
      </c>
      <c r="AE6" s="121" t="e">
        <f>SUMIFS(#REF!,#REF!,Extrato!$B6,#REF!,Extrato!AE$3)</f>
        <v>#REF!</v>
      </c>
      <c r="AF6" s="121" t="e">
        <f>SUMIFS(#REF!,#REF!,Extrato!$B6,#REF!,Extrato!AF$3)</f>
        <v>#REF!</v>
      </c>
      <c r="AG6" s="121" t="e">
        <f>SUMIFS(#REF!,#REF!,Extrato!$B6,#REF!,Extrato!AG$3)</f>
        <v>#REF!</v>
      </c>
      <c r="AH6" s="121" t="e">
        <f>SUMIFS(#REF!,#REF!,Extrato!$B6,#REF!,Extrato!AH$3)</f>
        <v>#REF!</v>
      </c>
      <c r="AI6" s="121" t="e">
        <f>SUMIFS(#REF!,#REF!,Extrato!$B6,#REF!,Extrato!AI$3)</f>
        <v>#REF!</v>
      </c>
      <c r="AJ6" s="121">
        <v>0</v>
      </c>
      <c r="AK6" s="121">
        <v>-25.54</v>
      </c>
      <c r="AL6" s="25" t="e">
        <f t="shared" si="1"/>
        <v>#REF!</v>
      </c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1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1"/>
    </row>
    <row r="7" spans="2:68" ht="15" customHeight="1">
      <c r="B7" s="12">
        <v>45992</v>
      </c>
      <c r="C7" s="121" t="e">
        <f t="shared" si="0"/>
        <v>#REF!</v>
      </c>
      <c r="D7" s="121" t="e">
        <f>SUMIFS(#REF!,#REF!,Extrato!$B7,#REF!,Extrato!D$3)</f>
        <v>#REF!</v>
      </c>
      <c r="E7" s="121" t="e">
        <f>SUMIFS(#REF!,#REF!,Extrato!$B7,#REF!,Extrato!E$3)</f>
        <v>#REF!</v>
      </c>
      <c r="F7" s="121" t="e">
        <f>SUMIFS(#REF!,#REF!,Extrato!$B7,#REF!,Extrato!F$3)</f>
        <v>#REF!</v>
      </c>
      <c r="G7" s="121" t="e">
        <f>SUMIFS(#REF!,#REF!,Extrato!$B7,#REF!,Extrato!G$3)</f>
        <v>#REF!</v>
      </c>
      <c r="H7" s="121" t="e">
        <f>SUMIFS(#REF!,#REF!,Extrato!$B7,#REF!,Extrato!H$3)</f>
        <v>#REF!</v>
      </c>
      <c r="I7" s="121" t="e">
        <f>SUMIFS(#REF!,#REF!,Extrato!$B7,#REF!,Extrato!I$3)</f>
        <v>#REF!</v>
      </c>
      <c r="J7" s="121" t="e">
        <f>SUMIFS(#REF!,#REF!,Extrato!$B7,#REF!,Extrato!J$3)</f>
        <v>#REF!</v>
      </c>
      <c r="K7" s="121" t="e">
        <f>SUMIFS(#REF!,#REF!,Extrato!$B7,#REF!,Extrato!K$3)</f>
        <v>#REF!</v>
      </c>
      <c r="L7" s="121" t="e">
        <f>SUMIFS(#REF!,#REF!,Extrato!$B7,#REF!,Extrato!L$3)</f>
        <v>#REF!</v>
      </c>
      <c r="M7" s="121" t="e">
        <f>SUMIFS(#REF!,#REF!,Extrato!$B7,#REF!,Extrato!M$3)</f>
        <v>#REF!</v>
      </c>
      <c r="N7" s="121" t="e">
        <f>SUMIFS(#REF!,#REF!,Extrato!$B7,#REF!,Extrato!N$3)</f>
        <v>#REF!</v>
      </c>
      <c r="O7" s="121" t="e">
        <f>SUMIFS(#REF!,#REF!,Extrato!$B7,#REF!,Extrato!O$3)</f>
        <v>#REF!</v>
      </c>
      <c r="P7" s="121">
        <f>SUMIF(BetFlow!B:B,B7,BetFlow!J:J)</f>
        <v>0</v>
      </c>
      <c r="Q7" s="121" t="e">
        <f>SUMIFS(#REF!,#REF!,Extrato!$B7,#REF!,Extrato!Q$3)</f>
        <v>#REF!</v>
      </c>
      <c r="R7" s="121" t="e">
        <f>SUMIFS(#REF!,#REF!,Extrato!$B7,#REF!,Extrato!R$3)</f>
        <v>#REF!</v>
      </c>
      <c r="S7" s="121" t="e">
        <f>SUMIFS(#REF!,#REF!,Extrato!$B7,#REF!,Extrato!S$3)</f>
        <v>#REF!</v>
      </c>
      <c r="T7" s="121" t="e">
        <f>SUMIFS(#REF!,#REF!,Extrato!$B7,#REF!,Extrato!T$3)</f>
        <v>#REF!</v>
      </c>
      <c r="U7" s="121" t="e">
        <f>SUMIFS(#REF!,#REF!,Extrato!$B7,#REF!,Extrato!U$3)</f>
        <v>#REF!</v>
      </c>
      <c r="V7" s="121" t="e">
        <f>SUMIFS(#REF!,#REF!,Extrato!$B7,#REF!,Extrato!V$3)</f>
        <v>#REF!</v>
      </c>
      <c r="W7" s="121" t="e">
        <f>SUMIFS(#REF!,#REF!,Extrato!$B7,#REF!,Extrato!W$3)</f>
        <v>#REF!</v>
      </c>
      <c r="X7" s="121" t="e">
        <f>SUMIFS(#REF!,#REF!,Extrato!$B7,#REF!,Extrato!X$3)</f>
        <v>#REF!</v>
      </c>
      <c r="Y7" s="121" t="e">
        <f>SUMIFS(#REF!,#REF!,Extrato!$B7,#REF!,Extrato!Y$3)</f>
        <v>#REF!</v>
      </c>
      <c r="Z7" s="121" t="e">
        <f>SUMIFS(#REF!,#REF!,Extrato!$B7,#REF!,Extrato!Z$3)</f>
        <v>#REF!</v>
      </c>
      <c r="AA7" s="121" t="e">
        <f>SUMIFS(#REF!,#REF!,Extrato!$B7,#REF!,Extrato!AA$3)</f>
        <v>#REF!</v>
      </c>
      <c r="AB7" s="121" t="e">
        <f>SUMIFS(#REF!,#REF!,Extrato!$B7,#REF!,Extrato!AB$3)</f>
        <v>#REF!</v>
      </c>
      <c r="AC7" s="121" t="e">
        <f>SUMIFS(#REF!,#REF!,Extrato!$B7,#REF!,Extrato!AC$3)</f>
        <v>#REF!</v>
      </c>
      <c r="AD7" s="121" t="e">
        <f>SUMIFS(#REF!,#REF!,Extrato!$B7,#REF!,Extrato!AD$3)</f>
        <v>#REF!</v>
      </c>
      <c r="AE7" s="121" t="e">
        <f>SUMIFS(#REF!,#REF!,Extrato!$B7,#REF!,Extrato!AE$3)</f>
        <v>#REF!</v>
      </c>
      <c r="AF7" s="121" t="e">
        <f>SUMIFS(#REF!,#REF!,Extrato!$B7,#REF!,Extrato!AF$3)</f>
        <v>#REF!</v>
      </c>
      <c r="AG7" s="121" t="e">
        <f>SUMIFS(#REF!,#REF!,Extrato!$B7,#REF!,Extrato!AG$3)</f>
        <v>#REF!</v>
      </c>
      <c r="AH7" s="121" t="e">
        <f>SUMIFS(#REF!,#REF!,Extrato!$B7,#REF!,Extrato!AH$3)</f>
        <v>#REF!</v>
      </c>
      <c r="AI7" s="121" t="e">
        <f>SUMIFS(#REF!,#REF!,Extrato!$B7,#REF!,Extrato!AI$3)</f>
        <v>#REF!</v>
      </c>
      <c r="AJ7" s="121">
        <v>0</v>
      </c>
      <c r="AK7" s="121">
        <v>-1.2</v>
      </c>
      <c r="AL7" s="25" t="e">
        <f t="shared" si="1"/>
        <v>#REF!</v>
      </c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1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1"/>
    </row>
    <row r="8" spans="2:68" ht="15" customHeight="1">
      <c r="B8" s="12">
        <v>45993</v>
      </c>
      <c r="C8" s="121" t="e">
        <f t="shared" si="0"/>
        <v>#REF!</v>
      </c>
      <c r="D8" s="121" t="e">
        <f>SUMIFS(#REF!,#REF!,Extrato!$B8,#REF!,Extrato!D$3)</f>
        <v>#REF!</v>
      </c>
      <c r="E8" s="121" t="e">
        <f>SUMIFS(#REF!,#REF!,Extrato!$B8,#REF!,Extrato!E$3)</f>
        <v>#REF!</v>
      </c>
      <c r="F8" s="121" t="e">
        <f>SUMIFS(#REF!,#REF!,Extrato!$B8,#REF!,Extrato!F$3)</f>
        <v>#REF!</v>
      </c>
      <c r="G8" s="121" t="e">
        <f>SUMIFS(#REF!,#REF!,Extrato!$B8,#REF!,Extrato!G$3)</f>
        <v>#REF!</v>
      </c>
      <c r="H8" s="121" t="e">
        <f>SUMIFS(#REF!,#REF!,Extrato!$B8,#REF!,Extrato!H$3)</f>
        <v>#REF!</v>
      </c>
      <c r="I8" s="121" t="e">
        <f>SUMIFS(#REF!,#REF!,Extrato!$B8,#REF!,Extrato!I$3)</f>
        <v>#REF!</v>
      </c>
      <c r="J8" s="121" t="e">
        <f>SUMIFS(#REF!,#REF!,Extrato!$B8,#REF!,Extrato!J$3)</f>
        <v>#REF!</v>
      </c>
      <c r="K8" s="121" t="e">
        <f>SUMIFS(#REF!,#REF!,Extrato!$B8,#REF!,Extrato!K$3)</f>
        <v>#REF!</v>
      </c>
      <c r="L8" s="121" t="e">
        <f>SUMIFS(#REF!,#REF!,Extrato!$B8,#REF!,Extrato!L$3)</f>
        <v>#REF!</v>
      </c>
      <c r="M8" s="121" t="e">
        <f>SUMIFS(#REF!,#REF!,Extrato!$B8,#REF!,Extrato!M$3)</f>
        <v>#REF!</v>
      </c>
      <c r="N8" s="121" t="e">
        <f>SUMIFS(#REF!,#REF!,Extrato!$B8,#REF!,Extrato!N$3)</f>
        <v>#REF!</v>
      </c>
      <c r="O8" s="121" t="e">
        <f>SUMIFS(#REF!,#REF!,Extrato!$B8,#REF!,Extrato!O$3)</f>
        <v>#REF!</v>
      </c>
      <c r="P8" s="121">
        <f>SUMIF(BetFlow!B:B,B8,BetFlow!J:J)</f>
        <v>0</v>
      </c>
      <c r="Q8" s="121" t="e">
        <f>SUMIFS(#REF!,#REF!,Extrato!$B8,#REF!,Extrato!Q$3)</f>
        <v>#REF!</v>
      </c>
      <c r="R8" s="121" t="e">
        <f>SUMIFS(#REF!,#REF!,Extrato!$B8,#REF!,Extrato!R$3)</f>
        <v>#REF!</v>
      </c>
      <c r="S8" s="121" t="e">
        <f>SUMIFS(#REF!,#REF!,Extrato!$B8,#REF!,Extrato!S$3)</f>
        <v>#REF!</v>
      </c>
      <c r="T8" s="121" t="e">
        <f>SUMIFS(#REF!,#REF!,Extrato!$B8,#REF!,Extrato!T$3)</f>
        <v>#REF!</v>
      </c>
      <c r="U8" s="121" t="e">
        <f>SUMIFS(#REF!,#REF!,Extrato!$B8,#REF!,Extrato!U$3)</f>
        <v>#REF!</v>
      </c>
      <c r="V8" s="121" t="e">
        <f>SUMIFS(#REF!,#REF!,Extrato!$B8,#REF!,Extrato!V$3)</f>
        <v>#REF!</v>
      </c>
      <c r="W8" s="121" t="e">
        <f>SUMIFS(#REF!,#REF!,Extrato!$B8,#REF!,Extrato!W$3)</f>
        <v>#REF!</v>
      </c>
      <c r="X8" s="121" t="e">
        <f>SUMIFS(#REF!,#REF!,Extrato!$B8,#REF!,Extrato!X$3)</f>
        <v>#REF!</v>
      </c>
      <c r="Y8" s="121" t="e">
        <f>SUMIFS(#REF!,#REF!,Extrato!$B8,#REF!,Extrato!Y$3)</f>
        <v>#REF!</v>
      </c>
      <c r="Z8" s="121" t="e">
        <f>SUMIFS(#REF!,#REF!,Extrato!$B8,#REF!,Extrato!Z$3)</f>
        <v>#REF!</v>
      </c>
      <c r="AA8" s="121" t="e">
        <f>SUMIFS(#REF!,#REF!,Extrato!$B8,#REF!,Extrato!AA$3)</f>
        <v>#REF!</v>
      </c>
      <c r="AB8" s="121" t="e">
        <f>SUMIFS(#REF!,#REF!,Extrato!$B8,#REF!,Extrato!AB$3)</f>
        <v>#REF!</v>
      </c>
      <c r="AC8" s="121" t="e">
        <f>SUMIFS(#REF!,#REF!,Extrato!$B8,#REF!,Extrato!AC$3)</f>
        <v>#REF!</v>
      </c>
      <c r="AD8" s="121" t="e">
        <f>SUMIFS(#REF!,#REF!,Extrato!$B8,#REF!,Extrato!AD$3)</f>
        <v>#REF!</v>
      </c>
      <c r="AE8" s="121" t="e">
        <f>SUMIFS(#REF!,#REF!,Extrato!$B8,#REF!,Extrato!AE$3)</f>
        <v>#REF!</v>
      </c>
      <c r="AF8" s="121" t="e">
        <f>SUMIFS(#REF!,#REF!,Extrato!$B8,#REF!,Extrato!AF$3)</f>
        <v>#REF!</v>
      </c>
      <c r="AG8" s="121" t="e">
        <f>SUMIFS(#REF!,#REF!,Extrato!$B8,#REF!,Extrato!AG$3)</f>
        <v>#REF!</v>
      </c>
      <c r="AH8" s="121" t="e">
        <f>SUMIFS(#REF!,#REF!,Extrato!$B8,#REF!,Extrato!AH$3)</f>
        <v>#REF!</v>
      </c>
      <c r="AI8" s="121" t="e">
        <f>SUMIFS(#REF!,#REF!,Extrato!$B8,#REF!,Extrato!AI$3)</f>
        <v>#REF!</v>
      </c>
      <c r="AJ8" s="121">
        <v>0</v>
      </c>
      <c r="AK8" s="121">
        <v>7.03</v>
      </c>
      <c r="AL8" s="25" t="e">
        <f t="shared" si="1"/>
        <v>#REF!</v>
      </c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1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1"/>
    </row>
    <row r="9" spans="2:68" ht="15" customHeight="1">
      <c r="B9" s="12">
        <v>45994</v>
      </c>
      <c r="C9" s="121" t="e">
        <f t="shared" si="0"/>
        <v>#REF!</v>
      </c>
      <c r="D9" s="121" t="e">
        <f>SUMIFS(#REF!,#REF!,Extrato!$B9,#REF!,Extrato!D$3)</f>
        <v>#REF!</v>
      </c>
      <c r="E9" s="121" t="e">
        <f>SUMIFS(#REF!,#REF!,Extrato!$B9,#REF!,Extrato!E$3)</f>
        <v>#REF!</v>
      </c>
      <c r="F9" s="121" t="e">
        <f>SUMIFS(#REF!,#REF!,Extrato!$B9,#REF!,Extrato!F$3)</f>
        <v>#REF!</v>
      </c>
      <c r="G9" s="121" t="e">
        <f>SUMIFS(#REF!,#REF!,Extrato!$B9,#REF!,Extrato!G$3)</f>
        <v>#REF!</v>
      </c>
      <c r="H9" s="121" t="e">
        <f>SUMIFS(#REF!,#REF!,Extrato!$B9,#REF!,Extrato!H$3)</f>
        <v>#REF!</v>
      </c>
      <c r="I9" s="121" t="e">
        <f>SUMIFS(#REF!,#REF!,Extrato!$B9,#REF!,Extrato!I$3)</f>
        <v>#REF!</v>
      </c>
      <c r="J9" s="121" t="e">
        <f>SUMIFS(#REF!,#REF!,Extrato!$B9,#REF!,Extrato!J$3)</f>
        <v>#REF!</v>
      </c>
      <c r="K9" s="121" t="e">
        <f>SUMIFS(#REF!,#REF!,Extrato!$B9,#REF!,Extrato!K$3)</f>
        <v>#REF!</v>
      </c>
      <c r="L9" s="121" t="e">
        <f>SUMIFS(#REF!,#REF!,Extrato!$B9,#REF!,Extrato!L$3)</f>
        <v>#REF!</v>
      </c>
      <c r="M9" s="121" t="e">
        <f>SUMIFS(#REF!,#REF!,Extrato!$B9,#REF!,Extrato!M$3)</f>
        <v>#REF!</v>
      </c>
      <c r="N9" s="121" t="e">
        <f>SUMIFS(#REF!,#REF!,Extrato!$B9,#REF!,Extrato!N$3)</f>
        <v>#REF!</v>
      </c>
      <c r="O9" s="121" t="e">
        <f>SUMIFS(#REF!,#REF!,Extrato!$B9,#REF!,Extrato!O$3)</f>
        <v>#REF!</v>
      </c>
      <c r="P9" s="121">
        <f>SUMIF(BetFlow!B:B,B9,BetFlow!J:J)</f>
        <v>0</v>
      </c>
      <c r="Q9" s="121" t="e">
        <f>SUMIFS(#REF!,#REF!,Extrato!$B9,#REF!,Extrato!Q$3)</f>
        <v>#REF!</v>
      </c>
      <c r="R9" s="121" t="e">
        <f>SUMIFS(#REF!,#REF!,Extrato!$B9,#REF!,Extrato!R$3)</f>
        <v>#REF!</v>
      </c>
      <c r="S9" s="121" t="e">
        <f>SUMIFS(#REF!,#REF!,Extrato!$B9,#REF!,Extrato!S$3)</f>
        <v>#REF!</v>
      </c>
      <c r="T9" s="121" t="e">
        <f>SUMIFS(#REF!,#REF!,Extrato!$B9,#REF!,Extrato!T$3)</f>
        <v>#REF!</v>
      </c>
      <c r="U9" s="121" t="e">
        <f>SUMIFS(#REF!,#REF!,Extrato!$B9,#REF!,Extrato!U$3)</f>
        <v>#REF!</v>
      </c>
      <c r="V9" s="121" t="e">
        <f>SUMIFS(#REF!,#REF!,Extrato!$B9,#REF!,Extrato!V$3)</f>
        <v>#REF!</v>
      </c>
      <c r="W9" s="121" t="e">
        <f>SUMIFS(#REF!,#REF!,Extrato!$B9,#REF!,Extrato!W$3)</f>
        <v>#REF!</v>
      </c>
      <c r="X9" s="121" t="e">
        <f>SUMIFS(#REF!,#REF!,Extrato!$B9,#REF!,Extrato!X$3)</f>
        <v>#REF!</v>
      </c>
      <c r="Y9" s="121" t="e">
        <f>SUMIFS(#REF!,#REF!,Extrato!$B9,#REF!,Extrato!Y$3)</f>
        <v>#REF!</v>
      </c>
      <c r="Z9" s="121" t="e">
        <f>SUMIFS(#REF!,#REF!,Extrato!$B9,#REF!,Extrato!Z$3)</f>
        <v>#REF!</v>
      </c>
      <c r="AA9" s="121" t="e">
        <f>SUMIFS(#REF!,#REF!,Extrato!$B9,#REF!,Extrato!AA$3)</f>
        <v>#REF!</v>
      </c>
      <c r="AB9" s="121" t="e">
        <f>SUMIFS(#REF!,#REF!,Extrato!$B9,#REF!,Extrato!AB$3)</f>
        <v>#REF!</v>
      </c>
      <c r="AC9" s="121" t="e">
        <f>SUMIFS(#REF!,#REF!,Extrato!$B9,#REF!,Extrato!AC$3)</f>
        <v>#REF!</v>
      </c>
      <c r="AD9" s="121" t="e">
        <f>SUMIFS(#REF!,#REF!,Extrato!$B9,#REF!,Extrato!AD$3)</f>
        <v>#REF!</v>
      </c>
      <c r="AE9" s="121" t="e">
        <f>SUMIFS(#REF!,#REF!,Extrato!$B9,#REF!,Extrato!AE$3)</f>
        <v>#REF!</v>
      </c>
      <c r="AF9" s="121" t="e">
        <f>SUMIFS(#REF!,#REF!,Extrato!$B9,#REF!,Extrato!AF$3)</f>
        <v>#REF!</v>
      </c>
      <c r="AG9" s="121" t="e">
        <f>SUMIFS(#REF!,#REF!,Extrato!$B9,#REF!,Extrato!AG$3)</f>
        <v>#REF!</v>
      </c>
      <c r="AH9" s="121" t="e">
        <f>SUMIFS(#REF!,#REF!,Extrato!$B9,#REF!,Extrato!AH$3)</f>
        <v>#REF!</v>
      </c>
      <c r="AI9" s="121" t="e">
        <f>SUMIFS(#REF!,#REF!,Extrato!$B9,#REF!,Extrato!AI$3)</f>
        <v>#REF!</v>
      </c>
      <c r="AJ9" s="121">
        <v>0</v>
      </c>
      <c r="AK9" s="121">
        <v>2.61</v>
      </c>
      <c r="AL9" s="25" t="e">
        <f t="shared" si="1"/>
        <v>#REF!</v>
      </c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1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1"/>
    </row>
    <row r="10" spans="2:68" ht="15" customHeight="1">
      <c r="B10" s="12">
        <v>45995</v>
      </c>
      <c r="C10" s="121" t="e">
        <f t="shared" si="0"/>
        <v>#REF!</v>
      </c>
      <c r="D10" s="121" t="e">
        <f>SUMIFS(#REF!,#REF!,Extrato!$B10,#REF!,Extrato!D$3)</f>
        <v>#REF!</v>
      </c>
      <c r="E10" s="121" t="e">
        <f>SUMIFS(#REF!,#REF!,Extrato!$B10,#REF!,Extrato!E$3)</f>
        <v>#REF!</v>
      </c>
      <c r="F10" s="121" t="e">
        <f>SUMIFS(#REF!,#REF!,Extrato!$B10,#REF!,Extrato!F$3)</f>
        <v>#REF!</v>
      </c>
      <c r="G10" s="121" t="e">
        <f>SUMIFS(#REF!,#REF!,Extrato!$B10,#REF!,Extrato!G$3)</f>
        <v>#REF!</v>
      </c>
      <c r="H10" s="121" t="e">
        <f>SUMIFS(#REF!,#REF!,Extrato!$B10,#REF!,Extrato!H$3)</f>
        <v>#REF!</v>
      </c>
      <c r="I10" s="121" t="e">
        <f>SUMIFS(#REF!,#REF!,Extrato!$B10,#REF!,Extrato!I$3)</f>
        <v>#REF!</v>
      </c>
      <c r="J10" s="121" t="e">
        <f>SUMIFS(#REF!,#REF!,Extrato!$B10,#REF!,Extrato!J$3)</f>
        <v>#REF!</v>
      </c>
      <c r="K10" s="121" t="e">
        <f>SUMIFS(#REF!,#REF!,Extrato!$B10,#REF!,Extrato!K$3)</f>
        <v>#REF!</v>
      </c>
      <c r="L10" s="121" t="e">
        <f>SUMIFS(#REF!,#REF!,Extrato!$B10,#REF!,Extrato!L$3)</f>
        <v>#REF!</v>
      </c>
      <c r="M10" s="121" t="e">
        <f>SUMIFS(#REF!,#REF!,Extrato!$B10,#REF!,Extrato!M$3)</f>
        <v>#REF!</v>
      </c>
      <c r="N10" s="121" t="e">
        <f>SUMIFS(#REF!,#REF!,Extrato!$B10,#REF!,Extrato!N$3)</f>
        <v>#REF!</v>
      </c>
      <c r="O10" s="121" t="e">
        <f>SUMIFS(#REF!,#REF!,Extrato!$B10,#REF!,Extrato!O$3)</f>
        <v>#REF!</v>
      </c>
      <c r="P10" s="121">
        <f>SUMIF(BetFlow!B:B,B10,BetFlow!J:J)</f>
        <v>0</v>
      </c>
      <c r="Q10" s="121" t="e">
        <f>SUMIFS(#REF!,#REF!,Extrato!$B10,#REF!,Extrato!Q$3)</f>
        <v>#REF!</v>
      </c>
      <c r="R10" s="121" t="e">
        <f>SUMIFS(#REF!,#REF!,Extrato!$B10,#REF!,Extrato!R$3)</f>
        <v>#REF!</v>
      </c>
      <c r="S10" s="121" t="e">
        <f>SUMIFS(#REF!,#REF!,Extrato!$B10,#REF!,Extrato!S$3)</f>
        <v>#REF!</v>
      </c>
      <c r="T10" s="121" t="e">
        <f>SUMIFS(#REF!,#REF!,Extrato!$B10,#REF!,Extrato!T$3)</f>
        <v>#REF!</v>
      </c>
      <c r="U10" s="121" t="e">
        <f>SUMIFS(#REF!,#REF!,Extrato!$B10,#REF!,Extrato!U$3)</f>
        <v>#REF!</v>
      </c>
      <c r="V10" s="121" t="e">
        <f>SUMIFS(#REF!,#REF!,Extrato!$B10,#REF!,Extrato!V$3)</f>
        <v>#REF!</v>
      </c>
      <c r="W10" s="121" t="e">
        <f>SUMIFS(#REF!,#REF!,Extrato!$B10,#REF!,Extrato!W$3)</f>
        <v>#REF!</v>
      </c>
      <c r="X10" s="121" t="e">
        <f>SUMIFS(#REF!,#REF!,Extrato!$B10,#REF!,Extrato!X$3)</f>
        <v>#REF!</v>
      </c>
      <c r="Y10" s="121" t="e">
        <f>SUMIFS(#REF!,#REF!,Extrato!$B10,#REF!,Extrato!Y$3)</f>
        <v>#REF!</v>
      </c>
      <c r="Z10" s="121" t="e">
        <f>SUMIFS(#REF!,#REF!,Extrato!$B10,#REF!,Extrato!Z$3)</f>
        <v>#REF!</v>
      </c>
      <c r="AA10" s="121" t="e">
        <f>SUMIFS(#REF!,#REF!,Extrato!$B10,#REF!,Extrato!AA$3)</f>
        <v>#REF!</v>
      </c>
      <c r="AB10" s="121" t="e">
        <f>SUMIFS(#REF!,#REF!,Extrato!$B10,#REF!,Extrato!AB$3)</f>
        <v>#REF!</v>
      </c>
      <c r="AC10" s="121" t="e">
        <f>SUMIFS(#REF!,#REF!,Extrato!$B10,#REF!,Extrato!AC$3)</f>
        <v>#REF!</v>
      </c>
      <c r="AD10" s="121" t="e">
        <f>SUMIFS(#REF!,#REF!,Extrato!$B10,#REF!,Extrato!AD$3)</f>
        <v>#REF!</v>
      </c>
      <c r="AE10" s="121" t="e">
        <f>SUMIFS(#REF!,#REF!,Extrato!$B10,#REF!,Extrato!AE$3)</f>
        <v>#REF!</v>
      </c>
      <c r="AF10" s="121" t="e">
        <f>SUMIFS(#REF!,#REF!,Extrato!$B10,#REF!,Extrato!AF$3)</f>
        <v>#REF!</v>
      </c>
      <c r="AG10" s="121" t="e">
        <f>SUMIFS(#REF!,#REF!,Extrato!$B10,#REF!,Extrato!AG$3)</f>
        <v>#REF!</v>
      </c>
      <c r="AH10" s="121" t="e">
        <f>SUMIFS(#REF!,#REF!,Extrato!$B10,#REF!,Extrato!AH$3)</f>
        <v>#REF!</v>
      </c>
      <c r="AI10" s="121" t="e">
        <f>SUMIFS(#REF!,#REF!,Extrato!$B10,#REF!,Extrato!AI$3)</f>
        <v>#REF!</v>
      </c>
      <c r="AJ10" s="121">
        <v>0</v>
      </c>
      <c r="AK10" s="121">
        <v>0.01</v>
      </c>
      <c r="AL10" s="25" t="e">
        <f t="shared" si="1"/>
        <v>#REF!</v>
      </c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1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1"/>
    </row>
    <row r="11" spans="2:68" ht="15" customHeight="1">
      <c r="B11" s="12">
        <v>45996</v>
      </c>
      <c r="C11" s="121" t="e">
        <f t="shared" si="0"/>
        <v>#REF!</v>
      </c>
      <c r="D11" s="121" t="e">
        <f>SUMIFS(#REF!,#REF!,Extrato!$B11,#REF!,Extrato!D$3)</f>
        <v>#REF!</v>
      </c>
      <c r="E11" s="121" t="e">
        <f>SUMIFS(#REF!,#REF!,Extrato!$B11,#REF!,Extrato!E$3)</f>
        <v>#REF!</v>
      </c>
      <c r="F11" s="121" t="e">
        <f>SUMIFS(#REF!,#REF!,Extrato!$B11,#REF!,Extrato!F$3)</f>
        <v>#REF!</v>
      </c>
      <c r="G11" s="121" t="e">
        <f>SUMIFS(#REF!,#REF!,Extrato!$B11,#REF!,Extrato!G$3)</f>
        <v>#REF!</v>
      </c>
      <c r="H11" s="121" t="e">
        <f>SUMIFS(#REF!,#REF!,Extrato!$B11,#REF!,Extrato!H$3)</f>
        <v>#REF!</v>
      </c>
      <c r="I11" s="121" t="e">
        <f>SUMIFS(#REF!,#REF!,Extrato!$B11,#REF!,Extrato!I$3)</f>
        <v>#REF!</v>
      </c>
      <c r="J11" s="121" t="e">
        <f>SUMIFS(#REF!,#REF!,Extrato!$B11,#REF!,Extrato!J$3)</f>
        <v>#REF!</v>
      </c>
      <c r="K11" s="121" t="e">
        <f>SUMIFS(#REF!,#REF!,Extrato!$B11,#REF!,Extrato!K$3)</f>
        <v>#REF!</v>
      </c>
      <c r="L11" s="121" t="e">
        <f>SUMIFS(#REF!,#REF!,Extrato!$B11,#REF!,Extrato!L$3)</f>
        <v>#REF!</v>
      </c>
      <c r="M11" s="121" t="e">
        <f>SUMIFS(#REF!,#REF!,Extrato!$B11,#REF!,Extrato!M$3)</f>
        <v>#REF!</v>
      </c>
      <c r="N11" s="121" t="e">
        <f>SUMIFS(#REF!,#REF!,Extrato!$B11,#REF!,Extrato!N$3)</f>
        <v>#REF!</v>
      </c>
      <c r="O11" s="121" t="e">
        <f>SUMIFS(#REF!,#REF!,Extrato!$B11,#REF!,Extrato!O$3)</f>
        <v>#REF!</v>
      </c>
      <c r="P11" s="121">
        <f>SUMIF(BetFlow!B:B,B11,BetFlow!J:J)</f>
        <v>0</v>
      </c>
      <c r="Q11" s="121" t="e">
        <f>SUMIFS(#REF!,#REF!,Extrato!$B11,#REF!,Extrato!Q$3)</f>
        <v>#REF!</v>
      </c>
      <c r="R11" s="121" t="e">
        <f>SUMIFS(#REF!,#REF!,Extrato!$B11,#REF!,Extrato!R$3)</f>
        <v>#REF!</v>
      </c>
      <c r="S11" s="121" t="e">
        <f>SUMIFS(#REF!,#REF!,Extrato!$B11,#REF!,Extrato!S$3)</f>
        <v>#REF!</v>
      </c>
      <c r="T11" s="121" t="e">
        <f>SUMIFS(#REF!,#REF!,Extrato!$B11,#REF!,Extrato!T$3)</f>
        <v>#REF!</v>
      </c>
      <c r="U11" s="121" t="e">
        <f>SUMIFS(#REF!,#REF!,Extrato!$B11,#REF!,Extrato!U$3)</f>
        <v>#REF!</v>
      </c>
      <c r="V11" s="121" t="e">
        <f>SUMIFS(#REF!,#REF!,Extrato!$B11,#REF!,Extrato!V$3)</f>
        <v>#REF!</v>
      </c>
      <c r="W11" s="121" t="e">
        <f>SUMIFS(#REF!,#REF!,Extrato!$B11,#REF!,Extrato!W$3)</f>
        <v>#REF!</v>
      </c>
      <c r="X11" s="121" t="e">
        <f>SUMIFS(#REF!,#REF!,Extrato!$B11,#REF!,Extrato!X$3)</f>
        <v>#REF!</v>
      </c>
      <c r="Y11" s="121" t="e">
        <f>SUMIFS(#REF!,#REF!,Extrato!$B11,#REF!,Extrato!Y$3)</f>
        <v>#REF!</v>
      </c>
      <c r="Z11" s="121" t="e">
        <f>SUMIFS(#REF!,#REF!,Extrato!$B11,#REF!,Extrato!Z$3)</f>
        <v>#REF!</v>
      </c>
      <c r="AA11" s="121" t="e">
        <f>SUMIFS(#REF!,#REF!,Extrato!$B11,#REF!,Extrato!AA$3)</f>
        <v>#REF!</v>
      </c>
      <c r="AB11" s="121" t="e">
        <f>SUMIFS(#REF!,#REF!,Extrato!$B11,#REF!,Extrato!AB$3)</f>
        <v>#REF!</v>
      </c>
      <c r="AC11" s="121" t="e">
        <f>SUMIFS(#REF!,#REF!,Extrato!$B11,#REF!,Extrato!AC$3)</f>
        <v>#REF!</v>
      </c>
      <c r="AD11" s="121" t="e">
        <f>SUMIFS(#REF!,#REF!,Extrato!$B11,#REF!,Extrato!AD$3)</f>
        <v>#REF!</v>
      </c>
      <c r="AE11" s="121" t="e">
        <f>SUMIFS(#REF!,#REF!,Extrato!$B11,#REF!,Extrato!AE$3)</f>
        <v>#REF!</v>
      </c>
      <c r="AF11" s="121" t="e">
        <f>SUMIFS(#REF!,#REF!,Extrato!$B11,#REF!,Extrato!AF$3)</f>
        <v>#REF!</v>
      </c>
      <c r="AG11" s="121" t="e">
        <f>SUMIFS(#REF!,#REF!,Extrato!$B11,#REF!,Extrato!AG$3)</f>
        <v>#REF!</v>
      </c>
      <c r="AH11" s="121" t="e">
        <f>SUMIFS(#REF!,#REF!,Extrato!$B11,#REF!,Extrato!AH$3)</f>
        <v>#REF!</v>
      </c>
      <c r="AI11" s="121" t="e">
        <f>SUMIFS(#REF!,#REF!,Extrato!$B11,#REF!,Extrato!AI$3)</f>
        <v>#REF!</v>
      </c>
      <c r="AJ11" s="121">
        <v>0</v>
      </c>
      <c r="AK11" s="121"/>
      <c r="AL11" s="25" t="e">
        <f t="shared" si="1"/>
        <v>#REF!</v>
      </c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</row>
    <row r="12" spans="2:68" ht="15" customHeight="1">
      <c r="B12" s="12">
        <v>45997</v>
      </c>
      <c r="C12" s="121" t="e">
        <f t="shared" si="0"/>
        <v>#REF!</v>
      </c>
      <c r="D12" s="121" t="e">
        <f>SUMIFS(#REF!,#REF!,Extrato!$B12,#REF!,Extrato!D$3)</f>
        <v>#REF!</v>
      </c>
      <c r="E12" s="121" t="e">
        <f>SUMIFS(#REF!,#REF!,Extrato!$B12,#REF!,Extrato!E$3)</f>
        <v>#REF!</v>
      </c>
      <c r="F12" s="121" t="e">
        <f>SUMIFS(#REF!,#REF!,Extrato!$B12,#REF!,Extrato!F$3)</f>
        <v>#REF!</v>
      </c>
      <c r="G12" s="121" t="e">
        <f>SUMIFS(#REF!,#REF!,Extrato!$B12,#REF!,Extrato!G$3)</f>
        <v>#REF!</v>
      </c>
      <c r="H12" s="121" t="e">
        <f>SUMIFS(#REF!,#REF!,Extrato!$B12,#REF!,Extrato!H$3)</f>
        <v>#REF!</v>
      </c>
      <c r="I12" s="121" t="e">
        <f>SUMIFS(#REF!,#REF!,Extrato!$B12,#REF!,Extrato!I$3)</f>
        <v>#REF!</v>
      </c>
      <c r="J12" s="121" t="e">
        <f>SUMIFS(#REF!,#REF!,Extrato!$B12,#REF!,Extrato!J$3)</f>
        <v>#REF!</v>
      </c>
      <c r="K12" s="121" t="e">
        <f>SUMIFS(#REF!,#REF!,Extrato!$B12,#REF!,Extrato!K$3)</f>
        <v>#REF!</v>
      </c>
      <c r="L12" s="121" t="e">
        <f>SUMIFS(#REF!,#REF!,Extrato!$B12,#REF!,Extrato!L$3)</f>
        <v>#REF!</v>
      </c>
      <c r="M12" s="121" t="e">
        <f>SUMIFS(#REF!,#REF!,Extrato!$B12,#REF!,Extrato!M$3)</f>
        <v>#REF!</v>
      </c>
      <c r="N12" s="121" t="e">
        <f>SUMIFS(#REF!,#REF!,Extrato!$B12,#REF!,Extrato!N$3)</f>
        <v>#REF!</v>
      </c>
      <c r="O12" s="121" t="e">
        <f>SUMIFS(#REF!,#REF!,Extrato!$B12,#REF!,Extrato!O$3)</f>
        <v>#REF!</v>
      </c>
      <c r="P12" s="121">
        <f>SUMIF(BetFlow!B:B,B12,BetFlow!J:J)</f>
        <v>0</v>
      </c>
      <c r="Q12" s="121" t="e">
        <f>SUMIFS(#REF!,#REF!,Extrato!$B12,#REF!,Extrato!Q$3)</f>
        <v>#REF!</v>
      </c>
      <c r="R12" s="121" t="e">
        <f>SUMIFS(#REF!,#REF!,Extrato!$B12,#REF!,Extrato!R$3)</f>
        <v>#REF!</v>
      </c>
      <c r="S12" s="121" t="e">
        <f>SUMIFS(#REF!,#REF!,Extrato!$B12,#REF!,Extrato!S$3)</f>
        <v>#REF!</v>
      </c>
      <c r="T12" s="121" t="e">
        <f>SUMIFS(#REF!,#REF!,Extrato!$B12,#REF!,Extrato!T$3)</f>
        <v>#REF!</v>
      </c>
      <c r="U12" s="121" t="e">
        <f>SUMIFS(#REF!,#REF!,Extrato!$B12,#REF!,Extrato!U$3)</f>
        <v>#REF!</v>
      </c>
      <c r="V12" s="121" t="e">
        <f>SUMIFS(#REF!,#REF!,Extrato!$B12,#REF!,Extrato!V$3)</f>
        <v>#REF!</v>
      </c>
      <c r="W12" s="121" t="e">
        <f>SUMIFS(#REF!,#REF!,Extrato!$B12,#REF!,Extrato!W$3)</f>
        <v>#REF!</v>
      </c>
      <c r="X12" s="121" t="e">
        <f>SUMIFS(#REF!,#REF!,Extrato!$B12,#REF!,Extrato!X$3)</f>
        <v>#REF!</v>
      </c>
      <c r="Y12" s="121" t="e">
        <f>SUMIFS(#REF!,#REF!,Extrato!$B12,#REF!,Extrato!Y$3)</f>
        <v>#REF!</v>
      </c>
      <c r="Z12" s="121" t="e">
        <f>SUMIFS(#REF!,#REF!,Extrato!$B12,#REF!,Extrato!Z$3)</f>
        <v>#REF!</v>
      </c>
      <c r="AA12" s="121" t="e">
        <f>SUMIFS(#REF!,#REF!,Extrato!$B12,#REF!,Extrato!AA$3)</f>
        <v>#REF!</v>
      </c>
      <c r="AB12" s="121" t="e">
        <f>SUMIFS(#REF!,#REF!,Extrato!$B12,#REF!,Extrato!AB$3)</f>
        <v>#REF!</v>
      </c>
      <c r="AC12" s="121" t="e">
        <f>SUMIFS(#REF!,#REF!,Extrato!$B12,#REF!,Extrato!AC$3)</f>
        <v>#REF!</v>
      </c>
      <c r="AD12" s="121" t="e">
        <f>SUMIFS(#REF!,#REF!,Extrato!$B12,#REF!,Extrato!AD$3)</f>
        <v>#REF!</v>
      </c>
      <c r="AE12" s="121" t="e">
        <f>SUMIFS(#REF!,#REF!,Extrato!$B12,#REF!,Extrato!AE$3)</f>
        <v>#REF!</v>
      </c>
      <c r="AF12" s="121" t="e">
        <f>SUMIFS(#REF!,#REF!,Extrato!$B12,#REF!,Extrato!AF$3)</f>
        <v>#REF!</v>
      </c>
      <c r="AG12" s="121" t="e">
        <f>SUMIFS(#REF!,#REF!,Extrato!$B12,#REF!,Extrato!AG$3)</f>
        <v>#REF!</v>
      </c>
      <c r="AH12" s="121" t="e">
        <f>SUMIFS(#REF!,#REF!,Extrato!$B12,#REF!,Extrato!AH$3)</f>
        <v>#REF!</v>
      </c>
      <c r="AI12" s="121" t="e">
        <f>SUMIFS(#REF!,#REF!,Extrato!$B12,#REF!,Extrato!AI$3)</f>
        <v>#REF!</v>
      </c>
      <c r="AJ12" s="121">
        <v>0</v>
      </c>
      <c r="AK12" s="121">
        <v>-0.02</v>
      </c>
      <c r="AL12" s="25" t="e">
        <f t="shared" si="1"/>
        <v>#REF!</v>
      </c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</row>
    <row r="13" spans="2:68" ht="15" customHeight="1">
      <c r="B13" s="12">
        <v>45998</v>
      </c>
      <c r="C13" s="121" t="e">
        <f t="shared" si="0"/>
        <v>#REF!</v>
      </c>
      <c r="D13" s="121" t="e">
        <f>SUMIFS(#REF!,#REF!,Extrato!$B13,#REF!,Extrato!D$3)</f>
        <v>#REF!</v>
      </c>
      <c r="E13" s="121" t="e">
        <f>SUMIFS(#REF!,#REF!,Extrato!$B13,#REF!,Extrato!E$3)</f>
        <v>#REF!</v>
      </c>
      <c r="F13" s="121" t="e">
        <f>SUMIFS(#REF!,#REF!,Extrato!$B13,#REF!,Extrato!F$3)</f>
        <v>#REF!</v>
      </c>
      <c r="G13" s="121" t="e">
        <f>SUMIFS(#REF!,#REF!,Extrato!$B13,#REF!,Extrato!G$3)</f>
        <v>#REF!</v>
      </c>
      <c r="H13" s="121" t="e">
        <f>SUMIFS(#REF!,#REF!,Extrato!$B13,#REF!,Extrato!H$3)</f>
        <v>#REF!</v>
      </c>
      <c r="I13" s="121" t="e">
        <f>SUMIFS(#REF!,#REF!,Extrato!$B13,#REF!,Extrato!I$3)</f>
        <v>#REF!</v>
      </c>
      <c r="J13" s="121" t="e">
        <f>SUMIFS(#REF!,#REF!,Extrato!$B13,#REF!,Extrato!J$3)</f>
        <v>#REF!</v>
      </c>
      <c r="K13" s="121" t="e">
        <f>SUMIFS(#REF!,#REF!,Extrato!$B13,#REF!,Extrato!K$3)</f>
        <v>#REF!</v>
      </c>
      <c r="L13" s="121" t="e">
        <f>SUMIFS(#REF!,#REF!,Extrato!$B13,#REF!,Extrato!L$3)</f>
        <v>#REF!</v>
      </c>
      <c r="M13" s="121" t="e">
        <f>SUMIFS(#REF!,#REF!,Extrato!$B13,#REF!,Extrato!M$3)</f>
        <v>#REF!</v>
      </c>
      <c r="N13" s="121" t="e">
        <f>SUMIFS(#REF!,#REF!,Extrato!$B13,#REF!,Extrato!N$3)</f>
        <v>#REF!</v>
      </c>
      <c r="O13" s="121" t="e">
        <f>SUMIFS(#REF!,#REF!,Extrato!$B13,#REF!,Extrato!O$3)</f>
        <v>#REF!</v>
      </c>
      <c r="P13" s="121">
        <f>SUMIF(BetFlow!B:B,B13,BetFlow!J:J)</f>
        <v>0</v>
      </c>
      <c r="Q13" s="121" t="e">
        <f>SUMIFS(#REF!,#REF!,Extrato!$B13,#REF!,Extrato!Q$3)</f>
        <v>#REF!</v>
      </c>
      <c r="R13" s="121" t="e">
        <f>SUMIFS(#REF!,#REF!,Extrato!$B13,#REF!,Extrato!R$3)</f>
        <v>#REF!</v>
      </c>
      <c r="S13" s="121" t="e">
        <f>SUMIFS(#REF!,#REF!,Extrato!$B13,#REF!,Extrato!S$3)</f>
        <v>#REF!</v>
      </c>
      <c r="T13" s="121" t="e">
        <f>SUMIFS(#REF!,#REF!,Extrato!$B13,#REF!,Extrato!T$3)</f>
        <v>#REF!</v>
      </c>
      <c r="U13" s="121" t="e">
        <f>SUMIFS(#REF!,#REF!,Extrato!$B13,#REF!,Extrato!U$3)</f>
        <v>#REF!</v>
      </c>
      <c r="V13" s="121" t="e">
        <f>SUMIFS(#REF!,#REF!,Extrato!$B13,#REF!,Extrato!V$3)</f>
        <v>#REF!</v>
      </c>
      <c r="W13" s="121" t="e">
        <f>SUMIFS(#REF!,#REF!,Extrato!$B13,#REF!,Extrato!W$3)</f>
        <v>#REF!</v>
      </c>
      <c r="X13" s="121" t="e">
        <f>SUMIFS(#REF!,#REF!,Extrato!$B13,#REF!,Extrato!X$3)</f>
        <v>#REF!</v>
      </c>
      <c r="Y13" s="121" t="e">
        <f>SUMIFS(#REF!,#REF!,Extrato!$B13,#REF!,Extrato!Y$3)</f>
        <v>#REF!</v>
      </c>
      <c r="Z13" s="121" t="e">
        <f>SUMIFS(#REF!,#REF!,Extrato!$B13,#REF!,Extrato!Z$3)</f>
        <v>#REF!</v>
      </c>
      <c r="AA13" s="121" t="e">
        <f>SUMIFS(#REF!,#REF!,Extrato!$B13,#REF!,Extrato!AA$3)</f>
        <v>#REF!</v>
      </c>
      <c r="AB13" s="121" t="e">
        <f>SUMIFS(#REF!,#REF!,Extrato!$B13,#REF!,Extrato!AB$3)</f>
        <v>#REF!</v>
      </c>
      <c r="AC13" s="121" t="e">
        <f>SUMIFS(#REF!,#REF!,Extrato!$B13,#REF!,Extrato!AC$3)</f>
        <v>#REF!</v>
      </c>
      <c r="AD13" s="121" t="e">
        <f>SUMIFS(#REF!,#REF!,Extrato!$B13,#REF!,Extrato!AD$3)</f>
        <v>#REF!</v>
      </c>
      <c r="AE13" s="121" t="e">
        <f>SUMIFS(#REF!,#REF!,Extrato!$B13,#REF!,Extrato!AE$3)</f>
        <v>#REF!</v>
      </c>
      <c r="AF13" s="121" t="e">
        <f>SUMIFS(#REF!,#REF!,Extrato!$B13,#REF!,Extrato!AF$3)</f>
        <v>#REF!</v>
      </c>
      <c r="AG13" s="121" t="e">
        <f>SUMIFS(#REF!,#REF!,Extrato!$B13,#REF!,Extrato!AG$3)</f>
        <v>#REF!</v>
      </c>
      <c r="AH13" s="121" t="e">
        <f>SUMIFS(#REF!,#REF!,Extrato!$B13,#REF!,Extrato!AH$3)</f>
        <v>#REF!</v>
      </c>
      <c r="AI13" s="121" t="e">
        <f>SUMIFS(#REF!,#REF!,Extrato!$B13,#REF!,Extrato!AI$3)</f>
        <v>#REF!</v>
      </c>
      <c r="AJ13" s="121">
        <v>0</v>
      </c>
      <c r="AK13" s="121"/>
      <c r="AL13" s="25" t="e">
        <f t="shared" si="1"/>
        <v>#REF!</v>
      </c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</row>
    <row r="14" spans="2:68" ht="15" customHeight="1">
      <c r="B14" s="12">
        <v>45999</v>
      </c>
      <c r="C14" s="121" t="e">
        <f t="shared" si="0"/>
        <v>#REF!</v>
      </c>
      <c r="D14" s="121" t="e">
        <f>SUMIFS(#REF!,#REF!,Extrato!$B14,#REF!,Extrato!D$3)</f>
        <v>#REF!</v>
      </c>
      <c r="E14" s="121" t="e">
        <f>SUMIFS(#REF!,#REF!,Extrato!$B14,#REF!,Extrato!E$3)</f>
        <v>#REF!</v>
      </c>
      <c r="F14" s="121" t="e">
        <f>SUMIFS(#REF!,#REF!,Extrato!$B14,#REF!,Extrato!F$3)</f>
        <v>#REF!</v>
      </c>
      <c r="G14" s="121" t="e">
        <f>SUMIFS(#REF!,#REF!,Extrato!$B14,#REF!,Extrato!G$3)</f>
        <v>#REF!</v>
      </c>
      <c r="H14" s="121" t="e">
        <f>SUMIFS(#REF!,#REF!,Extrato!$B14,#REF!,Extrato!H$3)</f>
        <v>#REF!</v>
      </c>
      <c r="I14" s="121" t="e">
        <f>SUMIFS(#REF!,#REF!,Extrato!$B14,#REF!,Extrato!I$3)</f>
        <v>#REF!</v>
      </c>
      <c r="J14" s="121" t="e">
        <f>SUMIFS(#REF!,#REF!,Extrato!$B14,#REF!,Extrato!J$3)</f>
        <v>#REF!</v>
      </c>
      <c r="K14" s="121" t="e">
        <f>SUMIFS(#REF!,#REF!,Extrato!$B14,#REF!,Extrato!K$3)</f>
        <v>#REF!</v>
      </c>
      <c r="L14" s="121" t="e">
        <f>SUMIFS(#REF!,#REF!,Extrato!$B14,#REF!,Extrato!L$3)</f>
        <v>#REF!</v>
      </c>
      <c r="M14" s="121" t="e">
        <f>SUMIFS(#REF!,#REF!,Extrato!$B14,#REF!,Extrato!M$3)</f>
        <v>#REF!</v>
      </c>
      <c r="N14" s="121" t="e">
        <f>SUMIFS(#REF!,#REF!,Extrato!$B14,#REF!,Extrato!N$3)</f>
        <v>#REF!</v>
      </c>
      <c r="O14" s="121" t="e">
        <f>SUMIFS(#REF!,#REF!,Extrato!$B14,#REF!,Extrato!O$3)</f>
        <v>#REF!</v>
      </c>
      <c r="P14" s="121">
        <f>SUMIF(BetFlow!B:B,B14,BetFlow!J:J)</f>
        <v>0</v>
      </c>
      <c r="Q14" s="121" t="e">
        <f>SUMIFS(#REF!,#REF!,Extrato!$B14,#REF!,Extrato!Q$3)</f>
        <v>#REF!</v>
      </c>
      <c r="R14" s="121" t="e">
        <f>SUMIFS(#REF!,#REF!,Extrato!$B14,#REF!,Extrato!R$3)</f>
        <v>#REF!</v>
      </c>
      <c r="S14" s="121" t="e">
        <f>SUMIFS(#REF!,#REF!,Extrato!$B14,#REF!,Extrato!S$3)</f>
        <v>#REF!</v>
      </c>
      <c r="T14" s="121" t="e">
        <f>SUMIFS(#REF!,#REF!,Extrato!$B14,#REF!,Extrato!T$3)</f>
        <v>#REF!</v>
      </c>
      <c r="U14" s="121" t="e">
        <f>SUMIFS(#REF!,#REF!,Extrato!$B14,#REF!,Extrato!U$3)</f>
        <v>#REF!</v>
      </c>
      <c r="V14" s="121" t="e">
        <f>SUMIFS(#REF!,#REF!,Extrato!$B14,#REF!,Extrato!V$3)</f>
        <v>#REF!</v>
      </c>
      <c r="W14" s="121" t="e">
        <f>SUMIFS(#REF!,#REF!,Extrato!$B14,#REF!,Extrato!W$3)</f>
        <v>#REF!</v>
      </c>
      <c r="X14" s="121" t="e">
        <f>SUMIFS(#REF!,#REF!,Extrato!$B14,#REF!,Extrato!X$3)</f>
        <v>#REF!</v>
      </c>
      <c r="Y14" s="121" t="e">
        <f>SUMIFS(#REF!,#REF!,Extrato!$B14,#REF!,Extrato!Y$3)</f>
        <v>#REF!</v>
      </c>
      <c r="Z14" s="121" t="e">
        <f>SUMIFS(#REF!,#REF!,Extrato!$B14,#REF!,Extrato!Z$3)</f>
        <v>#REF!</v>
      </c>
      <c r="AA14" s="121" t="e">
        <f>SUMIFS(#REF!,#REF!,Extrato!$B14,#REF!,Extrato!AA$3)</f>
        <v>#REF!</v>
      </c>
      <c r="AB14" s="121" t="e">
        <f>SUMIFS(#REF!,#REF!,Extrato!$B14,#REF!,Extrato!AB$3)</f>
        <v>#REF!</v>
      </c>
      <c r="AC14" s="121" t="e">
        <f>SUMIFS(#REF!,#REF!,Extrato!$B14,#REF!,Extrato!AC$3)</f>
        <v>#REF!</v>
      </c>
      <c r="AD14" s="121" t="e">
        <f>SUMIFS(#REF!,#REF!,Extrato!$B14,#REF!,Extrato!AD$3)</f>
        <v>#REF!</v>
      </c>
      <c r="AE14" s="121" t="e">
        <f>SUMIFS(#REF!,#REF!,Extrato!$B14,#REF!,Extrato!AE$3)</f>
        <v>#REF!</v>
      </c>
      <c r="AF14" s="121" t="e">
        <f>SUMIFS(#REF!,#REF!,Extrato!$B14,#REF!,Extrato!AF$3)</f>
        <v>#REF!</v>
      </c>
      <c r="AG14" s="121" t="e">
        <f>SUMIFS(#REF!,#REF!,Extrato!$B14,#REF!,Extrato!AG$3)</f>
        <v>#REF!</v>
      </c>
      <c r="AH14" s="121" t="e">
        <f>SUMIFS(#REF!,#REF!,Extrato!$B14,#REF!,Extrato!AH$3)</f>
        <v>#REF!</v>
      </c>
      <c r="AI14" s="121" t="e">
        <f>SUMIFS(#REF!,#REF!,Extrato!$B14,#REF!,Extrato!AI$3)</f>
        <v>#REF!</v>
      </c>
      <c r="AJ14" s="121">
        <v>0</v>
      </c>
      <c r="AK14" s="121">
        <v>-0.02</v>
      </c>
      <c r="AL14" s="25" t="e">
        <f t="shared" si="1"/>
        <v>#REF!</v>
      </c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</row>
    <row r="15" spans="2:68" ht="15" customHeight="1">
      <c r="B15" s="12">
        <v>46000</v>
      </c>
      <c r="C15" s="121" t="e">
        <f t="shared" si="0"/>
        <v>#REF!</v>
      </c>
      <c r="D15" s="121" t="e">
        <f>SUMIFS(#REF!,#REF!,Extrato!$B15,#REF!,Extrato!D$3)</f>
        <v>#REF!</v>
      </c>
      <c r="E15" s="121" t="e">
        <f>SUMIFS(#REF!,#REF!,Extrato!$B15,#REF!,Extrato!E$3)</f>
        <v>#REF!</v>
      </c>
      <c r="F15" s="121" t="e">
        <f>SUMIFS(#REF!,#REF!,Extrato!$B15,#REF!,Extrato!F$3)</f>
        <v>#REF!</v>
      </c>
      <c r="G15" s="121" t="e">
        <f>SUMIFS(#REF!,#REF!,Extrato!$B15,#REF!,Extrato!G$3)</f>
        <v>#REF!</v>
      </c>
      <c r="H15" s="121" t="e">
        <f>SUMIFS(#REF!,#REF!,Extrato!$B15,#REF!,Extrato!H$3)</f>
        <v>#REF!</v>
      </c>
      <c r="I15" s="121" t="e">
        <f>SUMIFS(#REF!,#REF!,Extrato!$B15,#REF!,Extrato!I$3)</f>
        <v>#REF!</v>
      </c>
      <c r="J15" s="121" t="e">
        <f>SUMIFS(#REF!,#REF!,Extrato!$B15,#REF!,Extrato!J$3)</f>
        <v>#REF!</v>
      </c>
      <c r="K15" s="121" t="e">
        <f>SUMIFS(#REF!,#REF!,Extrato!$B15,#REF!,Extrato!K$3)</f>
        <v>#REF!</v>
      </c>
      <c r="L15" s="121" t="e">
        <f>SUMIFS(#REF!,#REF!,Extrato!$B15,#REF!,Extrato!L$3)</f>
        <v>#REF!</v>
      </c>
      <c r="M15" s="121" t="e">
        <f>SUMIFS(#REF!,#REF!,Extrato!$B15,#REF!,Extrato!M$3)</f>
        <v>#REF!</v>
      </c>
      <c r="N15" s="121" t="e">
        <f>SUMIFS(#REF!,#REF!,Extrato!$B15,#REF!,Extrato!N$3)</f>
        <v>#REF!</v>
      </c>
      <c r="O15" s="121" t="e">
        <f>SUMIFS(#REF!,#REF!,Extrato!$B15,#REF!,Extrato!O$3)</f>
        <v>#REF!</v>
      </c>
      <c r="P15" s="121">
        <f>SUMIF(BetFlow!B:B,B15,BetFlow!J:J)</f>
        <v>0</v>
      </c>
      <c r="Q15" s="121" t="e">
        <f>SUMIFS(#REF!,#REF!,Extrato!$B15,#REF!,Extrato!Q$3)</f>
        <v>#REF!</v>
      </c>
      <c r="R15" s="121" t="e">
        <f>SUMIFS(#REF!,#REF!,Extrato!$B15,#REF!,Extrato!R$3)</f>
        <v>#REF!</v>
      </c>
      <c r="S15" s="121" t="e">
        <f>SUMIFS(#REF!,#REF!,Extrato!$B15,#REF!,Extrato!S$3)</f>
        <v>#REF!</v>
      </c>
      <c r="T15" s="121" t="e">
        <f>SUMIFS(#REF!,#REF!,Extrato!$B15,#REF!,Extrato!T$3)</f>
        <v>#REF!</v>
      </c>
      <c r="U15" s="121" t="e">
        <f>SUMIFS(#REF!,#REF!,Extrato!$B15,#REF!,Extrato!U$3)</f>
        <v>#REF!</v>
      </c>
      <c r="V15" s="121" t="e">
        <f>SUMIFS(#REF!,#REF!,Extrato!$B15,#REF!,Extrato!V$3)</f>
        <v>#REF!</v>
      </c>
      <c r="W15" s="121" t="e">
        <f>SUMIFS(#REF!,#REF!,Extrato!$B15,#REF!,Extrato!W$3)</f>
        <v>#REF!</v>
      </c>
      <c r="X15" s="121" t="e">
        <f>SUMIFS(#REF!,#REF!,Extrato!$B15,#REF!,Extrato!X$3)</f>
        <v>#REF!</v>
      </c>
      <c r="Y15" s="121" t="e">
        <f>SUMIFS(#REF!,#REF!,Extrato!$B15,#REF!,Extrato!Y$3)</f>
        <v>#REF!</v>
      </c>
      <c r="Z15" s="121" t="e">
        <f>SUMIFS(#REF!,#REF!,Extrato!$B15,#REF!,Extrato!Z$3)</f>
        <v>#REF!</v>
      </c>
      <c r="AA15" s="121" t="e">
        <f>SUMIFS(#REF!,#REF!,Extrato!$B15,#REF!,Extrato!AA$3)</f>
        <v>#REF!</v>
      </c>
      <c r="AB15" s="121" t="e">
        <f>SUMIFS(#REF!,#REF!,Extrato!$B15,#REF!,Extrato!AB$3)</f>
        <v>#REF!</v>
      </c>
      <c r="AC15" s="121" t="e">
        <f>SUMIFS(#REF!,#REF!,Extrato!$B15,#REF!,Extrato!AC$3)</f>
        <v>#REF!</v>
      </c>
      <c r="AD15" s="121" t="e">
        <f>SUMIFS(#REF!,#REF!,Extrato!$B15,#REF!,Extrato!AD$3)</f>
        <v>#REF!</v>
      </c>
      <c r="AE15" s="121" t="e">
        <f>SUMIFS(#REF!,#REF!,Extrato!$B15,#REF!,Extrato!AE$3)</f>
        <v>#REF!</v>
      </c>
      <c r="AF15" s="121" t="e">
        <f>SUMIFS(#REF!,#REF!,Extrato!$B15,#REF!,Extrato!AF$3)</f>
        <v>#REF!</v>
      </c>
      <c r="AG15" s="121" t="e">
        <f>SUMIFS(#REF!,#REF!,Extrato!$B15,#REF!,Extrato!AG$3)</f>
        <v>#REF!</v>
      </c>
      <c r="AH15" s="121" t="e">
        <f>SUMIFS(#REF!,#REF!,Extrato!$B15,#REF!,Extrato!AH$3)</f>
        <v>#REF!</v>
      </c>
      <c r="AI15" s="121" t="e">
        <f>SUMIFS(#REF!,#REF!,Extrato!$B15,#REF!,Extrato!AI$3)</f>
        <v>#REF!</v>
      </c>
      <c r="AJ15" s="121">
        <v>0</v>
      </c>
      <c r="AK15" s="121"/>
      <c r="AL15" s="25" t="e">
        <f t="shared" si="1"/>
        <v>#REF!</v>
      </c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</row>
    <row r="16" spans="2:68" ht="15" customHeight="1">
      <c r="B16" s="12">
        <v>46001</v>
      </c>
      <c r="C16" s="121" t="e">
        <f t="shared" si="0"/>
        <v>#REF!</v>
      </c>
      <c r="D16" s="121" t="e">
        <f>SUMIFS(#REF!,#REF!,Extrato!$B16,#REF!,Extrato!D$3)</f>
        <v>#REF!</v>
      </c>
      <c r="E16" s="121" t="e">
        <f>SUMIFS(#REF!,#REF!,Extrato!$B16,#REF!,Extrato!E$3)</f>
        <v>#REF!</v>
      </c>
      <c r="F16" s="121" t="e">
        <f>SUMIFS(#REF!,#REF!,Extrato!$B16,#REF!,Extrato!F$3)</f>
        <v>#REF!</v>
      </c>
      <c r="G16" s="121" t="e">
        <f>SUMIFS(#REF!,#REF!,Extrato!$B16,#REF!,Extrato!G$3)</f>
        <v>#REF!</v>
      </c>
      <c r="H16" s="121" t="e">
        <f>SUMIFS(#REF!,#REF!,Extrato!$B16,#REF!,Extrato!H$3)</f>
        <v>#REF!</v>
      </c>
      <c r="I16" s="121" t="e">
        <f>SUMIFS(#REF!,#REF!,Extrato!$B16,#REF!,Extrato!I$3)</f>
        <v>#REF!</v>
      </c>
      <c r="J16" s="121" t="e">
        <f>SUMIFS(#REF!,#REF!,Extrato!$B16,#REF!,Extrato!J$3)</f>
        <v>#REF!</v>
      </c>
      <c r="K16" s="121" t="e">
        <f>SUMIFS(#REF!,#REF!,Extrato!$B16,#REF!,Extrato!K$3)</f>
        <v>#REF!</v>
      </c>
      <c r="L16" s="121" t="e">
        <f>SUMIFS(#REF!,#REF!,Extrato!$B16,#REF!,Extrato!L$3)</f>
        <v>#REF!</v>
      </c>
      <c r="M16" s="121" t="e">
        <f>SUMIFS(#REF!,#REF!,Extrato!$B16,#REF!,Extrato!M$3)</f>
        <v>#REF!</v>
      </c>
      <c r="N16" s="121" t="e">
        <f>SUMIFS(#REF!,#REF!,Extrato!$B16,#REF!,Extrato!N$3)</f>
        <v>#REF!</v>
      </c>
      <c r="O16" s="121" t="e">
        <f>SUMIFS(#REF!,#REF!,Extrato!$B16,#REF!,Extrato!O$3)</f>
        <v>#REF!</v>
      </c>
      <c r="P16" s="121">
        <f>SUMIF(BetFlow!B:B,B16,BetFlow!J:J)</f>
        <v>0</v>
      </c>
      <c r="Q16" s="121" t="e">
        <f>SUMIFS(#REF!,#REF!,Extrato!$B16,#REF!,Extrato!Q$3)</f>
        <v>#REF!</v>
      </c>
      <c r="R16" s="121" t="e">
        <f>SUMIFS(#REF!,#REF!,Extrato!$B16,#REF!,Extrato!R$3)</f>
        <v>#REF!</v>
      </c>
      <c r="S16" s="121" t="e">
        <f>SUMIFS(#REF!,#REF!,Extrato!$B16,#REF!,Extrato!S$3)</f>
        <v>#REF!</v>
      </c>
      <c r="T16" s="121" t="e">
        <f>SUMIFS(#REF!,#REF!,Extrato!$B16,#REF!,Extrato!T$3)</f>
        <v>#REF!</v>
      </c>
      <c r="U16" s="121" t="e">
        <f>SUMIFS(#REF!,#REF!,Extrato!$B16,#REF!,Extrato!U$3)</f>
        <v>#REF!</v>
      </c>
      <c r="V16" s="121" t="e">
        <f>SUMIFS(#REF!,#REF!,Extrato!$B16,#REF!,Extrato!V$3)</f>
        <v>#REF!</v>
      </c>
      <c r="W16" s="121" t="e">
        <f>SUMIFS(#REF!,#REF!,Extrato!$B16,#REF!,Extrato!W$3)</f>
        <v>#REF!</v>
      </c>
      <c r="X16" s="121" t="e">
        <f>SUMIFS(#REF!,#REF!,Extrato!$B16,#REF!,Extrato!X$3)</f>
        <v>#REF!</v>
      </c>
      <c r="Y16" s="121" t="e">
        <f>SUMIFS(#REF!,#REF!,Extrato!$B16,#REF!,Extrato!Y$3)</f>
        <v>#REF!</v>
      </c>
      <c r="Z16" s="121" t="e">
        <f>SUMIFS(#REF!,#REF!,Extrato!$B16,#REF!,Extrato!Z$3)</f>
        <v>#REF!</v>
      </c>
      <c r="AA16" s="121" t="e">
        <f>SUMIFS(#REF!,#REF!,Extrato!$B16,#REF!,Extrato!AA$3)</f>
        <v>#REF!</v>
      </c>
      <c r="AB16" s="121" t="e">
        <f>SUMIFS(#REF!,#REF!,Extrato!$B16,#REF!,Extrato!AB$3)</f>
        <v>#REF!</v>
      </c>
      <c r="AC16" s="121" t="e">
        <f>SUMIFS(#REF!,#REF!,Extrato!$B16,#REF!,Extrato!AC$3)</f>
        <v>#REF!</v>
      </c>
      <c r="AD16" s="121" t="e">
        <f>SUMIFS(#REF!,#REF!,Extrato!$B16,#REF!,Extrato!AD$3)</f>
        <v>#REF!</v>
      </c>
      <c r="AE16" s="121" t="e">
        <f>SUMIFS(#REF!,#REF!,Extrato!$B16,#REF!,Extrato!AE$3)</f>
        <v>#REF!</v>
      </c>
      <c r="AF16" s="121" t="e">
        <f>SUMIFS(#REF!,#REF!,Extrato!$B16,#REF!,Extrato!AF$3)</f>
        <v>#REF!</v>
      </c>
      <c r="AG16" s="121" t="e">
        <f>SUMIFS(#REF!,#REF!,Extrato!$B16,#REF!,Extrato!AG$3)</f>
        <v>#REF!</v>
      </c>
      <c r="AH16" s="121" t="e">
        <f>SUMIFS(#REF!,#REF!,Extrato!$B16,#REF!,Extrato!AH$3)</f>
        <v>#REF!</v>
      </c>
      <c r="AI16" s="121" t="e">
        <f>SUMIFS(#REF!,#REF!,Extrato!$B16,#REF!,Extrato!AI$3)</f>
        <v>#REF!</v>
      </c>
      <c r="AJ16" s="121">
        <v>0</v>
      </c>
      <c r="AK16" s="121">
        <v>-0.01</v>
      </c>
      <c r="AL16" s="25" t="e">
        <f t="shared" si="1"/>
        <v>#REF!</v>
      </c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1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1"/>
      <c r="BP16" s="122"/>
    </row>
    <row r="17" spans="2:68" ht="15" customHeight="1">
      <c r="B17" s="12">
        <v>46002</v>
      </c>
      <c r="C17" s="121" t="e">
        <f t="shared" si="0"/>
        <v>#REF!</v>
      </c>
      <c r="D17" s="121" t="e">
        <f>SUMIFS(#REF!,#REF!,Extrato!$B17,#REF!,Extrato!D$3)</f>
        <v>#REF!</v>
      </c>
      <c r="E17" s="121" t="e">
        <f>SUMIFS(#REF!,#REF!,Extrato!$B17,#REF!,Extrato!E$3)</f>
        <v>#REF!</v>
      </c>
      <c r="F17" s="121" t="e">
        <f>SUMIFS(#REF!,#REF!,Extrato!$B17,#REF!,Extrato!F$3)</f>
        <v>#REF!</v>
      </c>
      <c r="G17" s="121" t="e">
        <f>SUMIFS(#REF!,#REF!,Extrato!$B17,#REF!,Extrato!G$3)</f>
        <v>#REF!</v>
      </c>
      <c r="H17" s="121" t="e">
        <f>SUMIFS(#REF!,#REF!,Extrato!$B17,#REF!,Extrato!H$3)</f>
        <v>#REF!</v>
      </c>
      <c r="I17" s="121" t="e">
        <f>SUMIFS(#REF!,#REF!,Extrato!$B17,#REF!,Extrato!I$3)</f>
        <v>#REF!</v>
      </c>
      <c r="J17" s="121" t="e">
        <f>SUMIFS(#REF!,#REF!,Extrato!$B17,#REF!,Extrato!J$3)</f>
        <v>#REF!</v>
      </c>
      <c r="K17" s="121" t="e">
        <f>SUMIFS(#REF!,#REF!,Extrato!$B17,#REF!,Extrato!K$3)</f>
        <v>#REF!</v>
      </c>
      <c r="L17" s="121" t="e">
        <f>SUMIFS(#REF!,#REF!,Extrato!$B17,#REF!,Extrato!L$3)</f>
        <v>#REF!</v>
      </c>
      <c r="M17" s="121" t="e">
        <f>SUMIFS(#REF!,#REF!,Extrato!$B17,#REF!,Extrato!M$3)</f>
        <v>#REF!</v>
      </c>
      <c r="N17" s="121" t="e">
        <f>SUMIFS(#REF!,#REF!,Extrato!$B17,#REF!,Extrato!N$3)</f>
        <v>#REF!</v>
      </c>
      <c r="O17" s="121" t="e">
        <f>SUMIFS(#REF!,#REF!,Extrato!$B17,#REF!,Extrato!O$3)</f>
        <v>#REF!</v>
      </c>
      <c r="P17" s="121">
        <f>SUMIF(BetFlow!B:B,B17,BetFlow!J:J)</f>
        <v>0</v>
      </c>
      <c r="Q17" s="121" t="e">
        <f>SUMIFS(#REF!,#REF!,Extrato!$B17,#REF!,Extrato!Q$3)</f>
        <v>#REF!</v>
      </c>
      <c r="R17" s="121" t="e">
        <f>SUMIFS(#REF!,#REF!,Extrato!$B17,#REF!,Extrato!R$3)</f>
        <v>#REF!</v>
      </c>
      <c r="S17" s="121" t="e">
        <f>SUMIFS(#REF!,#REF!,Extrato!$B17,#REF!,Extrato!S$3)</f>
        <v>#REF!</v>
      </c>
      <c r="T17" s="121" t="e">
        <f>SUMIFS(#REF!,#REF!,Extrato!$B17,#REF!,Extrato!T$3)</f>
        <v>#REF!</v>
      </c>
      <c r="U17" s="121" t="e">
        <f>SUMIFS(#REF!,#REF!,Extrato!$B17,#REF!,Extrato!U$3)</f>
        <v>#REF!</v>
      </c>
      <c r="V17" s="121" t="e">
        <f>SUMIFS(#REF!,#REF!,Extrato!$B17,#REF!,Extrato!V$3)</f>
        <v>#REF!</v>
      </c>
      <c r="W17" s="121" t="e">
        <f>SUMIFS(#REF!,#REF!,Extrato!$B17,#REF!,Extrato!W$3)</f>
        <v>#REF!</v>
      </c>
      <c r="X17" s="121" t="e">
        <f>SUMIFS(#REF!,#REF!,Extrato!$B17,#REF!,Extrato!X$3)</f>
        <v>#REF!</v>
      </c>
      <c r="Y17" s="121" t="e">
        <f>SUMIFS(#REF!,#REF!,Extrato!$B17,#REF!,Extrato!Y$3)</f>
        <v>#REF!</v>
      </c>
      <c r="Z17" s="121" t="e">
        <f>SUMIFS(#REF!,#REF!,Extrato!$B17,#REF!,Extrato!Z$3)</f>
        <v>#REF!</v>
      </c>
      <c r="AA17" s="121" t="e">
        <f>SUMIFS(#REF!,#REF!,Extrato!$B17,#REF!,Extrato!AA$3)</f>
        <v>#REF!</v>
      </c>
      <c r="AB17" s="121" t="e">
        <f>SUMIFS(#REF!,#REF!,Extrato!$B17,#REF!,Extrato!AB$3)</f>
        <v>#REF!</v>
      </c>
      <c r="AC17" s="121" t="e">
        <f>SUMIFS(#REF!,#REF!,Extrato!$B17,#REF!,Extrato!AC$3)</f>
        <v>#REF!</v>
      </c>
      <c r="AD17" s="121" t="e">
        <f>SUMIFS(#REF!,#REF!,Extrato!$B17,#REF!,Extrato!AD$3)</f>
        <v>#REF!</v>
      </c>
      <c r="AE17" s="121" t="e">
        <f>SUMIFS(#REF!,#REF!,Extrato!$B17,#REF!,Extrato!AE$3)</f>
        <v>#REF!</v>
      </c>
      <c r="AF17" s="121" t="e">
        <f>SUMIFS(#REF!,#REF!,Extrato!$B17,#REF!,Extrato!AF$3)</f>
        <v>#REF!</v>
      </c>
      <c r="AG17" s="121" t="e">
        <f>SUMIFS(#REF!,#REF!,Extrato!$B17,#REF!,Extrato!AG$3)</f>
        <v>#REF!</v>
      </c>
      <c r="AH17" s="121" t="e">
        <f>SUMIFS(#REF!,#REF!,Extrato!$B17,#REF!,Extrato!AH$3)</f>
        <v>#REF!</v>
      </c>
      <c r="AI17" s="121" t="e">
        <f>SUMIFS(#REF!,#REF!,Extrato!$B17,#REF!,Extrato!AI$3)</f>
        <v>#REF!</v>
      </c>
      <c r="AJ17" s="121">
        <v>0</v>
      </c>
      <c r="AK17" s="121"/>
      <c r="AL17" s="25" t="e">
        <f t="shared" si="1"/>
        <v>#REF!</v>
      </c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1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1"/>
      <c r="BP17" s="122"/>
    </row>
    <row r="18" spans="2:68" ht="15" customHeight="1">
      <c r="B18" s="12">
        <v>46003</v>
      </c>
      <c r="C18" s="121" t="e">
        <f t="shared" si="0"/>
        <v>#REF!</v>
      </c>
      <c r="D18" s="121" t="e">
        <f>SUMIFS(#REF!,#REF!,Extrato!$B18,#REF!,Extrato!D$3)</f>
        <v>#REF!</v>
      </c>
      <c r="E18" s="121" t="e">
        <f>SUMIFS(#REF!,#REF!,Extrato!$B18,#REF!,Extrato!E$3)</f>
        <v>#REF!</v>
      </c>
      <c r="F18" s="121" t="e">
        <f>SUMIFS(#REF!,#REF!,Extrato!$B18,#REF!,Extrato!F$3)</f>
        <v>#REF!</v>
      </c>
      <c r="G18" s="121" t="e">
        <f>SUMIFS(#REF!,#REF!,Extrato!$B18,#REF!,Extrato!G$3)</f>
        <v>#REF!</v>
      </c>
      <c r="H18" s="121" t="e">
        <f>SUMIFS(#REF!,#REF!,Extrato!$B18,#REF!,Extrato!H$3)</f>
        <v>#REF!</v>
      </c>
      <c r="I18" s="121" t="e">
        <f>SUMIFS(#REF!,#REF!,Extrato!$B18,#REF!,Extrato!I$3)</f>
        <v>#REF!</v>
      </c>
      <c r="J18" s="121" t="e">
        <f>SUMIFS(#REF!,#REF!,Extrato!$B18,#REF!,Extrato!J$3)</f>
        <v>#REF!</v>
      </c>
      <c r="K18" s="121" t="e">
        <f>SUMIFS(#REF!,#REF!,Extrato!$B18,#REF!,Extrato!K$3)</f>
        <v>#REF!</v>
      </c>
      <c r="L18" s="121" t="e">
        <f>SUMIFS(#REF!,#REF!,Extrato!$B18,#REF!,Extrato!L$3)</f>
        <v>#REF!</v>
      </c>
      <c r="M18" s="121" t="e">
        <f>SUMIFS(#REF!,#REF!,Extrato!$B18,#REF!,Extrato!M$3)</f>
        <v>#REF!</v>
      </c>
      <c r="N18" s="121" t="e">
        <f>SUMIFS(#REF!,#REF!,Extrato!$B18,#REF!,Extrato!N$3)</f>
        <v>#REF!</v>
      </c>
      <c r="O18" s="121" t="e">
        <f>SUMIFS(#REF!,#REF!,Extrato!$B18,#REF!,Extrato!O$3)</f>
        <v>#REF!</v>
      </c>
      <c r="P18" s="121">
        <f>SUMIF(BetFlow!B:B,B18,BetFlow!J:J)</f>
        <v>0</v>
      </c>
      <c r="Q18" s="121" t="e">
        <f>SUMIFS(#REF!,#REF!,Extrato!$B18,#REF!,Extrato!Q$3)</f>
        <v>#REF!</v>
      </c>
      <c r="R18" s="121" t="e">
        <f>SUMIFS(#REF!,#REF!,Extrato!$B18,#REF!,Extrato!R$3)</f>
        <v>#REF!</v>
      </c>
      <c r="S18" s="121" t="e">
        <f>SUMIFS(#REF!,#REF!,Extrato!$B18,#REF!,Extrato!S$3)</f>
        <v>#REF!</v>
      </c>
      <c r="T18" s="121" t="e">
        <f>SUMIFS(#REF!,#REF!,Extrato!$B18,#REF!,Extrato!T$3)</f>
        <v>#REF!</v>
      </c>
      <c r="U18" s="121" t="e">
        <f>SUMIFS(#REF!,#REF!,Extrato!$B18,#REF!,Extrato!U$3)</f>
        <v>#REF!</v>
      </c>
      <c r="V18" s="121" t="e">
        <f>SUMIFS(#REF!,#REF!,Extrato!$B18,#REF!,Extrato!V$3)</f>
        <v>#REF!</v>
      </c>
      <c r="W18" s="121" t="e">
        <f>SUMIFS(#REF!,#REF!,Extrato!$B18,#REF!,Extrato!W$3)</f>
        <v>#REF!</v>
      </c>
      <c r="X18" s="121" t="e">
        <f>SUMIFS(#REF!,#REF!,Extrato!$B18,#REF!,Extrato!X$3)</f>
        <v>#REF!</v>
      </c>
      <c r="Y18" s="121" t="e">
        <f>SUMIFS(#REF!,#REF!,Extrato!$B18,#REF!,Extrato!Y$3)</f>
        <v>#REF!</v>
      </c>
      <c r="Z18" s="121" t="e">
        <f>SUMIFS(#REF!,#REF!,Extrato!$B18,#REF!,Extrato!Z$3)</f>
        <v>#REF!</v>
      </c>
      <c r="AA18" s="121" t="e">
        <f>SUMIFS(#REF!,#REF!,Extrato!$B18,#REF!,Extrato!AA$3)</f>
        <v>#REF!</v>
      </c>
      <c r="AB18" s="121" t="e">
        <f>SUMIFS(#REF!,#REF!,Extrato!$B18,#REF!,Extrato!AB$3)</f>
        <v>#REF!</v>
      </c>
      <c r="AC18" s="121" t="e">
        <f>SUMIFS(#REF!,#REF!,Extrato!$B18,#REF!,Extrato!AC$3)</f>
        <v>#REF!</v>
      </c>
      <c r="AD18" s="121" t="e">
        <f>SUMIFS(#REF!,#REF!,Extrato!$B18,#REF!,Extrato!AD$3)</f>
        <v>#REF!</v>
      </c>
      <c r="AE18" s="121" t="e">
        <f>SUMIFS(#REF!,#REF!,Extrato!$B18,#REF!,Extrato!AE$3)</f>
        <v>#REF!</v>
      </c>
      <c r="AF18" s="121" t="e">
        <f>SUMIFS(#REF!,#REF!,Extrato!$B18,#REF!,Extrato!AF$3)</f>
        <v>#REF!</v>
      </c>
      <c r="AG18" s="121" t="e">
        <f>SUMIFS(#REF!,#REF!,Extrato!$B18,#REF!,Extrato!AG$3)</f>
        <v>#REF!</v>
      </c>
      <c r="AH18" s="121" t="e">
        <f>SUMIFS(#REF!,#REF!,Extrato!$B18,#REF!,Extrato!AH$3)</f>
        <v>#REF!</v>
      </c>
      <c r="AI18" s="121" t="e">
        <f>SUMIFS(#REF!,#REF!,Extrato!$B18,#REF!,Extrato!AI$3)</f>
        <v>#REF!</v>
      </c>
      <c r="AJ18" s="121">
        <v>0</v>
      </c>
      <c r="AK18" s="121"/>
      <c r="AL18" s="25" t="e">
        <f t="shared" si="1"/>
        <v>#REF!</v>
      </c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1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1"/>
      <c r="BP18" s="122"/>
    </row>
    <row r="19" spans="2:68" ht="15" customHeight="1">
      <c r="B19" s="12">
        <v>46004</v>
      </c>
      <c r="C19" s="121" t="e">
        <f t="shared" si="0"/>
        <v>#REF!</v>
      </c>
      <c r="D19" s="121" t="e">
        <f>SUMIFS(#REF!,#REF!,Extrato!$B19,#REF!,Extrato!D$3)</f>
        <v>#REF!</v>
      </c>
      <c r="E19" s="121" t="e">
        <f>SUMIFS(#REF!,#REF!,Extrato!$B19,#REF!,Extrato!E$3)</f>
        <v>#REF!</v>
      </c>
      <c r="F19" s="121" t="e">
        <f>SUMIFS(#REF!,#REF!,Extrato!$B19,#REF!,Extrato!F$3)</f>
        <v>#REF!</v>
      </c>
      <c r="G19" s="121" t="e">
        <f>SUMIFS(#REF!,#REF!,Extrato!$B19,#REF!,Extrato!G$3)</f>
        <v>#REF!</v>
      </c>
      <c r="H19" s="121" t="e">
        <f>SUMIFS(#REF!,#REF!,Extrato!$B19,#REF!,Extrato!H$3)</f>
        <v>#REF!</v>
      </c>
      <c r="I19" s="121" t="e">
        <f>SUMIFS(#REF!,#REF!,Extrato!$B19,#REF!,Extrato!I$3)</f>
        <v>#REF!</v>
      </c>
      <c r="J19" s="121" t="e">
        <f>SUMIFS(#REF!,#REF!,Extrato!$B19,#REF!,Extrato!J$3)</f>
        <v>#REF!</v>
      </c>
      <c r="K19" s="121" t="e">
        <f>SUMIFS(#REF!,#REF!,Extrato!$B19,#REF!,Extrato!K$3)</f>
        <v>#REF!</v>
      </c>
      <c r="L19" s="121" t="e">
        <f>SUMIFS(#REF!,#REF!,Extrato!$B19,#REF!,Extrato!L$3)</f>
        <v>#REF!</v>
      </c>
      <c r="M19" s="121" t="e">
        <f>SUMIFS(#REF!,#REF!,Extrato!$B19,#REF!,Extrato!M$3)</f>
        <v>#REF!</v>
      </c>
      <c r="N19" s="121" t="e">
        <f>SUMIFS(#REF!,#REF!,Extrato!$B19,#REF!,Extrato!N$3)</f>
        <v>#REF!</v>
      </c>
      <c r="O19" s="121" t="e">
        <f>SUMIFS(#REF!,#REF!,Extrato!$B19,#REF!,Extrato!O$3)</f>
        <v>#REF!</v>
      </c>
      <c r="P19" s="121">
        <f>SUMIF(BetFlow!B:B,B19,BetFlow!J:J)</f>
        <v>0</v>
      </c>
      <c r="Q19" s="121" t="e">
        <f>SUMIFS(#REF!,#REF!,Extrato!$B19,#REF!,Extrato!Q$3)</f>
        <v>#REF!</v>
      </c>
      <c r="R19" s="121" t="e">
        <f>SUMIFS(#REF!,#REF!,Extrato!$B19,#REF!,Extrato!R$3)</f>
        <v>#REF!</v>
      </c>
      <c r="S19" s="121" t="e">
        <f>SUMIFS(#REF!,#REF!,Extrato!$B19,#REF!,Extrato!S$3)</f>
        <v>#REF!</v>
      </c>
      <c r="T19" s="121" t="e">
        <f>SUMIFS(#REF!,#REF!,Extrato!$B19,#REF!,Extrato!T$3)</f>
        <v>#REF!</v>
      </c>
      <c r="U19" s="121" t="e">
        <f>SUMIFS(#REF!,#REF!,Extrato!$B19,#REF!,Extrato!U$3)</f>
        <v>#REF!</v>
      </c>
      <c r="V19" s="121" t="e">
        <f>SUMIFS(#REF!,#REF!,Extrato!$B19,#REF!,Extrato!V$3)</f>
        <v>#REF!</v>
      </c>
      <c r="W19" s="121" t="e">
        <f>SUMIFS(#REF!,#REF!,Extrato!$B19,#REF!,Extrato!W$3)</f>
        <v>#REF!</v>
      </c>
      <c r="X19" s="121" t="e">
        <f>SUMIFS(#REF!,#REF!,Extrato!$B19,#REF!,Extrato!X$3)</f>
        <v>#REF!</v>
      </c>
      <c r="Y19" s="121" t="e">
        <f>SUMIFS(#REF!,#REF!,Extrato!$B19,#REF!,Extrato!Y$3)</f>
        <v>#REF!</v>
      </c>
      <c r="Z19" s="121" t="e">
        <f>SUMIFS(#REF!,#REF!,Extrato!$B19,#REF!,Extrato!Z$3)</f>
        <v>#REF!</v>
      </c>
      <c r="AA19" s="121" t="e">
        <f>SUMIFS(#REF!,#REF!,Extrato!$B19,#REF!,Extrato!AA$3)</f>
        <v>#REF!</v>
      </c>
      <c r="AB19" s="121" t="e">
        <f>SUMIFS(#REF!,#REF!,Extrato!$B19,#REF!,Extrato!AB$3)</f>
        <v>#REF!</v>
      </c>
      <c r="AC19" s="121" t="e">
        <f>SUMIFS(#REF!,#REF!,Extrato!$B19,#REF!,Extrato!AC$3)</f>
        <v>#REF!</v>
      </c>
      <c r="AD19" s="121" t="e">
        <f>SUMIFS(#REF!,#REF!,Extrato!$B19,#REF!,Extrato!AD$3)</f>
        <v>#REF!</v>
      </c>
      <c r="AE19" s="121" t="e">
        <f>SUMIFS(#REF!,#REF!,Extrato!$B19,#REF!,Extrato!AE$3)</f>
        <v>#REF!</v>
      </c>
      <c r="AF19" s="121" t="e">
        <f>SUMIFS(#REF!,#REF!,Extrato!$B19,#REF!,Extrato!AF$3)</f>
        <v>#REF!</v>
      </c>
      <c r="AG19" s="121" t="e">
        <f>SUMIFS(#REF!,#REF!,Extrato!$B19,#REF!,Extrato!AG$3)</f>
        <v>#REF!</v>
      </c>
      <c r="AH19" s="121" t="e">
        <f>SUMIFS(#REF!,#REF!,Extrato!$B19,#REF!,Extrato!AH$3)</f>
        <v>#REF!</v>
      </c>
      <c r="AI19" s="121" t="e">
        <f>SUMIFS(#REF!,#REF!,Extrato!$B19,#REF!,Extrato!AI$3)</f>
        <v>#REF!</v>
      </c>
      <c r="AJ19" s="121">
        <v>0</v>
      </c>
      <c r="AK19" s="121"/>
      <c r="AL19" s="25" t="e">
        <f t="shared" si="1"/>
        <v>#REF!</v>
      </c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</row>
    <row r="20" spans="2:68" ht="15" customHeight="1">
      <c r="B20" s="12">
        <v>46005</v>
      </c>
      <c r="C20" s="121" t="e">
        <f t="shared" si="0"/>
        <v>#REF!</v>
      </c>
      <c r="D20" s="121" t="e">
        <f>SUMIFS(#REF!,#REF!,Extrato!$B20,#REF!,Extrato!D$3)</f>
        <v>#REF!</v>
      </c>
      <c r="E20" s="121" t="e">
        <f>SUMIFS(#REF!,#REF!,Extrato!$B20,#REF!,Extrato!E$3)</f>
        <v>#REF!</v>
      </c>
      <c r="F20" s="121" t="e">
        <f>SUMIFS(#REF!,#REF!,Extrato!$B20,#REF!,Extrato!F$3)</f>
        <v>#REF!</v>
      </c>
      <c r="G20" s="121" t="e">
        <f>SUMIFS(#REF!,#REF!,Extrato!$B20,#REF!,Extrato!G$3)</f>
        <v>#REF!</v>
      </c>
      <c r="H20" s="121" t="e">
        <f>SUMIFS(#REF!,#REF!,Extrato!$B20,#REF!,Extrato!H$3)</f>
        <v>#REF!</v>
      </c>
      <c r="I20" s="121" t="e">
        <f>SUMIFS(#REF!,#REF!,Extrato!$B20,#REF!,Extrato!I$3)</f>
        <v>#REF!</v>
      </c>
      <c r="J20" s="121" t="e">
        <f>SUMIFS(#REF!,#REF!,Extrato!$B20,#REF!,Extrato!J$3)</f>
        <v>#REF!</v>
      </c>
      <c r="K20" s="121" t="e">
        <f>SUMIFS(#REF!,#REF!,Extrato!$B20,#REF!,Extrato!K$3)</f>
        <v>#REF!</v>
      </c>
      <c r="L20" s="121" t="e">
        <f>SUMIFS(#REF!,#REF!,Extrato!$B20,#REF!,Extrato!L$3)</f>
        <v>#REF!</v>
      </c>
      <c r="M20" s="121" t="e">
        <f>SUMIFS(#REF!,#REF!,Extrato!$B20,#REF!,Extrato!M$3)</f>
        <v>#REF!</v>
      </c>
      <c r="N20" s="121" t="e">
        <f>SUMIFS(#REF!,#REF!,Extrato!$B20,#REF!,Extrato!N$3)</f>
        <v>#REF!</v>
      </c>
      <c r="O20" s="121" t="e">
        <f>SUMIFS(#REF!,#REF!,Extrato!$B20,#REF!,Extrato!O$3)</f>
        <v>#REF!</v>
      </c>
      <c r="P20" s="121">
        <f>SUMIF(BetFlow!B:B,B20,BetFlow!J:J)</f>
        <v>0</v>
      </c>
      <c r="Q20" s="121" t="e">
        <f>SUMIFS(#REF!,#REF!,Extrato!$B20,#REF!,Extrato!Q$3)</f>
        <v>#REF!</v>
      </c>
      <c r="R20" s="121" t="e">
        <f>SUMIFS(#REF!,#REF!,Extrato!$B20,#REF!,Extrato!R$3)</f>
        <v>#REF!</v>
      </c>
      <c r="S20" s="121" t="e">
        <f>SUMIFS(#REF!,#REF!,Extrato!$B20,#REF!,Extrato!S$3)</f>
        <v>#REF!</v>
      </c>
      <c r="T20" s="121" t="e">
        <f>SUMIFS(#REF!,#REF!,Extrato!$B20,#REF!,Extrato!T$3)</f>
        <v>#REF!</v>
      </c>
      <c r="U20" s="121" t="e">
        <f>SUMIFS(#REF!,#REF!,Extrato!$B20,#REF!,Extrato!U$3)</f>
        <v>#REF!</v>
      </c>
      <c r="V20" s="121" t="e">
        <f>SUMIFS(#REF!,#REF!,Extrato!$B20,#REF!,Extrato!V$3)</f>
        <v>#REF!</v>
      </c>
      <c r="W20" s="121" t="e">
        <f>SUMIFS(#REF!,#REF!,Extrato!$B20,#REF!,Extrato!W$3)</f>
        <v>#REF!</v>
      </c>
      <c r="X20" s="121" t="e">
        <f>SUMIFS(#REF!,#REF!,Extrato!$B20,#REF!,Extrato!X$3)</f>
        <v>#REF!</v>
      </c>
      <c r="Y20" s="121" t="e">
        <f>SUMIFS(#REF!,#REF!,Extrato!$B20,#REF!,Extrato!Y$3)</f>
        <v>#REF!</v>
      </c>
      <c r="Z20" s="121" t="e">
        <f>SUMIFS(#REF!,#REF!,Extrato!$B20,#REF!,Extrato!Z$3)</f>
        <v>#REF!</v>
      </c>
      <c r="AA20" s="121" t="e">
        <f>SUMIFS(#REF!,#REF!,Extrato!$B20,#REF!,Extrato!AA$3)</f>
        <v>#REF!</v>
      </c>
      <c r="AB20" s="121" t="e">
        <f>SUMIFS(#REF!,#REF!,Extrato!$B20,#REF!,Extrato!AB$3)</f>
        <v>#REF!</v>
      </c>
      <c r="AC20" s="121" t="e">
        <f>SUMIFS(#REF!,#REF!,Extrato!$B20,#REF!,Extrato!AC$3)</f>
        <v>#REF!</v>
      </c>
      <c r="AD20" s="121" t="e">
        <f>SUMIFS(#REF!,#REF!,Extrato!$B20,#REF!,Extrato!AD$3)</f>
        <v>#REF!</v>
      </c>
      <c r="AE20" s="121" t="e">
        <f>SUMIFS(#REF!,#REF!,Extrato!$B20,#REF!,Extrato!AE$3)</f>
        <v>#REF!</v>
      </c>
      <c r="AF20" s="121" t="e">
        <f>SUMIFS(#REF!,#REF!,Extrato!$B20,#REF!,Extrato!AF$3)</f>
        <v>#REF!</v>
      </c>
      <c r="AG20" s="121" t="e">
        <f>SUMIFS(#REF!,#REF!,Extrato!$B20,#REF!,Extrato!AG$3)</f>
        <v>#REF!</v>
      </c>
      <c r="AH20" s="121" t="e">
        <f>SUMIFS(#REF!,#REF!,Extrato!$B20,#REF!,Extrato!AH$3)</f>
        <v>#REF!</v>
      </c>
      <c r="AI20" s="121" t="e">
        <f>SUMIFS(#REF!,#REF!,Extrato!$B20,#REF!,Extrato!AI$3)</f>
        <v>#REF!</v>
      </c>
      <c r="AJ20" s="121">
        <v>0</v>
      </c>
      <c r="AK20" s="121"/>
      <c r="AL20" s="25" t="e">
        <f t="shared" si="1"/>
        <v>#REF!</v>
      </c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</row>
    <row r="21" spans="2:68" ht="15" customHeight="1">
      <c r="B21" s="12">
        <v>46006</v>
      </c>
      <c r="C21" s="121" t="e">
        <f t="shared" si="0"/>
        <v>#REF!</v>
      </c>
      <c r="D21" s="121" t="e">
        <f>SUMIFS(#REF!,#REF!,Extrato!$B21,#REF!,Extrato!D$3)</f>
        <v>#REF!</v>
      </c>
      <c r="E21" s="121" t="e">
        <f>SUMIFS(#REF!,#REF!,Extrato!$B21,#REF!,Extrato!E$3)</f>
        <v>#REF!</v>
      </c>
      <c r="F21" s="121" t="e">
        <f>SUMIFS(#REF!,#REF!,Extrato!$B21,#REF!,Extrato!F$3)</f>
        <v>#REF!</v>
      </c>
      <c r="G21" s="121" t="e">
        <f>SUMIFS(#REF!,#REF!,Extrato!$B21,#REF!,Extrato!G$3)</f>
        <v>#REF!</v>
      </c>
      <c r="H21" s="121" t="e">
        <f>SUMIFS(#REF!,#REF!,Extrato!$B21,#REF!,Extrato!H$3)</f>
        <v>#REF!</v>
      </c>
      <c r="I21" s="121" t="e">
        <f>SUMIFS(#REF!,#REF!,Extrato!$B21,#REF!,Extrato!I$3)</f>
        <v>#REF!</v>
      </c>
      <c r="J21" s="121" t="e">
        <f>SUMIFS(#REF!,#REF!,Extrato!$B21,#REF!,Extrato!J$3)</f>
        <v>#REF!</v>
      </c>
      <c r="K21" s="121" t="e">
        <f>SUMIFS(#REF!,#REF!,Extrato!$B21,#REF!,Extrato!K$3)</f>
        <v>#REF!</v>
      </c>
      <c r="L21" s="121" t="e">
        <f>SUMIFS(#REF!,#REF!,Extrato!$B21,#REF!,Extrato!L$3)</f>
        <v>#REF!</v>
      </c>
      <c r="M21" s="121" t="e">
        <f>SUMIFS(#REF!,#REF!,Extrato!$B21,#REF!,Extrato!M$3)</f>
        <v>#REF!</v>
      </c>
      <c r="N21" s="121" t="e">
        <f>SUMIFS(#REF!,#REF!,Extrato!$B21,#REF!,Extrato!N$3)</f>
        <v>#REF!</v>
      </c>
      <c r="O21" s="121" t="e">
        <f>SUMIFS(#REF!,#REF!,Extrato!$B21,#REF!,Extrato!O$3)</f>
        <v>#REF!</v>
      </c>
      <c r="P21" s="121">
        <f>SUMIF(BetFlow!B:B,B21,BetFlow!J:J)</f>
        <v>0</v>
      </c>
      <c r="Q21" s="121" t="e">
        <f>SUMIFS(#REF!,#REF!,Extrato!$B21,#REF!,Extrato!Q$3)</f>
        <v>#REF!</v>
      </c>
      <c r="R21" s="121" t="e">
        <f>SUMIFS(#REF!,#REF!,Extrato!$B21,#REF!,Extrato!R$3)</f>
        <v>#REF!</v>
      </c>
      <c r="S21" s="121" t="e">
        <f>SUMIFS(#REF!,#REF!,Extrato!$B21,#REF!,Extrato!S$3)</f>
        <v>#REF!</v>
      </c>
      <c r="T21" s="121" t="e">
        <f>SUMIFS(#REF!,#REF!,Extrato!$B21,#REF!,Extrato!T$3)</f>
        <v>#REF!</v>
      </c>
      <c r="U21" s="121" t="e">
        <f>SUMIFS(#REF!,#REF!,Extrato!$B21,#REF!,Extrato!U$3)</f>
        <v>#REF!</v>
      </c>
      <c r="V21" s="121" t="e">
        <f>SUMIFS(#REF!,#REF!,Extrato!$B21,#REF!,Extrato!V$3)</f>
        <v>#REF!</v>
      </c>
      <c r="W21" s="121" t="e">
        <f>SUMIFS(#REF!,#REF!,Extrato!$B21,#REF!,Extrato!W$3)</f>
        <v>#REF!</v>
      </c>
      <c r="X21" s="121" t="e">
        <f>SUMIFS(#REF!,#REF!,Extrato!$B21,#REF!,Extrato!X$3)</f>
        <v>#REF!</v>
      </c>
      <c r="Y21" s="121" t="e">
        <f>SUMIFS(#REF!,#REF!,Extrato!$B21,#REF!,Extrato!Y$3)</f>
        <v>#REF!</v>
      </c>
      <c r="Z21" s="121" t="e">
        <f>SUMIFS(#REF!,#REF!,Extrato!$B21,#REF!,Extrato!Z$3)</f>
        <v>#REF!</v>
      </c>
      <c r="AA21" s="121" t="e">
        <f>SUMIFS(#REF!,#REF!,Extrato!$B21,#REF!,Extrato!AA$3)</f>
        <v>#REF!</v>
      </c>
      <c r="AB21" s="121" t="e">
        <f>SUMIFS(#REF!,#REF!,Extrato!$B21,#REF!,Extrato!AB$3)</f>
        <v>#REF!</v>
      </c>
      <c r="AC21" s="121" t="e">
        <f>SUMIFS(#REF!,#REF!,Extrato!$B21,#REF!,Extrato!AC$3)</f>
        <v>#REF!</v>
      </c>
      <c r="AD21" s="121" t="e">
        <f>SUMIFS(#REF!,#REF!,Extrato!$B21,#REF!,Extrato!AD$3)</f>
        <v>#REF!</v>
      </c>
      <c r="AE21" s="121" t="e">
        <f>SUMIFS(#REF!,#REF!,Extrato!$B21,#REF!,Extrato!AE$3)</f>
        <v>#REF!</v>
      </c>
      <c r="AF21" s="121" t="e">
        <f>SUMIFS(#REF!,#REF!,Extrato!$B21,#REF!,Extrato!AF$3)</f>
        <v>#REF!</v>
      </c>
      <c r="AG21" s="121" t="e">
        <f>SUMIFS(#REF!,#REF!,Extrato!$B21,#REF!,Extrato!AG$3)</f>
        <v>#REF!</v>
      </c>
      <c r="AH21" s="121" t="e">
        <f>SUMIFS(#REF!,#REF!,Extrato!$B21,#REF!,Extrato!AH$3)</f>
        <v>#REF!</v>
      </c>
      <c r="AI21" s="121" t="e">
        <f>SUMIFS(#REF!,#REF!,Extrato!$B21,#REF!,Extrato!AI$3)</f>
        <v>#REF!</v>
      </c>
      <c r="AJ21" s="121">
        <v>0</v>
      </c>
      <c r="AK21" s="121"/>
      <c r="AL21" s="25" t="e">
        <f t="shared" si="1"/>
        <v>#REF!</v>
      </c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</row>
    <row r="22" spans="2:68" ht="15" customHeight="1">
      <c r="B22" s="12">
        <v>46007</v>
      </c>
      <c r="C22" s="121" t="e">
        <f t="shared" si="0"/>
        <v>#REF!</v>
      </c>
      <c r="D22" s="121" t="e">
        <f>SUMIFS(#REF!,#REF!,Extrato!$B22,#REF!,Extrato!D$3)</f>
        <v>#REF!</v>
      </c>
      <c r="E22" s="121" t="e">
        <f>SUMIFS(#REF!,#REF!,Extrato!$B22,#REF!,Extrato!E$3)</f>
        <v>#REF!</v>
      </c>
      <c r="F22" s="121" t="e">
        <f>SUMIFS(#REF!,#REF!,Extrato!$B22,#REF!,Extrato!F$3)</f>
        <v>#REF!</v>
      </c>
      <c r="G22" s="121" t="e">
        <f>SUMIFS(#REF!,#REF!,Extrato!$B22,#REF!,Extrato!G$3)</f>
        <v>#REF!</v>
      </c>
      <c r="H22" s="121" t="e">
        <f>SUMIFS(#REF!,#REF!,Extrato!$B22,#REF!,Extrato!H$3)</f>
        <v>#REF!</v>
      </c>
      <c r="I22" s="121" t="e">
        <f>SUMIFS(#REF!,#REF!,Extrato!$B22,#REF!,Extrato!I$3)</f>
        <v>#REF!</v>
      </c>
      <c r="J22" s="121" t="e">
        <f>SUMIFS(#REF!,#REF!,Extrato!$B22,#REF!,Extrato!J$3)</f>
        <v>#REF!</v>
      </c>
      <c r="K22" s="121" t="e">
        <f>SUMIFS(#REF!,#REF!,Extrato!$B22,#REF!,Extrato!K$3)</f>
        <v>#REF!</v>
      </c>
      <c r="L22" s="121" t="e">
        <f>SUMIFS(#REF!,#REF!,Extrato!$B22,#REF!,Extrato!L$3)</f>
        <v>#REF!</v>
      </c>
      <c r="M22" s="121" t="e">
        <f>SUMIFS(#REF!,#REF!,Extrato!$B22,#REF!,Extrato!M$3)</f>
        <v>#REF!</v>
      </c>
      <c r="N22" s="121" t="e">
        <f>SUMIFS(#REF!,#REF!,Extrato!$B22,#REF!,Extrato!N$3)</f>
        <v>#REF!</v>
      </c>
      <c r="O22" s="121" t="e">
        <f>SUMIFS(#REF!,#REF!,Extrato!$B22,#REF!,Extrato!O$3)</f>
        <v>#REF!</v>
      </c>
      <c r="P22" s="121">
        <f>SUMIF(BetFlow!B:B,B22,BetFlow!J:J)</f>
        <v>0</v>
      </c>
      <c r="Q22" s="121" t="e">
        <f>SUMIFS(#REF!,#REF!,Extrato!$B22,#REF!,Extrato!Q$3)</f>
        <v>#REF!</v>
      </c>
      <c r="R22" s="121" t="e">
        <f>SUMIFS(#REF!,#REF!,Extrato!$B22,#REF!,Extrato!R$3)</f>
        <v>#REF!</v>
      </c>
      <c r="S22" s="121" t="e">
        <f>SUMIFS(#REF!,#REF!,Extrato!$B22,#REF!,Extrato!S$3)</f>
        <v>#REF!</v>
      </c>
      <c r="T22" s="121" t="e">
        <f>SUMIFS(#REF!,#REF!,Extrato!$B22,#REF!,Extrato!T$3)</f>
        <v>#REF!</v>
      </c>
      <c r="U22" s="121" t="e">
        <f>SUMIFS(#REF!,#REF!,Extrato!$B22,#REF!,Extrato!U$3)</f>
        <v>#REF!</v>
      </c>
      <c r="V22" s="121" t="e">
        <f>SUMIFS(#REF!,#REF!,Extrato!$B22,#REF!,Extrato!V$3)</f>
        <v>#REF!</v>
      </c>
      <c r="W22" s="121" t="e">
        <f>SUMIFS(#REF!,#REF!,Extrato!$B22,#REF!,Extrato!W$3)</f>
        <v>#REF!</v>
      </c>
      <c r="X22" s="121" t="e">
        <f>SUMIFS(#REF!,#REF!,Extrato!$B22,#REF!,Extrato!X$3)</f>
        <v>#REF!</v>
      </c>
      <c r="Y22" s="121" t="e">
        <f>SUMIFS(#REF!,#REF!,Extrato!$B22,#REF!,Extrato!Y$3)</f>
        <v>#REF!</v>
      </c>
      <c r="Z22" s="121" t="e">
        <f>SUMIFS(#REF!,#REF!,Extrato!$B22,#REF!,Extrato!Z$3)</f>
        <v>#REF!</v>
      </c>
      <c r="AA22" s="121" t="e">
        <f>SUMIFS(#REF!,#REF!,Extrato!$B22,#REF!,Extrato!AA$3)</f>
        <v>#REF!</v>
      </c>
      <c r="AB22" s="121" t="e">
        <f>SUMIFS(#REF!,#REF!,Extrato!$B22,#REF!,Extrato!AB$3)</f>
        <v>#REF!</v>
      </c>
      <c r="AC22" s="121" t="e">
        <f>SUMIFS(#REF!,#REF!,Extrato!$B22,#REF!,Extrato!AC$3)</f>
        <v>#REF!</v>
      </c>
      <c r="AD22" s="121" t="e">
        <f>SUMIFS(#REF!,#REF!,Extrato!$B22,#REF!,Extrato!AD$3)</f>
        <v>#REF!</v>
      </c>
      <c r="AE22" s="121" t="e">
        <f>SUMIFS(#REF!,#REF!,Extrato!$B22,#REF!,Extrato!AE$3)</f>
        <v>#REF!</v>
      </c>
      <c r="AF22" s="121" t="e">
        <f>SUMIFS(#REF!,#REF!,Extrato!$B22,#REF!,Extrato!AF$3)</f>
        <v>#REF!</v>
      </c>
      <c r="AG22" s="121" t="e">
        <f>SUMIFS(#REF!,#REF!,Extrato!$B22,#REF!,Extrato!AG$3)</f>
        <v>#REF!</v>
      </c>
      <c r="AH22" s="121" t="e">
        <f>SUMIFS(#REF!,#REF!,Extrato!$B22,#REF!,Extrato!AH$3)</f>
        <v>#REF!</v>
      </c>
      <c r="AI22" s="121" t="e">
        <f>SUMIFS(#REF!,#REF!,Extrato!$B22,#REF!,Extrato!AI$3)</f>
        <v>#REF!</v>
      </c>
      <c r="AJ22" s="121">
        <v>0</v>
      </c>
      <c r="AK22" s="121">
        <v>-0.03</v>
      </c>
      <c r="AL22" s="25" t="e">
        <f t="shared" si="1"/>
        <v>#REF!</v>
      </c>
      <c r="AM22" s="121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1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</row>
    <row r="23" spans="2:68" ht="15" customHeight="1">
      <c r="B23" s="12">
        <v>46008</v>
      </c>
      <c r="C23" s="121" t="e">
        <f t="shared" si="0"/>
        <v>#REF!</v>
      </c>
      <c r="D23" s="121" t="e">
        <f>SUMIFS(#REF!,#REF!,Extrato!$B23,#REF!,Extrato!D$3)</f>
        <v>#REF!</v>
      </c>
      <c r="E23" s="121" t="e">
        <f>SUMIFS(#REF!,#REF!,Extrato!$B23,#REF!,Extrato!E$3)</f>
        <v>#REF!</v>
      </c>
      <c r="F23" s="121" t="e">
        <f>SUMIFS(#REF!,#REF!,Extrato!$B23,#REF!,Extrato!F$3)</f>
        <v>#REF!</v>
      </c>
      <c r="G23" s="121" t="e">
        <f>SUMIFS(#REF!,#REF!,Extrato!$B23,#REF!,Extrato!G$3)</f>
        <v>#REF!</v>
      </c>
      <c r="H23" s="121" t="e">
        <f>SUMIFS(#REF!,#REF!,Extrato!$B23,#REF!,Extrato!H$3)</f>
        <v>#REF!</v>
      </c>
      <c r="I23" s="121" t="e">
        <f>SUMIFS(#REF!,#REF!,Extrato!$B23,#REF!,Extrato!I$3)</f>
        <v>#REF!</v>
      </c>
      <c r="J23" s="121" t="e">
        <f>SUMIFS(#REF!,#REF!,Extrato!$B23,#REF!,Extrato!J$3)</f>
        <v>#REF!</v>
      </c>
      <c r="K23" s="121" t="e">
        <f>SUMIFS(#REF!,#REF!,Extrato!$B23,#REF!,Extrato!K$3)</f>
        <v>#REF!</v>
      </c>
      <c r="L23" s="121" t="e">
        <f>SUMIFS(#REF!,#REF!,Extrato!$B23,#REF!,Extrato!L$3)</f>
        <v>#REF!</v>
      </c>
      <c r="M23" s="121" t="e">
        <f>SUMIFS(#REF!,#REF!,Extrato!$B23,#REF!,Extrato!M$3)</f>
        <v>#REF!</v>
      </c>
      <c r="N23" s="121" t="e">
        <f>SUMIFS(#REF!,#REF!,Extrato!$B23,#REF!,Extrato!N$3)</f>
        <v>#REF!</v>
      </c>
      <c r="O23" s="121" t="e">
        <f>SUMIFS(#REF!,#REF!,Extrato!$B23,#REF!,Extrato!O$3)</f>
        <v>#REF!</v>
      </c>
      <c r="P23" s="121">
        <f>SUMIF(BetFlow!B:B,B23,BetFlow!J:J)</f>
        <v>0</v>
      </c>
      <c r="Q23" s="121" t="e">
        <f>SUMIFS(#REF!,#REF!,Extrato!$B23,#REF!,Extrato!Q$3)</f>
        <v>#REF!</v>
      </c>
      <c r="R23" s="121" t="e">
        <f>SUMIFS(#REF!,#REF!,Extrato!$B23,#REF!,Extrato!R$3)</f>
        <v>#REF!</v>
      </c>
      <c r="S23" s="121" t="e">
        <f>SUMIFS(#REF!,#REF!,Extrato!$B23,#REF!,Extrato!S$3)</f>
        <v>#REF!</v>
      </c>
      <c r="T23" s="121" t="e">
        <f>SUMIFS(#REF!,#REF!,Extrato!$B23,#REF!,Extrato!T$3)</f>
        <v>#REF!</v>
      </c>
      <c r="U23" s="121" t="e">
        <f>SUMIFS(#REF!,#REF!,Extrato!$B23,#REF!,Extrato!U$3)</f>
        <v>#REF!</v>
      </c>
      <c r="V23" s="121" t="e">
        <f>SUMIFS(#REF!,#REF!,Extrato!$B23,#REF!,Extrato!V$3)</f>
        <v>#REF!</v>
      </c>
      <c r="W23" s="121" t="e">
        <f>SUMIFS(#REF!,#REF!,Extrato!$B23,#REF!,Extrato!W$3)</f>
        <v>#REF!</v>
      </c>
      <c r="X23" s="121" t="e">
        <f>SUMIFS(#REF!,#REF!,Extrato!$B23,#REF!,Extrato!X$3)</f>
        <v>#REF!</v>
      </c>
      <c r="Y23" s="121" t="e">
        <f>SUMIFS(#REF!,#REF!,Extrato!$B23,#REF!,Extrato!Y$3)</f>
        <v>#REF!</v>
      </c>
      <c r="Z23" s="121" t="e">
        <f>SUMIFS(#REF!,#REF!,Extrato!$B23,#REF!,Extrato!Z$3)</f>
        <v>#REF!</v>
      </c>
      <c r="AA23" s="121" t="e">
        <f>SUMIFS(#REF!,#REF!,Extrato!$B23,#REF!,Extrato!AA$3)</f>
        <v>#REF!</v>
      </c>
      <c r="AB23" s="121" t="e">
        <f>SUMIFS(#REF!,#REF!,Extrato!$B23,#REF!,Extrato!AB$3)</f>
        <v>#REF!</v>
      </c>
      <c r="AC23" s="121" t="e">
        <f>SUMIFS(#REF!,#REF!,Extrato!$B23,#REF!,Extrato!AC$3)</f>
        <v>#REF!</v>
      </c>
      <c r="AD23" s="121" t="e">
        <f>SUMIFS(#REF!,#REF!,Extrato!$B23,#REF!,Extrato!AD$3)</f>
        <v>#REF!</v>
      </c>
      <c r="AE23" s="121" t="e">
        <f>SUMIFS(#REF!,#REF!,Extrato!$B23,#REF!,Extrato!AE$3)</f>
        <v>#REF!</v>
      </c>
      <c r="AF23" s="121" t="e">
        <f>SUMIFS(#REF!,#REF!,Extrato!$B23,#REF!,Extrato!AF$3)</f>
        <v>#REF!</v>
      </c>
      <c r="AG23" s="121" t="e">
        <f>SUMIFS(#REF!,#REF!,Extrato!$B23,#REF!,Extrato!AG$3)</f>
        <v>#REF!</v>
      </c>
      <c r="AH23" s="121" t="e">
        <f>SUMIFS(#REF!,#REF!,Extrato!$B23,#REF!,Extrato!AH$3)</f>
        <v>#REF!</v>
      </c>
      <c r="AI23" s="121" t="e">
        <f>SUMIFS(#REF!,#REF!,Extrato!$B23,#REF!,Extrato!AI$3)</f>
        <v>#REF!</v>
      </c>
      <c r="AJ23" s="121">
        <v>0</v>
      </c>
      <c r="AK23" s="121"/>
      <c r="AL23" s="25" t="e">
        <f t="shared" si="1"/>
        <v>#REF!</v>
      </c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</row>
    <row r="24" spans="2:68" ht="15" customHeight="1">
      <c r="B24" s="12">
        <v>46009</v>
      </c>
      <c r="C24" s="121" t="e">
        <f t="shared" si="0"/>
        <v>#REF!</v>
      </c>
      <c r="D24" s="121" t="e">
        <f>SUMIFS(#REF!,#REF!,Extrato!$B24,#REF!,Extrato!D$3)</f>
        <v>#REF!</v>
      </c>
      <c r="E24" s="121" t="e">
        <f>SUMIFS(#REF!,#REF!,Extrato!$B24,#REF!,Extrato!E$3)</f>
        <v>#REF!</v>
      </c>
      <c r="F24" s="121" t="e">
        <f>SUMIFS(#REF!,#REF!,Extrato!$B24,#REF!,Extrato!F$3)</f>
        <v>#REF!</v>
      </c>
      <c r="G24" s="121" t="e">
        <f>SUMIFS(#REF!,#REF!,Extrato!$B24,#REF!,Extrato!G$3)</f>
        <v>#REF!</v>
      </c>
      <c r="H24" s="121" t="e">
        <f>SUMIFS(#REF!,#REF!,Extrato!$B24,#REF!,Extrato!H$3)</f>
        <v>#REF!</v>
      </c>
      <c r="I24" s="121" t="e">
        <f>SUMIFS(#REF!,#REF!,Extrato!$B24,#REF!,Extrato!I$3)</f>
        <v>#REF!</v>
      </c>
      <c r="J24" s="121" t="e">
        <f>SUMIFS(#REF!,#REF!,Extrato!$B24,#REF!,Extrato!J$3)</f>
        <v>#REF!</v>
      </c>
      <c r="K24" s="121" t="e">
        <f>SUMIFS(#REF!,#REF!,Extrato!$B24,#REF!,Extrato!K$3)</f>
        <v>#REF!</v>
      </c>
      <c r="L24" s="121" t="e">
        <f>SUMIFS(#REF!,#REF!,Extrato!$B24,#REF!,Extrato!L$3)</f>
        <v>#REF!</v>
      </c>
      <c r="M24" s="121" t="e">
        <f>SUMIFS(#REF!,#REF!,Extrato!$B24,#REF!,Extrato!M$3)</f>
        <v>#REF!</v>
      </c>
      <c r="N24" s="121" t="e">
        <f>SUMIFS(#REF!,#REF!,Extrato!$B24,#REF!,Extrato!N$3)</f>
        <v>#REF!</v>
      </c>
      <c r="O24" s="121" t="e">
        <f>SUMIFS(#REF!,#REF!,Extrato!$B24,#REF!,Extrato!O$3)</f>
        <v>#REF!</v>
      </c>
      <c r="P24" s="121">
        <f>SUMIF(BetFlow!B:B,B24,BetFlow!J:J)</f>
        <v>0</v>
      </c>
      <c r="Q24" s="121" t="e">
        <f>SUMIFS(#REF!,#REF!,Extrato!$B24,#REF!,Extrato!Q$3)</f>
        <v>#REF!</v>
      </c>
      <c r="R24" s="121" t="e">
        <f>SUMIFS(#REF!,#REF!,Extrato!$B24,#REF!,Extrato!R$3)</f>
        <v>#REF!</v>
      </c>
      <c r="S24" s="121" t="e">
        <f>SUMIFS(#REF!,#REF!,Extrato!$B24,#REF!,Extrato!S$3)</f>
        <v>#REF!</v>
      </c>
      <c r="T24" s="121" t="e">
        <f>SUMIFS(#REF!,#REF!,Extrato!$B24,#REF!,Extrato!T$3)</f>
        <v>#REF!</v>
      </c>
      <c r="U24" s="121" t="e">
        <f>SUMIFS(#REF!,#REF!,Extrato!$B24,#REF!,Extrato!U$3)</f>
        <v>#REF!</v>
      </c>
      <c r="V24" s="121" t="e">
        <f>SUMIFS(#REF!,#REF!,Extrato!$B24,#REF!,Extrato!V$3)</f>
        <v>#REF!</v>
      </c>
      <c r="W24" s="121" t="e">
        <f>SUMIFS(#REF!,#REF!,Extrato!$B24,#REF!,Extrato!W$3)</f>
        <v>#REF!</v>
      </c>
      <c r="X24" s="121" t="e">
        <f>SUMIFS(#REF!,#REF!,Extrato!$B24,#REF!,Extrato!X$3)</f>
        <v>#REF!</v>
      </c>
      <c r="Y24" s="121" t="e">
        <f>SUMIFS(#REF!,#REF!,Extrato!$B24,#REF!,Extrato!Y$3)</f>
        <v>#REF!</v>
      </c>
      <c r="Z24" s="121" t="e">
        <f>SUMIFS(#REF!,#REF!,Extrato!$B24,#REF!,Extrato!Z$3)</f>
        <v>#REF!</v>
      </c>
      <c r="AA24" s="121" t="e">
        <f>SUMIFS(#REF!,#REF!,Extrato!$B24,#REF!,Extrato!AA$3)</f>
        <v>#REF!</v>
      </c>
      <c r="AB24" s="121" t="e">
        <f>SUMIFS(#REF!,#REF!,Extrato!$B24,#REF!,Extrato!AB$3)</f>
        <v>#REF!</v>
      </c>
      <c r="AC24" s="121" t="e">
        <f>SUMIFS(#REF!,#REF!,Extrato!$B24,#REF!,Extrato!AC$3)</f>
        <v>#REF!</v>
      </c>
      <c r="AD24" s="121" t="e">
        <f>SUMIFS(#REF!,#REF!,Extrato!$B24,#REF!,Extrato!AD$3)</f>
        <v>#REF!</v>
      </c>
      <c r="AE24" s="121" t="e">
        <f>SUMIFS(#REF!,#REF!,Extrato!$B24,#REF!,Extrato!AE$3)</f>
        <v>#REF!</v>
      </c>
      <c r="AF24" s="121" t="e">
        <f>SUMIFS(#REF!,#REF!,Extrato!$B24,#REF!,Extrato!AF$3)</f>
        <v>#REF!</v>
      </c>
      <c r="AG24" s="121" t="e">
        <f>SUMIFS(#REF!,#REF!,Extrato!$B24,#REF!,Extrato!AG$3)</f>
        <v>#REF!</v>
      </c>
      <c r="AH24" s="121" t="e">
        <f>SUMIFS(#REF!,#REF!,Extrato!$B24,#REF!,Extrato!AH$3)</f>
        <v>#REF!</v>
      </c>
      <c r="AI24" s="121" t="e">
        <f>SUMIFS(#REF!,#REF!,Extrato!$B24,#REF!,Extrato!AI$3)</f>
        <v>#REF!</v>
      </c>
      <c r="AJ24" s="121">
        <v>0</v>
      </c>
      <c r="AK24" s="121"/>
      <c r="AL24" s="25" t="e">
        <f t="shared" si="1"/>
        <v>#REF!</v>
      </c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</row>
    <row r="25" spans="2:68" ht="15" customHeight="1">
      <c r="B25" s="12">
        <v>46010</v>
      </c>
      <c r="C25" s="121" t="e">
        <f t="shared" si="0"/>
        <v>#REF!</v>
      </c>
      <c r="D25" s="121" t="e">
        <f>SUMIFS(#REF!,#REF!,Extrato!$B25,#REF!,Extrato!D$3)</f>
        <v>#REF!</v>
      </c>
      <c r="E25" s="121" t="e">
        <f>SUMIFS(#REF!,#REF!,Extrato!$B25,#REF!,Extrato!E$3)</f>
        <v>#REF!</v>
      </c>
      <c r="F25" s="121" t="e">
        <f>SUMIFS(#REF!,#REF!,Extrato!$B25,#REF!,Extrato!F$3)</f>
        <v>#REF!</v>
      </c>
      <c r="G25" s="121" t="e">
        <f>SUMIFS(#REF!,#REF!,Extrato!$B25,#REF!,Extrato!G$3)</f>
        <v>#REF!</v>
      </c>
      <c r="H25" s="121" t="e">
        <f>SUMIFS(#REF!,#REF!,Extrato!$B25,#REF!,Extrato!H$3)</f>
        <v>#REF!</v>
      </c>
      <c r="I25" s="121" t="e">
        <f>SUMIFS(#REF!,#REF!,Extrato!$B25,#REF!,Extrato!I$3)</f>
        <v>#REF!</v>
      </c>
      <c r="J25" s="121" t="e">
        <f>SUMIFS(#REF!,#REF!,Extrato!$B25,#REF!,Extrato!J$3)</f>
        <v>#REF!</v>
      </c>
      <c r="K25" s="121" t="e">
        <f>SUMIFS(#REF!,#REF!,Extrato!$B25,#REF!,Extrato!K$3)</f>
        <v>#REF!</v>
      </c>
      <c r="L25" s="121" t="e">
        <f>SUMIFS(#REF!,#REF!,Extrato!$B25,#REF!,Extrato!L$3)</f>
        <v>#REF!</v>
      </c>
      <c r="M25" s="121" t="e">
        <f>SUMIFS(#REF!,#REF!,Extrato!$B25,#REF!,Extrato!M$3)</f>
        <v>#REF!</v>
      </c>
      <c r="N25" s="121" t="e">
        <f>SUMIFS(#REF!,#REF!,Extrato!$B25,#REF!,Extrato!N$3)</f>
        <v>#REF!</v>
      </c>
      <c r="O25" s="121" t="e">
        <f>SUMIFS(#REF!,#REF!,Extrato!$B25,#REF!,Extrato!O$3)</f>
        <v>#REF!</v>
      </c>
      <c r="P25" s="121">
        <f>SUMIF(BetFlow!B:B,B25,BetFlow!J:J)</f>
        <v>0</v>
      </c>
      <c r="Q25" s="121" t="e">
        <f>SUMIFS(#REF!,#REF!,Extrato!$B25,#REF!,Extrato!Q$3)</f>
        <v>#REF!</v>
      </c>
      <c r="R25" s="121" t="e">
        <f>SUMIFS(#REF!,#REF!,Extrato!$B25,#REF!,Extrato!R$3)</f>
        <v>#REF!</v>
      </c>
      <c r="S25" s="121" t="e">
        <f>SUMIFS(#REF!,#REF!,Extrato!$B25,#REF!,Extrato!S$3)</f>
        <v>#REF!</v>
      </c>
      <c r="T25" s="121" t="e">
        <f>SUMIFS(#REF!,#REF!,Extrato!$B25,#REF!,Extrato!T$3)</f>
        <v>#REF!</v>
      </c>
      <c r="U25" s="121" t="e">
        <f>SUMIFS(#REF!,#REF!,Extrato!$B25,#REF!,Extrato!U$3)</f>
        <v>#REF!</v>
      </c>
      <c r="V25" s="121" t="e">
        <f>SUMIFS(#REF!,#REF!,Extrato!$B25,#REF!,Extrato!V$3)</f>
        <v>#REF!</v>
      </c>
      <c r="W25" s="121" t="e">
        <f>SUMIFS(#REF!,#REF!,Extrato!$B25,#REF!,Extrato!W$3)</f>
        <v>#REF!</v>
      </c>
      <c r="X25" s="121" t="e">
        <f>SUMIFS(#REF!,#REF!,Extrato!$B25,#REF!,Extrato!X$3)</f>
        <v>#REF!</v>
      </c>
      <c r="Y25" s="121" t="e">
        <f>SUMIFS(#REF!,#REF!,Extrato!$B25,#REF!,Extrato!Y$3)</f>
        <v>#REF!</v>
      </c>
      <c r="Z25" s="121" t="e">
        <f>SUMIFS(#REF!,#REF!,Extrato!$B25,#REF!,Extrato!Z$3)</f>
        <v>#REF!</v>
      </c>
      <c r="AA25" s="121" t="e">
        <f>SUMIFS(#REF!,#REF!,Extrato!$B25,#REF!,Extrato!AA$3)</f>
        <v>#REF!</v>
      </c>
      <c r="AB25" s="121" t="e">
        <f>SUMIFS(#REF!,#REF!,Extrato!$B25,#REF!,Extrato!AB$3)</f>
        <v>#REF!</v>
      </c>
      <c r="AC25" s="121" t="e">
        <f>SUMIFS(#REF!,#REF!,Extrato!$B25,#REF!,Extrato!AC$3)</f>
        <v>#REF!</v>
      </c>
      <c r="AD25" s="121" t="e">
        <f>SUMIFS(#REF!,#REF!,Extrato!$B25,#REF!,Extrato!AD$3)</f>
        <v>#REF!</v>
      </c>
      <c r="AE25" s="121" t="e">
        <f>SUMIFS(#REF!,#REF!,Extrato!$B25,#REF!,Extrato!AE$3)</f>
        <v>#REF!</v>
      </c>
      <c r="AF25" s="121" t="e">
        <f>SUMIFS(#REF!,#REF!,Extrato!$B25,#REF!,Extrato!AF$3)</f>
        <v>#REF!</v>
      </c>
      <c r="AG25" s="121" t="e">
        <f>SUMIFS(#REF!,#REF!,Extrato!$B25,#REF!,Extrato!AG$3)</f>
        <v>#REF!</v>
      </c>
      <c r="AH25" s="121" t="e">
        <f>SUMIFS(#REF!,#REF!,Extrato!$B25,#REF!,Extrato!AH$3)</f>
        <v>#REF!</v>
      </c>
      <c r="AI25" s="121" t="e">
        <f>SUMIFS(#REF!,#REF!,Extrato!$B25,#REF!,Extrato!AI$3)</f>
        <v>#REF!</v>
      </c>
      <c r="AJ25" s="121">
        <v>0</v>
      </c>
      <c r="AK25" s="121"/>
      <c r="AL25" s="25" t="e">
        <f t="shared" si="1"/>
        <v>#REF!</v>
      </c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</row>
    <row r="26" spans="2:68" ht="15" customHeight="1">
      <c r="B26" s="12">
        <v>46011</v>
      </c>
      <c r="C26" s="121" t="e">
        <f t="shared" si="0"/>
        <v>#REF!</v>
      </c>
      <c r="D26" s="121" t="e">
        <f>SUMIFS(#REF!,#REF!,Extrato!$B26,#REF!,Extrato!D$3)</f>
        <v>#REF!</v>
      </c>
      <c r="E26" s="121" t="e">
        <f>SUMIFS(#REF!,#REF!,Extrato!$B26,#REF!,Extrato!E$3)</f>
        <v>#REF!</v>
      </c>
      <c r="F26" s="121" t="e">
        <f>SUMIFS(#REF!,#REF!,Extrato!$B26,#REF!,Extrato!F$3)</f>
        <v>#REF!</v>
      </c>
      <c r="G26" s="121" t="e">
        <f>SUMIFS(#REF!,#REF!,Extrato!$B26,#REF!,Extrato!G$3)</f>
        <v>#REF!</v>
      </c>
      <c r="H26" s="121" t="e">
        <f>SUMIFS(#REF!,#REF!,Extrato!$B26,#REF!,Extrato!H$3)</f>
        <v>#REF!</v>
      </c>
      <c r="I26" s="121" t="e">
        <f>SUMIFS(#REF!,#REF!,Extrato!$B26,#REF!,Extrato!I$3)</f>
        <v>#REF!</v>
      </c>
      <c r="J26" s="121" t="e">
        <f>SUMIFS(#REF!,#REF!,Extrato!$B26,#REF!,Extrato!J$3)</f>
        <v>#REF!</v>
      </c>
      <c r="K26" s="121" t="e">
        <f>SUMIFS(#REF!,#REF!,Extrato!$B26,#REF!,Extrato!K$3)</f>
        <v>#REF!</v>
      </c>
      <c r="L26" s="121" t="e">
        <f>SUMIFS(#REF!,#REF!,Extrato!$B26,#REF!,Extrato!L$3)</f>
        <v>#REF!</v>
      </c>
      <c r="M26" s="121" t="e">
        <f>SUMIFS(#REF!,#REF!,Extrato!$B26,#REF!,Extrato!M$3)</f>
        <v>#REF!</v>
      </c>
      <c r="N26" s="121" t="e">
        <f>SUMIFS(#REF!,#REF!,Extrato!$B26,#REF!,Extrato!N$3)</f>
        <v>#REF!</v>
      </c>
      <c r="O26" s="121" t="e">
        <f>SUMIFS(#REF!,#REF!,Extrato!$B26,#REF!,Extrato!O$3)</f>
        <v>#REF!</v>
      </c>
      <c r="P26" s="121">
        <f>SUMIF(BetFlow!B:B,B26,BetFlow!J:J)</f>
        <v>0</v>
      </c>
      <c r="Q26" s="121" t="e">
        <f>SUMIFS(#REF!,#REF!,Extrato!$B26,#REF!,Extrato!Q$3)</f>
        <v>#REF!</v>
      </c>
      <c r="R26" s="121" t="e">
        <f>SUMIFS(#REF!,#REF!,Extrato!$B26,#REF!,Extrato!R$3)</f>
        <v>#REF!</v>
      </c>
      <c r="S26" s="121" t="e">
        <f>SUMIFS(#REF!,#REF!,Extrato!$B26,#REF!,Extrato!S$3)</f>
        <v>#REF!</v>
      </c>
      <c r="T26" s="121" t="e">
        <f>SUMIFS(#REF!,#REF!,Extrato!$B26,#REF!,Extrato!T$3)</f>
        <v>#REF!</v>
      </c>
      <c r="U26" s="121" t="e">
        <f>SUMIFS(#REF!,#REF!,Extrato!$B26,#REF!,Extrato!U$3)</f>
        <v>#REF!</v>
      </c>
      <c r="V26" s="121" t="e">
        <f>SUMIFS(#REF!,#REF!,Extrato!$B26,#REF!,Extrato!V$3)</f>
        <v>#REF!</v>
      </c>
      <c r="W26" s="121" t="e">
        <f>SUMIFS(#REF!,#REF!,Extrato!$B26,#REF!,Extrato!W$3)</f>
        <v>#REF!</v>
      </c>
      <c r="X26" s="121" t="e">
        <f>SUMIFS(#REF!,#REF!,Extrato!$B26,#REF!,Extrato!X$3)</f>
        <v>#REF!</v>
      </c>
      <c r="Y26" s="121" t="e">
        <f>SUMIFS(#REF!,#REF!,Extrato!$B26,#REF!,Extrato!Y$3)</f>
        <v>#REF!</v>
      </c>
      <c r="Z26" s="121" t="e">
        <f>SUMIFS(#REF!,#REF!,Extrato!$B26,#REF!,Extrato!Z$3)</f>
        <v>#REF!</v>
      </c>
      <c r="AA26" s="121" t="e">
        <f>SUMIFS(#REF!,#REF!,Extrato!$B26,#REF!,Extrato!AA$3)</f>
        <v>#REF!</v>
      </c>
      <c r="AB26" s="121" t="e">
        <f>SUMIFS(#REF!,#REF!,Extrato!$B26,#REF!,Extrato!AB$3)</f>
        <v>#REF!</v>
      </c>
      <c r="AC26" s="121" t="e">
        <f>SUMIFS(#REF!,#REF!,Extrato!$B26,#REF!,Extrato!AC$3)</f>
        <v>#REF!</v>
      </c>
      <c r="AD26" s="121" t="e">
        <f>SUMIFS(#REF!,#REF!,Extrato!$B26,#REF!,Extrato!AD$3)</f>
        <v>#REF!</v>
      </c>
      <c r="AE26" s="121" t="e">
        <f>SUMIFS(#REF!,#REF!,Extrato!$B26,#REF!,Extrato!AE$3)</f>
        <v>#REF!</v>
      </c>
      <c r="AF26" s="121" t="e">
        <f>SUMIFS(#REF!,#REF!,Extrato!$B26,#REF!,Extrato!AF$3)</f>
        <v>#REF!</v>
      </c>
      <c r="AG26" s="121" t="e">
        <f>SUMIFS(#REF!,#REF!,Extrato!$B26,#REF!,Extrato!AG$3)</f>
        <v>#REF!</v>
      </c>
      <c r="AH26" s="121" t="e">
        <f>SUMIFS(#REF!,#REF!,Extrato!$B26,#REF!,Extrato!AH$3)</f>
        <v>#REF!</v>
      </c>
      <c r="AI26" s="121" t="e">
        <f>SUMIFS(#REF!,#REF!,Extrato!$B26,#REF!,Extrato!AI$3)</f>
        <v>#REF!</v>
      </c>
      <c r="AJ26" s="121">
        <v>480</v>
      </c>
      <c r="AK26" s="121">
        <v>-0.03</v>
      </c>
      <c r="AL26" s="25" t="e">
        <f t="shared" si="1"/>
        <v>#REF!</v>
      </c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</row>
    <row r="27" spans="2:68" ht="15" customHeight="1">
      <c r="B27" s="12">
        <v>46012</v>
      </c>
      <c r="C27" s="121" t="e">
        <f t="shared" si="0"/>
        <v>#REF!</v>
      </c>
      <c r="D27" s="121" t="e">
        <f>SUMIFS(#REF!,#REF!,Extrato!$B27,#REF!,Extrato!D$3)</f>
        <v>#REF!</v>
      </c>
      <c r="E27" s="121" t="e">
        <f>SUMIFS(#REF!,#REF!,Extrato!$B27,#REF!,Extrato!E$3)</f>
        <v>#REF!</v>
      </c>
      <c r="F27" s="121" t="e">
        <f>SUMIFS(#REF!,#REF!,Extrato!$B27,#REF!,Extrato!F$3)</f>
        <v>#REF!</v>
      </c>
      <c r="G27" s="121" t="e">
        <f>SUMIFS(#REF!,#REF!,Extrato!$B27,#REF!,Extrato!G$3)</f>
        <v>#REF!</v>
      </c>
      <c r="H27" s="121" t="e">
        <f>SUMIFS(#REF!,#REF!,Extrato!$B27,#REF!,Extrato!H$3)</f>
        <v>#REF!</v>
      </c>
      <c r="I27" s="121" t="e">
        <f>SUMIFS(#REF!,#REF!,Extrato!$B27,#REF!,Extrato!I$3)</f>
        <v>#REF!</v>
      </c>
      <c r="J27" s="121" t="e">
        <f>SUMIFS(#REF!,#REF!,Extrato!$B27,#REF!,Extrato!J$3)</f>
        <v>#REF!</v>
      </c>
      <c r="K27" s="121" t="e">
        <f>SUMIFS(#REF!,#REF!,Extrato!$B27,#REF!,Extrato!K$3)</f>
        <v>#REF!</v>
      </c>
      <c r="L27" s="121" t="e">
        <f>SUMIFS(#REF!,#REF!,Extrato!$B27,#REF!,Extrato!L$3)</f>
        <v>#REF!</v>
      </c>
      <c r="M27" s="121" t="e">
        <f>SUMIFS(#REF!,#REF!,Extrato!$B27,#REF!,Extrato!M$3)</f>
        <v>#REF!</v>
      </c>
      <c r="N27" s="121" t="e">
        <f>SUMIFS(#REF!,#REF!,Extrato!$B27,#REF!,Extrato!N$3)</f>
        <v>#REF!</v>
      </c>
      <c r="O27" s="121" t="e">
        <f>SUMIFS(#REF!,#REF!,Extrato!$B27,#REF!,Extrato!O$3)</f>
        <v>#REF!</v>
      </c>
      <c r="P27" s="121">
        <f>SUMIF(BetFlow!B:B,B27,BetFlow!J:J)</f>
        <v>0</v>
      </c>
      <c r="Q27" s="121" t="e">
        <f>SUMIFS(#REF!,#REF!,Extrato!$B27,#REF!,Extrato!Q$3)</f>
        <v>#REF!</v>
      </c>
      <c r="R27" s="121" t="e">
        <f>SUMIFS(#REF!,#REF!,Extrato!$B27,#REF!,Extrato!R$3)</f>
        <v>#REF!</v>
      </c>
      <c r="S27" s="121" t="e">
        <f>SUMIFS(#REF!,#REF!,Extrato!$B27,#REF!,Extrato!S$3)</f>
        <v>#REF!</v>
      </c>
      <c r="T27" s="121" t="e">
        <f>SUMIFS(#REF!,#REF!,Extrato!$B27,#REF!,Extrato!T$3)</f>
        <v>#REF!</v>
      </c>
      <c r="U27" s="121" t="e">
        <f>SUMIFS(#REF!,#REF!,Extrato!$B27,#REF!,Extrato!U$3)</f>
        <v>#REF!</v>
      </c>
      <c r="V27" s="121" t="e">
        <f>SUMIFS(#REF!,#REF!,Extrato!$B27,#REF!,Extrato!V$3)</f>
        <v>#REF!</v>
      </c>
      <c r="W27" s="121" t="e">
        <f>SUMIFS(#REF!,#REF!,Extrato!$B27,#REF!,Extrato!W$3)</f>
        <v>#REF!</v>
      </c>
      <c r="X27" s="121" t="e">
        <f>SUMIFS(#REF!,#REF!,Extrato!$B27,#REF!,Extrato!X$3)</f>
        <v>#REF!</v>
      </c>
      <c r="Y27" s="121" t="e">
        <f>SUMIFS(#REF!,#REF!,Extrato!$B27,#REF!,Extrato!Y$3)</f>
        <v>#REF!</v>
      </c>
      <c r="Z27" s="121" t="e">
        <f>SUMIFS(#REF!,#REF!,Extrato!$B27,#REF!,Extrato!Z$3)</f>
        <v>#REF!</v>
      </c>
      <c r="AA27" s="121" t="e">
        <f>SUMIFS(#REF!,#REF!,Extrato!$B27,#REF!,Extrato!AA$3)</f>
        <v>#REF!</v>
      </c>
      <c r="AB27" s="121" t="e">
        <f>SUMIFS(#REF!,#REF!,Extrato!$B27,#REF!,Extrato!AB$3)</f>
        <v>#REF!</v>
      </c>
      <c r="AC27" s="121" t="e">
        <f>SUMIFS(#REF!,#REF!,Extrato!$B27,#REF!,Extrato!AC$3)</f>
        <v>#REF!</v>
      </c>
      <c r="AD27" s="121" t="e">
        <f>SUMIFS(#REF!,#REF!,Extrato!$B27,#REF!,Extrato!AD$3)</f>
        <v>#REF!</v>
      </c>
      <c r="AE27" s="121" t="e">
        <f>SUMIFS(#REF!,#REF!,Extrato!$B27,#REF!,Extrato!AE$3)</f>
        <v>#REF!</v>
      </c>
      <c r="AF27" s="121" t="e">
        <f>SUMIFS(#REF!,#REF!,Extrato!$B27,#REF!,Extrato!AF$3)</f>
        <v>#REF!</v>
      </c>
      <c r="AG27" s="121" t="e">
        <f>SUMIFS(#REF!,#REF!,Extrato!$B27,#REF!,Extrato!AG$3)</f>
        <v>#REF!</v>
      </c>
      <c r="AH27" s="121" t="e">
        <f>SUMIFS(#REF!,#REF!,Extrato!$B27,#REF!,Extrato!AH$3)</f>
        <v>#REF!</v>
      </c>
      <c r="AI27" s="121" t="e">
        <f>SUMIFS(#REF!,#REF!,Extrato!$B27,#REF!,Extrato!AI$3)</f>
        <v>#REF!</v>
      </c>
      <c r="AJ27" s="121">
        <v>0</v>
      </c>
      <c r="AK27" s="121">
        <v>-0.01</v>
      </c>
      <c r="AL27" s="25" t="e">
        <f t="shared" si="1"/>
        <v>#REF!</v>
      </c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</row>
    <row r="28" spans="2:68" ht="15" customHeight="1">
      <c r="B28" s="12">
        <v>46017</v>
      </c>
      <c r="C28" s="121" t="e">
        <f t="shared" si="0"/>
        <v>#REF!</v>
      </c>
      <c r="D28" s="121" t="e">
        <f>SUMIFS(#REF!,#REF!,Extrato!$B28,#REF!,Extrato!D$3)</f>
        <v>#REF!</v>
      </c>
      <c r="E28" s="121" t="e">
        <f>SUMIFS(#REF!,#REF!,Extrato!$B28,#REF!,Extrato!E$3)</f>
        <v>#REF!</v>
      </c>
      <c r="F28" s="121" t="e">
        <f>SUMIFS(#REF!,#REF!,Extrato!$B28,#REF!,Extrato!F$3)</f>
        <v>#REF!</v>
      </c>
      <c r="G28" s="121" t="e">
        <f>SUMIFS(#REF!,#REF!,Extrato!$B28,#REF!,Extrato!G$3)</f>
        <v>#REF!</v>
      </c>
      <c r="H28" s="121" t="e">
        <f>SUMIFS(#REF!,#REF!,Extrato!$B28,#REF!,Extrato!H$3)</f>
        <v>#REF!</v>
      </c>
      <c r="I28" s="121" t="e">
        <f>SUMIFS(#REF!,#REF!,Extrato!$B28,#REF!,Extrato!I$3)</f>
        <v>#REF!</v>
      </c>
      <c r="J28" s="121" t="e">
        <f>SUMIFS(#REF!,#REF!,Extrato!$B28,#REF!,Extrato!J$3)</f>
        <v>#REF!</v>
      </c>
      <c r="K28" s="121" t="e">
        <f>SUMIFS(#REF!,#REF!,Extrato!$B28,#REF!,Extrato!K$3)</f>
        <v>#REF!</v>
      </c>
      <c r="L28" s="121" t="e">
        <f>SUMIFS(#REF!,#REF!,Extrato!$B28,#REF!,Extrato!L$3)</f>
        <v>#REF!</v>
      </c>
      <c r="M28" s="121" t="e">
        <f>SUMIFS(#REF!,#REF!,Extrato!$B28,#REF!,Extrato!M$3)</f>
        <v>#REF!</v>
      </c>
      <c r="N28" s="121" t="e">
        <f>SUMIFS(#REF!,#REF!,Extrato!$B28,#REF!,Extrato!N$3)</f>
        <v>#REF!</v>
      </c>
      <c r="O28" s="121" t="e">
        <f>SUMIFS(#REF!,#REF!,Extrato!$B28,#REF!,Extrato!O$3)</f>
        <v>#REF!</v>
      </c>
      <c r="P28" s="121">
        <f>SUMIF(BetFlow!B:B,B28,BetFlow!J:J)</f>
        <v>0</v>
      </c>
      <c r="Q28" s="121" t="e">
        <f>SUMIFS(#REF!,#REF!,Extrato!$B28,#REF!,Extrato!Q$3)</f>
        <v>#REF!</v>
      </c>
      <c r="R28" s="121" t="e">
        <f>SUMIFS(#REF!,#REF!,Extrato!$B28,#REF!,Extrato!R$3)</f>
        <v>#REF!</v>
      </c>
      <c r="S28" s="121" t="e">
        <f>SUMIFS(#REF!,#REF!,Extrato!$B28,#REF!,Extrato!S$3)</f>
        <v>#REF!</v>
      </c>
      <c r="T28" s="121" t="e">
        <f>SUMIFS(#REF!,#REF!,Extrato!$B28,#REF!,Extrato!T$3)</f>
        <v>#REF!</v>
      </c>
      <c r="U28" s="121" t="e">
        <f>SUMIFS(#REF!,#REF!,Extrato!$B28,#REF!,Extrato!U$3)</f>
        <v>#REF!</v>
      </c>
      <c r="V28" s="121" t="e">
        <f>SUMIFS(#REF!,#REF!,Extrato!$B28,#REF!,Extrato!V$3)</f>
        <v>#REF!</v>
      </c>
      <c r="W28" s="121" t="e">
        <f>SUMIFS(#REF!,#REF!,Extrato!$B28,#REF!,Extrato!W$3)</f>
        <v>#REF!</v>
      </c>
      <c r="X28" s="121" t="e">
        <f>SUMIFS(#REF!,#REF!,Extrato!$B28,#REF!,Extrato!X$3)</f>
        <v>#REF!</v>
      </c>
      <c r="Y28" s="121" t="e">
        <f>SUMIFS(#REF!,#REF!,Extrato!$B28,#REF!,Extrato!Y$3)</f>
        <v>#REF!</v>
      </c>
      <c r="Z28" s="121" t="e">
        <f>SUMIFS(#REF!,#REF!,Extrato!$B28,#REF!,Extrato!Z$3)</f>
        <v>#REF!</v>
      </c>
      <c r="AA28" s="121" t="e">
        <f>SUMIFS(#REF!,#REF!,Extrato!$B28,#REF!,Extrato!AA$3)</f>
        <v>#REF!</v>
      </c>
      <c r="AB28" s="121" t="e">
        <f>SUMIFS(#REF!,#REF!,Extrato!$B28,#REF!,Extrato!AB$3)</f>
        <v>#REF!</v>
      </c>
      <c r="AC28" s="121" t="e">
        <f>SUMIFS(#REF!,#REF!,Extrato!$B28,#REF!,Extrato!AC$3)</f>
        <v>#REF!</v>
      </c>
      <c r="AD28" s="121" t="e">
        <f>SUMIFS(#REF!,#REF!,Extrato!$B28,#REF!,Extrato!AD$3)</f>
        <v>#REF!</v>
      </c>
      <c r="AE28" s="121" t="e">
        <f>SUMIFS(#REF!,#REF!,Extrato!$B28,#REF!,Extrato!AE$3)</f>
        <v>#REF!</v>
      </c>
      <c r="AF28" s="121" t="e">
        <f>SUMIFS(#REF!,#REF!,Extrato!$B28,#REF!,Extrato!AF$3)</f>
        <v>#REF!</v>
      </c>
      <c r="AG28" s="121" t="e">
        <f>SUMIFS(#REF!,#REF!,Extrato!$B28,#REF!,Extrato!AG$3)</f>
        <v>#REF!</v>
      </c>
      <c r="AH28" s="121" t="e">
        <f>SUMIFS(#REF!,#REF!,Extrato!$B28,#REF!,Extrato!AH$3)</f>
        <v>#REF!</v>
      </c>
      <c r="AI28" s="121" t="e">
        <f>SUMIFS(#REF!,#REF!,Extrato!$B28,#REF!,Extrato!AI$3)</f>
        <v>#REF!</v>
      </c>
      <c r="AJ28" s="121">
        <v>0</v>
      </c>
      <c r="AK28" s="121"/>
      <c r="AL28" s="25" t="e">
        <f t="shared" si="1"/>
        <v>#REF!</v>
      </c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</row>
    <row r="29" spans="2:68" ht="15" customHeight="1">
      <c r="B29" s="12">
        <v>46018</v>
      </c>
      <c r="C29" s="121" t="e">
        <f t="shared" si="0"/>
        <v>#REF!</v>
      </c>
      <c r="D29" s="121" t="e">
        <f>SUMIFS(#REF!,#REF!,Extrato!$B29,#REF!,Extrato!D$3)</f>
        <v>#REF!</v>
      </c>
      <c r="E29" s="121" t="e">
        <f>SUMIFS(#REF!,#REF!,Extrato!$B29,#REF!,Extrato!E$3)</f>
        <v>#REF!</v>
      </c>
      <c r="F29" s="121" t="e">
        <f>SUMIFS(#REF!,#REF!,Extrato!$B29,#REF!,Extrato!F$3)</f>
        <v>#REF!</v>
      </c>
      <c r="G29" s="121" t="e">
        <f>SUMIFS(#REF!,#REF!,Extrato!$B29,#REF!,Extrato!G$3)</f>
        <v>#REF!</v>
      </c>
      <c r="H29" s="121" t="e">
        <f>SUMIFS(#REF!,#REF!,Extrato!$B29,#REF!,Extrato!H$3)</f>
        <v>#REF!</v>
      </c>
      <c r="I29" s="121" t="e">
        <f>SUMIFS(#REF!,#REF!,Extrato!$B29,#REF!,Extrato!I$3)</f>
        <v>#REF!</v>
      </c>
      <c r="J29" s="121" t="e">
        <f>SUMIFS(#REF!,#REF!,Extrato!$B29,#REF!,Extrato!J$3)</f>
        <v>#REF!</v>
      </c>
      <c r="K29" s="121" t="e">
        <f>SUMIFS(#REF!,#REF!,Extrato!$B29,#REF!,Extrato!K$3)</f>
        <v>#REF!</v>
      </c>
      <c r="L29" s="121" t="e">
        <f>SUMIFS(#REF!,#REF!,Extrato!$B29,#REF!,Extrato!L$3)</f>
        <v>#REF!</v>
      </c>
      <c r="M29" s="121" t="e">
        <f>SUMIFS(#REF!,#REF!,Extrato!$B29,#REF!,Extrato!M$3)</f>
        <v>#REF!</v>
      </c>
      <c r="N29" s="121" t="e">
        <f>SUMIFS(#REF!,#REF!,Extrato!$B29,#REF!,Extrato!N$3)</f>
        <v>#REF!</v>
      </c>
      <c r="O29" s="121" t="e">
        <f>SUMIFS(#REF!,#REF!,Extrato!$B29,#REF!,Extrato!O$3)</f>
        <v>#REF!</v>
      </c>
      <c r="P29" s="121">
        <f>SUMIF(BetFlow!B:B,B29,BetFlow!J:J)</f>
        <v>0</v>
      </c>
      <c r="Q29" s="121" t="e">
        <f>SUMIFS(#REF!,#REF!,Extrato!$B29,#REF!,Extrato!Q$3)</f>
        <v>#REF!</v>
      </c>
      <c r="R29" s="121" t="e">
        <f>SUMIFS(#REF!,#REF!,Extrato!$B29,#REF!,Extrato!R$3)</f>
        <v>#REF!</v>
      </c>
      <c r="S29" s="121" t="e">
        <f>SUMIFS(#REF!,#REF!,Extrato!$B29,#REF!,Extrato!S$3)</f>
        <v>#REF!</v>
      </c>
      <c r="T29" s="121" t="e">
        <f>SUMIFS(#REF!,#REF!,Extrato!$B29,#REF!,Extrato!T$3)</f>
        <v>#REF!</v>
      </c>
      <c r="U29" s="121" t="e">
        <f>SUMIFS(#REF!,#REF!,Extrato!$B29,#REF!,Extrato!U$3)</f>
        <v>#REF!</v>
      </c>
      <c r="V29" s="121" t="e">
        <f>SUMIFS(#REF!,#REF!,Extrato!$B29,#REF!,Extrato!V$3)</f>
        <v>#REF!</v>
      </c>
      <c r="W29" s="121" t="e">
        <f>SUMIFS(#REF!,#REF!,Extrato!$B29,#REF!,Extrato!W$3)</f>
        <v>#REF!</v>
      </c>
      <c r="X29" s="121" t="e">
        <f>SUMIFS(#REF!,#REF!,Extrato!$B29,#REF!,Extrato!X$3)</f>
        <v>#REF!</v>
      </c>
      <c r="Y29" s="121" t="e">
        <f>SUMIFS(#REF!,#REF!,Extrato!$B29,#REF!,Extrato!Y$3)</f>
        <v>#REF!</v>
      </c>
      <c r="Z29" s="121" t="e">
        <f>SUMIFS(#REF!,#REF!,Extrato!$B29,#REF!,Extrato!Z$3)</f>
        <v>#REF!</v>
      </c>
      <c r="AA29" s="121" t="e">
        <f>SUMIFS(#REF!,#REF!,Extrato!$B29,#REF!,Extrato!AA$3)</f>
        <v>#REF!</v>
      </c>
      <c r="AB29" s="121" t="e">
        <f>SUMIFS(#REF!,#REF!,Extrato!$B29,#REF!,Extrato!AB$3)</f>
        <v>#REF!</v>
      </c>
      <c r="AC29" s="121" t="e">
        <f>SUMIFS(#REF!,#REF!,Extrato!$B29,#REF!,Extrato!AC$3)</f>
        <v>#REF!</v>
      </c>
      <c r="AD29" s="121" t="e">
        <f>SUMIFS(#REF!,#REF!,Extrato!$B29,#REF!,Extrato!AD$3)</f>
        <v>#REF!</v>
      </c>
      <c r="AE29" s="121" t="e">
        <f>SUMIFS(#REF!,#REF!,Extrato!$B29,#REF!,Extrato!AE$3)</f>
        <v>#REF!</v>
      </c>
      <c r="AF29" s="121" t="e">
        <f>SUMIFS(#REF!,#REF!,Extrato!$B29,#REF!,Extrato!AF$3)</f>
        <v>#REF!</v>
      </c>
      <c r="AG29" s="121" t="e">
        <f>SUMIFS(#REF!,#REF!,Extrato!$B29,#REF!,Extrato!AG$3)</f>
        <v>#REF!</v>
      </c>
      <c r="AH29" s="121" t="e">
        <f>SUMIFS(#REF!,#REF!,Extrato!$B29,#REF!,Extrato!AH$3)</f>
        <v>#REF!</v>
      </c>
      <c r="AI29" s="121" t="e">
        <f>SUMIFS(#REF!,#REF!,Extrato!$B29,#REF!,Extrato!AI$3)</f>
        <v>#REF!</v>
      </c>
      <c r="AJ29" s="121">
        <v>0</v>
      </c>
      <c r="AK29" s="121"/>
      <c r="AL29" s="25" t="e">
        <f t="shared" si="1"/>
        <v>#REF!</v>
      </c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</row>
    <row r="30" spans="2:68" ht="15" customHeight="1">
      <c r="B30" s="12">
        <v>46019</v>
      </c>
      <c r="C30" s="121" t="e">
        <f t="shared" si="0"/>
        <v>#REF!</v>
      </c>
      <c r="D30" s="121" t="e">
        <f>SUMIFS(#REF!,#REF!,Extrato!$B30,#REF!,Extrato!D$3)</f>
        <v>#REF!</v>
      </c>
      <c r="E30" s="121" t="e">
        <f>SUMIFS(#REF!,#REF!,Extrato!$B30,#REF!,Extrato!E$3)</f>
        <v>#REF!</v>
      </c>
      <c r="F30" s="121" t="e">
        <f>SUMIFS(#REF!,#REF!,Extrato!$B30,#REF!,Extrato!F$3)</f>
        <v>#REF!</v>
      </c>
      <c r="G30" s="121" t="e">
        <f>SUMIFS(#REF!,#REF!,Extrato!$B30,#REF!,Extrato!G$3)</f>
        <v>#REF!</v>
      </c>
      <c r="H30" s="121" t="e">
        <f>SUMIFS(#REF!,#REF!,Extrato!$B30,#REF!,Extrato!H$3)</f>
        <v>#REF!</v>
      </c>
      <c r="I30" s="121" t="e">
        <f>SUMIFS(#REF!,#REF!,Extrato!$B30,#REF!,Extrato!I$3)</f>
        <v>#REF!</v>
      </c>
      <c r="J30" s="121" t="e">
        <f>SUMIFS(#REF!,#REF!,Extrato!$B30,#REF!,Extrato!J$3)</f>
        <v>#REF!</v>
      </c>
      <c r="K30" s="121" t="e">
        <f>SUMIFS(#REF!,#REF!,Extrato!$B30,#REF!,Extrato!K$3)</f>
        <v>#REF!</v>
      </c>
      <c r="L30" s="121" t="e">
        <f>SUMIFS(#REF!,#REF!,Extrato!$B30,#REF!,Extrato!L$3)</f>
        <v>#REF!</v>
      </c>
      <c r="M30" s="121" t="e">
        <f>SUMIFS(#REF!,#REF!,Extrato!$B30,#REF!,Extrato!M$3)</f>
        <v>#REF!</v>
      </c>
      <c r="N30" s="121" t="e">
        <f>SUMIFS(#REF!,#REF!,Extrato!$B30,#REF!,Extrato!N$3)</f>
        <v>#REF!</v>
      </c>
      <c r="O30" s="121" t="e">
        <f>SUMIFS(#REF!,#REF!,Extrato!$B30,#REF!,Extrato!O$3)</f>
        <v>#REF!</v>
      </c>
      <c r="P30" s="121">
        <f>SUMIF(BetFlow!B:B,B30,BetFlow!J:J)</f>
        <v>0</v>
      </c>
      <c r="Q30" s="121" t="e">
        <f>SUMIFS(#REF!,#REF!,Extrato!$B30,#REF!,Extrato!Q$3)</f>
        <v>#REF!</v>
      </c>
      <c r="R30" s="121" t="e">
        <f>SUMIFS(#REF!,#REF!,Extrato!$B30,#REF!,Extrato!R$3)</f>
        <v>#REF!</v>
      </c>
      <c r="S30" s="121" t="e">
        <f>SUMIFS(#REF!,#REF!,Extrato!$B30,#REF!,Extrato!S$3)</f>
        <v>#REF!</v>
      </c>
      <c r="T30" s="121" t="e">
        <f>SUMIFS(#REF!,#REF!,Extrato!$B30,#REF!,Extrato!T$3)</f>
        <v>#REF!</v>
      </c>
      <c r="U30" s="121" t="e">
        <f>SUMIFS(#REF!,#REF!,Extrato!$B30,#REF!,Extrato!U$3)</f>
        <v>#REF!</v>
      </c>
      <c r="V30" s="121" t="e">
        <f>SUMIFS(#REF!,#REF!,Extrato!$B30,#REF!,Extrato!V$3)</f>
        <v>#REF!</v>
      </c>
      <c r="W30" s="121" t="e">
        <f>SUMIFS(#REF!,#REF!,Extrato!$B30,#REF!,Extrato!W$3)</f>
        <v>#REF!</v>
      </c>
      <c r="X30" s="121" t="e">
        <f>SUMIFS(#REF!,#REF!,Extrato!$B30,#REF!,Extrato!X$3)</f>
        <v>#REF!</v>
      </c>
      <c r="Y30" s="121" t="e">
        <f>SUMIFS(#REF!,#REF!,Extrato!$B30,#REF!,Extrato!Y$3)</f>
        <v>#REF!</v>
      </c>
      <c r="Z30" s="121" t="e">
        <f>SUMIFS(#REF!,#REF!,Extrato!$B30,#REF!,Extrato!Z$3)</f>
        <v>#REF!</v>
      </c>
      <c r="AA30" s="121" t="e">
        <f>SUMIFS(#REF!,#REF!,Extrato!$B30,#REF!,Extrato!AA$3)</f>
        <v>#REF!</v>
      </c>
      <c r="AB30" s="121" t="e">
        <f>SUMIFS(#REF!,#REF!,Extrato!$B30,#REF!,Extrato!AB$3)</f>
        <v>#REF!</v>
      </c>
      <c r="AC30" s="121" t="e">
        <f>SUMIFS(#REF!,#REF!,Extrato!$B30,#REF!,Extrato!AC$3)</f>
        <v>#REF!</v>
      </c>
      <c r="AD30" s="121" t="e">
        <f>SUMIFS(#REF!,#REF!,Extrato!$B30,#REF!,Extrato!AD$3)</f>
        <v>#REF!</v>
      </c>
      <c r="AE30" s="121" t="e">
        <f>SUMIFS(#REF!,#REF!,Extrato!$B30,#REF!,Extrato!AE$3)</f>
        <v>#REF!</v>
      </c>
      <c r="AF30" s="121" t="e">
        <f>SUMIFS(#REF!,#REF!,Extrato!$B30,#REF!,Extrato!AF$3)</f>
        <v>#REF!</v>
      </c>
      <c r="AG30" s="121" t="e">
        <f>SUMIFS(#REF!,#REF!,Extrato!$B30,#REF!,Extrato!AG$3)</f>
        <v>#REF!</v>
      </c>
      <c r="AH30" s="121" t="e">
        <f>SUMIFS(#REF!,#REF!,Extrato!$B30,#REF!,Extrato!AH$3)</f>
        <v>#REF!</v>
      </c>
      <c r="AI30" s="121" t="e">
        <f>SUMIFS(#REF!,#REF!,Extrato!$B30,#REF!,Extrato!AI$3)</f>
        <v>#REF!</v>
      </c>
      <c r="AJ30" s="121">
        <v>0</v>
      </c>
      <c r="AK30" s="121">
        <v>-0.01</v>
      </c>
      <c r="AL30" s="25" t="e">
        <f t="shared" si="1"/>
        <v>#REF!</v>
      </c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</row>
    <row r="31" spans="2:68" ht="15" customHeight="1">
      <c r="B31" s="12">
        <v>46021</v>
      </c>
      <c r="C31" s="121" t="e">
        <f t="shared" si="0"/>
        <v>#REF!</v>
      </c>
      <c r="D31" s="121" t="e">
        <f>SUMIFS(#REF!,#REF!,Extrato!$B31,#REF!,Extrato!D$3)</f>
        <v>#REF!</v>
      </c>
      <c r="E31" s="121" t="e">
        <f>SUMIFS(#REF!,#REF!,Extrato!$B31,#REF!,Extrato!E$3)</f>
        <v>#REF!</v>
      </c>
      <c r="F31" s="121" t="e">
        <f>SUMIFS(#REF!,#REF!,Extrato!$B31,#REF!,Extrato!F$3)</f>
        <v>#REF!</v>
      </c>
      <c r="G31" s="121" t="e">
        <f>SUMIFS(#REF!,#REF!,Extrato!$B31,#REF!,Extrato!G$3)</f>
        <v>#REF!</v>
      </c>
      <c r="H31" s="121" t="e">
        <f>SUMIFS(#REF!,#REF!,Extrato!$B31,#REF!,Extrato!H$3)</f>
        <v>#REF!</v>
      </c>
      <c r="I31" s="121" t="e">
        <f>SUMIFS(#REF!,#REF!,Extrato!$B31,#REF!,Extrato!I$3)</f>
        <v>#REF!</v>
      </c>
      <c r="J31" s="121" t="e">
        <f>SUMIFS(#REF!,#REF!,Extrato!$B31,#REF!,Extrato!J$3)</f>
        <v>#REF!</v>
      </c>
      <c r="K31" s="121" t="e">
        <f>SUMIFS(#REF!,#REF!,Extrato!$B31,#REF!,Extrato!K$3)</f>
        <v>#REF!</v>
      </c>
      <c r="L31" s="121" t="e">
        <f>SUMIFS(#REF!,#REF!,Extrato!$B31,#REF!,Extrato!L$3)</f>
        <v>#REF!</v>
      </c>
      <c r="M31" s="121" t="e">
        <f>SUMIFS(#REF!,#REF!,Extrato!$B31,#REF!,Extrato!M$3)</f>
        <v>#REF!</v>
      </c>
      <c r="N31" s="121" t="e">
        <f>SUMIFS(#REF!,#REF!,Extrato!$B31,#REF!,Extrato!N$3)</f>
        <v>#REF!</v>
      </c>
      <c r="O31" s="121" t="e">
        <f>SUMIFS(#REF!,#REF!,Extrato!$B31,#REF!,Extrato!O$3)</f>
        <v>#REF!</v>
      </c>
      <c r="P31" s="121">
        <f>SUMIF(BetFlow!B:B,B31,BetFlow!J:J)</f>
        <v>0</v>
      </c>
      <c r="Q31" s="121" t="e">
        <f>SUMIFS(#REF!,#REF!,Extrato!$B31,#REF!,Extrato!Q$3)</f>
        <v>#REF!</v>
      </c>
      <c r="R31" s="121" t="e">
        <f>SUMIFS(#REF!,#REF!,Extrato!$B31,#REF!,Extrato!R$3)</f>
        <v>#REF!</v>
      </c>
      <c r="S31" s="121" t="e">
        <f>SUMIFS(#REF!,#REF!,Extrato!$B31,#REF!,Extrato!S$3)</f>
        <v>#REF!</v>
      </c>
      <c r="T31" s="121" t="e">
        <f>SUMIFS(#REF!,#REF!,Extrato!$B31,#REF!,Extrato!T$3)</f>
        <v>#REF!</v>
      </c>
      <c r="U31" s="121" t="e">
        <f>SUMIFS(#REF!,#REF!,Extrato!$B31,#REF!,Extrato!U$3)</f>
        <v>#REF!</v>
      </c>
      <c r="V31" s="121" t="e">
        <f>SUMIFS(#REF!,#REF!,Extrato!$B31,#REF!,Extrato!V$3)</f>
        <v>#REF!</v>
      </c>
      <c r="W31" s="121" t="e">
        <f>SUMIFS(#REF!,#REF!,Extrato!$B31,#REF!,Extrato!W$3)</f>
        <v>#REF!</v>
      </c>
      <c r="X31" s="121" t="e">
        <f>SUMIFS(#REF!,#REF!,Extrato!$B31,#REF!,Extrato!X$3)</f>
        <v>#REF!</v>
      </c>
      <c r="Y31" s="121" t="e">
        <f>SUMIFS(#REF!,#REF!,Extrato!$B31,#REF!,Extrato!Y$3)</f>
        <v>#REF!</v>
      </c>
      <c r="Z31" s="121" t="e">
        <f>SUMIFS(#REF!,#REF!,Extrato!$B31,#REF!,Extrato!Z$3)</f>
        <v>#REF!</v>
      </c>
      <c r="AA31" s="121" t="e">
        <f>SUMIFS(#REF!,#REF!,Extrato!$B31,#REF!,Extrato!AA$3)</f>
        <v>#REF!</v>
      </c>
      <c r="AB31" s="121" t="e">
        <f>SUMIFS(#REF!,#REF!,Extrato!$B31,#REF!,Extrato!AB$3)</f>
        <v>#REF!</v>
      </c>
      <c r="AC31" s="121" t="e">
        <f>SUMIFS(#REF!,#REF!,Extrato!$B31,#REF!,Extrato!AC$3)</f>
        <v>#REF!</v>
      </c>
      <c r="AD31" s="121" t="e">
        <f>SUMIFS(#REF!,#REF!,Extrato!$B31,#REF!,Extrato!AD$3)</f>
        <v>#REF!</v>
      </c>
      <c r="AE31" s="121" t="e">
        <f>SUMIFS(#REF!,#REF!,Extrato!$B31,#REF!,Extrato!AE$3)</f>
        <v>#REF!</v>
      </c>
      <c r="AF31" s="121" t="e">
        <f>SUMIFS(#REF!,#REF!,Extrato!$B31,#REF!,Extrato!AF$3)</f>
        <v>#REF!</v>
      </c>
      <c r="AG31" s="121" t="e">
        <f>SUMIFS(#REF!,#REF!,Extrato!$B31,#REF!,Extrato!AG$3)</f>
        <v>#REF!</v>
      </c>
      <c r="AH31" s="121" t="e">
        <f>SUMIFS(#REF!,#REF!,Extrato!$B31,#REF!,Extrato!AH$3)</f>
        <v>#REF!</v>
      </c>
      <c r="AI31" s="121" t="e">
        <f>SUMIFS(#REF!,#REF!,Extrato!$B31,#REF!,Extrato!AI$3)</f>
        <v>#REF!</v>
      </c>
      <c r="AJ31" s="121">
        <v>-480</v>
      </c>
      <c r="AK31" s="121">
        <v>0.01</v>
      </c>
      <c r="AL31" s="25" t="e">
        <f t="shared" si="1"/>
        <v>#REF!</v>
      </c>
      <c r="AM31" s="121"/>
      <c r="AN31" s="123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1"/>
      <c r="BG31" s="123"/>
      <c r="BH31" s="123"/>
      <c r="BI31" s="123"/>
      <c r="BJ31" s="123"/>
      <c r="BK31" s="123"/>
      <c r="BL31" s="123"/>
      <c r="BM31" s="123"/>
      <c r="BN31" s="122"/>
      <c r="BO31" s="122"/>
      <c r="BP31" s="122"/>
    </row>
    <row r="32" spans="2:68" ht="15" customHeight="1">
      <c r="B32" s="12">
        <v>46022</v>
      </c>
      <c r="C32" s="121" t="e">
        <f t="shared" si="0"/>
        <v>#REF!</v>
      </c>
      <c r="D32" s="121" t="e">
        <f>SUMIFS(#REF!,#REF!,Extrato!$B32,#REF!,Extrato!D$3)</f>
        <v>#REF!</v>
      </c>
      <c r="E32" s="121" t="e">
        <f>SUMIFS(#REF!,#REF!,Extrato!$B32,#REF!,Extrato!E$3)</f>
        <v>#REF!</v>
      </c>
      <c r="F32" s="121" t="e">
        <f>SUMIFS(#REF!,#REF!,Extrato!$B32,#REF!,Extrato!F$3)</f>
        <v>#REF!</v>
      </c>
      <c r="G32" s="121" t="e">
        <f>SUMIFS(#REF!,#REF!,Extrato!$B32,#REF!,Extrato!G$3)</f>
        <v>#REF!</v>
      </c>
      <c r="H32" s="121" t="e">
        <f>SUMIFS(#REF!,#REF!,Extrato!$B32,#REF!,Extrato!H$3)</f>
        <v>#REF!</v>
      </c>
      <c r="I32" s="121" t="e">
        <f>SUMIFS(#REF!,#REF!,Extrato!$B32,#REF!,Extrato!I$3)</f>
        <v>#REF!</v>
      </c>
      <c r="J32" s="121" t="e">
        <f>SUMIFS(#REF!,#REF!,Extrato!$B32,#REF!,Extrato!J$3)</f>
        <v>#REF!</v>
      </c>
      <c r="K32" s="121" t="e">
        <f>SUMIFS(#REF!,#REF!,Extrato!$B32,#REF!,Extrato!K$3)</f>
        <v>#REF!</v>
      </c>
      <c r="L32" s="121" t="e">
        <f>SUMIFS(#REF!,#REF!,Extrato!$B32,#REF!,Extrato!L$3)</f>
        <v>#REF!</v>
      </c>
      <c r="M32" s="121" t="e">
        <f>SUMIFS(#REF!,#REF!,Extrato!$B32,#REF!,Extrato!M$3)</f>
        <v>#REF!</v>
      </c>
      <c r="N32" s="121" t="e">
        <f>SUMIFS(#REF!,#REF!,Extrato!$B32,#REF!,Extrato!N$3)</f>
        <v>#REF!</v>
      </c>
      <c r="O32" s="121" t="e">
        <f>SUMIFS(#REF!,#REF!,Extrato!$B32,#REF!,Extrato!O$3)</f>
        <v>#REF!</v>
      </c>
      <c r="P32" s="121">
        <f>SUMIF(BetFlow!B:B,B32,BetFlow!J:J)</f>
        <v>0</v>
      </c>
      <c r="Q32" s="121" t="e">
        <f>SUMIFS(#REF!,#REF!,Extrato!$B32,#REF!,Extrato!Q$3)</f>
        <v>#REF!</v>
      </c>
      <c r="R32" s="121" t="e">
        <f>SUMIFS(#REF!,#REF!,Extrato!$B32,#REF!,Extrato!R$3)</f>
        <v>#REF!</v>
      </c>
      <c r="S32" s="121" t="e">
        <f>SUMIFS(#REF!,#REF!,Extrato!$B32,#REF!,Extrato!S$3)</f>
        <v>#REF!</v>
      </c>
      <c r="T32" s="121" t="e">
        <f>SUMIFS(#REF!,#REF!,Extrato!$B32,#REF!,Extrato!T$3)</f>
        <v>#REF!</v>
      </c>
      <c r="U32" s="121" t="e">
        <f>SUMIFS(#REF!,#REF!,Extrato!$B32,#REF!,Extrato!U$3)</f>
        <v>#REF!</v>
      </c>
      <c r="V32" s="121" t="e">
        <f>SUMIFS(#REF!,#REF!,Extrato!$B32,#REF!,Extrato!V$3)</f>
        <v>#REF!</v>
      </c>
      <c r="W32" s="121" t="e">
        <f>SUMIFS(#REF!,#REF!,Extrato!$B32,#REF!,Extrato!W$3)</f>
        <v>#REF!</v>
      </c>
      <c r="X32" s="121" t="e">
        <f>SUMIFS(#REF!,#REF!,Extrato!$B32,#REF!,Extrato!X$3)</f>
        <v>#REF!</v>
      </c>
      <c r="Y32" s="121" t="e">
        <f>SUMIFS(#REF!,#REF!,Extrato!$B32,#REF!,Extrato!Y$3)</f>
        <v>#REF!</v>
      </c>
      <c r="Z32" s="121" t="e">
        <f>SUMIFS(#REF!,#REF!,Extrato!$B32,#REF!,Extrato!Z$3)</f>
        <v>#REF!</v>
      </c>
      <c r="AA32" s="121" t="e">
        <f>SUMIFS(#REF!,#REF!,Extrato!$B32,#REF!,Extrato!AA$3)</f>
        <v>#REF!</v>
      </c>
      <c r="AB32" s="121" t="e">
        <f>SUMIFS(#REF!,#REF!,Extrato!$B32,#REF!,Extrato!AB$3)</f>
        <v>#REF!</v>
      </c>
      <c r="AC32" s="121" t="e">
        <f>SUMIFS(#REF!,#REF!,Extrato!$B32,#REF!,Extrato!AC$3)</f>
        <v>#REF!</v>
      </c>
      <c r="AD32" s="121" t="e">
        <f>SUMIFS(#REF!,#REF!,Extrato!$B32,#REF!,Extrato!AD$3)</f>
        <v>#REF!</v>
      </c>
      <c r="AE32" s="121" t="e">
        <f>SUMIFS(#REF!,#REF!,Extrato!$B32,#REF!,Extrato!AE$3)</f>
        <v>#REF!</v>
      </c>
      <c r="AF32" s="121" t="e">
        <f>SUMIFS(#REF!,#REF!,Extrato!$B32,#REF!,Extrato!AF$3)</f>
        <v>#REF!</v>
      </c>
      <c r="AG32" s="121" t="e">
        <f>SUMIFS(#REF!,#REF!,Extrato!$B32,#REF!,Extrato!AG$3)</f>
        <v>#REF!</v>
      </c>
      <c r="AH32" s="121" t="e">
        <f>SUMIFS(#REF!,#REF!,Extrato!$B32,#REF!,Extrato!AH$3)</f>
        <v>#REF!</v>
      </c>
      <c r="AI32" s="121" t="e">
        <f>SUMIFS(#REF!,#REF!,Extrato!$B32,#REF!,Extrato!AI$3)</f>
        <v>#REF!</v>
      </c>
      <c r="AJ32" s="121">
        <v>0</v>
      </c>
      <c r="AK32" s="121"/>
      <c r="AL32" s="25" t="e">
        <f t="shared" si="1"/>
        <v>#REF!</v>
      </c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</row>
    <row r="33" spans="2:68" ht="15" customHeight="1">
      <c r="B33" s="12">
        <v>46023</v>
      </c>
      <c r="C33" s="121" t="e">
        <f t="shared" si="0"/>
        <v>#REF!</v>
      </c>
      <c r="D33" s="121" t="e">
        <f>SUMIFS(#REF!,#REF!,Extrato!$B33,#REF!,Extrato!D$3)</f>
        <v>#REF!</v>
      </c>
      <c r="E33" s="121" t="e">
        <f>SUMIFS(#REF!,#REF!,Extrato!$B33,#REF!,Extrato!E$3)</f>
        <v>#REF!</v>
      </c>
      <c r="F33" s="121" t="e">
        <f>SUMIFS(#REF!,#REF!,Extrato!$B33,#REF!,Extrato!F$3)</f>
        <v>#REF!</v>
      </c>
      <c r="G33" s="121" t="e">
        <f>SUMIFS(#REF!,#REF!,Extrato!$B33,#REF!,Extrato!G$3)</f>
        <v>#REF!</v>
      </c>
      <c r="H33" s="121" t="e">
        <f>SUMIFS(#REF!,#REF!,Extrato!$B33,#REF!,Extrato!H$3)</f>
        <v>#REF!</v>
      </c>
      <c r="I33" s="121" t="e">
        <f>SUMIFS(#REF!,#REF!,Extrato!$B33,#REF!,Extrato!I$3)</f>
        <v>#REF!</v>
      </c>
      <c r="J33" s="121" t="e">
        <f>SUMIFS(#REF!,#REF!,Extrato!$B33,#REF!,Extrato!J$3)</f>
        <v>#REF!</v>
      </c>
      <c r="K33" s="121" t="e">
        <f>SUMIFS(#REF!,#REF!,Extrato!$B33,#REF!,Extrato!K$3)</f>
        <v>#REF!</v>
      </c>
      <c r="L33" s="121" t="e">
        <f>SUMIFS(#REF!,#REF!,Extrato!$B33,#REF!,Extrato!L$3)</f>
        <v>#REF!</v>
      </c>
      <c r="M33" s="121" t="e">
        <f>SUMIFS(#REF!,#REF!,Extrato!$B33,#REF!,Extrato!M$3)</f>
        <v>#REF!</v>
      </c>
      <c r="N33" s="121" t="e">
        <f>SUMIFS(#REF!,#REF!,Extrato!$B33,#REF!,Extrato!N$3)</f>
        <v>#REF!</v>
      </c>
      <c r="O33" s="121" t="e">
        <f>SUMIFS(#REF!,#REF!,Extrato!$B33,#REF!,Extrato!O$3)</f>
        <v>#REF!</v>
      </c>
      <c r="P33" s="121">
        <f>SUMIF(BetFlow!B:B,B33,BetFlow!J:J)</f>
        <v>0</v>
      </c>
      <c r="Q33" s="121" t="e">
        <f>SUMIFS(#REF!,#REF!,Extrato!$B33,#REF!,Extrato!Q$3)</f>
        <v>#REF!</v>
      </c>
      <c r="R33" s="121" t="e">
        <f>SUMIFS(#REF!,#REF!,Extrato!$B33,#REF!,Extrato!R$3)</f>
        <v>#REF!</v>
      </c>
      <c r="S33" s="121" t="e">
        <f>SUMIFS(#REF!,#REF!,Extrato!$B33,#REF!,Extrato!S$3)</f>
        <v>#REF!</v>
      </c>
      <c r="T33" s="121" t="e">
        <f>SUMIFS(#REF!,#REF!,Extrato!$B33,#REF!,Extrato!T$3)</f>
        <v>#REF!</v>
      </c>
      <c r="U33" s="121" t="e">
        <f>SUMIFS(#REF!,#REF!,Extrato!$B33,#REF!,Extrato!U$3)</f>
        <v>#REF!</v>
      </c>
      <c r="V33" s="121" t="e">
        <f>SUMIFS(#REF!,#REF!,Extrato!$B33,#REF!,Extrato!V$3)</f>
        <v>#REF!</v>
      </c>
      <c r="W33" s="121" t="e">
        <f>SUMIFS(#REF!,#REF!,Extrato!$B33,#REF!,Extrato!W$3)</f>
        <v>#REF!</v>
      </c>
      <c r="X33" s="121" t="e">
        <f>SUMIFS(#REF!,#REF!,Extrato!$B33,#REF!,Extrato!X$3)</f>
        <v>#REF!</v>
      </c>
      <c r="Y33" s="121" t="e">
        <f>SUMIFS(#REF!,#REF!,Extrato!$B33,#REF!,Extrato!Y$3)</f>
        <v>#REF!</v>
      </c>
      <c r="Z33" s="121" t="e">
        <f>SUMIFS(#REF!,#REF!,Extrato!$B33,#REF!,Extrato!Z$3)</f>
        <v>#REF!</v>
      </c>
      <c r="AA33" s="121" t="e">
        <f>SUMIFS(#REF!,#REF!,Extrato!$B33,#REF!,Extrato!AA$3)</f>
        <v>#REF!</v>
      </c>
      <c r="AB33" s="121" t="e">
        <f>SUMIFS(#REF!,#REF!,Extrato!$B33,#REF!,Extrato!AB$3)</f>
        <v>#REF!</v>
      </c>
      <c r="AC33" s="121" t="e">
        <f>SUMIFS(#REF!,#REF!,Extrato!$B33,#REF!,Extrato!AC$3)</f>
        <v>#REF!</v>
      </c>
      <c r="AD33" s="121" t="e">
        <f>SUMIFS(#REF!,#REF!,Extrato!$B33,#REF!,Extrato!AD$3)</f>
        <v>#REF!</v>
      </c>
      <c r="AE33" s="121" t="e">
        <f>SUMIFS(#REF!,#REF!,Extrato!$B33,#REF!,Extrato!AE$3)</f>
        <v>#REF!</v>
      </c>
      <c r="AF33" s="121" t="e">
        <f>SUMIFS(#REF!,#REF!,Extrato!$B33,#REF!,Extrato!AF$3)</f>
        <v>#REF!</v>
      </c>
      <c r="AG33" s="121" t="e">
        <f>SUMIFS(#REF!,#REF!,Extrato!$B33,#REF!,Extrato!AG$3)</f>
        <v>#REF!</v>
      </c>
      <c r="AH33" s="121" t="e">
        <f>SUMIFS(#REF!,#REF!,Extrato!$B33,#REF!,Extrato!AH$3)</f>
        <v>#REF!</v>
      </c>
      <c r="AI33" s="121" t="e">
        <f>SUMIFS(#REF!,#REF!,Extrato!$B33,#REF!,Extrato!AI$3)</f>
        <v>#REF!</v>
      </c>
      <c r="AJ33" s="121">
        <v>0</v>
      </c>
      <c r="AK33" s="121">
        <v>-0.01</v>
      </c>
      <c r="AL33" s="25" t="e">
        <f t="shared" si="1"/>
        <v>#REF!</v>
      </c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</row>
    <row r="34" spans="2:68" ht="15" customHeight="1">
      <c r="B34" s="12">
        <v>46024</v>
      </c>
      <c r="C34" s="121" t="e">
        <f t="shared" si="0"/>
        <v>#REF!</v>
      </c>
      <c r="D34" s="121" t="e">
        <f>SUMIFS(#REF!,#REF!,Extrato!$B34,#REF!,Extrato!D$3)</f>
        <v>#REF!</v>
      </c>
      <c r="E34" s="121" t="e">
        <f>SUMIFS(#REF!,#REF!,Extrato!$B34,#REF!,Extrato!E$3)</f>
        <v>#REF!</v>
      </c>
      <c r="F34" s="121" t="e">
        <f>SUMIFS(#REF!,#REF!,Extrato!$B34,#REF!,Extrato!F$3)</f>
        <v>#REF!</v>
      </c>
      <c r="G34" s="121" t="e">
        <f>SUMIFS(#REF!,#REF!,Extrato!$B34,#REF!,Extrato!G$3)</f>
        <v>#REF!</v>
      </c>
      <c r="H34" s="121" t="e">
        <f>SUMIFS(#REF!,#REF!,Extrato!$B34,#REF!,Extrato!H$3)</f>
        <v>#REF!</v>
      </c>
      <c r="I34" s="121" t="e">
        <f>SUMIFS(#REF!,#REF!,Extrato!$B34,#REF!,Extrato!I$3)</f>
        <v>#REF!</v>
      </c>
      <c r="J34" s="121" t="e">
        <f>SUMIFS(#REF!,#REF!,Extrato!$B34,#REF!,Extrato!J$3)</f>
        <v>#REF!</v>
      </c>
      <c r="K34" s="121" t="e">
        <f>SUMIFS(#REF!,#REF!,Extrato!$B34,#REF!,Extrato!K$3)</f>
        <v>#REF!</v>
      </c>
      <c r="L34" s="121" t="e">
        <f>SUMIFS(#REF!,#REF!,Extrato!$B34,#REF!,Extrato!L$3)</f>
        <v>#REF!</v>
      </c>
      <c r="M34" s="121" t="e">
        <f>SUMIFS(#REF!,#REF!,Extrato!$B34,#REF!,Extrato!M$3)</f>
        <v>#REF!</v>
      </c>
      <c r="N34" s="121" t="e">
        <f>SUMIFS(#REF!,#REF!,Extrato!$B34,#REF!,Extrato!N$3)</f>
        <v>#REF!</v>
      </c>
      <c r="O34" s="121" t="e">
        <f>SUMIFS(#REF!,#REF!,Extrato!$B34,#REF!,Extrato!O$3)</f>
        <v>#REF!</v>
      </c>
      <c r="P34" s="121">
        <f>SUMIF(BetFlow!B:B,B34,BetFlow!J:J)</f>
        <v>0</v>
      </c>
      <c r="Q34" s="121" t="e">
        <f>SUMIFS(#REF!,#REF!,Extrato!$B34,#REF!,Extrato!Q$3)</f>
        <v>#REF!</v>
      </c>
      <c r="R34" s="121" t="e">
        <f>SUMIFS(#REF!,#REF!,Extrato!$B34,#REF!,Extrato!R$3)</f>
        <v>#REF!</v>
      </c>
      <c r="S34" s="121" t="e">
        <f>SUMIFS(#REF!,#REF!,Extrato!$B34,#REF!,Extrato!S$3)</f>
        <v>#REF!</v>
      </c>
      <c r="T34" s="121" t="e">
        <f>SUMIFS(#REF!,#REF!,Extrato!$B34,#REF!,Extrato!T$3)</f>
        <v>#REF!</v>
      </c>
      <c r="U34" s="121" t="e">
        <f>SUMIFS(#REF!,#REF!,Extrato!$B34,#REF!,Extrato!U$3)</f>
        <v>#REF!</v>
      </c>
      <c r="V34" s="121" t="e">
        <f>SUMIFS(#REF!,#REF!,Extrato!$B34,#REF!,Extrato!V$3)</f>
        <v>#REF!</v>
      </c>
      <c r="W34" s="121" t="e">
        <f>SUMIFS(#REF!,#REF!,Extrato!$B34,#REF!,Extrato!W$3)</f>
        <v>#REF!</v>
      </c>
      <c r="X34" s="121" t="e">
        <f>SUMIFS(#REF!,#REF!,Extrato!$B34,#REF!,Extrato!X$3)</f>
        <v>#REF!</v>
      </c>
      <c r="Y34" s="121" t="e">
        <f>SUMIFS(#REF!,#REF!,Extrato!$B34,#REF!,Extrato!Y$3)</f>
        <v>#REF!</v>
      </c>
      <c r="Z34" s="121" t="e">
        <f>SUMIFS(#REF!,#REF!,Extrato!$B34,#REF!,Extrato!Z$3)</f>
        <v>#REF!</v>
      </c>
      <c r="AA34" s="121" t="e">
        <f>SUMIFS(#REF!,#REF!,Extrato!$B34,#REF!,Extrato!AA$3)</f>
        <v>#REF!</v>
      </c>
      <c r="AB34" s="121" t="e">
        <f>SUMIFS(#REF!,#REF!,Extrato!$B34,#REF!,Extrato!AB$3)</f>
        <v>#REF!</v>
      </c>
      <c r="AC34" s="121" t="e">
        <f>SUMIFS(#REF!,#REF!,Extrato!$B34,#REF!,Extrato!AC$3)</f>
        <v>#REF!</v>
      </c>
      <c r="AD34" s="121" t="e">
        <f>SUMIFS(#REF!,#REF!,Extrato!$B34,#REF!,Extrato!AD$3)</f>
        <v>#REF!</v>
      </c>
      <c r="AE34" s="121" t="e">
        <f>SUMIFS(#REF!,#REF!,Extrato!$B34,#REF!,Extrato!AE$3)</f>
        <v>#REF!</v>
      </c>
      <c r="AF34" s="121" t="e">
        <f>SUMIFS(#REF!,#REF!,Extrato!$B34,#REF!,Extrato!AF$3)</f>
        <v>#REF!</v>
      </c>
      <c r="AG34" s="121" t="e">
        <f>SUMIFS(#REF!,#REF!,Extrato!$B34,#REF!,Extrato!AG$3)</f>
        <v>#REF!</v>
      </c>
      <c r="AH34" s="121" t="e">
        <f>SUMIFS(#REF!,#REF!,Extrato!$B34,#REF!,Extrato!AH$3)</f>
        <v>#REF!</v>
      </c>
      <c r="AI34" s="121" t="e">
        <f>SUMIFS(#REF!,#REF!,Extrato!$B34,#REF!,Extrato!AI$3)</f>
        <v>#REF!</v>
      </c>
      <c r="AJ34" s="121">
        <v>0</v>
      </c>
      <c r="AK34" s="121"/>
      <c r="AL34" s="25" t="e">
        <f t="shared" si="1"/>
        <v>#REF!</v>
      </c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</row>
    <row r="35" spans="2:68" ht="15" customHeight="1">
      <c r="B35" s="12">
        <v>46025</v>
      </c>
      <c r="C35" s="121" t="e">
        <f t="shared" si="0"/>
        <v>#REF!</v>
      </c>
      <c r="D35" s="121" t="e">
        <f>SUMIFS(#REF!,#REF!,Extrato!$B35,#REF!,Extrato!D$3)</f>
        <v>#REF!</v>
      </c>
      <c r="E35" s="121" t="e">
        <f>SUMIFS(#REF!,#REF!,Extrato!$B35,#REF!,Extrato!E$3)</f>
        <v>#REF!</v>
      </c>
      <c r="F35" s="121" t="e">
        <f>SUMIFS(#REF!,#REF!,Extrato!$B35,#REF!,Extrato!F$3)</f>
        <v>#REF!</v>
      </c>
      <c r="G35" s="121" t="e">
        <f>SUMIFS(#REF!,#REF!,Extrato!$B35,#REF!,Extrato!G$3)</f>
        <v>#REF!</v>
      </c>
      <c r="H35" s="121" t="e">
        <f>SUMIFS(#REF!,#REF!,Extrato!$B35,#REF!,Extrato!H$3)</f>
        <v>#REF!</v>
      </c>
      <c r="I35" s="121" t="e">
        <f>SUMIFS(#REF!,#REF!,Extrato!$B35,#REF!,Extrato!I$3)</f>
        <v>#REF!</v>
      </c>
      <c r="J35" s="121" t="e">
        <f>SUMIFS(#REF!,#REF!,Extrato!$B35,#REF!,Extrato!J$3)</f>
        <v>#REF!</v>
      </c>
      <c r="K35" s="121" t="e">
        <f>SUMIFS(#REF!,#REF!,Extrato!$B35,#REF!,Extrato!K$3)</f>
        <v>#REF!</v>
      </c>
      <c r="L35" s="121" t="e">
        <f>SUMIFS(#REF!,#REF!,Extrato!$B35,#REF!,Extrato!L$3)</f>
        <v>#REF!</v>
      </c>
      <c r="M35" s="121" t="e">
        <f>SUMIFS(#REF!,#REF!,Extrato!$B35,#REF!,Extrato!M$3)</f>
        <v>#REF!</v>
      </c>
      <c r="N35" s="121" t="e">
        <f>SUMIFS(#REF!,#REF!,Extrato!$B35,#REF!,Extrato!N$3)</f>
        <v>#REF!</v>
      </c>
      <c r="O35" s="121" t="e">
        <f>SUMIFS(#REF!,#REF!,Extrato!$B35,#REF!,Extrato!O$3)</f>
        <v>#REF!</v>
      </c>
      <c r="P35" s="121">
        <f>SUMIF(BetFlow!B:B,B35,BetFlow!J:J)</f>
        <v>0</v>
      </c>
      <c r="Q35" s="121" t="e">
        <f>SUMIFS(#REF!,#REF!,Extrato!$B35,#REF!,Extrato!Q$3)</f>
        <v>#REF!</v>
      </c>
      <c r="R35" s="121" t="e">
        <f>SUMIFS(#REF!,#REF!,Extrato!$B35,#REF!,Extrato!R$3)</f>
        <v>#REF!</v>
      </c>
      <c r="S35" s="121" t="e">
        <f>SUMIFS(#REF!,#REF!,Extrato!$B35,#REF!,Extrato!S$3)</f>
        <v>#REF!</v>
      </c>
      <c r="T35" s="121" t="e">
        <f>SUMIFS(#REF!,#REF!,Extrato!$B35,#REF!,Extrato!T$3)</f>
        <v>#REF!</v>
      </c>
      <c r="U35" s="121" t="e">
        <f>SUMIFS(#REF!,#REF!,Extrato!$B35,#REF!,Extrato!U$3)</f>
        <v>#REF!</v>
      </c>
      <c r="V35" s="121" t="e">
        <f>SUMIFS(#REF!,#REF!,Extrato!$B35,#REF!,Extrato!V$3)</f>
        <v>#REF!</v>
      </c>
      <c r="W35" s="121" t="e">
        <f>SUMIFS(#REF!,#REF!,Extrato!$B35,#REF!,Extrato!W$3)</f>
        <v>#REF!</v>
      </c>
      <c r="X35" s="121" t="e">
        <f>SUMIFS(#REF!,#REF!,Extrato!$B35,#REF!,Extrato!X$3)</f>
        <v>#REF!</v>
      </c>
      <c r="Y35" s="121" t="e">
        <f>SUMIFS(#REF!,#REF!,Extrato!$B35,#REF!,Extrato!Y$3)</f>
        <v>#REF!</v>
      </c>
      <c r="Z35" s="121" t="e">
        <f>SUMIFS(#REF!,#REF!,Extrato!$B35,#REF!,Extrato!Z$3)</f>
        <v>#REF!</v>
      </c>
      <c r="AA35" s="121" t="e">
        <f>SUMIFS(#REF!,#REF!,Extrato!$B35,#REF!,Extrato!AA$3)</f>
        <v>#REF!</v>
      </c>
      <c r="AB35" s="121" t="e">
        <f>SUMIFS(#REF!,#REF!,Extrato!$B35,#REF!,Extrato!AB$3)</f>
        <v>#REF!</v>
      </c>
      <c r="AC35" s="121" t="e">
        <f>SUMIFS(#REF!,#REF!,Extrato!$B35,#REF!,Extrato!AC$3)</f>
        <v>#REF!</v>
      </c>
      <c r="AD35" s="121" t="e">
        <f>SUMIFS(#REF!,#REF!,Extrato!$B35,#REF!,Extrato!AD$3)</f>
        <v>#REF!</v>
      </c>
      <c r="AE35" s="121" t="e">
        <f>SUMIFS(#REF!,#REF!,Extrato!$B35,#REF!,Extrato!AE$3)</f>
        <v>#REF!</v>
      </c>
      <c r="AF35" s="121" t="e">
        <f>SUMIFS(#REF!,#REF!,Extrato!$B35,#REF!,Extrato!AF$3)</f>
        <v>#REF!</v>
      </c>
      <c r="AG35" s="121" t="e">
        <f>SUMIFS(#REF!,#REF!,Extrato!$B35,#REF!,Extrato!AG$3)</f>
        <v>#REF!</v>
      </c>
      <c r="AH35" s="121" t="e">
        <f>SUMIFS(#REF!,#REF!,Extrato!$B35,#REF!,Extrato!AH$3)</f>
        <v>#REF!</v>
      </c>
      <c r="AI35" s="121" t="e">
        <f>SUMIFS(#REF!,#REF!,Extrato!$B35,#REF!,Extrato!AI$3)</f>
        <v>#REF!</v>
      </c>
      <c r="AJ35" s="121">
        <v>0</v>
      </c>
      <c r="AK35" s="121"/>
      <c r="AL35" s="25" t="e">
        <f t="shared" si="1"/>
        <v>#REF!</v>
      </c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</row>
    <row r="36" spans="2:68" ht="15" customHeight="1">
      <c r="B36" s="12">
        <v>46026</v>
      </c>
      <c r="C36" s="121" t="e">
        <f t="shared" si="0"/>
        <v>#REF!</v>
      </c>
      <c r="D36" s="121" t="e">
        <f>SUMIFS(#REF!,#REF!,Extrato!$B36,#REF!,Extrato!D$3)</f>
        <v>#REF!</v>
      </c>
      <c r="E36" s="121" t="e">
        <f>SUMIFS(#REF!,#REF!,Extrato!$B36,#REF!,Extrato!E$3)</f>
        <v>#REF!</v>
      </c>
      <c r="F36" s="121" t="e">
        <f>SUMIFS(#REF!,#REF!,Extrato!$B36,#REF!,Extrato!F$3)</f>
        <v>#REF!</v>
      </c>
      <c r="G36" s="121" t="e">
        <f>SUMIFS(#REF!,#REF!,Extrato!$B36,#REF!,Extrato!G$3)</f>
        <v>#REF!</v>
      </c>
      <c r="H36" s="121" t="e">
        <f>SUMIFS(#REF!,#REF!,Extrato!$B36,#REF!,Extrato!H$3)</f>
        <v>#REF!</v>
      </c>
      <c r="I36" s="121" t="e">
        <f>SUMIFS(#REF!,#REF!,Extrato!$B36,#REF!,Extrato!I$3)</f>
        <v>#REF!</v>
      </c>
      <c r="J36" s="121" t="e">
        <f>SUMIFS(#REF!,#REF!,Extrato!$B36,#REF!,Extrato!J$3)</f>
        <v>#REF!</v>
      </c>
      <c r="K36" s="121" t="e">
        <f>SUMIFS(#REF!,#REF!,Extrato!$B36,#REF!,Extrato!K$3)</f>
        <v>#REF!</v>
      </c>
      <c r="L36" s="121" t="e">
        <f>SUMIFS(#REF!,#REF!,Extrato!$B36,#REF!,Extrato!L$3)</f>
        <v>#REF!</v>
      </c>
      <c r="M36" s="121" t="e">
        <f>SUMIFS(#REF!,#REF!,Extrato!$B36,#REF!,Extrato!M$3)</f>
        <v>#REF!</v>
      </c>
      <c r="N36" s="121" t="e">
        <f>SUMIFS(#REF!,#REF!,Extrato!$B36,#REF!,Extrato!N$3)</f>
        <v>#REF!</v>
      </c>
      <c r="O36" s="121" t="e">
        <f>SUMIFS(#REF!,#REF!,Extrato!$B36,#REF!,Extrato!O$3)</f>
        <v>#REF!</v>
      </c>
      <c r="P36" s="121">
        <f>SUMIF(BetFlow!B:B,B36,BetFlow!J:J)</f>
        <v>0</v>
      </c>
      <c r="Q36" s="121" t="e">
        <f>SUMIFS(#REF!,#REF!,Extrato!$B36,#REF!,Extrato!Q$3)</f>
        <v>#REF!</v>
      </c>
      <c r="R36" s="121" t="e">
        <f>SUMIFS(#REF!,#REF!,Extrato!$B36,#REF!,Extrato!R$3)</f>
        <v>#REF!</v>
      </c>
      <c r="S36" s="121" t="e">
        <f>SUMIFS(#REF!,#REF!,Extrato!$B36,#REF!,Extrato!S$3)</f>
        <v>#REF!</v>
      </c>
      <c r="T36" s="121" t="e">
        <f>SUMIFS(#REF!,#REF!,Extrato!$B36,#REF!,Extrato!T$3)</f>
        <v>#REF!</v>
      </c>
      <c r="U36" s="121" t="e">
        <f>SUMIFS(#REF!,#REF!,Extrato!$B36,#REF!,Extrato!U$3)</f>
        <v>#REF!</v>
      </c>
      <c r="V36" s="121" t="e">
        <f>SUMIFS(#REF!,#REF!,Extrato!$B36,#REF!,Extrato!V$3)</f>
        <v>#REF!</v>
      </c>
      <c r="W36" s="121" t="e">
        <f>SUMIFS(#REF!,#REF!,Extrato!$B36,#REF!,Extrato!W$3)</f>
        <v>#REF!</v>
      </c>
      <c r="X36" s="121" t="e">
        <f>SUMIFS(#REF!,#REF!,Extrato!$B36,#REF!,Extrato!X$3)</f>
        <v>#REF!</v>
      </c>
      <c r="Y36" s="121" t="e">
        <f>SUMIFS(#REF!,#REF!,Extrato!$B36,#REF!,Extrato!Y$3)</f>
        <v>#REF!</v>
      </c>
      <c r="Z36" s="121" t="e">
        <f>SUMIFS(#REF!,#REF!,Extrato!$B36,#REF!,Extrato!Z$3)</f>
        <v>#REF!</v>
      </c>
      <c r="AA36" s="121" t="e">
        <f>SUMIFS(#REF!,#REF!,Extrato!$B36,#REF!,Extrato!AA$3)</f>
        <v>#REF!</v>
      </c>
      <c r="AB36" s="121" t="e">
        <f>SUMIFS(#REF!,#REF!,Extrato!$B36,#REF!,Extrato!AB$3)</f>
        <v>#REF!</v>
      </c>
      <c r="AC36" s="121" t="e">
        <f>SUMIFS(#REF!,#REF!,Extrato!$B36,#REF!,Extrato!AC$3)</f>
        <v>#REF!</v>
      </c>
      <c r="AD36" s="121" t="e">
        <f>SUMIFS(#REF!,#REF!,Extrato!$B36,#REF!,Extrato!AD$3)</f>
        <v>#REF!</v>
      </c>
      <c r="AE36" s="121" t="e">
        <f>SUMIFS(#REF!,#REF!,Extrato!$B36,#REF!,Extrato!AE$3)</f>
        <v>#REF!</v>
      </c>
      <c r="AF36" s="121" t="e">
        <f>SUMIFS(#REF!,#REF!,Extrato!$B36,#REF!,Extrato!AF$3)</f>
        <v>#REF!</v>
      </c>
      <c r="AG36" s="121" t="e">
        <f>SUMIFS(#REF!,#REF!,Extrato!$B36,#REF!,Extrato!AG$3)</f>
        <v>#REF!</v>
      </c>
      <c r="AH36" s="121" t="e">
        <f>SUMIFS(#REF!,#REF!,Extrato!$B36,#REF!,Extrato!AH$3)</f>
        <v>#REF!</v>
      </c>
      <c r="AI36" s="121" t="e">
        <f>SUMIFS(#REF!,#REF!,Extrato!$B36,#REF!,Extrato!AI$3)</f>
        <v>#REF!</v>
      </c>
      <c r="AJ36" s="121">
        <v>0</v>
      </c>
      <c r="AK36" s="121">
        <v>-0.03</v>
      </c>
      <c r="AL36" s="25" t="e">
        <f t="shared" si="1"/>
        <v>#REF!</v>
      </c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</row>
    <row r="37" spans="2:68" ht="15" customHeight="1">
      <c r="B37" s="12">
        <v>46027</v>
      </c>
      <c r="C37" s="121" t="e">
        <f t="shared" si="0"/>
        <v>#REF!</v>
      </c>
      <c r="D37" s="121" t="e">
        <f>SUMIFS(#REF!,#REF!,Extrato!$B37,#REF!,Extrato!D$3)</f>
        <v>#REF!</v>
      </c>
      <c r="E37" s="121" t="e">
        <f>SUMIFS(#REF!,#REF!,Extrato!$B37,#REF!,Extrato!E$3)</f>
        <v>#REF!</v>
      </c>
      <c r="F37" s="121" t="e">
        <f>SUMIFS(#REF!,#REF!,Extrato!$B37,#REF!,Extrato!F$3)</f>
        <v>#REF!</v>
      </c>
      <c r="G37" s="121" t="e">
        <f>SUMIFS(#REF!,#REF!,Extrato!$B37,#REF!,Extrato!G$3)</f>
        <v>#REF!</v>
      </c>
      <c r="H37" s="121" t="e">
        <f>SUMIFS(#REF!,#REF!,Extrato!$B37,#REF!,Extrato!H$3)</f>
        <v>#REF!</v>
      </c>
      <c r="I37" s="121" t="e">
        <f>SUMIFS(#REF!,#REF!,Extrato!$B37,#REF!,Extrato!I$3)</f>
        <v>#REF!</v>
      </c>
      <c r="J37" s="121" t="e">
        <f>SUMIFS(#REF!,#REF!,Extrato!$B37,#REF!,Extrato!J$3)</f>
        <v>#REF!</v>
      </c>
      <c r="K37" s="121" t="e">
        <f>SUMIFS(#REF!,#REF!,Extrato!$B37,#REF!,Extrato!K$3)</f>
        <v>#REF!</v>
      </c>
      <c r="L37" s="121" t="e">
        <f>SUMIFS(#REF!,#REF!,Extrato!$B37,#REF!,Extrato!L$3)</f>
        <v>#REF!</v>
      </c>
      <c r="M37" s="121" t="e">
        <f>SUMIFS(#REF!,#REF!,Extrato!$B37,#REF!,Extrato!M$3)</f>
        <v>#REF!</v>
      </c>
      <c r="N37" s="121" t="e">
        <f>SUMIFS(#REF!,#REF!,Extrato!$B37,#REF!,Extrato!N$3)</f>
        <v>#REF!</v>
      </c>
      <c r="O37" s="121" t="e">
        <f>SUMIFS(#REF!,#REF!,Extrato!$B37,#REF!,Extrato!O$3)</f>
        <v>#REF!</v>
      </c>
      <c r="P37" s="121">
        <f>SUMIF(BetFlow!B:B,B37,BetFlow!J:J)</f>
        <v>0</v>
      </c>
      <c r="Q37" s="121" t="e">
        <f>SUMIFS(#REF!,#REF!,Extrato!$B37,#REF!,Extrato!Q$3)</f>
        <v>#REF!</v>
      </c>
      <c r="R37" s="121" t="e">
        <f>SUMIFS(#REF!,#REF!,Extrato!$B37,#REF!,Extrato!R$3)</f>
        <v>#REF!</v>
      </c>
      <c r="S37" s="121" t="e">
        <f>SUMIFS(#REF!,#REF!,Extrato!$B37,#REF!,Extrato!S$3)</f>
        <v>#REF!</v>
      </c>
      <c r="T37" s="121" t="e">
        <f>SUMIFS(#REF!,#REF!,Extrato!$B37,#REF!,Extrato!T$3)</f>
        <v>#REF!</v>
      </c>
      <c r="U37" s="121" t="e">
        <f>SUMIFS(#REF!,#REF!,Extrato!$B37,#REF!,Extrato!U$3)</f>
        <v>#REF!</v>
      </c>
      <c r="V37" s="121" t="e">
        <f>SUMIFS(#REF!,#REF!,Extrato!$B37,#REF!,Extrato!V$3)</f>
        <v>#REF!</v>
      </c>
      <c r="W37" s="121" t="e">
        <f>SUMIFS(#REF!,#REF!,Extrato!$B37,#REF!,Extrato!W$3)</f>
        <v>#REF!</v>
      </c>
      <c r="X37" s="121" t="e">
        <f>SUMIFS(#REF!,#REF!,Extrato!$B37,#REF!,Extrato!X$3)</f>
        <v>#REF!</v>
      </c>
      <c r="Y37" s="121" t="e">
        <f>SUMIFS(#REF!,#REF!,Extrato!$B37,#REF!,Extrato!Y$3)</f>
        <v>#REF!</v>
      </c>
      <c r="Z37" s="121" t="e">
        <f>SUMIFS(#REF!,#REF!,Extrato!$B37,#REF!,Extrato!Z$3)</f>
        <v>#REF!</v>
      </c>
      <c r="AA37" s="121" t="e">
        <f>SUMIFS(#REF!,#REF!,Extrato!$B37,#REF!,Extrato!AA$3)</f>
        <v>#REF!</v>
      </c>
      <c r="AB37" s="121" t="e">
        <f>SUMIFS(#REF!,#REF!,Extrato!$B37,#REF!,Extrato!AB$3)</f>
        <v>#REF!</v>
      </c>
      <c r="AC37" s="121" t="e">
        <f>SUMIFS(#REF!,#REF!,Extrato!$B37,#REF!,Extrato!AC$3)</f>
        <v>#REF!</v>
      </c>
      <c r="AD37" s="121" t="e">
        <f>SUMIFS(#REF!,#REF!,Extrato!$B37,#REF!,Extrato!AD$3)</f>
        <v>#REF!</v>
      </c>
      <c r="AE37" s="121" t="e">
        <f>SUMIFS(#REF!,#REF!,Extrato!$B37,#REF!,Extrato!AE$3)</f>
        <v>#REF!</v>
      </c>
      <c r="AF37" s="121" t="e">
        <f>SUMIFS(#REF!,#REF!,Extrato!$B37,#REF!,Extrato!AF$3)</f>
        <v>#REF!</v>
      </c>
      <c r="AG37" s="121" t="e">
        <f>SUMIFS(#REF!,#REF!,Extrato!$B37,#REF!,Extrato!AG$3)</f>
        <v>#REF!</v>
      </c>
      <c r="AH37" s="121" t="e">
        <f>SUMIFS(#REF!,#REF!,Extrato!$B37,#REF!,Extrato!AH$3)</f>
        <v>#REF!</v>
      </c>
      <c r="AI37" s="121" t="e">
        <f>SUMIFS(#REF!,#REF!,Extrato!$B37,#REF!,Extrato!AI$3)</f>
        <v>#REF!</v>
      </c>
      <c r="AJ37" s="121">
        <v>0</v>
      </c>
      <c r="AK37" s="121">
        <v>-0.02</v>
      </c>
      <c r="AL37" s="25" t="e">
        <f t="shared" si="1"/>
        <v>#REF!</v>
      </c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</row>
    <row r="38" spans="2:68" ht="15" customHeight="1">
      <c r="B38" s="12">
        <v>46028</v>
      </c>
      <c r="C38" s="121" t="e">
        <f t="shared" si="0"/>
        <v>#REF!</v>
      </c>
      <c r="D38" s="121" t="e">
        <f>SUMIFS(#REF!,#REF!,Extrato!$B38,#REF!,Extrato!D$3)</f>
        <v>#REF!</v>
      </c>
      <c r="E38" s="121" t="e">
        <f>SUMIFS(#REF!,#REF!,Extrato!$B38,#REF!,Extrato!E$3)</f>
        <v>#REF!</v>
      </c>
      <c r="F38" s="121" t="e">
        <f>SUMIFS(#REF!,#REF!,Extrato!$B38,#REF!,Extrato!F$3)</f>
        <v>#REF!</v>
      </c>
      <c r="G38" s="121" t="e">
        <f>SUMIFS(#REF!,#REF!,Extrato!$B38,#REF!,Extrato!G$3)</f>
        <v>#REF!</v>
      </c>
      <c r="H38" s="121" t="e">
        <f>SUMIFS(#REF!,#REF!,Extrato!$B38,#REF!,Extrato!H$3)</f>
        <v>#REF!</v>
      </c>
      <c r="I38" s="121" t="e">
        <f>SUMIFS(#REF!,#REF!,Extrato!$B38,#REF!,Extrato!I$3)</f>
        <v>#REF!</v>
      </c>
      <c r="J38" s="121" t="e">
        <f>SUMIFS(#REF!,#REF!,Extrato!$B38,#REF!,Extrato!J$3)</f>
        <v>#REF!</v>
      </c>
      <c r="K38" s="121" t="e">
        <f>SUMIFS(#REF!,#REF!,Extrato!$B38,#REF!,Extrato!K$3)</f>
        <v>#REF!</v>
      </c>
      <c r="L38" s="121" t="e">
        <f>SUMIFS(#REF!,#REF!,Extrato!$B38,#REF!,Extrato!L$3)</f>
        <v>#REF!</v>
      </c>
      <c r="M38" s="121" t="e">
        <f>SUMIFS(#REF!,#REF!,Extrato!$B38,#REF!,Extrato!M$3)</f>
        <v>#REF!</v>
      </c>
      <c r="N38" s="121" t="e">
        <f>SUMIFS(#REF!,#REF!,Extrato!$B38,#REF!,Extrato!N$3)</f>
        <v>#REF!</v>
      </c>
      <c r="O38" s="121" t="e">
        <f>SUMIFS(#REF!,#REF!,Extrato!$B38,#REF!,Extrato!O$3)</f>
        <v>#REF!</v>
      </c>
      <c r="P38" s="121">
        <f>SUMIF(BetFlow!B:B,B38,BetFlow!J:J)</f>
        <v>0</v>
      </c>
      <c r="Q38" s="121" t="e">
        <f>SUMIFS(#REF!,#REF!,Extrato!$B38,#REF!,Extrato!Q$3)</f>
        <v>#REF!</v>
      </c>
      <c r="R38" s="121" t="e">
        <f>SUMIFS(#REF!,#REF!,Extrato!$B38,#REF!,Extrato!R$3)</f>
        <v>#REF!</v>
      </c>
      <c r="S38" s="121" t="e">
        <f>SUMIFS(#REF!,#REF!,Extrato!$B38,#REF!,Extrato!S$3)</f>
        <v>#REF!</v>
      </c>
      <c r="T38" s="121" t="e">
        <f>SUMIFS(#REF!,#REF!,Extrato!$B38,#REF!,Extrato!T$3)</f>
        <v>#REF!</v>
      </c>
      <c r="U38" s="121" t="e">
        <f>SUMIFS(#REF!,#REF!,Extrato!$B38,#REF!,Extrato!U$3)</f>
        <v>#REF!</v>
      </c>
      <c r="V38" s="121" t="e">
        <f>SUMIFS(#REF!,#REF!,Extrato!$B38,#REF!,Extrato!V$3)</f>
        <v>#REF!</v>
      </c>
      <c r="W38" s="121" t="e">
        <f>SUMIFS(#REF!,#REF!,Extrato!$B38,#REF!,Extrato!W$3)</f>
        <v>#REF!</v>
      </c>
      <c r="X38" s="121" t="e">
        <f>SUMIFS(#REF!,#REF!,Extrato!$B38,#REF!,Extrato!X$3)</f>
        <v>#REF!</v>
      </c>
      <c r="Y38" s="121" t="e">
        <f>SUMIFS(#REF!,#REF!,Extrato!$B38,#REF!,Extrato!Y$3)</f>
        <v>#REF!</v>
      </c>
      <c r="Z38" s="121" t="e">
        <f>SUMIFS(#REF!,#REF!,Extrato!$B38,#REF!,Extrato!Z$3)</f>
        <v>#REF!</v>
      </c>
      <c r="AA38" s="121" t="e">
        <f>SUMIFS(#REF!,#REF!,Extrato!$B38,#REF!,Extrato!AA$3)</f>
        <v>#REF!</v>
      </c>
      <c r="AB38" s="121" t="e">
        <f>SUMIFS(#REF!,#REF!,Extrato!$B38,#REF!,Extrato!AB$3)</f>
        <v>#REF!</v>
      </c>
      <c r="AC38" s="121" t="e">
        <f>SUMIFS(#REF!,#REF!,Extrato!$B38,#REF!,Extrato!AC$3)</f>
        <v>#REF!</v>
      </c>
      <c r="AD38" s="121" t="e">
        <f>SUMIFS(#REF!,#REF!,Extrato!$B38,#REF!,Extrato!AD$3)</f>
        <v>#REF!</v>
      </c>
      <c r="AE38" s="121" t="e">
        <f>SUMIFS(#REF!,#REF!,Extrato!$B38,#REF!,Extrato!AE$3)</f>
        <v>#REF!</v>
      </c>
      <c r="AF38" s="121" t="e">
        <f>SUMIFS(#REF!,#REF!,Extrato!$B38,#REF!,Extrato!AF$3)</f>
        <v>#REF!</v>
      </c>
      <c r="AG38" s="121" t="e">
        <f>SUMIFS(#REF!,#REF!,Extrato!$B38,#REF!,Extrato!AG$3)</f>
        <v>#REF!</v>
      </c>
      <c r="AH38" s="121" t="e">
        <f>SUMIFS(#REF!,#REF!,Extrato!$B38,#REF!,Extrato!AH$3)</f>
        <v>#REF!</v>
      </c>
      <c r="AI38" s="121" t="e">
        <f>SUMIFS(#REF!,#REF!,Extrato!$B38,#REF!,Extrato!AI$3)</f>
        <v>#REF!</v>
      </c>
      <c r="AJ38" s="121">
        <v>0</v>
      </c>
      <c r="AK38" s="121">
        <v>-0.01</v>
      </c>
      <c r="AL38" s="25" t="e">
        <f t="shared" si="1"/>
        <v>#REF!</v>
      </c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</row>
    <row r="39" spans="2:68" ht="15" customHeight="1">
      <c r="B39" s="12">
        <v>46029</v>
      </c>
      <c r="C39" s="121" t="e">
        <f t="shared" si="0"/>
        <v>#REF!</v>
      </c>
      <c r="D39" s="121" t="e">
        <f>SUMIFS(#REF!,#REF!,Extrato!$B39,#REF!,Extrato!D$3)</f>
        <v>#REF!</v>
      </c>
      <c r="E39" s="121" t="e">
        <f>SUMIFS(#REF!,#REF!,Extrato!$B39,#REF!,Extrato!E$3)</f>
        <v>#REF!</v>
      </c>
      <c r="F39" s="121" t="e">
        <f>SUMIFS(#REF!,#REF!,Extrato!$B39,#REF!,Extrato!F$3)</f>
        <v>#REF!</v>
      </c>
      <c r="G39" s="121" t="e">
        <f>SUMIFS(#REF!,#REF!,Extrato!$B39,#REF!,Extrato!G$3)</f>
        <v>#REF!</v>
      </c>
      <c r="H39" s="121" t="e">
        <f>SUMIFS(#REF!,#REF!,Extrato!$B39,#REF!,Extrato!H$3)</f>
        <v>#REF!</v>
      </c>
      <c r="I39" s="121" t="e">
        <f>SUMIFS(#REF!,#REF!,Extrato!$B39,#REF!,Extrato!I$3)</f>
        <v>#REF!</v>
      </c>
      <c r="J39" s="121" t="e">
        <f>SUMIFS(#REF!,#REF!,Extrato!$B39,#REF!,Extrato!J$3)</f>
        <v>#REF!</v>
      </c>
      <c r="K39" s="121" t="e">
        <f>SUMIFS(#REF!,#REF!,Extrato!$B39,#REF!,Extrato!K$3)</f>
        <v>#REF!</v>
      </c>
      <c r="L39" s="121" t="e">
        <f>SUMIFS(#REF!,#REF!,Extrato!$B39,#REF!,Extrato!L$3)</f>
        <v>#REF!</v>
      </c>
      <c r="M39" s="121" t="e">
        <f>SUMIFS(#REF!,#REF!,Extrato!$B39,#REF!,Extrato!M$3)</f>
        <v>#REF!</v>
      </c>
      <c r="N39" s="121" t="e">
        <f>SUMIFS(#REF!,#REF!,Extrato!$B39,#REF!,Extrato!N$3)</f>
        <v>#REF!</v>
      </c>
      <c r="O39" s="121" t="e">
        <f>SUMIFS(#REF!,#REF!,Extrato!$B39,#REF!,Extrato!O$3)</f>
        <v>#REF!</v>
      </c>
      <c r="P39" s="121">
        <f>SUMIF(BetFlow!B:B,B39,BetFlow!J:J)</f>
        <v>0</v>
      </c>
      <c r="Q39" s="121" t="e">
        <f>SUMIFS(#REF!,#REF!,Extrato!$B39,#REF!,Extrato!Q$3)</f>
        <v>#REF!</v>
      </c>
      <c r="R39" s="121" t="e">
        <f>SUMIFS(#REF!,#REF!,Extrato!$B39,#REF!,Extrato!R$3)</f>
        <v>#REF!</v>
      </c>
      <c r="S39" s="121" t="e">
        <f>SUMIFS(#REF!,#REF!,Extrato!$B39,#REF!,Extrato!S$3)</f>
        <v>#REF!</v>
      </c>
      <c r="T39" s="121" t="e">
        <f>SUMIFS(#REF!,#REF!,Extrato!$B39,#REF!,Extrato!T$3)</f>
        <v>#REF!</v>
      </c>
      <c r="U39" s="121" t="e">
        <f>SUMIFS(#REF!,#REF!,Extrato!$B39,#REF!,Extrato!U$3)</f>
        <v>#REF!</v>
      </c>
      <c r="V39" s="121" t="e">
        <f>SUMIFS(#REF!,#REF!,Extrato!$B39,#REF!,Extrato!V$3)</f>
        <v>#REF!</v>
      </c>
      <c r="W39" s="121" t="e">
        <f>SUMIFS(#REF!,#REF!,Extrato!$B39,#REF!,Extrato!W$3)</f>
        <v>#REF!</v>
      </c>
      <c r="X39" s="121" t="e">
        <f>SUMIFS(#REF!,#REF!,Extrato!$B39,#REF!,Extrato!X$3)</f>
        <v>#REF!</v>
      </c>
      <c r="Y39" s="121" t="e">
        <f>SUMIFS(#REF!,#REF!,Extrato!$B39,#REF!,Extrato!Y$3)</f>
        <v>#REF!</v>
      </c>
      <c r="Z39" s="121" t="e">
        <f>SUMIFS(#REF!,#REF!,Extrato!$B39,#REF!,Extrato!Z$3)</f>
        <v>#REF!</v>
      </c>
      <c r="AA39" s="121" t="e">
        <f>SUMIFS(#REF!,#REF!,Extrato!$B39,#REF!,Extrato!AA$3)</f>
        <v>#REF!</v>
      </c>
      <c r="AB39" s="121" t="e">
        <f>SUMIFS(#REF!,#REF!,Extrato!$B39,#REF!,Extrato!AB$3)</f>
        <v>#REF!</v>
      </c>
      <c r="AC39" s="121" t="e">
        <f>SUMIFS(#REF!,#REF!,Extrato!$B39,#REF!,Extrato!AC$3)</f>
        <v>#REF!</v>
      </c>
      <c r="AD39" s="121" t="e">
        <f>SUMIFS(#REF!,#REF!,Extrato!$B39,#REF!,Extrato!AD$3)</f>
        <v>#REF!</v>
      </c>
      <c r="AE39" s="121" t="e">
        <f>SUMIFS(#REF!,#REF!,Extrato!$B39,#REF!,Extrato!AE$3)</f>
        <v>#REF!</v>
      </c>
      <c r="AF39" s="121" t="e">
        <f>SUMIFS(#REF!,#REF!,Extrato!$B39,#REF!,Extrato!AF$3)</f>
        <v>#REF!</v>
      </c>
      <c r="AG39" s="121" t="e">
        <f>SUMIFS(#REF!,#REF!,Extrato!$B39,#REF!,Extrato!AG$3)</f>
        <v>#REF!</v>
      </c>
      <c r="AH39" s="121" t="e">
        <f>SUMIFS(#REF!,#REF!,Extrato!$B39,#REF!,Extrato!AH$3)</f>
        <v>#REF!</v>
      </c>
      <c r="AI39" s="121" t="e">
        <f>SUMIFS(#REF!,#REF!,Extrato!$B39,#REF!,Extrato!AI$3)</f>
        <v>#REF!</v>
      </c>
      <c r="AJ39" s="121">
        <v>0</v>
      </c>
      <c r="AK39" s="121">
        <v>0.01</v>
      </c>
      <c r="AL39" s="25" t="e">
        <f t="shared" si="1"/>
        <v>#REF!</v>
      </c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</row>
    <row r="40" spans="2:68" ht="15" customHeight="1">
      <c r="B40" s="12">
        <v>46030</v>
      </c>
      <c r="C40" s="121" t="e">
        <f t="shared" si="0"/>
        <v>#REF!</v>
      </c>
      <c r="D40" s="121" t="e">
        <f>SUMIFS(#REF!,#REF!,Extrato!$B40,#REF!,Extrato!D$3)</f>
        <v>#REF!</v>
      </c>
      <c r="E40" s="121" t="e">
        <f>SUMIFS(#REF!,#REF!,Extrato!$B40,#REF!,Extrato!E$3)</f>
        <v>#REF!</v>
      </c>
      <c r="F40" s="121" t="e">
        <f>SUMIFS(#REF!,#REF!,Extrato!$B40,#REF!,Extrato!F$3)</f>
        <v>#REF!</v>
      </c>
      <c r="G40" s="121" t="e">
        <f>SUMIFS(#REF!,#REF!,Extrato!$B40,#REF!,Extrato!G$3)</f>
        <v>#REF!</v>
      </c>
      <c r="H40" s="121" t="e">
        <f>SUMIFS(#REF!,#REF!,Extrato!$B40,#REF!,Extrato!H$3)</f>
        <v>#REF!</v>
      </c>
      <c r="I40" s="121" t="e">
        <f>SUMIFS(#REF!,#REF!,Extrato!$B40,#REF!,Extrato!I$3)</f>
        <v>#REF!</v>
      </c>
      <c r="J40" s="121" t="e">
        <f>SUMIFS(#REF!,#REF!,Extrato!$B40,#REF!,Extrato!J$3)</f>
        <v>#REF!</v>
      </c>
      <c r="K40" s="121" t="e">
        <f>SUMIFS(#REF!,#REF!,Extrato!$B40,#REF!,Extrato!K$3)</f>
        <v>#REF!</v>
      </c>
      <c r="L40" s="121" t="e">
        <f>SUMIFS(#REF!,#REF!,Extrato!$B40,#REF!,Extrato!L$3)</f>
        <v>#REF!</v>
      </c>
      <c r="M40" s="121" t="e">
        <f>SUMIFS(#REF!,#REF!,Extrato!$B40,#REF!,Extrato!M$3)</f>
        <v>#REF!</v>
      </c>
      <c r="N40" s="121" t="e">
        <f>SUMIFS(#REF!,#REF!,Extrato!$B40,#REF!,Extrato!N$3)</f>
        <v>#REF!</v>
      </c>
      <c r="O40" s="121" t="e">
        <f>SUMIFS(#REF!,#REF!,Extrato!$B40,#REF!,Extrato!O$3)</f>
        <v>#REF!</v>
      </c>
      <c r="P40" s="121">
        <f>SUMIF(BetFlow!B:B,B40,BetFlow!J:J)</f>
        <v>0</v>
      </c>
      <c r="Q40" s="121" t="e">
        <f>SUMIFS(#REF!,#REF!,Extrato!$B40,#REF!,Extrato!Q$3)</f>
        <v>#REF!</v>
      </c>
      <c r="R40" s="121" t="e">
        <f>SUMIFS(#REF!,#REF!,Extrato!$B40,#REF!,Extrato!R$3)</f>
        <v>#REF!</v>
      </c>
      <c r="S40" s="121" t="e">
        <f>SUMIFS(#REF!,#REF!,Extrato!$B40,#REF!,Extrato!S$3)</f>
        <v>#REF!</v>
      </c>
      <c r="T40" s="121" t="e">
        <f>SUMIFS(#REF!,#REF!,Extrato!$B40,#REF!,Extrato!T$3)</f>
        <v>#REF!</v>
      </c>
      <c r="U40" s="121" t="e">
        <f>SUMIFS(#REF!,#REF!,Extrato!$B40,#REF!,Extrato!U$3)</f>
        <v>#REF!</v>
      </c>
      <c r="V40" s="121" t="e">
        <f>SUMIFS(#REF!,#REF!,Extrato!$B40,#REF!,Extrato!V$3)</f>
        <v>#REF!</v>
      </c>
      <c r="W40" s="121" t="e">
        <f>SUMIFS(#REF!,#REF!,Extrato!$B40,#REF!,Extrato!W$3)</f>
        <v>#REF!</v>
      </c>
      <c r="X40" s="121" t="e">
        <f>SUMIFS(#REF!,#REF!,Extrato!$B40,#REF!,Extrato!X$3)</f>
        <v>#REF!</v>
      </c>
      <c r="Y40" s="121" t="e">
        <f>SUMIFS(#REF!,#REF!,Extrato!$B40,#REF!,Extrato!Y$3)</f>
        <v>#REF!</v>
      </c>
      <c r="Z40" s="121" t="e">
        <f>SUMIFS(#REF!,#REF!,Extrato!$B40,#REF!,Extrato!Z$3)</f>
        <v>#REF!</v>
      </c>
      <c r="AA40" s="121" t="e">
        <f>SUMIFS(#REF!,#REF!,Extrato!$B40,#REF!,Extrato!AA$3)</f>
        <v>#REF!</v>
      </c>
      <c r="AB40" s="121" t="e">
        <f>SUMIFS(#REF!,#REF!,Extrato!$B40,#REF!,Extrato!AB$3)</f>
        <v>#REF!</v>
      </c>
      <c r="AC40" s="121" t="e">
        <f>SUMIFS(#REF!,#REF!,Extrato!$B40,#REF!,Extrato!AC$3)</f>
        <v>#REF!</v>
      </c>
      <c r="AD40" s="121" t="e">
        <f>SUMIFS(#REF!,#REF!,Extrato!$B40,#REF!,Extrato!AD$3)</f>
        <v>#REF!</v>
      </c>
      <c r="AE40" s="121" t="e">
        <f>SUMIFS(#REF!,#REF!,Extrato!$B40,#REF!,Extrato!AE$3)</f>
        <v>#REF!</v>
      </c>
      <c r="AF40" s="121" t="e">
        <f>SUMIFS(#REF!,#REF!,Extrato!$B40,#REF!,Extrato!AF$3)</f>
        <v>#REF!</v>
      </c>
      <c r="AG40" s="121" t="e">
        <f>SUMIFS(#REF!,#REF!,Extrato!$B40,#REF!,Extrato!AG$3)</f>
        <v>#REF!</v>
      </c>
      <c r="AH40" s="121" t="e">
        <f>SUMIFS(#REF!,#REF!,Extrato!$B40,#REF!,Extrato!AH$3)</f>
        <v>#REF!</v>
      </c>
      <c r="AI40" s="121" t="e">
        <f>SUMIFS(#REF!,#REF!,Extrato!$B40,#REF!,Extrato!AI$3)</f>
        <v>#REF!</v>
      </c>
      <c r="AJ40" s="121">
        <v>0</v>
      </c>
      <c r="AK40" s="121"/>
      <c r="AL40" s="25" t="e">
        <f t="shared" si="1"/>
        <v>#REF!</v>
      </c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</row>
    <row r="41" spans="2:68" ht="15" customHeight="1">
      <c r="B41" s="12">
        <v>46031</v>
      </c>
      <c r="C41" s="121" t="e">
        <f t="shared" si="0"/>
        <v>#REF!</v>
      </c>
      <c r="D41" s="121" t="e">
        <f>SUMIFS(#REF!,#REF!,Extrato!$B41,#REF!,Extrato!D$3)</f>
        <v>#REF!</v>
      </c>
      <c r="E41" s="121" t="e">
        <f>SUMIFS(#REF!,#REF!,Extrato!$B41,#REF!,Extrato!E$3)</f>
        <v>#REF!</v>
      </c>
      <c r="F41" s="121" t="e">
        <f>SUMIFS(#REF!,#REF!,Extrato!$B41,#REF!,Extrato!F$3)</f>
        <v>#REF!</v>
      </c>
      <c r="G41" s="121" t="e">
        <f>SUMIFS(#REF!,#REF!,Extrato!$B41,#REF!,Extrato!G$3)</f>
        <v>#REF!</v>
      </c>
      <c r="H41" s="121" t="e">
        <f>SUMIFS(#REF!,#REF!,Extrato!$B41,#REF!,Extrato!H$3)</f>
        <v>#REF!</v>
      </c>
      <c r="I41" s="121" t="e">
        <f>SUMIFS(#REF!,#REF!,Extrato!$B41,#REF!,Extrato!I$3)</f>
        <v>#REF!</v>
      </c>
      <c r="J41" s="121" t="e">
        <f>SUMIFS(#REF!,#REF!,Extrato!$B41,#REF!,Extrato!J$3)</f>
        <v>#REF!</v>
      </c>
      <c r="K41" s="121" t="e">
        <f>SUMIFS(#REF!,#REF!,Extrato!$B41,#REF!,Extrato!K$3)</f>
        <v>#REF!</v>
      </c>
      <c r="L41" s="121" t="e">
        <f>SUMIFS(#REF!,#REF!,Extrato!$B41,#REF!,Extrato!L$3)</f>
        <v>#REF!</v>
      </c>
      <c r="M41" s="121" t="e">
        <f>SUMIFS(#REF!,#REF!,Extrato!$B41,#REF!,Extrato!M$3)</f>
        <v>#REF!</v>
      </c>
      <c r="N41" s="121" t="e">
        <f>SUMIFS(#REF!,#REF!,Extrato!$B41,#REF!,Extrato!N$3)</f>
        <v>#REF!</v>
      </c>
      <c r="O41" s="121" t="e">
        <f>SUMIFS(#REF!,#REF!,Extrato!$B41,#REF!,Extrato!O$3)</f>
        <v>#REF!</v>
      </c>
      <c r="P41" s="121">
        <f>SUMIF(BetFlow!B:B,B41,BetFlow!J:J)</f>
        <v>0</v>
      </c>
      <c r="Q41" s="121" t="e">
        <f>SUMIFS(#REF!,#REF!,Extrato!$B41,#REF!,Extrato!Q$3)</f>
        <v>#REF!</v>
      </c>
      <c r="R41" s="121" t="e">
        <f>SUMIFS(#REF!,#REF!,Extrato!$B41,#REF!,Extrato!R$3)</f>
        <v>#REF!</v>
      </c>
      <c r="S41" s="121" t="e">
        <f>SUMIFS(#REF!,#REF!,Extrato!$B41,#REF!,Extrato!S$3)</f>
        <v>#REF!</v>
      </c>
      <c r="T41" s="121" t="e">
        <f>SUMIFS(#REF!,#REF!,Extrato!$B41,#REF!,Extrato!T$3)</f>
        <v>#REF!</v>
      </c>
      <c r="U41" s="121" t="e">
        <f>SUMIFS(#REF!,#REF!,Extrato!$B41,#REF!,Extrato!U$3)</f>
        <v>#REF!</v>
      </c>
      <c r="V41" s="121" t="e">
        <f>SUMIFS(#REF!,#REF!,Extrato!$B41,#REF!,Extrato!V$3)</f>
        <v>#REF!</v>
      </c>
      <c r="W41" s="121" t="e">
        <f>SUMIFS(#REF!,#REF!,Extrato!$B41,#REF!,Extrato!W$3)</f>
        <v>#REF!</v>
      </c>
      <c r="X41" s="121" t="e">
        <f>SUMIFS(#REF!,#REF!,Extrato!$B41,#REF!,Extrato!X$3)</f>
        <v>#REF!</v>
      </c>
      <c r="Y41" s="121" t="e">
        <f>SUMIFS(#REF!,#REF!,Extrato!$B41,#REF!,Extrato!Y$3)</f>
        <v>#REF!</v>
      </c>
      <c r="Z41" s="121" t="e">
        <f>SUMIFS(#REF!,#REF!,Extrato!$B41,#REF!,Extrato!Z$3)</f>
        <v>#REF!</v>
      </c>
      <c r="AA41" s="121" t="e">
        <f>SUMIFS(#REF!,#REF!,Extrato!$B41,#REF!,Extrato!AA$3)</f>
        <v>#REF!</v>
      </c>
      <c r="AB41" s="121" t="e">
        <f>SUMIFS(#REF!,#REF!,Extrato!$B41,#REF!,Extrato!AB$3)</f>
        <v>#REF!</v>
      </c>
      <c r="AC41" s="121" t="e">
        <f>SUMIFS(#REF!,#REF!,Extrato!$B41,#REF!,Extrato!AC$3)</f>
        <v>#REF!</v>
      </c>
      <c r="AD41" s="121" t="e">
        <f>SUMIFS(#REF!,#REF!,Extrato!$B41,#REF!,Extrato!AD$3)</f>
        <v>#REF!</v>
      </c>
      <c r="AE41" s="121" t="e">
        <f>SUMIFS(#REF!,#REF!,Extrato!$B41,#REF!,Extrato!AE$3)</f>
        <v>#REF!</v>
      </c>
      <c r="AF41" s="121" t="e">
        <f>SUMIFS(#REF!,#REF!,Extrato!$B41,#REF!,Extrato!AF$3)</f>
        <v>#REF!</v>
      </c>
      <c r="AG41" s="121" t="e">
        <f>SUMIFS(#REF!,#REF!,Extrato!$B41,#REF!,Extrato!AG$3)</f>
        <v>#REF!</v>
      </c>
      <c r="AH41" s="121" t="e">
        <f>SUMIFS(#REF!,#REF!,Extrato!$B41,#REF!,Extrato!AH$3)</f>
        <v>#REF!</v>
      </c>
      <c r="AI41" s="121" t="e">
        <f>SUMIFS(#REF!,#REF!,Extrato!$B41,#REF!,Extrato!AI$3)</f>
        <v>#REF!</v>
      </c>
      <c r="AJ41" s="121">
        <v>0</v>
      </c>
      <c r="AK41" s="121"/>
      <c r="AL41" s="25" t="e">
        <f t="shared" si="1"/>
        <v>#REF!</v>
      </c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</row>
    <row r="42" spans="2:68" ht="15" customHeight="1">
      <c r="B42" s="12">
        <v>46032</v>
      </c>
      <c r="C42" s="121" t="e">
        <f t="shared" si="0"/>
        <v>#REF!</v>
      </c>
      <c r="D42" s="121" t="e">
        <f>SUMIFS(#REF!,#REF!,Extrato!$B42,#REF!,Extrato!D$3)</f>
        <v>#REF!</v>
      </c>
      <c r="E42" s="121" t="e">
        <f>SUMIFS(#REF!,#REF!,Extrato!$B42,#REF!,Extrato!E$3)</f>
        <v>#REF!</v>
      </c>
      <c r="F42" s="121" t="e">
        <f>SUMIFS(#REF!,#REF!,Extrato!$B42,#REF!,Extrato!F$3)</f>
        <v>#REF!</v>
      </c>
      <c r="G42" s="121" t="e">
        <f>SUMIFS(#REF!,#REF!,Extrato!$B42,#REF!,Extrato!G$3)</f>
        <v>#REF!</v>
      </c>
      <c r="H42" s="121" t="e">
        <f>SUMIFS(#REF!,#REF!,Extrato!$B42,#REF!,Extrato!H$3)</f>
        <v>#REF!</v>
      </c>
      <c r="I42" s="121" t="e">
        <f>SUMIFS(#REF!,#REF!,Extrato!$B42,#REF!,Extrato!I$3)</f>
        <v>#REF!</v>
      </c>
      <c r="J42" s="121" t="e">
        <f>SUMIFS(#REF!,#REF!,Extrato!$B42,#REF!,Extrato!J$3)</f>
        <v>#REF!</v>
      </c>
      <c r="K42" s="121" t="e">
        <f>SUMIFS(#REF!,#REF!,Extrato!$B42,#REF!,Extrato!K$3)</f>
        <v>#REF!</v>
      </c>
      <c r="L42" s="121" t="e">
        <f>SUMIFS(#REF!,#REF!,Extrato!$B42,#REF!,Extrato!L$3)</f>
        <v>#REF!</v>
      </c>
      <c r="M42" s="121" t="e">
        <f>SUMIFS(#REF!,#REF!,Extrato!$B42,#REF!,Extrato!M$3)</f>
        <v>#REF!</v>
      </c>
      <c r="N42" s="121" t="e">
        <f>SUMIFS(#REF!,#REF!,Extrato!$B42,#REF!,Extrato!N$3)</f>
        <v>#REF!</v>
      </c>
      <c r="O42" s="121" t="e">
        <f>SUMIFS(#REF!,#REF!,Extrato!$B42,#REF!,Extrato!O$3)</f>
        <v>#REF!</v>
      </c>
      <c r="P42" s="121">
        <f>SUMIF(BetFlow!B:B,B42,BetFlow!J:J)</f>
        <v>0</v>
      </c>
      <c r="Q42" s="121" t="e">
        <f>SUMIFS(#REF!,#REF!,Extrato!$B42,#REF!,Extrato!Q$3)</f>
        <v>#REF!</v>
      </c>
      <c r="R42" s="121" t="e">
        <f>SUMIFS(#REF!,#REF!,Extrato!$B42,#REF!,Extrato!R$3)</f>
        <v>#REF!</v>
      </c>
      <c r="S42" s="121" t="e">
        <f>SUMIFS(#REF!,#REF!,Extrato!$B42,#REF!,Extrato!S$3)</f>
        <v>#REF!</v>
      </c>
      <c r="T42" s="121" t="e">
        <f>SUMIFS(#REF!,#REF!,Extrato!$B42,#REF!,Extrato!T$3)</f>
        <v>#REF!</v>
      </c>
      <c r="U42" s="121" t="e">
        <f>SUMIFS(#REF!,#REF!,Extrato!$B42,#REF!,Extrato!U$3)</f>
        <v>#REF!</v>
      </c>
      <c r="V42" s="121" t="e">
        <f>SUMIFS(#REF!,#REF!,Extrato!$B42,#REF!,Extrato!V$3)</f>
        <v>#REF!</v>
      </c>
      <c r="W42" s="121" t="e">
        <f>SUMIFS(#REF!,#REF!,Extrato!$B42,#REF!,Extrato!W$3)</f>
        <v>#REF!</v>
      </c>
      <c r="X42" s="121" t="e">
        <f>SUMIFS(#REF!,#REF!,Extrato!$B42,#REF!,Extrato!X$3)</f>
        <v>#REF!</v>
      </c>
      <c r="Y42" s="121" t="e">
        <f>SUMIFS(#REF!,#REF!,Extrato!$B42,#REF!,Extrato!Y$3)</f>
        <v>#REF!</v>
      </c>
      <c r="Z42" s="121" t="e">
        <f>SUMIFS(#REF!,#REF!,Extrato!$B42,#REF!,Extrato!Z$3)</f>
        <v>#REF!</v>
      </c>
      <c r="AA42" s="121" t="e">
        <f>SUMIFS(#REF!,#REF!,Extrato!$B42,#REF!,Extrato!AA$3)</f>
        <v>#REF!</v>
      </c>
      <c r="AB42" s="121" t="e">
        <f>SUMIFS(#REF!,#REF!,Extrato!$B42,#REF!,Extrato!AB$3)</f>
        <v>#REF!</v>
      </c>
      <c r="AC42" s="121" t="e">
        <f>SUMIFS(#REF!,#REF!,Extrato!$B42,#REF!,Extrato!AC$3)</f>
        <v>#REF!</v>
      </c>
      <c r="AD42" s="121" t="e">
        <f>SUMIFS(#REF!,#REF!,Extrato!$B42,#REF!,Extrato!AD$3)</f>
        <v>#REF!</v>
      </c>
      <c r="AE42" s="121" t="e">
        <f>SUMIFS(#REF!,#REF!,Extrato!$B42,#REF!,Extrato!AE$3)</f>
        <v>#REF!</v>
      </c>
      <c r="AF42" s="121" t="e">
        <f>SUMIFS(#REF!,#REF!,Extrato!$B42,#REF!,Extrato!AF$3)</f>
        <v>#REF!</v>
      </c>
      <c r="AG42" s="121" t="e">
        <f>SUMIFS(#REF!,#REF!,Extrato!$B42,#REF!,Extrato!AG$3)</f>
        <v>#REF!</v>
      </c>
      <c r="AH42" s="121" t="e">
        <f>SUMIFS(#REF!,#REF!,Extrato!$B42,#REF!,Extrato!AH$3)</f>
        <v>#REF!</v>
      </c>
      <c r="AI42" s="121" t="e">
        <f>SUMIFS(#REF!,#REF!,Extrato!$B42,#REF!,Extrato!AI$3)</f>
        <v>#REF!</v>
      </c>
      <c r="AJ42" s="121">
        <v>0</v>
      </c>
      <c r="AK42" s="121">
        <v>-0.04</v>
      </c>
      <c r="AL42" s="25" t="e">
        <f t="shared" si="1"/>
        <v>#REF!</v>
      </c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</row>
    <row r="43" spans="2:68" ht="15" customHeight="1">
      <c r="B43" s="12">
        <v>46033</v>
      </c>
      <c r="C43" s="121" t="e">
        <f t="shared" si="0"/>
        <v>#REF!</v>
      </c>
      <c r="D43" s="121" t="e">
        <f>SUMIFS(#REF!,#REF!,Extrato!$B43,#REF!,Extrato!D$3)</f>
        <v>#REF!</v>
      </c>
      <c r="E43" s="121" t="e">
        <f>SUMIFS(#REF!,#REF!,Extrato!$B43,#REF!,Extrato!E$3)</f>
        <v>#REF!</v>
      </c>
      <c r="F43" s="121" t="e">
        <f>SUMIFS(#REF!,#REF!,Extrato!$B43,#REF!,Extrato!F$3)</f>
        <v>#REF!</v>
      </c>
      <c r="G43" s="121" t="e">
        <f>SUMIFS(#REF!,#REF!,Extrato!$B43,#REF!,Extrato!G$3)</f>
        <v>#REF!</v>
      </c>
      <c r="H43" s="121" t="e">
        <f>SUMIFS(#REF!,#REF!,Extrato!$B43,#REF!,Extrato!H$3)</f>
        <v>#REF!</v>
      </c>
      <c r="I43" s="121" t="e">
        <f>SUMIFS(#REF!,#REF!,Extrato!$B43,#REF!,Extrato!I$3)</f>
        <v>#REF!</v>
      </c>
      <c r="J43" s="121" t="e">
        <f>SUMIFS(#REF!,#REF!,Extrato!$B43,#REF!,Extrato!J$3)</f>
        <v>#REF!</v>
      </c>
      <c r="K43" s="121" t="e">
        <f>SUMIFS(#REF!,#REF!,Extrato!$B43,#REF!,Extrato!K$3)</f>
        <v>#REF!</v>
      </c>
      <c r="L43" s="121" t="e">
        <f>SUMIFS(#REF!,#REF!,Extrato!$B43,#REF!,Extrato!L$3)</f>
        <v>#REF!</v>
      </c>
      <c r="M43" s="121" t="e">
        <f>SUMIFS(#REF!,#REF!,Extrato!$B43,#REF!,Extrato!M$3)</f>
        <v>#REF!</v>
      </c>
      <c r="N43" s="121" t="e">
        <f>SUMIFS(#REF!,#REF!,Extrato!$B43,#REF!,Extrato!N$3)</f>
        <v>#REF!</v>
      </c>
      <c r="O43" s="121" t="e">
        <f>SUMIFS(#REF!,#REF!,Extrato!$B43,#REF!,Extrato!O$3)</f>
        <v>#REF!</v>
      </c>
      <c r="P43" s="121">
        <f>SUMIF(BetFlow!B:B,B43,BetFlow!J:J)</f>
        <v>0</v>
      </c>
      <c r="Q43" s="121" t="e">
        <f>SUMIFS(#REF!,#REF!,Extrato!$B43,#REF!,Extrato!Q$3)</f>
        <v>#REF!</v>
      </c>
      <c r="R43" s="121" t="e">
        <f>SUMIFS(#REF!,#REF!,Extrato!$B43,#REF!,Extrato!R$3)</f>
        <v>#REF!</v>
      </c>
      <c r="S43" s="121" t="e">
        <f>SUMIFS(#REF!,#REF!,Extrato!$B43,#REF!,Extrato!S$3)</f>
        <v>#REF!</v>
      </c>
      <c r="T43" s="121" t="e">
        <f>SUMIFS(#REF!,#REF!,Extrato!$B43,#REF!,Extrato!T$3)</f>
        <v>#REF!</v>
      </c>
      <c r="U43" s="121" t="e">
        <f>SUMIFS(#REF!,#REF!,Extrato!$B43,#REF!,Extrato!U$3)</f>
        <v>#REF!</v>
      </c>
      <c r="V43" s="121" t="e">
        <f>SUMIFS(#REF!,#REF!,Extrato!$B43,#REF!,Extrato!V$3)</f>
        <v>#REF!</v>
      </c>
      <c r="W43" s="121" t="e">
        <f>SUMIFS(#REF!,#REF!,Extrato!$B43,#REF!,Extrato!W$3)</f>
        <v>#REF!</v>
      </c>
      <c r="X43" s="121" t="e">
        <f>SUMIFS(#REF!,#REF!,Extrato!$B43,#REF!,Extrato!X$3)</f>
        <v>#REF!</v>
      </c>
      <c r="Y43" s="121" t="e">
        <f>SUMIFS(#REF!,#REF!,Extrato!$B43,#REF!,Extrato!Y$3)</f>
        <v>#REF!</v>
      </c>
      <c r="Z43" s="121" t="e">
        <f>SUMIFS(#REF!,#REF!,Extrato!$B43,#REF!,Extrato!Z$3)</f>
        <v>#REF!</v>
      </c>
      <c r="AA43" s="121" t="e">
        <f>SUMIFS(#REF!,#REF!,Extrato!$B43,#REF!,Extrato!AA$3)</f>
        <v>#REF!</v>
      </c>
      <c r="AB43" s="121" t="e">
        <f>SUMIFS(#REF!,#REF!,Extrato!$B43,#REF!,Extrato!AB$3)</f>
        <v>#REF!</v>
      </c>
      <c r="AC43" s="121" t="e">
        <f>SUMIFS(#REF!,#REF!,Extrato!$B43,#REF!,Extrato!AC$3)</f>
        <v>#REF!</v>
      </c>
      <c r="AD43" s="121" t="e">
        <f>SUMIFS(#REF!,#REF!,Extrato!$B43,#REF!,Extrato!AD$3)</f>
        <v>#REF!</v>
      </c>
      <c r="AE43" s="121" t="e">
        <f>SUMIFS(#REF!,#REF!,Extrato!$B43,#REF!,Extrato!AE$3)</f>
        <v>#REF!</v>
      </c>
      <c r="AF43" s="121" t="e">
        <f>SUMIFS(#REF!,#REF!,Extrato!$B43,#REF!,Extrato!AF$3)</f>
        <v>#REF!</v>
      </c>
      <c r="AG43" s="121" t="e">
        <f>SUMIFS(#REF!,#REF!,Extrato!$B43,#REF!,Extrato!AG$3)</f>
        <v>#REF!</v>
      </c>
      <c r="AH43" s="121" t="e">
        <f>SUMIFS(#REF!,#REF!,Extrato!$B43,#REF!,Extrato!AH$3)</f>
        <v>#REF!</v>
      </c>
      <c r="AI43" s="121" t="e">
        <f>SUMIFS(#REF!,#REF!,Extrato!$B43,#REF!,Extrato!AI$3)</f>
        <v>#REF!</v>
      </c>
      <c r="AJ43" s="121">
        <v>0</v>
      </c>
      <c r="AK43" s="121">
        <v>0.02</v>
      </c>
      <c r="AL43" s="25" t="e">
        <f t="shared" si="1"/>
        <v>#REF!</v>
      </c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</row>
    <row r="44" spans="2:68" ht="15" customHeight="1">
      <c r="B44" s="12">
        <v>46034</v>
      </c>
      <c r="C44" s="121" t="e">
        <f t="shared" si="0"/>
        <v>#REF!</v>
      </c>
      <c r="D44" s="121" t="e">
        <f>SUMIFS(#REF!,#REF!,Extrato!$B44,#REF!,Extrato!D$3)</f>
        <v>#REF!</v>
      </c>
      <c r="E44" s="121" t="e">
        <f>SUMIFS(#REF!,#REF!,Extrato!$B44,#REF!,Extrato!E$3)</f>
        <v>#REF!</v>
      </c>
      <c r="F44" s="121" t="e">
        <f>SUMIFS(#REF!,#REF!,Extrato!$B44,#REF!,Extrato!F$3)</f>
        <v>#REF!</v>
      </c>
      <c r="G44" s="121" t="e">
        <f>SUMIFS(#REF!,#REF!,Extrato!$B44,#REF!,Extrato!G$3)</f>
        <v>#REF!</v>
      </c>
      <c r="H44" s="121" t="e">
        <f>SUMIFS(#REF!,#REF!,Extrato!$B44,#REF!,Extrato!H$3)</f>
        <v>#REF!</v>
      </c>
      <c r="I44" s="121" t="e">
        <f>SUMIFS(#REF!,#REF!,Extrato!$B44,#REF!,Extrato!I$3)</f>
        <v>#REF!</v>
      </c>
      <c r="J44" s="121" t="e">
        <f>SUMIFS(#REF!,#REF!,Extrato!$B44,#REF!,Extrato!J$3)</f>
        <v>#REF!</v>
      </c>
      <c r="K44" s="121" t="e">
        <f>SUMIFS(#REF!,#REF!,Extrato!$B44,#REF!,Extrato!K$3)</f>
        <v>#REF!</v>
      </c>
      <c r="L44" s="121" t="e">
        <f>SUMIFS(#REF!,#REF!,Extrato!$B44,#REF!,Extrato!L$3)</f>
        <v>#REF!</v>
      </c>
      <c r="M44" s="121" t="e">
        <f>SUMIFS(#REF!,#REF!,Extrato!$B44,#REF!,Extrato!M$3)</f>
        <v>#REF!</v>
      </c>
      <c r="N44" s="121" t="e">
        <f>SUMIFS(#REF!,#REF!,Extrato!$B44,#REF!,Extrato!N$3)</f>
        <v>#REF!</v>
      </c>
      <c r="O44" s="121" t="e">
        <f>SUMIFS(#REF!,#REF!,Extrato!$B44,#REF!,Extrato!O$3)</f>
        <v>#REF!</v>
      </c>
      <c r="P44" s="121">
        <f>SUMIF(BetFlow!B:B,B44,BetFlow!J:J)</f>
        <v>0</v>
      </c>
      <c r="Q44" s="121" t="e">
        <f>SUMIFS(#REF!,#REF!,Extrato!$B44,#REF!,Extrato!Q$3)</f>
        <v>#REF!</v>
      </c>
      <c r="R44" s="121" t="e">
        <f>SUMIFS(#REF!,#REF!,Extrato!$B44,#REF!,Extrato!R$3)</f>
        <v>#REF!</v>
      </c>
      <c r="S44" s="121" t="e">
        <f>SUMIFS(#REF!,#REF!,Extrato!$B44,#REF!,Extrato!S$3)</f>
        <v>#REF!</v>
      </c>
      <c r="T44" s="121" t="e">
        <f>SUMIFS(#REF!,#REF!,Extrato!$B44,#REF!,Extrato!T$3)</f>
        <v>#REF!</v>
      </c>
      <c r="U44" s="121" t="e">
        <f>SUMIFS(#REF!,#REF!,Extrato!$B44,#REF!,Extrato!U$3)</f>
        <v>#REF!</v>
      </c>
      <c r="V44" s="121" t="e">
        <f>SUMIFS(#REF!,#REF!,Extrato!$B44,#REF!,Extrato!V$3)</f>
        <v>#REF!</v>
      </c>
      <c r="W44" s="121" t="e">
        <f>SUMIFS(#REF!,#REF!,Extrato!$B44,#REF!,Extrato!W$3)</f>
        <v>#REF!</v>
      </c>
      <c r="X44" s="121" t="e">
        <f>SUMIFS(#REF!,#REF!,Extrato!$B44,#REF!,Extrato!X$3)</f>
        <v>#REF!</v>
      </c>
      <c r="Y44" s="121" t="e">
        <f>SUMIFS(#REF!,#REF!,Extrato!$B44,#REF!,Extrato!Y$3)</f>
        <v>#REF!</v>
      </c>
      <c r="Z44" s="121" t="e">
        <f>SUMIFS(#REF!,#REF!,Extrato!$B44,#REF!,Extrato!Z$3)</f>
        <v>#REF!</v>
      </c>
      <c r="AA44" s="121" t="e">
        <f>SUMIFS(#REF!,#REF!,Extrato!$B44,#REF!,Extrato!AA$3)</f>
        <v>#REF!</v>
      </c>
      <c r="AB44" s="121" t="e">
        <f>SUMIFS(#REF!,#REF!,Extrato!$B44,#REF!,Extrato!AB$3)</f>
        <v>#REF!</v>
      </c>
      <c r="AC44" s="121" t="e">
        <f>SUMIFS(#REF!,#REF!,Extrato!$B44,#REF!,Extrato!AC$3)</f>
        <v>#REF!</v>
      </c>
      <c r="AD44" s="121" t="e">
        <f>SUMIFS(#REF!,#REF!,Extrato!$B44,#REF!,Extrato!AD$3)</f>
        <v>#REF!</v>
      </c>
      <c r="AE44" s="121" t="e">
        <f>SUMIFS(#REF!,#REF!,Extrato!$B44,#REF!,Extrato!AE$3)</f>
        <v>#REF!</v>
      </c>
      <c r="AF44" s="121" t="e">
        <f>SUMIFS(#REF!,#REF!,Extrato!$B44,#REF!,Extrato!AF$3)</f>
        <v>#REF!</v>
      </c>
      <c r="AG44" s="121" t="e">
        <f>SUMIFS(#REF!,#REF!,Extrato!$B44,#REF!,Extrato!AG$3)</f>
        <v>#REF!</v>
      </c>
      <c r="AH44" s="121" t="e">
        <f>SUMIFS(#REF!,#REF!,Extrato!$B44,#REF!,Extrato!AH$3)</f>
        <v>#REF!</v>
      </c>
      <c r="AI44" s="121" t="e">
        <f>SUMIFS(#REF!,#REF!,Extrato!$B44,#REF!,Extrato!AI$3)</f>
        <v>#REF!</v>
      </c>
      <c r="AJ44" s="121">
        <v>0</v>
      </c>
      <c r="AK44" s="121"/>
      <c r="AL44" s="25" t="e">
        <f t="shared" si="1"/>
        <v>#REF!</v>
      </c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</row>
    <row r="45" spans="2:68" ht="15" customHeight="1">
      <c r="B45" s="12">
        <v>46035</v>
      </c>
      <c r="C45" s="121" t="e">
        <f t="shared" si="0"/>
        <v>#REF!</v>
      </c>
      <c r="D45" s="121" t="e">
        <f>SUMIFS(#REF!,#REF!,Extrato!$B45,#REF!,Extrato!D$3)</f>
        <v>#REF!</v>
      </c>
      <c r="E45" s="121" t="e">
        <f>SUMIFS(#REF!,#REF!,Extrato!$B45,#REF!,Extrato!E$3)</f>
        <v>#REF!</v>
      </c>
      <c r="F45" s="121" t="e">
        <f>SUMIFS(#REF!,#REF!,Extrato!$B45,#REF!,Extrato!F$3)</f>
        <v>#REF!</v>
      </c>
      <c r="G45" s="121" t="e">
        <f>SUMIFS(#REF!,#REF!,Extrato!$B45,#REF!,Extrato!G$3)</f>
        <v>#REF!</v>
      </c>
      <c r="H45" s="121" t="e">
        <f>SUMIFS(#REF!,#REF!,Extrato!$B45,#REF!,Extrato!H$3)</f>
        <v>#REF!</v>
      </c>
      <c r="I45" s="121" t="e">
        <f>SUMIFS(#REF!,#REF!,Extrato!$B45,#REF!,Extrato!I$3)</f>
        <v>#REF!</v>
      </c>
      <c r="J45" s="121" t="e">
        <f>SUMIFS(#REF!,#REF!,Extrato!$B45,#REF!,Extrato!J$3)</f>
        <v>#REF!</v>
      </c>
      <c r="K45" s="121" t="e">
        <f>SUMIFS(#REF!,#REF!,Extrato!$B45,#REF!,Extrato!K$3)</f>
        <v>#REF!</v>
      </c>
      <c r="L45" s="121" t="e">
        <f>SUMIFS(#REF!,#REF!,Extrato!$B45,#REF!,Extrato!L$3)</f>
        <v>#REF!</v>
      </c>
      <c r="M45" s="121" t="e">
        <f>SUMIFS(#REF!,#REF!,Extrato!$B45,#REF!,Extrato!M$3)</f>
        <v>#REF!</v>
      </c>
      <c r="N45" s="121" t="e">
        <f>SUMIFS(#REF!,#REF!,Extrato!$B45,#REF!,Extrato!N$3)</f>
        <v>#REF!</v>
      </c>
      <c r="O45" s="121" t="e">
        <f>SUMIFS(#REF!,#REF!,Extrato!$B45,#REF!,Extrato!O$3)</f>
        <v>#REF!</v>
      </c>
      <c r="P45" s="121">
        <f>SUMIF(BetFlow!B:B,B45,BetFlow!J:J)</f>
        <v>0</v>
      </c>
      <c r="Q45" s="121" t="e">
        <f>SUMIFS(#REF!,#REF!,Extrato!$B45,#REF!,Extrato!Q$3)</f>
        <v>#REF!</v>
      </c>
      <c r="R45" s="121" t="e">
        <f>SUMIFS(#REF!,#REF!,Extrato!$B45,#REF!,Extrato!R$3)</f>
        <v>#REF!</v>
      </c>
      <c r="S45" s="121" t="e">
        <f>SUMIFS(#REF!,#REF!,Extrato!$B45,#REF!,Extrato!S$3)</f>
        <v>#REF!</v>
      </c>
      <c r="T45" s="121" t="e">
        <f>SUMIFS(#REF!,#REF!,Extrato!$B45,#REF!,Extrato!T$3)</f>
        <v>#REF!</v>
      </c>
      <c r="U45" s="121" t="e">
        <f>SUMIFS(#REF!,#REF!,Extrato!$B45,#REF!,Extrato!U$3)</f>
        <v>#REF!</v>
      </c>
      <c r="V45" s="121" t="e">
        <f>SUMIFS(#REF!,#REF!,Extrato!$B45,#REF!,Extrato!V$3)</f>
        <v>#REF!</v>
      </c>
      <c r="W45" s="121" t="e">
        <f>SUMIFS(#REF!,#REF!,Extrato!$B45,#REF!,Extrato!W$3)</f>
        <v>#REF!</v>
      </c>
      <c r="X45" s="121" t="e">
        <f>SUMIFS(#REF!,#REF!,Extrato!$B45,#REF!,Extrato!X$3)</f>
        <v>#REF!</v>
      </c>
      <c r="Y45" s="121" t="e">
        <f>SUMIFS(#REF!,#REF!,Extrato!$B45,#REF!,Extrato!Y$3)</f>
        <v>#REF!</v>
      </c>
      <c r="Z45" s="121" t="e">
        <f>SUMIFS(#REF!,#REF!,Extrato!$B45,#REF!,Extrato!Z$3)</f>
        <v>#REF!</v>
      </c>
      <c r="AA45" s="121" t="e">
        <f>SUMIFS(#REF!,#REF!,Extrato!$B45,#REF!,Extrato!AA$3)</f>
        <v>#REF!</v>
      </c>
      <c r="AB45" s="121" t="e">
        <f>SUMIFS(#REF!,#REF!,Extrato!$B45,#REF!,Extrato!AB$3)</f>
        <v>#REF!</v>
      </c>
      <c r="AC45" s="121" t="e">
        <f>SUMIFS(#REF!,#REF!,Extrato!$B45,#REF!,Extrato!AC$3)</f>
        <v>#REF!</v>
      </c>
      <c r="AD45" s="121" t="e">
        <f>SUMIFS(#REF!,#REF!,Extrato!$B45,#REF!,Extrato!AD$3)</f>
        <v>#REF!</v>
      </c>
      <c r="AE45" s="121" t="e">
        <f>SUMIFS(#REF!,#REF!,Extrato!$B45,#REF!,Extrato!AE$3)</f>
        <v>#REF!</v>
      </c>
      <c r="AF45" s="121" t="e">
        <f>SUMIFS(#REF!,#REF!,Extrato!$B45,#REF!,Extrato!AF$3)</f>
        <v>#REF!</v>
      </c>
      <c r="AG45" s="121" t="e">
        <f>SUMIFS(#REF!,#REF!,Extrato!$B45,#REF!,Extrato!AG$3)</f>
        <v>#REF!</v>
      </c>
      <c r="AH45" s="121" t="e">
        <f>SUMIFS(#REF!,#REF!,Extrato!$B45,#REF!,Extrato!AH$3)</f>
        <v>#REF!</v>
      </c>
      <c r="AI45" s="121" t="e">
        <f>SUMIFS(#REF!,#REF!,Extrato!$B45,#REF!,Extrato!AI$3)</f>
        <v>#REF!</v>
      </c>
      <c r="AJ45" s="121">
        <v>0</v>
      </c>
      <c r="AK45" s="121">
        <v>-0.02</v>
      </c>
      <c r="AL45" s="25" t="e">
        <f t="shared" si="1"/>
        <v>#REF!</v>
      </c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</row>
    <row r="46" spans="2:68" ht="15" customHeight="1">
      <c r="B46" s="12">
        <v>46036</v>
      </c>
      <c r="C46" s="121" t="e">
        <f t="shared" si="0"/>
        <v>#REF!</v>
      </c>
      <c r="D46" s="121" t="e">
        <f>SUMIFS(#REF!,#REF!,Extrato!$B46,#REF!,Extrato!D$3)</f>
        <v>#REF!</v>
      </c>
      <c r="E46" s="121" t="e">
        <f>SUMIFS(#REF!,#REF!,Extrato!$B46,#REF!,Extrato!E$3)</f>
        <v>#REF!</v>
      </c>
      <c r="F46" s="121" t="e">
        <f>SUMIFS(#REF!,#REF!,Extrato!$B46,#REF!,Extrato!F$3)</f>
        <v>#REF!</v>
      </c>
      <c r="G46" s="121" t="e">
        <f>SUMIFS(#REF!,#REF!,Extrato!$B46,#REF!,Extrato!G$3)</f>
        <v>#REF!</v>
      </c>
      <c r="H46" s="121" t="e">
        <f>SUMIFS(#REF!,#REF!,Extrato!$B46,#REF!,Extrato!H$3)</f>
        <v>#REF!</v>
      </c>
      <c r="I46" s="121" t="e">
        <f>SUMIFS(#REF!,#REF!,Extrato!$B46,#REF!,Extrato!I$3)</f>
        <v>#REF!</v>
      </c>
      <c r="J46" s="121" t="e">
        <f>SUMIFS(#REF!,#REF!,Extrato!$B46,#REF!,Extrato!J$3)</f>
        <v>#REF!</v>
      </c>
      <c r="K46" s="121" t="e">
        <f>SUMIFS(#REF!,#REF!,Extrato!$B46,#REF!,Extrato!K$3)</f>
        <v>#REF!</v>
      </c>
      <c r="L46" s="121" t="e">
        <f>SUMIFS(#REF!,#REF!,Extrato!$B46,#REF!,Extrato!L$3)</f>
        <v>#REF!</v>
      </c>
      <c r="M46" s="121" t="e">
        <f>SUMIFS(#REF!,#REF!,Extrato!$B46,#REF!,Extrato!M$3)</f>
        <v>#REF!</v>
      </c>
      <c r="N46" s="121" t="e">
        <f>SUMIFS(#REF!,#REF!,Extrato!$B46,#REF!,Extrato!N$3)</f>
        <v>#REF!</v>
      </c>
      <c r="O46" s="121" t="e">
        <f>SUMIFS(#REF!,#REF!,Extrato!$B46,#REF!,Extrato!O$3)</f>
        <v>#REF!</v>
      </c>
      <c r="P46" s="121">
        <f>SUMIF(BetFlow!B:B,B46,BetFlow!J:J)</f>
        <v>0</v>
      </c>
      <c r="Q46" s="121" t="e">
        <f>SUMIFS(#REF!,#REF!,Extrato!$B46,#REF!,Extrato!Q$3)</f>
        <v>#REF!</v>
      </c>
      <c r="R46" s="121" t="e">
        <f>SUMIFS(#REF!,#REF!,Extrato!$B46,#REF!,Extrato!R$3)</f>
        <v>#REF!</v>
      </c>
      <c r="S46" s="121" t="e">
        <f>SUMIFS(#REF!,#REF!,Extrato!$B46,#REF!,Extrato!S$3)</f>
        <v>#REF!</v>
      </c>
      <c r="T46" s="121" t="e">
        <f>SUMIFS(#REF!,#REF!,Extrato!$B46,#REF!,Extrato!T$3)</f>
        <v>#REF!</v>
      </c>
      <c r="U46" s="121" t="e">
        <f>SUMIFS(#REF!,#REF!,Extrato!$B46,#REF!,Extrato!U$3)</f>
        <v>#REF!</v>
      </c>
      <c r="V46" s="121" t="e">
        <f>SUMIFS(#REF!,#REF!,Extrato!$B46,#REF!,Extrato!V$3)</f>
        <v>#REF!</v>
      </c>
      <c r="W46" s="121" t="e">
        <f>SUMIFS(#REF!,#REF!,Extrato!$B46,#REF!,Extrato!W$3)</f>
        <v>#REF!</v>
      </c>
      <c r="X46" s="121" t="e">
        <f>SUMIFS(#REF!,#REF!,Extrato!$B46,#REF!,Extrato!X$3)</f>
        <v>#REF!</v>
      </c>
      <c r="Y46" s="121" t="e">
        <f>SUMIFS(#REF!,#REF!,Extrato!$B46,#REF!,Extrato!Y$3)</f>
        <v>#REF!</v>
      </c>
      <c r="Z46" s="121" t="e">
        <f>SUMIFS(#REF!,#REF!,Extrato!$B46,#REF!,Extrato!Z$3)</f>
        <v>#REF!</v>
      </c>
      <c r="AA46" s="121" t="e">
        <f>SUMIFS(#REF!,#REF!,Extrato!$B46,#REF!,Extrato!AA$3)</f>
        <v>#REF!</v>
      </c>
      <c r="AB46" s="121" t="e">
        <f>SUMIFS(#REF!,#REF!,Extrato!$B46,#REF!,Extrato!AB$3)</f>
        <v>#REF!</v>
      </c>
      <c r="AC46" s="121" t="e">
        <f>SUMIFS(#REF!,#REF!,Extrato!$B46,#REF!,Extrato!AC$3)</f>
        <v>#REF!</v>
      </c>
      <c r="AD46" s="121" t="e">
        <f>SUMIFS(#REF!,#REF!,Extrato!$B46,#REF!,Extrato!AD$3)</f>
        <v>#REF!</v>
      </c>
      <c r="AE46" s="121" t="e">
        <f>SUMIFS(#REF!,#REF!,Extrato!$B46,#REF!,Extrato!AE$3)</f>
        <v>#REF!</v>
      </c>
      <c r="AF46" s="121" t="e">
        <f>SUMIFS(#REF!,#REF!,Extrato!$B46,#REF!,Extrato!AF$3)</f>
        <v>#REF!</v>
      </c>
      <c r="AG46" s="121" t="e">
        <f>SUMIFS(#REF!,#REF!,Extrato!$B46,#REF!,Extrato!AG$3)</f>
        <v>#REF!</v>
      </c>
      <c r="AH46" s="121" t="e">
        <f>SUMIFS(#REF!,#REF!,Extrato!$B46,#REF!,Extrato!AH$3)</f>
        <v>#REF!</v>
      </c>
      <c r="AI46" s="121" t="e">
        <f>SUMIFS(#REF!,#REF!,Extrato!$B46,#REF!,Extrato!AI$3)</f>
        <v>#REF!</v>
      </c>
      <c r="AJ46" s="121">
        <v>0</v>
      </c>
      <c r="AK46" s="121"/>
      <c r="AL46" s="25" t="e">
        <f t="shared" si="1"/>
        <v>#REF!</v>
      </c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</row>
    <row r="47" spans="2:68" ht="15" customHeight="1">
      <c r="B47" s="12">
        <v>46037</v>
      </c>
      <c r="C47" s="121" t="e">
        <f t="shared" si="0"/>
        <v>#REF!</v>
      </c>
      <c r="D47" s="121" t="e">
        <f>SUMIFS(#REF!,#REF!,Extrato!$B47,#REF!,Extrato!D$3)</f>
        <v>#REF!</v>
      </c>
      <c r="E47" s="121" t="e">
        <f>SUMIFS(#REF!,#REF!,Extrato!$B47,#REF!,Extrato!E$3)</f>
        <v>#REF!</v>
      </c>
      <c r="F47" s="121" t="e">
        <f>SUMIFS(#REF!,#REF!,Extrato!$B47,#REF!,Extrato!F$3)</f>
        <v>#REF!</v>
      </c>
      <c r="G47" s="121" t="e">
        <f>SUMIFS(#REF!,#REF!,Extrato!$B47,#REF!,Extrato!G$3)</f>
        <v>#REF!</v>
      </c>
      <c r="H47" s="121" t="e">
        <f>SUMIFS(#REF!,#REF!,Extrato!$B47,#REF!,Extrato!H$3)</f>
        <v>#REF!</v>
      </c>
      <c r="I47" s="121" t="e">
        <f>SUMIFS(#REF!,#REF!,Extrato!$B47,#REF!,Extrato!I$3)</f>
        <v>#REF!</v>
      </c>
      <c r="J47" s="121" t="e">
        <f>SUMIFS(#REF!,#REF!,Extrato!$B47,#REF!,Extrato!J$3)</f>
        <v>#REF!</v>
      </c>
      <c r="K47" s="121" t="e">
        <f>SUMIFS(#REF!,#REF!,Extrato!$B47,#REF!,Extrato!K$3)</f>
        <v>#REF!</v>
      </c>
      <c r="L47" s="121" t="e">
        <f>SUMIFS(#REF!,#REF!,Extrato!$B47,#REF!,Extrato!L$3)</f>
        <v>#REF!</v>
      </c>
      <c r="M47" s="121" t="e">
        <f>SUMIFS(#REF!,#REF!,Extrato!$B47,#REF!,Extrato!M$3)</f>
        <v>#REF!</v>
      </c>
      <c r="N47" s="121" t="e">
        <f>SUMIFS(#REF!,#REF!,Extrato!$B47,#REF!,Extrato!N$3)</f>
        <v>#REF!</v>
      </c>
      <c r="O47" s="121" t="e">
        <f>SUMIFS(#REF!,#REF!,Extrato!$B47,#REF!,Extrato!O$3)</f>
        <v>#REF!</v>
      </c>
      <c r="P47" s="121">
        <f>SUMIF(BetFlow!B:B,B47,BetFlow!J:J)</f>
        <v>0</v>
      </c>
      <c r="Q47" s="121" t="e">
        <f>SUMIFS(#REF!,#REF!,Extrato!$B47,#REF!,Extrato!Q$3)</f>
        <v>#REF!</v>
      </c>
      <c r="R47" s="121" t="e">
        <f>SUMIFS(#REF!,#REF!,Extrato!$B47,#REF!,Extrato!R$3)</f>
        <v>#REF!</v>
      </c>
      <c r="S47" s="121" t="e">
        <f>SUMIFS(#REF!,#REF!,Extrato!$B47,#REF!,Extrato!S$3)</f>
        <v>#REF!</v>
      </c>
      <c r="T47" s="121" t="e">
        <f>SUMIFS(#REF!,#REF!,Extrato!$B47,#REF!,Extrato!T$3)</f>
        <v>#REF!</v>
      </c>
      <c r="U47" s="121" t="e">
        <f>SUMIFS(#REF!,#REF!,Extrato!$B47,#REF!,Extrato!U$3)</f>
        <v>#REF!</v>
      </c>
      <c r="V47" s="121" t="e">
        <f>SUMIFS(#REF!,#REF!,Extrato!$B47,#REF!,Extrato!V$3)</f>
        <v>#REF!</v>
      </c>
      <c r="W47" s="121" t="e">
        <f>SUMIFS(#REF!,#REF!,Extrato!$B47,#REF!,Extrato!W$3)</f>
        <v>#REF!</v>
      </c>
      <c r="X47" s="121" t="e">
        <f>SUMIFS(#REF!,#REF!,Extrato!$B47,#REF!,Extrato!X$3)</f>
        <v>#REF!</v>
      </c>
      <c r="Y47" s="121" t="e">
        <f>SUMIFS(#REF!,#REF!,Extrato!$B47,#REF!,Extrato!Y$3)</f>
        <v>#REF!</v>
      </c>
      <c r="Z47" s="121" t="e">
        <f>SUMIFS(#REF!,#REF!,Extrato!$B47,#REF!,Extrato!Z$3)</f>
        <v>#REF!</v>
      </c>
      <c r="AA47" s="121" t="e">
        <f>SUMIFS(#REF!,#REF!,Extrato!$B47,#REF!,Extrato!AA$3)</f>
        <v>#REF!</v>
      </c>
      <c r="AB47" s="121" t="e">
        <f>SUMIFS(#REF!,#REF!,Extrato!$B47,#REF!,Extrato!AB$3)</f>
        <v>#REF!</v>
      </c>
      <c r="AC47" s="121" t="e">
        <f>SUMIFS(#REF!,#REF!,Extrato!$B47,#REF!,Extrato!AC$3)</f>
        <v>#REF!</v>
      </c>
      <c r="AD47" s="121" t="e">
        <f>SUMIFS(#REF!,#REF!,Extrato!$B47,#REF!,Extrato!AD$3)</f>
        <v>#REF!</v>
      </c>
      <c r="AE47" s="121" t="e">
        <f>SUMIFS(#REF!,#REF!,Extrato!$B47,#REF!,Extrato!AE$3)</f>
        <v>#REF!</v>
      </c>
      <c r="AF47" s="121" t="e">
        <f>SUMIFS(#REF!,#REF!,Extrato!$B47,#REF!,Extrato!AF$3)</f>
        <v>#REF!</v>
      </c>
      <c r="AG47" s="121" t="e">
        <f>SUMIFS(#REF!,#REF!,Extrato!$B47,#REF!,Extrato!AG$3)</f>
        <v>#REF!</v>
      </c>
      <c r="AH47" s="121" t="e">
        <f>SUMIFS(#REF!,#REF!,Extrato!$B47,#REF!,Extrato!AH$3)</f>
        <v>#REF!</v>
      </c>
      <c r="AI47" s="121" t="e">
        <f>SUMIFS(#REF!,#REF!,Extrato!$B47,#REF!,Extrato!AI$3)</f>
        <v>#REF!</v>
      </c>
      <c r="AJ47" s="121">
        <v>0</v>
      </c>
      <c r="AK47" s="121">
        <v>0.01</v>
      </c>
      <c r="AL47" s="25" t="e">
        <f t="shared" si="1"/>
        <v>#REF!</v>
      </c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</row>
    <row r="48" spans="2:68" ht="15" customHeight="1">
      <c r="B48" s="12">
        <v>46038</v>
      </c>
      <c r="C48" s="121" t="e">
        <f t="shared" si="0"/>
        <v>#REF!</v>
      </c>
      <c r="D48" s="121" t="e">
        <f>SUMIFS(#REF!,#REF!,Extrato!$B48,#REF!,Extrato!D$3)</f>
        <v>#REF!</v>
      </c>
      <c r="E48" s="121" t="e">
        <f>SUMIFS(#REF!,#REF!,Extrato!$B48,#REF!,Extrato!E$3)</f>
        <v>#REF!</v>
      </c>
      <c r="F48" s="121" t="e">
        <f>SUMIFS(#REF!,#REF!,Extrato!$B48,#REF!,Extrato!F$3)</f>
        <v>#REF!</v>
      </c>
      <c r="G48" s="121" t="e">
        <f>SUMIFS(#REF!,#REF!,Extrato!$B48,#REF!,Extrato!G$3)</f>
        <v>#REF!</v>
      </c>
      <c r="H48" s="121" t="e">
        <f>SUMIFS(#REF!,#REF!,Extrato!$B48,#REF!,Extrato!H$3)</f>
        <v>#REF!</v>
      </c>
      <c r="I48" s="121" t="e">
        <f>SUMIFS(#REF!,#REF!,Extrato!$B48,#REF!,Extrato!I$3)</f>
        <v>#REF!</v>
      </c>
      <c r="J48" s="121" t="e">
        <f>SUMIFS(#REF!,#REF!,Extrato!$B48,#REF!,Extrato!J$3)</f>
        <v>#REF!</v>
      </c>
      <c r="K48" s="121" t="e">
        <f>SUMIFS(#REF!,#REF!,Extrato!$B48,#REF!,Extrato!K$3)</f>
        <v>#REF!</v>
      </c>
      <c r="L48" s="121" t="e">
        <f>SUMIFS(#REF!,#REF!,Extrato!$B48,#REF!,Extrato!L$3)</f>
        <v>#REF!</v>
      </c>
      <c r="M48" s="121" t="e">
        <f>SUMIFS(#REF!,#REF!,Extrato!$B48,#REF!,Extrato!M$3)</f>
        <v>#REF!</v>
      </c>
      <c r="N48" s="121" t="e">
        <f>SUMIFS(#REF!,#REF!,Extrato!$B48,#REF!,Extrato!N$3)</f>
        <v>#REF!</v>
      </c>
      <c r="O48" s="121" t="e">
        <f>SUMIFS(#REF!,#REF!,Extrato!$B48,#REF!,Extrato!O$3)</f>
        <v>#REF!</v>
      </c>
      <c r="P48" s="121">
        <f>SUMIF(BetFlow!B:B,B48,BetFlow!J:J)</f>
        <v>0</v>
      </c>
      <c r="Q48" s="121" t="e">
        <f>SUMIFS(#REF!,#REF!,Extrato!$B48,#REF!,Extrato!Q$3)</f>
        <v>#REF!</v>
      </c>
      <c r="R48" s="121" t="e">
        <f>SUMIFS(#REF!,#REF!,Extrato!$B48,#REF!,Extrato!R$3)</f>
        <v>#REF!</v>
      </c>
      <c r="S48" s="121" t="e">
        <f>SUMIFS(#REF!,#REF!,Extrato!$B48,#REF!,Extrato!S$3)</f>
        <v>#REF!</v>
      </c>
      <c r="T48" s="121" t="e">
        <f>SUMIFS(#REF!,#REF!,Extrato!$B48,#REF!,Extrato!T$3)</f>
        <v>#REF!</v>
      </c>
      <c r="U48" s="121" t="e">
        <f>SUMIFS(#REF!,#REF!,Extrato!$B48,#REF!,Extrato!U$3)</f>
        <v>#REF!</v>
      </c>
      <c r="V48" s="121" t="e">
        <f>SUMIFS(#REF!,#REF!,Extrato!$B48,#REF!,Extrato!V$3)</f>
        <v>#REF!</v>
      </c>
      <c r="W48" s="121" t="e">
        <f>SUMIFS(#REF!,#REF!,Extrato!$B48,#REF!,Extrato!W$3)</f>
        <v>#REF!</v>
      </c>
      <c r="X48" s="121" t="e">
        <f>SUMIFS(#REF!,#REF!,Extrato!$B48,#REF!,Extrato!X$3)</f>
        <v>#REF!</v>
      </c>
      <c r="Y48" s="121" t="e">
        <f>SUMIFS(#REF!,#REF!,Extrato!$B48,#REF!,Extrato!Y$3)</f>
        <v>#REF!</v>
      </c>
      <c r="Z48" s="121" t="e">
        <f>SUMIFS(#REF!,#REF!,Extrato!$B48,#REF!,Extrato!Z$3)</f>
        <v>#REF!</v>
      </c>
      <c r="AA48" s="121" t="e">
        <f>SUMIFS(#REF!,#REF!,Extrato!$B48,#REF!,Extrato!AA$3)</f>
        <v>#REF!</v>
      </c>
      <c r="AB48" s="121" t="e">
        <f>SUMIFS(#REF!,#REF!,Extrato!$B48,#REF!,Extrato!AB$3)</f>
        <v>#REF!</v>
      </c>
      <c r="AC48" s="121" t="e">
        <f>SUMIFS(#REF!,#REF!,Extrato!$B48,#REF!,Extrato!AC$3)</f>
        <v>#REF!</v>
      </c>
      <c r="AD48" s="121" t="e">
        <f>SUMIFS(#REF!,#REF!,Extrato!$B48,#REF!,Extrato!AD$3)</f>
        <v>#REF!</v>
      </c>
      <c r="AE48" s="121" t="e">
        <f>SUMIFS(#REF!,#REF!,Extrato!$B48,#REF!,Extrato!AE$3)</f>
        <v>#REF!</v>
      </c>
      <c r="AF48" s="121" t="e">
        <f>SUMIFS(#REF!,#REF!,Extrato!$B48,#REF!,Extrato!AF$3)</f>
        <v>#REF!</v>
      </c>
      <c r="AG48" s="121" t="e">
        <f>SUMIFS(#REF!,#REF!,Extrato!$B48,#REF!,Extrato!AG$3)</f>
        <v>#REF!</v>
      </c>
      <c r="AH48" s="121" t="e">
        <f>SUMIFS(#REF!,#REF!,Extrato!$B48,#REF!,Extrato!AH$3)</f>
        <v>#REF!</v>
      </c>
      <c r="AI48" s="121" t="e">
        <f>SUMIFS(#REF!,#REF!,Extrato!$B48,#REF!,Extrato!AI$3)</f>
        <v>#REF!</v>
      </c>
      <c r="AJ48" s="121">
        <v>0</v>
      </c>
      <c r="AK48" s="121">
        <v>-0.01</v>
      </c>
      <c r="AL48" s="25" t="e">
        <f t="shared" si="1"/>
        <v>#REF!</v>
      </c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</row>
    <row r="49" spans="2:68" ht="15" customHeight="1">
      <c r="B49" s="12">
        <v>46039</v>
      </c>
      <c r="C49" s="121" t="e">
        <f t="shared" si="0"/>
        <v>#REF!</v>
      </c>
      <c r="D49" s="121" t="e">
        <f>SUMIFS(#REF!,#REF!,Extrato!$B49,#REF!,Extrato!D$3)</f>
        <v>#REF!</v>
      </c>
      <c r="E49" s="121" t="e">
        <f>SUMIFS(#REF!,#REF!,Extrato!$B49,#REF!,Extrato!E$3)</f>
        <v>#REF!</v>
      </c>
      <c r="F49" s="121" t="e">
        <f>SUMIFS(#REF!,#REF!,Extrato!$B49,#REF!,Extrato!F$3)</f>
        <v>#REF!</v>
      </c>
      <c r="G49" s="121" t="e">
        <f>SUMIFS(#REF!,#REF!,Extrato!$B49,#REF!,Extrato!G$3)</f>
        <v>#REF!</v>
      </c>
      <c r="H49" s="121" t="e">
        <f>SUMIFS(#REF!,#REF!,Extrato!$B49,#REF!,Extrato!H$3)</f>
        <v>#REF!</v>
      </c>
      <c r="I49" s="121" t="e">
        <f>SUMIFS(#REF!,#REF!,Extrato!$B49,#REF!,Extrato!I$3)</f>
        <v>#REF!</v>
      </c>
      <c r="J49" s="121" t="e">
        <f>SUMIFS(#REF!,#REF!,Extrato!$B49,#REF!,Extrato!J$3)</f>
        <v>#REF!</v>
      </c>
      <c r="K49" s="121" t="e">
        <f>SUMIFS(#REF!,#REF!,Extrato!$B49,#REF!,Extrato!K$3)</f>
        <v>#REF!</v>
      </c>
      <c r="L49" s="121" t="e">
        <f>SUMIFS(#REF!,#REF!,Extrato!$B49,#REF!,Extrato!L$3)</f>
        <v>#REF!</v>
      </c>
      <c r="M49" s="121" t="e">
        <f>SUMIFS(#REF!,#REF!,Extrato!$B49,#REF!,Extrato!M$3)</f>
        <v>#REF!</v>
      </c>
      <c r="N49" s="121" t="e">
        <f>SUMIFS(#REF!,#REF!,Extrato!$B49,#REF!,Extrato!N$3)</f>
        <v>#REF!</v>
      </c>
      <c r="O49" s="121" t="e">
        <f>SUMIFS(#REF!,#REF!,Extrato!$B49,#REF!,Extrato!O$3)</f>
        <v>#REF!</v>
      </c>
      <c r="P49" s="121">
        <f>SUMIF(BetFlow!B:B,B49,BetFlow!J:J)</f>
        <v>0</v>
      </c>
      <c r="Q49" s="121" t="e">
        <f>SUMIFS(#REF!,#REF!,Extrato!$B49,#REF!,Extrato!Q$3)</f>
        <v>#REF!</v>
      </c>
      <c r="R49" s="121" t="e">
        <f>SUMIFS(#REF!,#REF!,Extrato!$B49,#REF!,Extrato!R$3)</f>
        <v>#REF!</v>
      </c>
      <c r="S49" s="121" t="e">
        <f>SUMIFS(#REF!,#REF!,Extrato!$B49,#REF!,Extrato!S$3)</f>
        <v>#REF!</v>
      </c>
      <c r="T49" s="121" t="e">
        <f>SUMIFS(#REF!,#REF!,Extrato!$B49,#REF!,Extrato!T$3)</f>
        <v>#REF!</v>
      </c>
      <c r="U49" s="121" t="e">
        <f>SUMIFS(#REF!,#REF!,Extrato!$B49,#REF!,Extrato!U$3)</f>
        <v>#REF!</v>
      </c>
      <c r="V49" s="121" t="e">
        <f>SUMIFS(#REF!,#REF!,Extrato!$B49,#REF!,Extrato!V$3)</f>
        <v>#REF!</v>
      </c>
      <c r="W49" s="121" t="e">
        <f>SUMIFS(#REF!,#REF!,Extrato!$B49,#REF!,Extrato!W$3)</f>
        <v>#REF!</v>
      </c>
      <c r="X49" s="121" t="e">
        <f>SUMIFS(#REF!,#REF!,Extrato!$B49,#REF!,Extrato!X$3)</f>
        <v>#REF!</v>
      </c>
      <c r="Y49" s="121" t="e">
        <f>SUMIFS(#REF!,#REF!,Extrato!$B49,#REF!,Extrato!Y$3)</f>
        <v>#REF!</v>
      </c>
      <c r="Z49" s="121" t="e">
        <f>SUMIFS(#REF!,#REF!,Extrato!$B49,#REF!,Extrato!Z$3)</f>
        <v>#REF!</v>
      </c>
      <c r="AA49" s="121" t="e">
        <f>SUMIFS(#REF!,#REF!,Extrato!$B49,#REF!,Extrato!AA$3)</f>
        <v>#REF!</v>
      </c>
      <c r="AB49" s="121" t="e">
        <f>SUMIFS(#REF!,#REF!,Extrato!$B49,#REF!,Extrato!AB$3)</f>
        <v>#REF!</v>
      </c>
      <c r="AC49" s="121" t="e">
        <f>SUMIFS(#REF!,#REF!,Extrato!$B49,#REF!,Extrato!AC$3)</f>
        <v>#REF!</v>
      </c>
      <c r="AD49" s="121" t="e">
        <f>SUMIFS(#REF!,#REF!,Extrato!$B49,#REF!,Extrato!AD$3)</f>
        <v>#REF!</v>
      </c>
      <c r="AE49" s="121" t="e">
        <f>SUMIFS(#REF!,#REF!,Extrato!$B49,#REF!,Extrato!AE$3)</f>
        <v>#REF!</v>
      </c>
      <c r="AF49" s="121" t="e">
        <f>SUMIFS(#REF!,#REF!,Extrato!$B49,#REF!,Extrato!AF$3)</f>
        <v>#REF!</v>
      </c>
      <c r="AG49" s="121" t="e">
        <f>SUMIFS(#REF!,#REF!,Extrato!$B49,#REF!,Extrato!AG$3)</f>
        <v>#REF!</v>
      </c>
      <c r="AH49" s="121" t="e">
        <f>SUMIFS(#REF!,#REF!,Extrato!$B49,#REF!,Extrato!AH$3)</f>
        <v>#REF!</v>
      </c>
      <c r="AI49" s="121" t="e">
        <f>SUMIFS(#REF!,#REF!,Extrato!$B49,#REF!,Extrato!AI$3)</f>
        <v>#REF!</v>
      </c>
      <c r="AJ49" s="121">
        <v>0</v>
      </c>
      <c r="AK49" s="121">
        <v>-0.03</v>
      </c>
      <c r="AL49" s="25" t="e">
        <f t="shared" si="1"/>
        <v>#REF!</v>
      </c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</row>
    <row r="50" spans="2:68" ht="15" customHeight="1">
      <c r="B50" s="12">
        <v>46040</v>
      </c>
      <c r="C50" s="121" t="e">
        <f t="shared" si="0"/>
        <v>#REF!</v>
      </c>
      <c r="D50" s="121" t="e">
        <f>SUMIFS(#REF!,#REF!,Extrato!$B50,#REF!,Extrato!D$3)</f>
        <v>#REF!</v>
      </c>
      <c r="E50" s="121" t="e">
        <f>SUMIFS(#REF!,#REF!,Extrato!$B50,#REF!,Extrato!E$3)</f>
        <v>#REF!</v>
      </c>
      <c r="F50" s="121" t="e">
        <f>SUMIFS(#REF!,#REF!,Extrato!$B50,#REF!,Extrato!F$3)</f>
        <v>#REF!</v>
      </c>
      <c r="G50" s="121" t="e">
        <f>SUMIFS(#REF!,#REF!,Extrato!$B50,#REF!,Extrato!G$3)</f>
        <v>#REF!</v>
      </c>
      <c r="H50" s="121" t="e">
        <f>SUMIFS(#REF!,#REF!,Extrato!$B50,#REF!,Extrato!H$3)</f>
        <v>#REF!</v>
      </c>
      <c r="I50" s="121" t="e">
        <f>SUMIFS(#REF!,#REF!,Extrato!$B50,#REF!,Extrato!I$3)</f>
        <v>#REF!</v>
      </c>
      <c r="J50" s="121" t="e">
        <f>SUMIFS(#REF!,#REF!,Extrato!$B50,#REF!,Extrato!J$3)</f>
        <v>#REF!</v>
      </c>
      <c r="K50" s="121" t="e">
        <f>SUMIFS(#REF!,#REF!,Extrato!$B50,#REF!,Extrato!K$3)</f>
        <v>#REF!</v>
      </c>
      <c r="L50" s="121" t="e">
        <f>SUMIFS(#REF!,#REF!,Extrato!$B50,#REF!,Extrato!L$3)</f>
        <v>#REF!</v>
      </c>
      <c r="M50" s="121" t="e">
        <f>SUMIFS(#REF!,#REF!,Extrato!$B50,#REF!,Extrato!M$3)</f>
        <v>#REF!</v>
      </c>
      <c r="N50" s="121" t="e">
        <f>SUMIFS(#REF!,#REF!,Extrato!$B50,#REF!,Extrato!N$3)</f>
        <v>#REF!</v>
      </c>
      <c r="O50" s="121" t="e">
        <f>SUMIFS(#REF!,#REF!,Extrato!$B50,#REF!,Extrato!O$3)</f>
        <v>#REF!</v>
      </c>
      <c r="P50" s="121">
        <f>SUMIF(BetFlow!B:B,B50,BetFlow!J:J)</f>
        <v>0</v>
      </c>
      <c r="Q50" s="121" t="e">
        <f>SUMIFS(#REF!,#REF!,Extrato!$B50,#REF!,Extrato!Q$3)</f>
        <v>#REF!</v>
      </c>
      <c r="R50" s="121" t="e">
        <f>SUMIFS(#REF!,#REF!,Extrato!$B50,#REF!,Extrato!R$3)</f>
        <v>#REF!</v>
      </c>
      <c r="S50" s="121" t="e">
        <f>SUMIFS(#REF!,#REF!,Extrato!$B50,#REF!,Extrato!S$3)</f>
        <v>#REF!</v>
      </c>
      <c r="T50" s="121" t="e">
        <f>SUMIFS(#REF!,#REF!,Extrato!$B50,#REF!,Extrato!T$3)</f>
        <v>#REF!</v>
      </c>
      <c r="U50" s="121" t="e">
        <f>SUMIFS(#REF!,#REF!,Extrato!$B50,#REF!,Extrato!U$3)</f>
        <v>#REF!</v>
      </c>
      <c r="V50" s="121" t="e">
        <f>SUMIFS(#REF!,#REF!,Extrato!$B50,#REF!,Extrato!V$3)</f>
        <v>#REF!</v>
      </c>
      <c r="W50" s="121" t="e">
        <f>SUMIFS(#REF!,#REF!,Extrato!$B50,#REF!,Extrato!W$3)</f>
        <v>#REF!</v>
      </c>
      <c r="X50" s="121" t="e">
        <f>SUMIFS(#REF!,#REF!,Extrato!$B50,#REF!,Extrato!X$3)</f>
        <v>#REF!</v>
      </c>
      <c r="Y50" s="121" t="e">
        <f>SUMIFS(#REF!,#REF!,Extrato!$B50,#REF!,Extrato!Y$3)</f>
        <v>#REF!</v>
      </c>
      <c r="Z50" s="121" t="e">
        <f>SUMIFS(#REF!,#REF!,Extrato!$B50,#REF!,Extrato!Z$3)</f>
        <v>#REF!</v>
      </c>
      <c r="AA50" s="121" t="e">
        <f>SUMIFS(#REF!,#REF!,Extrato!$B50,#REF!,Extrato!AA$3)</f>
        <v>#REF!</v>
      </c>
      <c r="AB50" s="121" t="e">
        <f>SUMIFS(#REF!,#REF!,Extrato!$B50,#REF!,Extrato!AB$3)</f>
        <v>#REF!</v>
      </c>
      <c r="AC50" s="121" t="e">
        <f>SUMIFS(#REF!,#REF!,Extrato!$B50,#REF!,Extrato!AC$3)</f>
        <v>#REF!</v>
      </c>
      <c r="AD50" s="121" t="e">
        <f>SUMIFS(#REF!,#REF!,Extrato!$B50,#REF!,Extrato!AD$3)</f>
        <v>#REF!</v>
      </c>
      <c r="AE50" s="121" t="e">
        <f>SUMIFS(#REF!,#REF!,Extrato!$B50,#REF!,Extrato!AE$3)</f>
        <v>#REF!</v>
      </c>
      <c r="AF50" s="121" t="e">
        <f>SUMIFS(#REF!,#REF!,Extrato!$B50,#REF!,Extrato!AF$3)</f>
        <v>#REF!</v>
      </c>
      <c r="AG50" s="121" t="e">
        <f>SUMIFS(#REF!,#REF!,Extrato!$B50,#REF!,Extrato!AG$3)</f>
        <v>#REF!</v>
      </c>
      <c r="AH50" s="121" t="e">
        <f>SUMIFS(#REF!,#REF!,Extrato!$B50,#REF!,Extrato!AH$3)</f>
        <v>#REF!</v>
      </c>
      <c r="AI50" s="121" t="e">
        <f>SUMIFS(#REF!,#REF!,Extrato!$B50,#REF!,Extrato!AI$3)</f>
        <v>#REF!</v>
      </c>
      <c r="AJ50" s="121">
        <v>0</v>
      </c>
      <c r="AK50" s="121">
        <v>-0.01</v>
      </c>
      <c r="AL50" s="25" t="e">
        <f t="shared" si="1"/>
        <v>#REF!</v>
      </c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</row>
    <row r="51" spans="2:68" ht="15" customHeight="1">
      <c r="B51" s="12">
        <v>46041</v>
      </c>
      <c r="C51" s="121" t="e">
        <f t="shared" si="0"/>
        <v>#REF!</v>
      </c>
      <c r="D51" s="121" t="e">
        <f>SUMIFS(#REF!,#REF!,Extrato!$B51,#REF!,Extrato!D$3)</f>
        <v>#REF!</v>
      </c>
      <c r="E51" s="121" t="e">
        <f>SUMIFS(#REF!,#REF!,Extrato!$B51,#REF!,Extrato!E$3)</f>
        <v>#REF!</v>
      </c>
      <c r="F51" s="121" t="e">
        <f>SUMIFS(#REF!,#REF!,Extrato!$B51,#REF!,Extrato!F$3)</f>
        <v>#REF!</v>
      </c>
      <c r="G51" s="121" t="e">
        <f>SUMIFS(#REF!,#REF!,Extrato!$B51,#REF!,Extrato!G$3)</f>
        <v>#REF!</v>
      </c>
      <c r="H51" s="121" t="e">
        <f>SUMIFS(#REF!,#REF!,Extrato!$B51,#REF!,Extrato!H$3)</f>
        <v>#REF!</v>
      </c>
      <c r="I51" s="121" t="e">
        <f>SUMIFS(#REF!,#REF!,Extrato!$B51,#REF!,Extrato!I$3)</f>
        <v>#REF!</v>
      </c>
      <c r="J51" s="121" t="e">
        <f>SUMIFS(#REF!,#REF!,Extrato!$B51,#REF!,Extrato!J$3)</f>
        <v>#REF!</v>
      </c>
      <c r="K51" s="121" t="e">
        <f>SUMIFS(#REF!,#REF!,Extrato!$B51,#REF!,Extrato!K$3)</f>
        <v>#REF!</v>
      </c>
      <c r="L51" s="121" t="e">
        <f>SUMIFS(#REF!,#REF!,Extrato!$B51,#REF!,Extrato!L$3)</f>
        <v>#REF!</v>
      </c>
      <c r="M51" s="121" t="e">
        <f>SUMIFS(#REF!,#REF!,Extrato!$B51,#REF!,Extrato!M$3)</f>
        <v>#REF!</v>
      </c>
      <c r="N51" s="121" t="e">
        <f>SUMIFS(#REF!,#REF!,Extrato!$B51,#REF!,Extrato!N$3)</f>
        <v>#REF!</v>
      </c>
      <c r="O51" s="121" t="e">
        <f>SUMIFS(#REF!,#REF!,Extrato!$B51,#REF!,Extrato!O$3)</f>
        <v>#REF!</v>
      </c>
      <c r="P51" s="121">
        <f>SUMIF(BetFlow!B:B,B51,BetFlow!J:J)</f>
        <v>0</v>
      </c>
      <c r="Q51" s="121" t="e">
        <f>SUMIFS(#REF!,#REF!,Extrato!$B51,#REF!,Extrato!Q$3)</f>
        <v>#REF!</v>
      </c>
      <c r="R51" s="121" t="e">
        <f>SUMIFS(#REF!,#REF!,Extrato!$B51,#REF!,Extrato!R$3)</f>
        <v>#REF!</v>
      </c>
      <c r="S51" s="121" t="e">
        <f>SUMIFS(#REF!,#REF!,Extrato!$B51,#REF!,Extrato!S$3)</f>
        <v>#REF!</v>
      </c>
      <c r="T51" s="121" t="e">
        <f>SUMIFS(#REF!,#REF!,Extrato!$B51,#REF!,Extrato!T$3)</f>
        <v>#REF!</v>
      </c>
      <c r="U51" s="121" t="e">
        <f>SUMIFS(#REF!,#REF!,Extrato!$B51,#REF!,Extrato!U$3)</f>
        <v>#REF!</v>
      </c>
      <c r="V51" s="121" t="e">
        <f>SUMIFS(#REF!,#REF!,Extrato!$B51,#REF!,Extrato!V$3)</f>
        <v>#REF!</v>
      </c>
      <c r="W51" s="121" t="e">
        <f>SUMIFS(#REF!,#REF!,Extrato!$B51,#REF!,Extrato!W$3)</f>
        <v>#REF!</v>
      </c>
      <c r="X51" s="121" t="e">
        <f>SUMIFS(#REF!,#REF!,Extrato!$B51,#REF!,Extrato!X$3)</f>
        <v>#REF!</v>
      </c>
      <c r="Y51" s="121" t="e">
        <f>SUMIFS(#REF!,#REF!,Extrato!$B51,#REF!,Extrato!Y$3)</f>
        <v>#REF!</v>
      </c>
      <c r="Z51" s="121" t="e">
        <f>SUMIFS(#REF!,#REF!,Extrato!$B51,#REF!,Extrato!Z$3)</f>
        <v>#REF!</v>
      </c>
      <c r="AA51" s="121" t="e">
        <f>SUMIFS(#REF!,#REF!,Extrato!$B51,#REF!,Extrato!AA$3)</f>
        <v>#REF!</v>
      </c>
      <c r="AB51" s="121" t="e">
        <f>SUMIFS(#REF!,#REF!,Extrato!$B51,#REF!,Extrato!AB$3)</f>
        <v>#REF!</v>
      </c>
      <c r="AC51" s="121" t="e">
        <f>SUMIFS(#REF!,#REF!,Extrato!$B51,#REF!,Extrato!AC$3)</f>
        <v>#REF!</v>
      </c>
      <c r="AD51" s="121" t="e">
        <f>SUMIFS(#REF!,#REF!,Extrato!$B51,#REF!,Extrato!AD$3)</f>
        <v>#REF!</v>
      </c>
      <c r="AE51" s="121" t="e">
        <f>SUMIFS(#REF!,#REF!,Extrato!$B51,#REF!,Extrato!AE$3)</f>
        <v>#REF!</v>
      </c>
      <c r="AF51" s="121" t="e">
        <f>SUMIFS(#REF!,#REF!,Extrato!$B51,#REF!,Extrato!AF$3)</f>
        <v>#REF!</v>
      </c>
      <c r="AG51" s="121" t="e">
        <f>SUMIFS(#REF!,#REF!,Extrato!$B51,#REF!,Extrato!AG$3)</f>
        <v>#REF!</v>
      </c>
      <c r="AH51" s="121" t="e">
        <f>SUMIFS(#REF!,#REF!,Extrato!$B51,#REF!,Extrato!AH$3)</f>
        <v>#REF!</v>
      </c>
      <c r="AI51" s="121" t="e">
        <f>SUMIFS(#REF!,#REF!,Extrato!$B51,#REF!,Extrato!AI$3)</f>
        <v>#REF!</v>
      </c>
      <c r="AJ51" s="121">
        <v>0</v>
      </c>
      <c r="AK51" s="121"/>
      <c r="AL51" s="25" t="e">
        <f t="shared" si="1"/>
        <v>#REF!</v>
      </c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</row>
    <row r="52" spans="2:68" ht="15" customHeight="1">
      <c r="B52" s="12">
        <v>46042</v>
      </c>
      <c r="C52" s="121" t="e">
        <f t="shared" si="0"/>
        <v>#REF!</v>
      </c>
      <c r="D52" s="121" t="e">
        <f>SUMIFS(#REF!,#REF!,Extrato!$B52,#REF!,Extrato!D$3)</f>
        <v>#REF!</v>
      </c>
      <c r="E52" s="121" t="e">
        <f>SUMIFS(#REF!,#REF!,Extrato!$B52,#REF!,Extrato!E$3)</f>
        <v>#REF!</v>
      </c>
      <c r="F52" s="121" t="e">
        <f>SUMIFS(#REF!,#REF!,Extrato!$B52,#REF!,Extrato!F$3)</f>
        <v>#REF!</v>
      </c>
      <c r="G52" s="121" t="e">
        <f>SUMIFS(#REF!,#REF!,Extrato!$B52,#REF!,Extrato!G$3)</f>
        <v>#REF!</v>
      </c>
      <c r="H52" s="121" t="e">
        <f>SUMIFS(#REF!,#REF!,Extrato!$B52,#REF!,Extrato!H$3)</f>
        <v>#REF!</v>
      </c>
      <c r="I52" s="121" t="e">
        <f>SUMIFS(#REF!,#REF!,Extrato!$B52,#REF!,Extrato!I$3)</f>
        <v>#REF!</v>
      </c>
      <c r="J52" s="121" t="e">
        <f>SUMIFS(#REF!,#REF!,Extrato!$B52,#REF!,Extrato!J$3)</f>
        <v>#REF!</v>
      </c>
      <c r="K52" s="121" t="e">
        <f>SUMIFS(#REF!,#REF!,Extrato!$B52,#REF!,Extrato!K$3)</f>
        <v>#REF!</v>
      </c>
      <c r="L52" s="121" t="e">
        <f>SUMIFS(#REF!,#REF!,Extrato!$B52,#REF!,Extrato!L$3)</f>
        <v>#REF!</v>
      </c>
      <c r="M52" s="121" t="e">
        <f>SUMIFS(#REF!,#REF!,Extrato!$B52,#REF!,Extrato!M$3)</f>
        <v>#REF!</v>
      </c>
      <c r="N52" s="121" t="e">
        <f>SUMIFS(#REF!,#REF!,Extrato!$B52,#REF!,Extrato!N$3)</f>
        <v>#REF!</v>
      </c>
      <c r="O52" s="121" t="e">
        <f>SUMIFS(#REF!,#REF!,Extrato!$B52,#REF!,Extrato!O$3)</f>
        <v>#REF!</v>
      </c>
      <c r="P52" s="121">
        <f>SUMIF(BetFlow!B:B,B52,BetFlow!J:J)</f>
        <v>0</v>
      </c>
      <c r="Q52" s="121" t="e">
        <f>SUMIFS(#REF!,#REF!,Extrato!$B52,#REF!,Extrato!Q$3)</f>
        <v>#REF!</v>
      </c>
      <c r="R52" s="121" t="e">
        <f>SUMIFS(#REF!,#REF!,Extrato!$B52,#REF!,Extrato!R$3)</f>
        <v>#REF!</v>
      </c>
      <c r="S52" s="121" t="e">
        <f>SUMIFS(#REF!,#REF!,Extrato!$B52,#REF!,Extrato!S$3)</f>
        <v>#REF!</v>
      </c>
      <c r="T52" s="121" t="e">
        <f>SUMIFS(#REF!,#REF!,Extrato!$B52,#REF!,Extrato!T$3)</f>
        <v>#REF!</v>
      </c>
      <c r="U52" s="121" t="e">
        <f>SUMIFS(#REF!,#REF!,Extrato!$B52,#REF!,Extrato!U$3)</f>
        <v>#REF!</v>
      </c>
      <c r="V52" s="121" t="e">
        <f>SUMIFS(#REF!,#REF!,Extrato!$B52,#REF!,Extrato!V$3)</f>
        <v>#REF!</v>
      </c>
      <c r="W52" s="121" t="e">
        <f>SUMIFS(#REF!,#REF!,Extrato!$B52,#REF!,Extrato!W$3)</f>
        <v>#REF!</v>
      </c>
      <c r="X52" s="121" t="e">
        <f>SUMIFS(#REF!,#REF!,Extrato!$B52,#REF!,Extrato!X$3)</f>
        <v>#REF!</v>
      </c>
      <c r="Y52" s="121" t="e">
        <f>SUMIFS(#REF!,#REF!,Extrato!$B52,#REF!,Extrato!Y$3)</f>
        <v>#REF!</v>
      </c>
      <c r="Z52" s="121" t="e">
        <f>SUMIFS(#REF!,#REF!,Extrato!$B52,#REF!,Extrato!Z$3)</f>
        <v>#REF!</v>
      </c>
      <c r="AA52" s="121" t="e">
        <f>SUMIFS(#REF!,#REF!,Extrato!$B52,#REF!,Extrato!AA$3)</f>
        <v>#REF!</v>
      </c>
      <c r="AB52" s="121" t="e">
        <f>SUMIFS(#REF!,#REF!,Extrato!$B52,#REF!,Extrato!AB$3)</f>
        <v>#REF!</v>
      </c>
      <c r="AC52" s="121" t="e">
        <f>SUMIFS(#REF!,#REF!,Extrato!$B52,#REF!,Extrato!AC$3)</f>
        <v>#REF!</v>
      </c>
      <c r="AD52" s="121" t="e">
        <f>SUMIFS(#REF!,#REF!,Extrato!$B52,#REF!,Extrato!AD$3)</f>
        <v>#REF!</v>
      </c>
      <c r="AE52" s="121" t="e">
        <f>SUMIFS(#REF!,#REF!,Extrato!$B52,#REF!,Extrato!AE$3)</f>
        <v>#REF!</v>
      </c>
      <c r="AF52" s="121" t="e">
        <f>SUMIFS(#REF!,#REF!,Extrato!$B52,#REF!,Extrato!AF$3)</f>
        <v>#REF!</v>
      </c>
      <c r="AG52" s="121" t="e">
        <f>SUMIFS(#REF!,#REF!,Extrato!$B52,#REF!,Extrato!AG$3)</f>
        <v>#REF!</v>
      </c>
      <c r="AH52" s="121" t="e">
        <f>SUMIFS(#REF!,#REF!,Extrato!$B52,#REF!,Extrato!AH$3)</f>
        <v>#REF!</v>
      </c>
      <c r="AI52" s="121" t="e">
        <f>SUMIFS(#REF!,#REF!,Extrato!$B52,#REF!,Extrato!AI$3)</f>
        <v>#REF!</v>
      </c>
      <c r="AJ52" s="121">
        <v>0</v>
      </c>
      <c r="AK52" s="121">
        <v>-0.01</v>
      </c>
      <c r="AL52" s="25" t="e">
        <f t="shared" si="1"/>
        <v>#REF!</v>
      </c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</row>
    <row r="53" spans="2:68" ht="15" customHeight="1">
      <c r="B53" s="12">
        <v>46043</v>
      </c>
      <c r="C53" s="121" t="e">
        <f t="shared" si="0"/>
        <v>#REF!</v>
      </c>
      <c r="D53" s="121" t="e">
        <f>SUMIFS(#REF!,#REF!,Extrato!$B53,#REF!,Extrato!D$3)</f>
        <v>#REF!</v>
      </c>
      <c r="E53" s="121" t="e">
        <f>SUMIFS(#REF!,#REF!,Extrato!$B53,#REF!,Extrato!E$3)</f>
        <v>#REF!</v>
      </c>
      <c r="F53" s="121" t="e">
        <f>SUMIFS(#REF!,#REF!,Extrato!$B53,#REF!,Extrato!F$3)</f>
        <v>#REF!</v>
      </c>
      <c r="G53" s="121" t="e">
        <f>SUMIFS(#REF!,#REF!,Extrato!$B53,#REF!,Extrato!G$3)</f>
        <v>#REF!</v>
      </c>
      <c r="H53" s="121" t="e">
        <f>SUMIFS(#REF!,#REF!,Extrato!$B53,#REF!,Extrato!H$3)</f>
        <v>#REF!</v>
      </c>
      <c r="I53" s="121" t="e">
        <f>SUMIFS(#REF!,#REF!,Extrato!$B53,#REF!,Extrato!I$3)</f>
        <v>#REF!</v>
      </c>
      <c r="J53" s="121" t="e">
        <f>SUMIFS(#REF!,#REF!,Extrato!$B53,#REF!,Extrato!J$3)</f>
        <v>#REF!</v>
      </c>
      <c r="K53" s="121" t="e">
        <f>SUMIFS(#REF!,#REF!,Extrato!$B53,#REF!,Extrato!K$3)</f>
        <v>#REF!</v>
      </c>
      <c r="L53" s="121" t="e">
        <f>SUMIFS(#REF!,#REF!,Extrato!$B53,#REF!,Extrato!L$3)</f>
        <v>#REF!</v>
      </c>
      <c r="M53" s="121" t="e">
        <f>SUMIFS(#REF!,#REF!,Extrato!$B53,#REF!,Extrato!M$3)</f>
        <v>#REF!</v>
      </c>
      <c r="N53" s="121" t="e">
        <f>SUMIFS(#REF!,#REF!,Extrato!$B53,#REF!,Extrato!N$3)</f>
        <v>#REF!</v>
      </c>
      <c r="O53" s="121" t="e">
        <f>SUMIFS(#REF!,#REF!,Extrato!$B53,#REF!,Extrato!O$3)</f>
        <v>#REF!</v>
      </c>
      <c r="P53" s="121">
        <f>SUMIF(BetFlow!B:B,B53,BetFlow!J:J)</f>
        <v>0</v>
      </c>
      <c r="Q53" s="121" t="e">
        <f>SUMIFS(#REF!,#REF!,Extrato!$B53,#REF!,Extrato!Q$3)</f>
        <v>#REF!</v>
      </c>
      <c r="R53" s="121" t="e">
        <f>SUMIFS(#REF!,#REF!,Extrato!$B53,#REF!,Extrato!R$3)</f>
        <v>#REF!</v>
      </c>
      <c r="S53" s="121" t="e">
        <f>SUMIFS(#REF!,#REF!,Extrato!$B53,#REF!,Extrato!S$3)</f>
        <v>#REF!</v>
      </c>
      <c r="T53" s="121" t="e">
        <f>SUMIFS(#REF!,#REF!,Extrato!$B53,#REF!,Extrato!T$3)</f>
        <v>#REF!</v>
      </c>
      <c r="U53" s="121" t="e">
        <f>SUMIFS(#REF!,#REF!,Extrato!$B53,#REF!,Extrato!U$3)</f>
        <v>#REF!</v>
      </c>
      <c r="V53" s="121" t="e">
        <f>SUMIFS(#REF!,#REF!,Extrato!$B53,#REF!,Extrato!V$3)</f>
        <v>#REF!</v>
      </c>
      <c r="W53" s="121" t="e">
        <f>SUMIFS(#REF!,#REF!,Extrato!$B53,#REF!,Extrato!W$3)</f>
        <v>#REF!</v>
      </c>
      <c r="X53" s="121" t="e">
        <f>SUMIFS(#REF!,#REF!,Extrato!$B53,#REF!,Extrato!X$3)</f>
        <v>#REF!</v>
      </c>
      <c r="Y53" s="121" t="e">
        <f>SUMIFS(#REF!,#REF!,Extrato!$B53,#REF!,Extrato!Y$3)</f>
        <v>#REF!</v>
      </c>
      <c r="Z53" s="121" t="e">
        <f>SUMIFS(#REF!,#REF!,Extrato!$B53,#REF!,Extrato!Z$3)</f>
        <v>#REF!</v>
      </c>
      <c r="AA53" s="121" t="e">
        <f>SUMIFS(#REF!,#REF!,Extrato!$B53,#REF!,Extrato!AA$3)</f>
        <v>#REF!</v>
      </c>
      <c r="AB53" s="121" t="e">
        <f>SUMIFS(#REF!,#REF!,Extrato!$B53,#REF!,Extrato!AB$3)</f>
        <v>#REF!</v>
      </c>
      <c r="AC53" s="121" t="e">
        <f>SUMIFS(#REF!,#REF!,Extrato!$B53,#REF!,Extrato!AC$3)</f>
        <v>#REF!</v>
      </c>
      <c r="AD53" s="121" t="e">
        <f>SUMIFS(#REF!,#REF!,Extrato!$B53,#REF!,Extrato!AD$3)</f>
        <v>#REF!</v>
      </c>
      <c r="AE53" s="121" t="e">
        <f>SUMIFS(#REF!,#REF!,Extrato!$B53,#REF!,Extrato!AE$3)</f>
        <v>#REF!</v>
      </c>
      <c r="AF53" s="121" t="e">
        <f>SUMIFS(#REF!,#REF!,Extrato!$B53,#REF!,Extrato!AF$3)</f>
        <v>#REF!</v>
      </c>
      <c r="AG53" s="121" t="e">
        <f>SUMIFS(#REF!,#REF!,Extrato!$B53,#REF!,Extrato!AG$3)</f>
        <v>#REF!</v>
      </c>
      <c r="AH53" s="121" t="e">
        <f>SUMIFS(#REF!,#REF!,Extrato!$B53,#REF!,Extrato!AH$3)</f>
        <v>#REF!</v>
      </c>
      <c r="AI53" s="121" t="e">
        <f>SUMIFS(#REF!,#REF!,Extrato!$B53,#REF!,Extrato!AI$3)</f>
        <v>#REF!</v>
      </c>
      <c r="AJ53" s="121">
        <v>0</v>
      </c>
      <c r="AK53" s="121"/>
      <c r="AL53" s="25" t="e">
        <f t="shared" si="1"/>
        <v>#REF!</v>
      </c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</row>
    <row r="54" spans="2:68" ht="15" customHeight="1">
      <c r="B54" s="12">
        <v>46044</v>
      </c>
      <c r="C54" s="121" t="e">
        <f t="shared" si="0"/>
        <v>#REF!</v>
      </c>
      <c r="D54" s="121" t="e">
        <f>SUMIFS(#REF!,#REF!,Extrato!$B54,#REF!,Extrato!D$3)</f>
        <v>#REF!</v>
      </c>
      <c r="E54" s="121" t="e">
        <f>SUMIFS(#REF!,#REF!,Extrato!$B54,#REF!,Extrato!E$3)</f>
        <v>#REF!</v>
      </c>
      <c r="F54" s="121" t="e">
        <f>SUMIFS(#REF!,#REF!,Extrato!$B54,#REF!,Extrato!F$3)</f>
        <v>#REF!</v>
      </c>
      <c r="G54" s="121" t="e">
        <f>SUMIFS(#REF!,#REF!,Extrato!$B54,#REF!,Extrato!G$3)</f>
        <v>#REF!</v>
      </c>
      <c r="H54" s="121" t="e">
        <f>SUMIFS(#REF!,#REF!,Extrato!$B54,#REF!,Extrato!H$3)</f>
        <v>#REF!</v>
      </c>
      <c r="I54" s="121" t="e">
        <f>SUMIFS(#REF!,#REF!,Extrato!$B54,#REF!,Extrato!I$3)</f>
        <v>#REF!</v>
      </c>
      <c r="J54" s="121" t="e">
        <f>SUMIFS(#REF!,#REF!,Extrato!$B54,#REF!,Extrato!J$3)</f>
        <v>#REF!</v>
      </c>
      <c r="K54" s="121" t="e">
        <f>SUMIFS(#REF!,#REF!,Extrato!$B54,#REF!,Extrato!K$3)</f>
        <v>#REF!</v>
      </c>
      <c r="L54" s="121" t="e">
        <f>SUMIFS(#REF!,#REF!,Extrato!$B54,#REF!,Extrato!L$3)</f>
        <v>#REF!</v>
      </c>
      <c r="M54" s="121" t="e">
        <f>SUMIFS(#REF!,#REF!,Extrato!$B54,#REF!,Extrato!M$3)</f>
        <v>#REF!</v>
      </c>
      <c r="N54" s="121" t="e">
        <f>SUMIFS(#REF!,#REF!,Extrato!$B54,#REF!,Extrato!N$3)</f>
        <v>#REF!</v>
      </c>
      <c r="O54" s="121" t="e">
        <f>SUMIFS(#REF!,#REF!,Extrato!$B54,#REF!,Extrato!O$3)</f>
        <v>#REF!</v>
      </c>
      <c r="P54" s="121">
        <f>SUMIF(BetFlow!B:B,B54,BetFlow!J:J)</f>
        <v>0</v>
      </c>
      <c r="Q54" s="121" t="e">
        <f>SUMIFS(#REF!,#REF!,Extrato!$B54,#REF!,Extrato!Q$3)</f>
        <v>#REF!</v>
      </c>
      <c r="R54" s="121" t="e">
        <f>SUMIFS(#REF!,#REF!,Extrato!$B54,#REF!,Extrato!R$3)</f>
        <v>#REF!</v>
      </c>
      <c r="S54" s="121" t="e">
        <f>SUMIFS(#REF!,#REF!,Extrato!$B54,#REF!,Extrato!S$3)</f>
        <v>#REF!</v>
      </c>
      <c r="T54" s="121" t="e">
        <f>SUMIFS(#REF!,#REF!,Extrato!$B54,#REF!,Extrato!T$3)</f>
        <v>#REF!</v>
      </c>
      <c r="U54" s="121" t="e">
        <f>SUMIFS(#REF!,#REF!,Extrato!$B54,#REF!,Extrato!U$3)</f>
        <v>#REF!</v>
      </c>
      <c r="V54" s="121" t="e">
        <f>SUMIFS(#REF!,#REF!,Extrato!$B54,#REF!,Extrato!V$3)</f>
        <v>#REF!</v>
      </c>
      <c r="W54" s="121" t="e">
        <f>SUMIFS(#REF!,#REF!,Extrato!$B54,#REF!,Extrato!W$3)</f>
        <v>#REF!</v>
      </c>
      <c r="X54" s="121" t="e">
        <f>SUMIFS(#REF!,#REF!,Extrato!$B54,#REF!,Extrato!X$3)</f>
        <v>#REF!</v>
      </c>
      <c r="Y54" s="121" t="e">
        <f>SUMIFS(#REF!,#REF!,Extrato!$B54,#REF!,Extrato!Y$3)</f>
        <v>#REF!</v>
      </c>
      <c r="Z54" s="121" t="e">
        <f>SUMIFS(#REF!,#REF!,Extrato!$B54,#REF!,Extrato!Z$3)</f>
        <v>#REF!</v>
      </c>
      <c r="AA54" s="121" t="e">
        <f>SUMIFS(#REF!,#REF!,Extrato!$B54,#REF!,Extrato!AA$3)</f>
        <v>#REF!</v>
      </c>
      <c r="AB54" s="121" t="e">
        <f>SUMIFS(#REF!,#REF!,Extrato!$B54,#REF!,Extrato!AB$3)</f>
        <v>#REF!</v>
      </c>
      <c r="AC54" s="121" t="e">
        <f>SUMIFS(#REF!,#REF!,Extrato!$B54,#REF!,Extrato!AC$3)</f>
        <v>#REF!</v>
      </c>
      <c r="AD54" s="121" t="e">
        <f>SUMIFS(#REF!,#REF!,Extrato!$B54,#REF!,Extrato!AD$3)</f>
        <v>#REF!</v>
      </c>
      <c r="AE54" s="121" t="e">
        <f>SUMIFS(#REF!,#REF!,Extrato!$B54,#REF!,Extrato!AE$3)</f>
        <v>#REF!</v>
      </c>
      <c r="AF54" s="121" t="e">
        <f>SUMIFS(#REF!,#REF!,Extrato!$B54,#REF!,Extrato!AF$3)</f>
        <v>#REF!</v>
      </c>
      <c r="AG54" s="121" t="e">
        <f>SUMIFS(#REF!,#REF!,Extrato!$B54,#REF!,Extrato!AG$3)</f>
        <v>#REF!</v>
      </c>
      <c r="AH54" s="121" t="e">
        <f>SUMIFS(#REF!,#REF!,Extrato!$B54,#REF!,Extrato!AH$3)</f>
        <v>#REF!</v>
      </c>
      <c r="AI54" s="121" t="e">
        <f>SUMIFS(#REF!,#REF!,Extrato!$B54,#REF!,Extrato!AI$3)</f>
        <v>#REF!</v>
      </c>
      <c r="AJ54" s="121">
        <v>0</v>
      </c>
      <c r="AK54" s="121">
        <v>-0.01</v>
      </c>
      <c r="AL54" s="25" t="e">
        <f t="shared" si="1"/>
        <v>#REF!</v>
      </c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</row>
    <row r="55" spans="2:68" ht="15" customHeight="1">
      <c r="B55" s="12">
        <v>46045</v>
      </c>
      <c r="C55" s="121" t="e">
        <f t="shared" si="0"/>
        <v>#REF!</v>
      </c>
      <c r="D55" s="121" t="e">
        <f>SUMIFS(#REF!,#REF!,Extrato!$B55,#REF!,Extrato!D$3)</f>
        <v>#REF!</v>
      </c>
      <c r="E55" s="121" t="e">
        <f>SUMIFS(#REF!,#REF!,Extrato!$B55,#REF!,Extrato!E$3)</f>
        <v>#REF!</v>
      </c>
      <c r="F55" s="121" t="e">
        <f>SUMIFS(#REF!,#REF!,Extrato!$B55,#REF!,Extrato!F$3)</f>
        <v>#REF!</v>
      </c>
      <c r="G55" s="121" t="e">
        <f>SUMIFS(#REF!,#REF!,Extrato!$B55,#REF!,Extrato!G$3)</f>
        <v>#REF!</v>
      </c>
      <c r="H55" s="121" t="e">
        <f>SUMIFS(#REF!,#REF!,Extrato!$B55,#REF!,Extrato!H$3)</f>
        <v>#REF!</v>
      </c>
      <c r="I55" s="121" t="e">
        <f>SUMIFS(#REF!,#REF!,Extrato!$B55,#REF!,Extrato!I$3)</f>
        <v>#REF!</v>
      </c>
      <c r="J55" s="121" t="e">
        <f>SUMIFS(#REF!,#REF!,Extrato!$B55,#REF!,Extrato!J$3)</f>
        <v>#REF!</v>
      </c>
      <c r="K55" s="121" t="e">
        <f>SUMIFS(#REF!,#REF!,Extrato!$B55,#REF!,Extrato!K$3)</f>
        <v>#REF!</v>
      </c>
      <c r="L55" s="121" t="e">
        <f>SUMIFS(#REF!,#REF!,Extrato!$B55,#REF!,Extrato!L$3)</f>
        <v>#REF!</v>
      </c>
      <c r="M55" s="121" t="e">
        <f>SUMIFS(#REF!,#REF!,Extrato!$B55,#REF!,Extrato!M$3)</f>
        <v>#REF!</v>
      </c>
      <c r="N55" s="121" t="e">
        <f>SUMIFS(#REF!,#REF!,Extrato!$B55,#REF!,Extrato!N$3)</f>
        <v>#REF!</v>
      </c>
      <c r="O55" s="121" t="e">
        <f>SUMIFS(#REF!,#REF!,Extrato!$B55,#REF!,Extrato!O$3)</f>
        <v>#REF!</v>
      </c>
      <c r="P55" s="121">
        <f>SUMIF(BetFlow!B:B,B55,BetFlow!J:J)</f>
        <v>0</v>
      </c>
      <c r="Q55" s="121" t="e">
        <f>SUMIFS(#REF!,#REF!,Extrato!$B55,#REF!,Extrato!Q$3)</f>
        <v>#REF!</v>
      </c>
      <c r="R55" s="121" t="e">
        <f>SUMIFS(#REF!,#REF!,Extrato!$B55,#REF!,Extrato!R$3)</f>
        <v>#REF!</v>
      </c>
      <c r="S55" s="121" t="e">
        <f>SUMIFS(#REF!,#REF!,Extrato!$B55,#REF!,Extrato!S$3)</f>
        <v>#REF!</v>
      </c>
      <c r="T55" s="121" t="e">
        <f>SUMIFS(#REF!,#REF!,Extrato!$B55,#REF!,Extrato!T$3)</f>
        <v>#REF!</v>
      </c>
      <c r="U55" s="121" t="e">
        <f>SUMIFS(#REF!,#REF!,Extrato!$B55,#REF!,Extrato!U$3)</f>
        <v>#REF!</v>
      </c>
      <c r="V55" s="121" t="e">
        <f>SUMIFS(#REF!,#REF!,Extrato!$B55,#REF!,Extrato!V$3)</f>
        <v>#REF!</v>
      </c>
      <c r="W55" s="121" t="e">
        <f>SUMIFS(#REF!,#REF!,Extrato!$B55,#REF!,Extrato!W$3)</f>
        <v>#REF!</v>
      </c>
      <c r="X55" s="121" t="e">
        <f>SUMIFS(#REF!,#REF!,Extrato!$B55,#REF!,Extrato!X$3)</f>
        <v>#REF!</v>
      </c>
      <c r="Y55" s="121" t="e">
        <f>SUMIFS(#REF!,#REF!,Extrato!$B55,#REF!,Extrato!Y$3)</f>
        <v>#REF!</v>
      </c>
      <c r="Z55" s="121" t="e">
        <f>SUMIFS(#REF!,#REF!,Extrato!$B55,#REF!,Extrato!Z$3)</f>
        <v>#REF!</v>
      </c>
      <c r="AA55" s="121" t="e">
        <f>SUMIFS(#REF!,#REF!,Extrato!$B55,#REF!,Extrato!AA$3)</f>
        <v>#REF!</v>
      </c>
      <c r="AB55" s="121" t="e">
        <f>SUMIFS(#REF!,#REF!,Extrato!$B55,#REF!,Extrato!AB$3)</f>
        <v>#REF!</v>
      </c>
      <c r="AC55" s="121" t="e">
        <f>SUMIFS(#REF!,#REF!,Extrato!$B55,#REF!,Extrato!AC$3)</f>
        <v>#REF!</v>
      </c>
      <c r="AD55" s="121" t="e">
        <f>SUMIFS(#REF!,#REF!,Extrato!$B55,#REF!,Extrato!AD$3)</f>
        <v>#REF!</v>
      </c>
      <c r="AE55" s="121" t="e">
        <f>SUMIFS(#REF!,#REF!,Extrato!$B55,#REF!,Extrato!AE$3)</f>
        <v>#REF!</v>
      </c>
      <c r="AF55" s="121" t="e">
        <f>SUMIFS(#REF!,#REF!,Extrato!$B55,#REF!,Extrato!AF$3)</f>
        <v>#REF!</v>
      </c>
      <c r="AG55" s="121" t="e">
        <f>SUMIFS(#REF!,#REF!,Extrato!$B55,#REF!,Extrato!AG$3)</f>
        <v>#REF!</v>
      </c>
      <c r="AH55" s="121" t="e">
        <f>SUMIFS(#REF!,#REF!,Extrato!$B55,#REF!,Extrato!AH$3)</f>
        <v>#REF!</v>
      </c>
      <c r="AI55" s="121" t="e">
        <f>SUMIFS(#REF!,#REF!,Extrato!$B55,#REF!,Extrato!AI$3)</f>
        <v>#REF!</v>
      </c>
      <c r="AJ55" s="121">
        <v>0</v>
      </c>
      <c r="AK55" s="121"/>
      <c r="AL55" s="25" t="e">
        <f t="shared" si="1"/>
        <v>#REF!</v>
      </c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</row>
    <row r="56" spans="2:68" ht="15" customHeight="1">
      <c r="B56" s="12">
        <v>46046</v>
      </c>
      <c r="C56" s="121" t="e">
        <f t="shared" si="0"/>
        <v>#REF!</v>
      </c>
      <c r="D56" s="121" t="e">
        <f>SUMIFS(#REF!,#REF!,Extrato!$B56,#REF!,Extrato!D$3)</f>
        <v>#REF!</v>
      </c>
      <c r="E56" s="121" t="e">
        <f>SUMIFS(#REF!,#REF!,Extrato!$B56,#REF!,Extrato!E$3)</f>
        <v>#REF!</v>
      </c>
      <c r="F56" s="121" t="e">
        <f>SUMIFS(#REF!,#REF!,Extrato!$B56,#REF!,Extrato!F$3)</f>
        <v>#REF!</v>
      </c>
      <c r="G56" s="121" t="e">
        <f>SUMIFS(#REF!,#REF!,Extrato!$B56,#REF!,Extrato!G$3)</f>
        <v>#REF!</v>
      </c>
      <c r="H56" s="121" t="e">
        <f>SUMIFS(#REF!,#REF!,Extrato!$B56,#REF!,Extrato!H$3)</f>
        <v>#REF!</v>
      </c>
      <c r="I56" s="121" t="e">
        <f>SUMIFS(#REF!,#REF!,Extrato!$B56,#REF!,Extrato!I$3)</f>
        <v>#REF!</v>
      </c>
      <c r="J56" s="121" t="e">
        <f>SUMIFS(#REF!,#REF!,Extrato!$B56,#REF!,Extrato!J$3)</f>
        <v>#REF!</v>
      </c>
      <c r="K56" s="121" t="e">
        <f>SUMIFS(#REF!,#REF!,Extrato!$B56,#REF!,Extrato!K$3)</f>
        <v>#REF!</v>
      </c>
      <c r="L56" s="121" t="e">
        <f>SUMIFS(#REF!,#REF!,Extrato!$B56,#REF!,Extrato!L$3)</f>
        <v>#REF!</v>
      </c>
      <c r="M56" s="121" t="e">
        <f>SUMIFS(#REF!,#REF!,Extrato!$B56,#REF!,Extrato!M$3)</f>
        <v>#REF!</v>
      </c>
      <c r="N56" s="121" t="e">
        <f>SUMIFS(#REF!,#REF!,Extrato!$B56,#REF!,Extrato!N$3)</f>
        <v>#REF!</v>
      </c>
      <c r="O56" s="121" t="e">
        <f>SUMIFS(#REF!,#REF!,Extrato!$B56,#REF!,Extrato!O$3)</f>
        <v>#REF!</v>
      </c>
      <c r="P56" s="121">
        <f>SUMIF(BetFlow!B:B,B56,BetFlow!J:J)</f>
        <v>0</v>
      </c>
      <c r="Q56" s="121" t="e">
        <f>SUMIFS(#REF!,#REF!,Extrato!$B56,#REF!,Extrato!Q$3)</f>
        <v>#REF!</v>
      </c>
      <c r="R56" s="121" t="e">
        <f>SUMIFS(#REF!,#REF!,Extrato!$B56,#REF!,Extrato!R$3)</f>
        <v>#REF!</v>
      </c>
      <c r="S56" s="121" t="e">
        <f>SUMIFS(#REF!,#REF!,Extrato!$B56,#REF!,Extrato!S$3)</f>
        <v>#REF!</v>
      </c>
      <c r="T56" s="121" t="e">
        <f>SUMIFS(#REF!,#REF!,Extrato!$B56,#REF!,Extrato!T$3)</f>
        <v>#REF!</v>
      </c>
      <c r="U56" s="121" t="e">
        <f>SUMIFS(#REF!,#REF!,Extrato!$B56,#REF!,Extrato!U$3)</f>
        <v>#REF!</v>
      </c>
      <c r="V56" s="121" t="e">
        <f>SUMIFS(#REF!,#REF!,Extrato!$B56,#REF!,Extrato!V$3)</f>
        <v>#REF!</v>
      </c>
      <c r="W56" s="121" t="e">
        <f>SUMIFS(#REF!,#REF!,Extrato!$B56,#REF!,Extrato!W$3)</f>
        <v>#REF!</v>
      </c>
      <c r="X56" s="121" t="e">
        <f>SUMIFS(#REF!,#REF!,Extrato!$B56,#REF!,Extrato!X$3)</f>
        <v>#REF!</v>
      </c>
      <c r="Y56" s="121" t="e">
        <f>SUMIFS(#REF!,#REF!,Extrato!$B56,#REF!,Extrato!Y$3)</f>
        <v>#REF!</v>
      </c>
      <c r="Z56" s="121" t="e">
        <f>SUMIFS(#REF!,#REF!,Extrato!$B56,#REF!,Extrato!Z$3)</f>
        <v>#REF!</v>
      </c>
      <c r="AA56" s="121" t="e">
        <f>SUMIFS(#REF!,#REF!,Extrato!$B56,#REF!,Extrato!AA$3)</f>
        <v>#REF!</v>
      </c>
      <c r="AB56" s="121" t="e">
        <f>SUMIFS(#REF!,#REF!,Extrato!$B56,#REF!,Extrato!AB$3)</f>
        <v>#REF!</v>
      </c>
      <c r="AC56" s="121" t="e">
        <f>SUMIFS(#REF!,#REF!,Extrato!$B56,#REF!,Extrato!AC$3)</f>
        <v>#REF!</v>
      </c>
      <c r="AD56" s="121" t="e">
        <f>SUMIFS(#REF!,#REF!,Extrato!$B56,#REF!,Extrato!AD$3)</f>
        <v>#REF!</v>
      </c>
      <c r="AE56" s="121" t="e">
        <f>SUMIFS(#REF!,#REF!,Extrato!$B56,#REF!,Extrato!AE$3)</f>
        <v>#REF!</v>
      </c>
      <c r="AF56" s="121" t="e">
        <f>SUMIFS(#REF!,#REF!,Extrato!$B56,#REF!,Extrato!AF$3)</f>
        <v>#REF!</v>
      </c>
      <c r="AG56" s="121" t="e">
        <f>SUMIFS(#REF!,#REF!,Extrato!$B56,#REF!,Extrato!AG$3)</f>
        <v>#REF!</v>
      </c>
      <c r="AH56" s="121" t="e">
        <f>SUMIFS(#REF!,#REF!,Extrato!$B56,#REF!,Extrato!AH$3)</f>
        <v>#REF!</v>
      </c>
      <c r="AI56" s="121" t="e">
        <f>SUMIFS(#REF!,#REF!,Extrato!$B56,#REF!,Extrato!AI$3)</f>
        <v>#REF!</v>
      </c>
      <c r="AJ56" s="121">
        <v>700</v>
      </c>
      <c r="AK56" s="121">
        <v>-0.03</v>
      </c>
      <c r="AL56" s="25" t="e">
        <f t="shared" si="1"/>
        <v>#REF!</v>
      </c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</row>
    <row r="57" spans="2:68" ht="15" customHeight="1">
      <c r="B57" s="12">
        <v>46047</v>
      </c>
      <c r="C57" s="121" t="e">
        <f t="shared" si="0"/>
        <v>#REF!</v>
      </c>
      <c r="D57" s="121" t="e">
        <f>SUMIFS(#REF!,#REF!,Extrato!$B57,#REF!,Extrato!D$3)</f>
        <v>#REF!</v>
      </c>
      <c r="E57" s="121" t="e">
        <f>SUMIFS(#REF!,#REF!,Extrato!$B57,#REF!,Extrato!E$3)</f>
        <v>#REF!</v>
      </c>
      <c r="F57" s="121" t="e">
        <f>SUMIFS(#REF!,#REF!,Extrato!$B57,#REF!,Extrato!F$3)</f>
        <v>#REF!</v>
      </c>
      <c r="G57" s="121" t="e">
        <f>SUMIFS(#REF!,#REF!,Extrato!$B57,#REF!,Extrato!G$3)</f>
        <v>#REF!</v>
      </c>
      <c r="H57" s="121" t="e">
        <f>SUMIFS(#REF!,#REF!,Extrato!$B57,#REF!,Extrato!H$3)</f>
        <v>#REF!</v>
      </c>
      <c r="I57" s="121" t="e">
        <f>SUMIFS(#REF!,#REF!,Extrato!$B57,#REF!,Extrato!I$3)</f>
        <v>#REF!</v>
      </c>
      <c r="J57" s="121" t="e">
        <f>SUMIFS(#REF!,#REF!,Extrato!$B57,#REF!,Extrato!J$3)</f>
        <v>#REF!</v>
      </c>
      <c r="K57" s="121" t="e">
        <f>SUMIFS(#REF!,#REF!,Extrato!$B57,#REF!,Extrato!K$3)</f>
        <v>#REF!</v>
      </c>
      <c r="L57" s="121" t="e">
        <f>SUMIFS(#REF!,#REF!,Extrato!$B57,#REF!,Extrato!L$3)</f>
        <v>#REF!</v>
      </c>
      <c r="M57" s="121" t="e">
        <f>SUMIFS(#REF!,#REF!,Extrato!$B57,#REF!,Extrato!M$3)</f>
        <v>#REF!</v>
      </c>
      <c r="N57" s="121" t="e">
        <f>SUMIFS(#REF!,#REF!,Extrato!$B57,#REF!,Extrato!N$3)</f>
        <v>#REF!</v>
      </c>
      <c r="O57" s="121" t="e">
        <f>SUMIFS(#REF!,#REF!,Extrato!$B57,#REF!,Extrato!O$3)</f>
        <v>#REF!</v>
      </c>
      <c r="P57" s="121">
        <f>SUMIF(BetFlow!B:B,B57,BetFlow!J:J)</f>
        <v>0</v>
      </c>
      <c r="Q57" s="121" t="e">
        <f>SUMIFS(#REF!,#REF!,Extrato!$B57,#REF!,Extrato!Q$3)</f>
        <v>#REF!</v>
      </c>
      <c r="R57" s="121" t="e">
        <f>SUMIFS(#REF!,#REF!,Extrato!$B57,#REF!,Extrato!R$3)</f>
        <v>#REF!</v>
      </c>
      <c r="S57" s="121" t="e">
        <f>SUMIFS(#REF!,#REF!,Extrato!$B57,#REF!,Extrato!S$3)</f>
        <v>#REF!</v>
      </c>
      <c r="T57" s="121" t="e">
        <f>SUMIFS(#REF!,#REF!,Extrato!$B57,#REF!,Extrato!T$3)</f>
        <v>#REF!</v>
      </c>
      <c r="U57" s="121" t="e">
        <f>SUMIFS(#REF!,#REF!,Extrato!$B57,#REF!,Extrato!U$3)</f>
        <v>#REF!</v>
      </c>
      <c r="V57" s="121" t="e">
        <f>SUMIFS(#REF!,#REF!,Extrato!$B57,#REF!,Extrato!V$3)</f>
        <v>#REF!</v>
      </c>
      <c r="W57" s="121" t="e">
        <f>SUMIFS(#REF!,#REF!,Extrato!$B57,#REF!,Extrato!W$3)</f>
        <v>#REF!</v>
      </c>
      <c r="X57" s="121" t="e">
        <f>SUMIFS(#REF!,#REF!,Extrato!$B57,#REF!,Extrato!X$3)</f>
        <v>#REF!</v>
      </c>
      <c r="Y57" s="121" t="e">
        <f>SUMIFS(#REF!,#REF!,Extrato!$B57,#REF!,Extrato!Y$3)</f>
        <v>#REF!</v>
      </c>
      <c r="Z57" s="121" t="e">
        <f>SUMIFS(#REF!,#REF!,Extrato!$B57,#REF!,Extrato!Z$3)</f>
        <v>#REF!</v>
      </c>
      <c r="AA57" s="121" t="e">
        <f>SUMIFS(#REF!,#REF!,Extrato!$B57,#REF!,Extrato!AA$3)</f>
        <v>#REF!</v>
      </c>
      <c r="AB57" s="121" t="e">
        <f>SUMIFS(#REF!,#REF!,Extrato!$B57,#REF!,Extrato!AB$3)</f>
        <v>#REF!</v>
      </c>
      <c r="AC57" s="121" t="e">
        <f>SUMIFS(#REF!,#REF!,Extrato!$B57,#REF!,Extrato!AC$3)</f>
        <v>#REF!</v>
      </c>
      <c r="AD57" s="121" t="e">
        <f>SUMIFS(#REF!,#REF!,Extrato!$B57,#REF!,Extrato!AD$3)</f>
        <v>#REF!</v>
      </c>
      <c r="AE57" s="121" t="e">
        <f>SUMIFS(#REF!,#REF!,Extrato!$B57,#REF!,Extrato!AE$3)</f>
        <v>#REF!</v>
      </c>
      <c r="AF57" s="121" t="e">
        <f>SUMIFS(#REF!,#REF!,Extrato!$B57,#REF!,Extrato!AF$3)</f>
        <v>#REF!</v>
      </c>
      <c r="AG57" s="121" t="e">
        <f>SUMIFS(#REF!,#REF!,Extrato!$B57,#REF!,Extrato!AG$3)</f>
        <v>#REF!</v>
      </c>
      <c r="AH57" s="121" t="e">
        <f>SUMIFS(#REF!,#REF!,Extrato!$B57,#REF!,Extrato!AH$3)</f>
        <v>#REF!</v>
      </c>
      <c r="AI57" s="121" t="e">
        <f>SUMIFS(#REF!,#REF!,Extrato!$B57,#REF!,Extrato!AI$3)</f>
        <v>#REF!</v>
      </c>
      <c r="AJ57" s="121">
        <v>0</v>
      </c>
      <c r="AK57" s="121">
        <v>-0.01</v>
      </c>
      <c r="AL57" s="25" t="e">
        <f t="shared" si="1"/>
        <v>#REF!</v>
      </c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</row>
    <row r="58" spans="2:68" ht="15" customHeight="1">
      <c r="B58" s="12">
        <v>46048</v>
      </c>
      <c r="C58" s="121" t="e">
        <f t="shared" si="0"/>
        <v>#REF!</v>
      </c>
      <c r="D58" s="121" t="e">
        <f>SUMIFS(#REF!,#REF!,Extrato!$B58,#REF!,Extrato!D$3)</f>
        <v>#REF!</v>
      </c>
      <c r="E58" s="121" t="e">
        <f>SUMIFS(#REF!,#REF!,Extrato!$B58,#REF!,Extrato!E$3)</f>
        <v>#REF!</v>
      </c>
      <c r="F58" s="121" t="e">
        <f>SUMIFS(#REF!,#REF!,Extrato!$B58,#REF!,Extrato!F$3)</f>
        <v>#REF!</v>
      </c>
      <c r="G58" s="121" t="e">
        <f>SUMIFS(#REF!,#REF!,Extrato!$B58,#REF!,Extrato!G$3)</f>
        <v>#REF!</v>
      </c>
      <c r="H58" s="121" t="e">
        <f>SUMIFS(#REF!,#REF!,Extrato!$B58,#REF!,Extrato!H$3)</f>
        <v>#REF!</v>
      </c>
      <c r="I58" s="121" t="e">
        <f>SUMIFS(#REF!,#REF!,Extrato!$B58,#REF!,Extrato!I$3)</f>
        <v>#REF!</v>
      </c>
      <c r="J58" s="121" t="e">
        <f>SUMIFS(#REF!,#REF!,Extrato!$B58,#REF!,Extrato!J$3)</f>
        <v>#REF!</v>
      </c>
      <c r="K58" s="121" t="e">
        <f>SUMIFS(#REF!,#REF!,Extrato!$B58,#REF!,Extrato!K$3)</f>
        <v>#REF!</v>
      </c>
      <c r="L58" s="121" t="e">
        <f>SUMIFS(#REF!,#REF!,Extrato!$B58,#REF!,Extrato!L$3)</f>
        <v>#REF!</v>
      </c>
      <c r="M58" s="121" t="e">
        <f>SUMIFS(#REF!,#REF!,Extrato!$B58,#REF!,Extrato!M$3)</f>
        <v>#REF!</v>
      </c>
      <c r="N58" s="121" t="e">
        <f>SUMIFS(#REF!,#REF!,Extrato!$B58,#REF!,Extrato!N$3)</f>
        <v>#REF!</v>
      </c>
      <c r="O58" s="121" t="e">
        <f>SUMIFS(#REF!,#REF!,Extrato!$B58,#REF!,Extrato!O$3)</f>
        <v>#REF!</v>
      </c>
      <c r="P58" s="121">
        <f>SUMIF(BetFlow!B:B,B58,BetFlow!J:J)</f>
        <v>0</v>
      </c>
      <c r="Q58" s="121" t="e">
        <f>SUMIFS(#REF!,#REF!,Extrato!$B58,#REF!,Extrato!Q$3)</f>
        <v>#REF!</v>
      </c>
      <c r="R58" s="121" t="e">
        <f>SUMIFS(#REF!,#REF!,Extrato!$B58,#REF!,Extrato!R$3)</f>
        <v>#REF!</v>
      </c>
      <c r="S58" s="121" t="e">
        <f>SUMIFS(#REF!,#REF!,Extrato!$B58,#REF!,Extrato!S$3)</f>
        <v>#REF!</v>
      </c>
      <c r="T58" s="121" t="e">
        <f>SUMIFS(#REF!,#REF!,Extrato!$B58,#REF!,Extrato!T$3)</f>
        <v>#REF!</v>
      </c>
      <c r="U58" s="121" t="e">
        <f>SUMIFS(#REF!,#REF!,Extrato!$B58,#REF!,Extrato!U$3)</f>
        <v>#REF!</v>
      </c>
      <c r="V58" s="121" t="e">
        <f>SUMIFS(#REF!,#REF!,Extrato!$B58,#REF!,Extrato!V$3)</f>
        <v>#REF!</v>
      </c>
      <c r="W58" s="121" t="e">
        <f>SUMIFS(#REF!,#REF!,Extrato!$B58,#REF!,Extrato!W$3)</f>
        <v>#REF!</v>
      </c>
      <c r="X58" s="121" t="e">
        <f>SUMIFS(#REF!,#REF!,Extrato!$B58,#REF!,Extrato!X$3)</f>
        <v>#REF!</v>
      </c>
      <c r="Y58" s="121" t="e">
        <f>SUMIFS(#REF!,#REF!,Extrato!$B58,#REF!,Extrato!Y$3)</f>
        <v>#REF!</v>
      </c>
      <c r="Z58" s="121" t="e">
        <f>SUMIFS(#REF!,#REF!,Extrato!$B58,#REF!,Extrato!Z$3)</f>
        <v>#REF!</v>
      </c>
      <c r="AA58" s="121" t="e">
        <f>SUMIFS(#REF!,#REF!,Extrato!$B58,#REF!,Extrato!AA$3)</f>
        <v>#REF!</v>
      </c>
      <c r="AB58" s="121" t="e">
        <f>SUMIFS(#REF!,#REF!,Extrato!$B58,#REF!,Extrato!AB$3)</f>
        <v>#REF!</v>
      </c>
      <c r="AC58" s="121" t="e">
        <f>SUMIFS(#REF!,#REF!,Extrato!$B58,#REF!,Extrato!AC$3)</f>
        <v>#REF!</v>
      </c>
      <c r="AD58" s="121" t="e">
        <f>SUMIFS(#REF!,#REF!,Extrato!$B58,#REF!,Extrato!AD$3)</f>
        <v>#REF!</v>
      </c>
      <c r="AE58" s="121" t="e">
        <f>SUMIFS(#REF!,#REF!,Extrato!$B58,#REF!,Extrato!AE$3)</f>
        <v>#REF!</v>
      </c>
      <c r="AF58" s="121" t="e">
        <f>SUMIFS(#REF!,#REF!,Extrato!$B58,#REF!,Extrato!AF$3)</f>
        <v>#REF!</v>
      </c>
      <c r="AG58" s="121" t="e">
        <f>SUMIFS(#REF!,#REF!,Extrato!$B58,#REF!,Extrato!AG$3)</f>
        <v>#REF!</v>
      </c>
      <c r="AH58" s="121" t="e">
        <f>SUMIFS(#REF!,#REF!,Extrato!$B58,#REF!,Extrato!AH$3)</f>
        <v>#REF!</v>
      </c>
      <c r="AI58" s="121" t="e">
        <f>SUMIFS(#REF!,#REF!,Extrato!$B58,#REF!,Extrato!AI$3)</f>
        <v>#REF!</v>
      </c>
      <c r="AJ58" s="121">
        <v>0</v>
      </c>
      <c r="AK58" s="121"/>
      <c r="AL58" s="25" t="e">
        <f t="shared" si="1"/>
        <v>#REF!</v>
      </c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</row>
    <row r="59" spans="2:68" ht="15" customHeight="1">
      <c r="B59" s="12">
        <v>46049</v>
      </c>
      <c r="C59" s="121" t="e">
        <f t="shared" si="0"/>
        <v>#REF!</v>
      </c>
      <c r="D59" s="121" t="e">
        <f>SUMIFS(#REF!,#REF!,Extrato!$B59,#REF!,Extrato!D$3)</f>
        <v>#REF!</v>
      </c>
      <c r="E59" s="121" t="e">
        <f>SUMIFS(#REF!,#REF!,Extrato!$B59,#REF!,Extrato!E$3)</f>
        <v>#REF!</v>
      </c>
      <c r="F59" s="121" t="e">
        <f>SUMIFS(#REF!,#REF!,Extrato!$B59,#REF!,Extrato!F$3)</f>
        <v>#REF!</v>
      </c>
      <c r="G59" s="121" t="e">
        <f>SUMIFS(#REF!,#REF!,Extrato!$B59,#REF!,Extrato!G$3)</f>
        <v>#REF!</v>
      </c>
      <c r="H59" s="121" t="e">
        <f>SUMIFS(#REF!,#REF!,Extrato!$B59,#REF!,Extrato!H$3)</f>
        <v>#REF!</v>
      </c>
      <c r="I59" s="121" t="e">
        <f>SUMIFS(#REF!,#REF!,Extrato!$B59,#REF!,Extrato!I$3)</f>
        <v>#REF!</v>
      </c>
      <c r="J59" s="121" t="e">
        <f>SUMIFS(#REF!,#REF!,Extrato!$B59,#REF!,Extrato!J$3)</f>
        <v>#REF!</v>
      </c>
      <c r="K59" s="121" t="e">
        <f>SUMIFS(#REF!,#REF!,Extrato!$B59,#REF!,Extrato!K$3)</f>
        <v>#REF!</v>
      </c>
      <c r="L59" s="121" t="e">
        <f>SUMIFS(#REF!,#REF!,Extrato!$B59,#REF!,Extrato!L$3)</f>
        <v>#REF!</v>
      </c>
      <c r="M59" s="121" t="e">
        <f>SUMIFS(#REF!,#REF!,Extrato!$B59,#REF!,Extrato!M$3)</f>
        <v>#REF!</v>
      </c>
      <c r="N59" s="121" t="e">
        <f>SUMIFS(#REF!,#REF!,Extrato!$B59,#REF!,Extrato!N$3)</f>
        <v>#REF!</v>
      </c>
      <c r="O59" s="121" t="e">
        <f>SUMIFS(#REF!,#REF!,Extrato!$B59,#REF!,Extrato!O$3)</f>
        <v>#REF!</v>
      </c>
      <c r="P59" s="121">
        <f>SUMIF(BetFlow!B:B,B59,BetFlow!J:J)</f>
        <v>0</v>
      </c>
      <c r="Q59" s="121" t="e">
        <f>SUMIFS(#REF!,#REF!,Extrato!$B59,#REF!,Extrato!Q$3)</f>
        <v>#REF!</v>
      </c>
      <c r="R59" s="121" t="e">
        <f>SUMIFS(#REF!,#REF!,Extrato!$B59,#REF!,Extrato!R$3)</f>
        <v>#REF!</v>
      </c>
      <c r="S59" s="121" t="e">
        <f>SUMIFS(#REF!,#REF!,Extrato!$B59,#REF!,Extrato!S$3)</f>
        <v>#REF!</v>
      </c>
      <c r="T59" s="121" t="e">
        <f>SUMIFS(#REF!,#REF!,Extrato!$B59,#REF!,Extrato!T$3)</f>
        <v>#REF!</v>
      </c>
      <c r="U59" s="121" t="e">
        <f>SUMIFS(#REF!,#REF!,Extrato!$B59,#REF!,Extrato!U$3)</f>
        <v>#REF!</v>
      </c>
      <c r="V59" s="121" t="e">
        <f>SUMIFS(#REF!,#REF!,Extrato!$B59,#REF!,Extrato!V$3)</f>
        <v>#REF!</v>
      </c>
      <c r="W59" s="121" t="e">
        <f>SUMIFS(#REF!,#REF!,Extrato!$B59,#REF!,Extrato!W$3)</f>
        <v>#REF!</v>
      </c>
      <c r="X59" s="121" t="e">
        <f>SUMIFS(#REF!,#REF!,Extrato!$B59,#REF!,Extrato!X$3)</f>
        <v>#REF!</v>
      </c>
      <c r="Y59" s="121" t="e">
        <f>SUMIFS(#REF!,#REF!,Extrato!$B59,#REF!,Extrato!Y$3)</f>
        <v>#REF!</v>
      </c>
      <c r="Z59" s="121" t="e">
        <f>SUMIFS(#REF!,#REF!,Extrato!$B59,#REF!,Extrato!Z$3)</f>
        <v>#REF!</v>
      </c>
      <c r="AA59" s="121" t="e">
        <f>SUMIFS(#REF!,#REF!,Extrato!$B59,#REF!,Extrato!AA$3)</f>
        <v>#REF!</v>
      </c>
      <c r="AB59" s="121" t="e">
        <f>SUMIFS(#REF!,#REF!,Extrato!$B59,#REF!,Extrato!AB$3)</f>
        <v>#REF!</v>
      </c>
      <c r="AC59" s="121" t="e">
        <f>SUMIFS(#REF!,#REF!,Extrato!$B59,#REF!,Extrato!AC$3)</f>
        <v>#REF!</v>
      </c>
      <c r="AD59" s="121" t="e">
        <f>SUMIFS(#REF!,#REF!,Extrato!$B59,#REF!,Extrato!AD$3)</f>
        <v>#REF!</v>
      </c>
      <c r="AE59" s="121" t="e">
        <f>SUMIFS(#REF!,#REF!,Extrato!$B59,#REF!,Extrato!AE$3)</f>
        <v>#REF!</v>
      </c>
      <c r="AF59" s="121" t="e">
        <f>SUMIFS(#REF!,#REF!,Extrato!$B59,#REF!,Extrato!AF$3)</f>
        <v>#REF!</v>
      </c>
      <c r="AG59" s="121" t="e">
        <f>SUMIFS(#REF!,#REF!,Extrato!$B59,#REF!,Extrato!AG$3)</f>
        <v>#REF!</v>
      </c>
      <c r="AH59" s="121" t="e">
        <f>SUMIFS(#REF!,#REF!,Extrato!$B59,#REF!,Extrato!AH$3)</f>
        <v>#REF!</v>
      </c>
      <c r="AI59" s="121" t="e">
        <f>SUMIFS(#REF!,#REF!,Extrato!$B59,#REF!,Extrato!AI$3)</f>
        <v>#REF!</v>
      </c>
      <c r="AJ59" s="121">
        <v>0</v>
      </c>
      <c r="AK59" s="121"/>
      <c r="AL59" s="25" t="e">
        <f t="shared" si="1"/>
        <v>#REF!</v>
      </c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</row>
    <row r="60" spans="2:68" ht="15" customHeight="1">
      <c r="B60" s="12">
        <v>46050</v>
      </c>
      <c r="C60" s="121" t="e">
        <f t="shared" si="0"/>
        <v>#REF!</v>
      </c>
      <c r="D60" s="121" t="e">
        <f>SUMIFS(#REF!,#REF!,Extrato!$B60,#REF!,Extrato!D$3)</f>
        <v>#REF!</v>
      </c>
      <c r="E60" s="121" t="e">
        <f>SUMIFS(#REF!,#REF!,Extrato!$B60,#REF!,Extrato!E$3)</f>
        <v>#REF!</v>
      </c>
      <c r="F60" s="121" t="e">
        <f>SUMIFS(#REF!,#REF!,Extrato!$B60,#REF!,Extrato!F$3)</f>
        <v>#REF!</v>
      </c>
      <c r="G60" s="121" t="e">
        <f>SUMIFS(#REF!,#REF!,Extrato!$B60,#REF!,Extrato!G$3)</f>
        <v>#REF!</v>
      </c>
      <c r="H60" s="121" t="e">
        <f>SUMIFS(#REF!,#REF!,Extrato!$B60,#REF!,Extrato!H$3)</f>
        <v>#REF!</v>
      </c>
      <c r="I60" s="121" t="e">
        <f>SUMIFS(#REF!,#REF!,Extrato!$B60,#REF!,Extrato!I$3)</f>
        <v>#REF!</v>
      </c>
      <c r="J60" s="121" t="e">
        <f>SUMIFS(#REF!,#REF!,Extrato!$B60,#REF!,Extrato!J$3)</f>
        <v>#REF!</v>
      </c>
      <c r="K60" s="121" t="e">
        <f>SUMIFS(#REF!,#REF!,Extrato!$B60,#REF!,Extrato!K$3)</f>
        <v>#REF!</v>
      </c>
      <c r="L60" s="121" t="e">
        <f>SUMIFS(#REF!,#REF!,Extrato!$B60,#REF!,Extrato!L$3)</f>
        <v>#REF!</v>
      </c>
      <c r="M60" s="121" t="e">
        <f>SUMIFS(#REF!,#REF!,Extrato!$B60,#REF!,Extrato!M$3)</f>
        <v>#REF!</v>
      </c>
      <c r="N60" s="121" t="e">
        <f>SUMIFS(#REF!,#REF!,Extrato!$B60,#REF!,Extrato!N$3)</f>
        <v>#REF!</v>
      </c>
      <c r="O60" s="121" t="e">
        <f>SUMIFS(#REF!,#REF!,Extrato!$B60,#REF!,Extrato!O$3)</f>
        <v>#REF!</v>
      </c>
      <c r="P60" s="121">
        <f>SUMIF(BetFlow!B:B,B60,BetFlow!J:J)</f>
        <v>0</v>
      </c>
      <c r="Q60" s="121" t="e">
        <f>SUMIFS(#REF!,#REF!,Extrato!$B60,#REF!,Extrato!Q$3)</f>
        <v>#REF!</v>
      </c>
      <c r="R60" s="121" t="e">
        <f>SUMIFS(#REF!,#REF!,Extrato!$B60,#REF!,Extrato!R$3)</f>
        <v>#REF!</v>
      </c>
      <c r="S60" s="121" t="e">
        <f>SUMIFS(#REF!,#REF!,Extrato!$B60,#REF!,Extrato!S$3)</f>
        <v>#REF!</v>
      </c>
      <c r="T60" s="121" t="e">
        <f>SUMIFS(#REF!,#REF!,Extrato!$B60,#REF!,Extrato!T$3)</f>
        <v>#REF!</v>
      </c>
      <c r="U60" s="121" t="e">
        <f>SUMIFS(#REF!,#REF!,Extrato!$B60,#REF!,Extrato!U$3)</f>
        <v>#REF!</v>
      </c>
      <c r="V60" s="121" t="e">
        <f>SUMIFS(#REF!,#REF!,Extrato!$B60,#REF!,Extrato!V$3)</f>
        <v>#REF!</v>
      </c>
      <c r="W60" s="121" t="e">
        <f>SUMIFS(#REF!,#REF!,Extrato!$B60,#REF!,Extrato!W$3)</f>
        <v>#REF!</v>
      </c>
      <c r="X60" s="121" t="e">
        <f>SUMIFS(#REF!,#REF!,Extrato!$B60,#REF!,Extrato!X$3)</f>
        <v>#REF!</v>
      </c>
      <c r="Y60" s="121" t="e">
        <f>SUMIFS(#REF!,#REF!,Extrato!$B60,#REF!,Extrato!Y$3)</f>
        <v>#REF!</v>
      </c>
      <c r="Z60" s="121" t="e">
        <f>SUMIFS(#REF!,#REF!,Extrato!$B60,#REF!,Extrato!Z$3)</f>
        <v>#REF!</v>
      </c>
      <c r="AA60" s="121" t="e">
        <f>SUMIFS(#REF!,#REF!,Extrato!$B60,#REF!,Extrato!AA$3)</f>
        <v>#REF!</v>
      </c>
      <c r="AB60" s="121" t="e">
        <f>SUMIFS(#REF!,#REF!,Extrato!$B60,#REF!,Extrato!AB$3)</f>
        <v>#REF!</v>
      </c>
      <c r="AC60" s="121" t="e">
        <f>SUMIFS(#REF!,#REF!,Extrato!$B60,#REF!,Extrato!AC$3)</f>
        <v>#REF!</v>
      </c>
      <c r="AD60" s="121" t="e">
        <f>SUMIFS(#REF!,#REF!,Extrato!$B60,#REF!,Extrato!AD$3)</f>
        <v>#REF!</v>
      </c>
      <c r="AE60" s="121" t="e">
        <f>SUMIFS(#REF!,#REF!,Extrato!$B60,#REF!,Extrato!AE$3)</f>
        <v>#REF!</v>
      </c>
      <c r="AF60" s="121" t="e">
        <f>SUMIFS(#REF!,#REF!,Extrato!$B60,#REF!,Extrato!AF$3)</f>
        <v>#REF!</v>
      </c>
      <c r="AG60" s="121" t="e">
        <f>SUMIFS(#REF!,#REF!,Extrato!$B60,#REF!,Extrato!AG$3)</f>
        <v>#REF!</v>
      </c>
      <c r="AH60" s="121" t="e">
        <f>SUMIFS(#REF!,#REF!,Extrato!$B60,#REF!,Extrato!AH$3)</f>
        <v>#REF!</v>
      </c>
      <c r="AI60" s="121" t="e">
        <f>SUMIFS(#REF!,#REF!,Extrato!$B60,#REF!,Extrato!AI$3)</f>
        <v>#REF!</v>
      </c>
      <c r="AJ60" s="121">
        <v>0</v>
      </c>
      <c r="AK60" s="121"/>
      <c r="AL60" s="25" t="e">
        <f t="shared" si="1"/>
        <v>#REF!</v>
      </c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</row>
    <row r="61" spans="2:68" ht="15" customHeight="1">
      <c r="B61" s="12">
        <v>46051</v>
      </c>
      <c r="C61" s="121" t="e">
        <f t="shared" si="0"/>
        <v>#REF!</v>
      </c>
      <c r="D61" s="121" t="e">
        <f>SUMIFS(#REF!,#REF!,Extrato!$B61,#REF!,Extrato!D$3)</f>
        <v>#REF!</v>
      </c>
      <c r="E61" s="121" t="e">
        <f>SUMIFS(#REF!,#REF!,Extrato!$B61,#REF!,Extrato!E$3)</f>
        <v>#REF!</v>
      </c>
      <c r="F61" s="121" t="e">
        <f>SUMIFS(#REF!,#REF!,Extrato!$B61,#REF!,Extrato!F$3)</f>
        <v>#REF!</v>
      </c>
      <c r="G61" s="121" t="e">
        <f>SUMIFS(#REF!,#REF!,Extrato!$B61,#REF!,Extrato!G$3)</f>
        <v>#REF!</v>
      </c>
      <c r="H61" s="121" t="e">
        <f>SUMIFS(#REF!,#REF!,Extrato!$B61,#REF!,Extrato!H$3)</f>
        <v>#REF!</v>
      </c>
      <c r="I61" s="121" t="e">
        <f>SUMIFS(#REF!,#REF!,Extrato!$B61,#REF!,Extrato!I$3)</f>
        <v>#REF!</v>
      </c>
      <c r="J61" s="121" t="e">
        <f>SUMIFS(#REF!,#REF!,Extrato!$B61,#REF!,Extrato!J$3)</f>
        <v>#REF!</v>
      </c>
      <c r="K61" s="121" t="e">
        <f>SUMIFS(#REF!,#REF!,Extrato!$B61,#REF!,Extrato!K$3)</f>
        <v>#REF!</v>
      </c>
      <c r="L61" s="121" t="e">
        <f>SUMIFS(#REF!,#REF!,Extrato!$B61,#REF!,Extrato!L$3)</f>
        <v>#REF!</v>
      </c>
      <c r="M61" s="121" t="e">
        <f>SUMIFS(#REF!,#REF!,Extrato!$B61,#REF!,Extrato!M$3)</f>
        <v>#REF!</v>
      </c>
      <c r="N61" s="121" t="e">
        <f>SUMIFS(#REF!,#REF!,Extrato!$B61,#REF!,Extrato!N$3)</f>
        <v>#REF!</v>
      </c>
      <c r="O61" s="121" t="e">
        <f>SUMIFS(#REF!,#REF!,Extrato!$B61,#REF!,Extrato!O$3)</f>
        <v>#REF!</v>
      </c>
      <c r="P61" s="121">
        <f>SUMIF(BetFlow!B:B,B61,BetFlow!J:J)</f>
        <v>0</v>
      </c>
      <c r="Q61" s="121" t="e">
        <f>SUMIFS(#REF!,#REF!,Extrato!$B61,#REF!,Extrato!Q$3)</f>
        <v>#REF!</v>
      </c>
      <c r="R61" s="121" t="e">
        <f>SUMIFS(#REF!,#REF!,Extrato!$B61,#REF!,Extrato!R$3)</f>
        <v>#REF!</v>
      </c>
      <c r="S61" s="121" t="e">
        <f>SUMIFS(#REF!,#REF!,Extrato!$B61,#REF!,Extrato!S$3)</f>
        <v>#REF!</v>
      </c>
      <c r="T61" s="121" t="e">
        <f>SUMIFS(#REF!,#REF!,Extrato!$B61,#REF!,Extrato!T$3)</f>
        <v>#REF!</v>
      </c>
      <c r="U61" s="121" t="e">
        <f>SUMIFS(#REF!,#REF!,Extrato!$B61,#REF!,Extrato!U$3)</f>
        <v>#REF!</v>
      </c>
      <c r="V61" s="121" t="e">
        <f>SUMIFS(#REF!,#REF!,Extrato!$B61,#REF!,Extrato!V$3)</f>
        <v>#REF!</v>
      </c>
      <c r="W61" s="121" t="e">
        <f>SUMIFS(#REF!,#REF!,Extrato!$B61,#REF!,Extrato!W$3)</f>
        <v>#REF!</v>
      </c>
      <c r="X61" s="121" t="e">
        <f>SUMIFS(#REF!,#REF!,Extrato!$B61,#REF!,Extrato!X$3)</f>
        <v>#REF!</v>
      </c>
      <c r="Y61" s="121" t="e">
        <f>SUMIFS(#REF!,#REF!,Extrato!$B61,#REF!,Extrato!Y$3)</f>
        <v>#REF!</v>
      </c>
      <c r="Z61" s="121" t="e">
        <f>SUMIFS(#REF!,#REF!,Extrato!$B61,#REF!,Extrato!Z$3)</f>
        <v>#REF!</v>
      </c>
      <c r="AA61" s="121" t="e">
        <f>SUMIFS(#REF!,#REF!,Extrato!$B61,#REF!,Extrato!AA$3)</f>
        <v>#REF!</v>
      </c>
      <c r="AB61" s="121" t="e">
        <f>SUMIFS(#REF!,#REF!,Extrato!$B61,#REF!,Extrato!AB$3)</f>
        <v>#REF!</v>
      </c>
      <c r="AC61" s="121" t="e">
        <f>SUMIFS(#REF!,#REF!,Extrato!$B61,#REF!,Extrato!AC$3)</f>
        <v>#REF!</v>
      </c>
      <c r="AD61" s="121" t="e">
        <f>SUMIFS(#REF!,#REF!,Extrato!$B61,#REF!,Extrato!AD$3)</f>
        <v>#REF!</v>
      </c>
      <c r="AE61" s="121" t="e">
        <f>SUMIFS(#REF!,#REF!,Extrato!$B61,#REF!,Extrato!AE$3)</f>
        <v>#REF!</v>
      </c>
      <c r="AF61" s="121" t="e">
        <f>SUMIFS(#REF!,#REF!,Extrato!$B61,#REF!,Extrato!AF$3)</f>
        <v>#REF!</v>
      </c>
      <c r="AG61" s="121" t="e">
        <f>SUMIFS(#REF!,#REF!,Extrato!$B61,#REF!,Extrato!AG$3)</f>
        <v>#REF!</v>
      </c>
      <c r="AH61" s="121" t="e">
        <f>SUMIFS(#REF!,#REF!,Extrato!$B61,#REF!,Extrato!AH$3)</f>
        <v>#REF!</v>
      </c>
      <c r="AI61" s="121" t="e">
        <f>SUMIFS(#REF!,#REF!,Extrato!$B61,#REF!,Extrato!AI$3)</f>
        <v>#REF!</v>
      </c>
      <c r="AJ61" s="121">
        <v>0</v>
      </c>
      <c r="AK61" s="121">
        <v>-0.02</v>
      </c>
      <c r="AL61" s="25" t="e">
        <f t="shared" si="1"/>
        <v>#REF!</v>
      </c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</row>
    <row r="62" spans="2:68" ht="15" customHeight="1">
      <c r="B62" s="12">
        <v>46052</v>
      </c>
      <c r="C62" s="121" t="e">
        <f t="shared" si="0"/>
        <v>#REF!</v>
      </c>
      <c r="D62" s="121" t="e">
        <f>SUMIFS(#REF!,#REF!,Extrato!$B62,#REF!,Extrato!D$3)</f>
        <v>#REF!</v>
      </c>
      <c r="E62" s="121" t="e">
        <f>SUMIFS(#REF!,#REF!,Extrato!$B62,#REF!,Extrato!E$3)</f>
        <v>#REF!</v>
      </c>
      <c r="F62" s="121" t="e">
        <f>SUMIFS(#REF!,#REF!,Extrato!$B62,#REF!,Extrato!F$3)</f>
        <v>#REF!</v>
      </c>
      <c r="G62" s="121" t="e">
        <f>SUMIFS(#REF!,#REF!,Extrato!$B62,#REF!,Extrato!G$3)</f>
        <v>#REF!</v>
      </c>
      <c r="H62" s="121" t="e">
        <f>SUMIFS(#REF!,#REF!,Extrato!$B62,#REF!,Extrato!H$3)</f>
        <v>#REF!</v>
      </c>
      <c r="I62" s="121" t="e">
        <f>SUMIFS(#REF!,#REF!,Extrato!$B62,#REF!,Extrato!I$3)</f>
        <v>#REF!</v>
      </c>
      <c r="J62" s="121" t="e">
        <f>SUMIFS(#REF!,#REF!,Extrato!$B62,#REF!,Extrato!J$3)</f>
        <v>#REF!</v>
      </c>
      <c r="K62" s="121" t="e">
        <f>SUMIFS(#REF!,#REF!,Extrato!$B62,#REF!,Extrato!K$3)</f>
        <v>#REF!</v>
      </c>
      <c r="L62" s="121" t="e">
        <f>SUMIFS(#REF!,#REF!,Extrato!$B62,#REF!,Extrato!L$3)</f>
        <v>#REF!</v>
      </c>
      <c r="M62" s="121" t="e">
        <f>SUMIFS(#REF!,#REF!,Extrato!$B62,#REF!,Extrato!M$3)</f>
        <v>#REF!</v>
      </c>
      <c r="N62" s="121" t="e">
        <f>SUMIFS(#REF!,#REF!,Extrato!$B62,#REF!,Extrato!N$3)</f>
        <v>#REF!</v>
      </c>
      <c r="O62" s="121" t="e">
        <f>SUMIFS(#REF!,#REF!,Extrato!$B62,#REF!,Extrato!O$3)</f>
        <v>#REF!</v>
      </c>
      <c r="P62" s="121">
        <f>SUMIF(BetFlow!B:B,B62,BetFlow!J:J)</f>
        <v>0</v>
      </c>
      <c r="Q62" s="121" t="e">
        <f>SUMIFS(#REF!,#REF!,Extrato!$B62,#REF!,Extrato!Q$3)</f>
        <v>#REF!</v>
      </c>
      <c r="R62" s="121" t="e">
        <f>SUMIFS(#REF!,#REF!,Extrato!$B62,#REF!,Extrato!R$3)</f>
        <v>#REF!</v>
      </c>
      <c r="S62" s="121" t="e">
        <f>SUMIFS(#REF!,#REF!,Extrato!$B62,#REF!,Extrato!S$3)</f>
        <v>#REF!</v>
      </c>
      <c r="T62" s="121" t="e">
        <f>SUMIFS(#REF!,#REF!,Extrato!$B62,#REF!,Extrato!T$3)</f>
        <v>#REF!</v>
      </c>
      <c r="U62" s="121" t="e">
        <f>SUMIFS(#REF!,#REF!,Extrato!$B62,#REF!,Extrato!U$3)</f>
        <v>#REF!</v>
      </c>
      <c r="V62" s="121" t="e">
        <f>SUMIFS(#REF!,#REF!,Extrato!$B62,#REF!,Extrato!V$3)</f>
        <v>#REF!</v>
      </c>
      <c r="W62" s="121" t="e">
        <f>SUMIFS(#REF!,#REF!,Extrato!$B62,#REF!,Extrato!W$3)</f>
        <v>#REF!</v>
      </c>
      <c r="X62" s="121" t="e">
        <f>SUMIFS(#REF!,#REF!,Extrato!$B62,#REF!,Extrato!X$3)</f>
        <v>#REF!</v>
      </c>
      <c r="Y62" s="121" t="e">
        <f>SUMIFS(#REF!,#REF!,Extrato!$B62,#REF!,Extrato!Y$3)</f>
        <v>#REF!</v>
      </c>
      <c r="Z62" s="121" t="e">
        <f>SUMIFS(#REF!,#REF!,Extrato!$B62,#REF!,Extrato!Z$3)</f>
        <v>#REF!</v>
      </c>
      <c r="AA62" s="121" t="e">
        <f>SUMIFS(#REF!,#REF!,Extrato!$B62,#REF!,Extrato!AA$3)</f>
        <v>#REF!</v>
      </c>
      <c r="AB62" s="121" t="e">
        <f>SUMIFS(#REF!,#REF!,Extrato!$B62,#REF!,Extrato!AB$3)</f>
        <v>#REF!</v>
      </c>
      <c r="AC62" s="121" t="e">
        <f>SUMIFS(#REF!,#REF!,Extrato!$B62,#REF!,Extrato!AC$3)</f>
        <v>#REF!</v>
      </c>
      <c r="AD62" s="121" t="e">
        <f>SUMIFS(#REF!,#REF!,Extrato!$B62,#REF!,Extrato!AD$3)</f>
        <v>#REF!</v>
      </c>
      <c r="AE62" s="121" t="e">
        <f>SUMIFS(#REF!,#REF!,Extrato!$B62,#REF!,Extrato!AE$3)</f>
        <v>#REF!</v>
      </c>
      <c r="AF62" s="121" t="e">
        <f>SUMIFS(#REF!,#REF!,Extrato!$B62,#REF!,Extrato!AF$3)</f>
        <v>#REF!</v>
      </c>
      <c r="AG62" s="121" t="e">
        <f>SUMIFS(#REF!,#REF!,Extrato!$B62,#REF!,Extrato!AG$3)</f>
        <v>#REF!</v>
      </c>
      <c r="AH62" s="121" t="e">
        <f>SUMIFS(#REF!,#REF!,Extrato!$B62,#REF!,Extrato!AH$3)</f>
        <v>#REF!</v>
      </c>
      <c r="AI62" s="121" t="e">
        <f>SUMIFS(#REF!,#REF!,Extrato!$B62,#REF!,Extrato!AI$3)</f>
        <v>#REF!</v>
      </c>
      <c r="AJ62" s="121">
        <v>0</v>
      </c>
      <c r="AK62" s="121">
        <v>-0.01</v>
      </c>
      <c r="AL62" s="25" t="e">
        <f t="shared" si="1"/>
        <v>#REF!</v>
      </c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</row>
    <row r="63" spans="2:68" ht="15" customHeight="1">
      <c r="B63" s="12">
        <v>46053</v>
      </c>
      <c r="C63" s="121" t="e">
        <f t="shared" si="0"/>
        <v>#REF!</v>
      </c>
      <c r="D63" s="121" t="e">
        <f>SUMIFS(#REF!,#REF!,Extrato!$B63,#REF!,Extrato!D$3)</f>
        <v>#REF!</v>
      </c>
      <c r="E63" s="121" t="e">
        <f>SUMIFS(#REF!,#REF!,Extrato!$B63,#REF!,Extrato!E$3)</f>
        <v>#REF!</v>
      </c>
      <c r="F63" s="121" t="e">
        <f>SUMIFS(#REF!,#REF!,Extrato!$B63,#REF!,Extrato!F$3)</f>
        <v>#REF!</v>
      </c>
      <c r="G63" s="121" t="e">
        <f>SUMIFS(#REF!,#REF!,Extrato!$B63,#REF!,Extrato!G$3)</f>
        <v>#REF!</v>
      </c>
      <c r="H63" s="121" t="e">
        <f>SUMIFS(#REF!,#REF!,Extrato!$B63,#REF!,Extrato!H$3)</f>
        <v>#REF!</v>
      </c>
      <c r="I63" s="121" t="e">
        <f>SUMIFS(#REF!,#REF!,Extrato!$B63,#REF!,Extrato!I$3)</f>
        <v>#REF!</v>
      </c>
      <c r="J63" s="121" t="e">
        <f>SUMIFS(#REF!,#REF!,Extrato!$B63,#REF!,Extrato!J$3)</f>
        <v>#REF!</v>
      </c>
      <c r="K63" s="121" t="e">
        <f>SUMIFS(#REF!,#REF!,Extrato!$B63,#REF!,Extrato!K$3)</f>
        <v>#REF!</v>
      </c>
      <c r="L63" s="121" t="e">
        <f>SUMIFS(#REF!,#REF!,Extrato!$B63,#REF!,Extrato!L$3)</f>
        <v>#REF!</v>
      </c>
      <c r="M63" s="121" t="e">
        <f>SUMIFS(#REF!,#REF!,Extrato!$B63,#REF!,Extrato!M$3)</f>
        <v>#REF!</v>
      </c>
      <c r="N63" s="121" t="e">
        <f>SUMIFS(#REF!,#REF!,Extrato!$B63,#REF!,Extrato!N$3)</f>
        <v>#REF!</v>
      </c>
      <c r="O63" s="121" t="e">
        <f>SUMIFS(#REF!,#REF!,Extrato!$B63,#REF!,Extrato!O$3)</f>
        <v>#REF!</v>
      </c>
      <c r="P63" s="121">
        <f>SUMIF(BetFlow!B:B,B63,BetFlow!J:J)</f>
        <v>0</v>
      </c>
      <c r="Q63" s="121" t="e">
        <f>SUMIFS(#REF!,#REF!,Extrato!$B63,#REF!,Extrato!Q$3)</f>
        <v>#REF!</v>
      </c>
      <c r="R63" s="121" t="e">
        <f>SUMIFS(#REF!,#REF!,Extrato!$B63,#REF!,Extrato!R$3)</f>
        <v>#REF!</v>
      </c>
      <c r="S63" s="121" t="e">
        <f>SUMIFS(#REF!,#REF!,Extrato!$B63,#REF!,Extrato!S$3)</f>
        <v>#REF!</v>
      </c>
      <c r="T63" s="121" t="e">
        <f>SUMIFS(#REF!,#REF!,Extrato!$B63,#REF!,Extrato!T$3)</f>
        <v>#REF!</v>
      </c>
      <c r="U63" s="121" t="e">
        <f>SUMIFS(#REF!,#REF!,Extrato!$B63,#REF!,Extrato!U$3)</f>
        <v>#REF!</v>
      </c>
      <c r="V63" s="121" t="e">
        <f>SUMIFS(#REF!,#REF!,Extrato!$B63,#REF!,Extrato!V$3)</f>
        <v>#REF!</v>
      </c>
      <c r="W63" s="121" t="e">
        <f>SUMIFS(#REF!,#REF!,Extrato!$B63,#REF!,Extrato!W$3)</f>
        <v>#REF!</v>
      </c>
      <c r="X63" s="121" t="e">
        <f>SUMIFS(#REF!,#REF!,Extrato!$B63,#REF!,Extrato!X$3)</f>
        <v>#REF!</v>
      </c>
      <c r="Y63" s="121" t="e">
        <f>SUMIFS(#REF!,#REF!,Extrato!$B63,#REF!,Extrato!Y$3)</f>
        <v>#REF!</v>
      </c>
      <c r="Z63" s="121" t="e">
        <f>SUMIFS(#REF!,#REF!,Extrato!$B63,#REF!,Extrato!Z$3)</f>
        <v>#REF!</v>
      </c>
      <c r="AA63" s="121" t="e">
        <f>SUMIFS(#REF!,#REF!,Extrato!$B63,#REF!,Extrato!AA$3)</f>
        <v>#REF!</v>
      </c>
      <c r="AB63" s="121" t="e">
        <f>SUMIFS(#REF!,#REF!,Extrato!$B63,#REF!,Extrato!AB$3)</f>
        <v>#REF!</v>
      </c>
      <c r="AC63" s="121" t="e">
        <f>SUMIFS(#REF!,#REF!,Extrato!$B63,#REF!,Extrato!AC$3)</f>
        <v>#REF!</v>
      </c>
      <c r="AD63" s="121" t="e">
        <f>SUMIFS(#REF!,#REF!,Extrato!$B63,#REF!,Extrato!AD$3)</f>
        <v>#REF!</v>
      </c>
      <c r="AE63" s="121" t="e">
        <f>SUMIFS(#REF!,#REF!,Extrato!$B63,#REF!,Extrato!AE$3)</f>
        <v>#REF!</v>
      </c>
      <c r="AF63" s="121" t="e">
        <f>SUMIFS(#REF!,#REF!,Extrato!$B63,#REF!,Extrato!AF$3)</f>
        <v>#REF!</v>
      </c>
      <c r="AG63" s="121" t="e">
        <f>SUMIFS(#REF!,#REF!,Extrato!$B63,#REF!,Extrato!AG$3)</f>
        <v>#REF!</v>
      </c>
      <c r="AH63" s="121" t="e">
        <f>SUMIFS(#REF!,#REF!,Extrato!$B63,#REF!,Extrato!AH$3)</f>
        <v>#REF!</v>
      </c>
      <c r="AI63" s="121" t="e">
        <f>SUMIFS(#REF!,#REF!,Extrato!$B63,#REF!,Extrato!AI$3)</f>
        <v>#REF!</v>
      </c>
      <c r="AJ63" s="121">
        <v>0</v>
      </c>
      <c r="AK63" s="121">
        <v>-0.01</v>
      </c>
      <c r="AL63" s="25" t="e">
        <f t="shared" si="1"/>
        <v>#REF!</v>
      </c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</row>
    <row r="64" spans="2:68" ht="15" customHeight="1">
      <c r="B64" s="12">
        <v>46054</v>
      </c>
      <c r="C64" s="121" t="e">
        <f t="shared" si="0"/>
        <v>#REF!</v>
      </c>
      <c r="D64" s="121" t="e">
        <f>SUMIFS(#REF!,#REF!,Extrato!$B64,#REF!,Extrato!D$3)</f>
        <v>#REF!</v>
      </c>
      <c r="E64" s="121" t="e">
        <f>SUMIFS(#REF!,#REF!,Extrato!$B64,#REF!,Extrato!E$3)</f>
        <v>#REF!</v>
      </c>
      <c r="F64" s="121" t="e">
        <f>SUMIFS(#REF!,#REF!,Extrato!$B64,#REF!,Extrato!F$3)</f>
        <v>#REF!</v>
      </c>
      <c r="G64" s="121" t="e">
        <f>SUMIFS(#REF!,#REF!,Extrato!$B64,#REF!,Extrato!G$3)</f>
        <v>#REF!</v>
      </c>
      <c r="H64" s="121" t="e">
        <f>SUMIFS(#REF!,#REF!,Extrato!$B64,#REF!,Extrato!H$3)</f>
        <v>#REF!</v>
      </c>
      <c r="I64" s="121" t="e">
        <f>SUMIFS(#REF!,#REF!,Extrato!$B64,#REF!,Extrato!I$3)</f>
        <v>#REF!</v>
      </c>
      <c r="J64" s="121" t="e">
        <f>SUMIFS(#REF!,#REF!,Extrato!$B64,#REF!,Extrato!J$3)</f>
        <v>#REF!</v>
      </c>
      <c r="K64" s="121" t="e">
        <f>SUMIFS(#REF!,#REF!,Extrato!$B64,#REF!,Extrato!K$3)</f>
        <v>#REF!</v>
      </c>
      <c r="L64" s="121" t="e">
        <f>SUMIFS(#REF!,#REF!,Extrato!$B64,#REF!,Extrato!L$3)</f>
        <v>#REF!</v>
      </c>
      <c r="M64" s="121" t="e">
        <f>SUMIFS(#REF!,#REF!,Extrato!$B64,#REF!,Extrato!M$3)</f>
        <v>#REF!</v>
      </c>
      <c r="N64" s="121" t="e">
        <f>SUMIFS(#REF!,#REF!,Extrato!$B64,#REF!,Extrato!N$3)</f>
        <v>#REF!</v>
      </c>
      <c r="O64" s="121" t="e">
        <f>SUMIFS(#REF!,#REF!,Extrato!$B64,#REF!,Extrato!O$3)</f>
        <v>#REF!</v>
      </c>
      <c r="P64" s="121">
        <f>SUMIF(BetFlow!B:B,B64,BetFlow!J:J)</f>
        <v>0</v>
      </c>
      <c r="Q64" s="121" t="e">
        <f>SUMIFS(#REF!,#REF!,Extrato!$B64,#REF!,Extrato!Q$3)</f>
        <v>#REF!</v>
      </c>
      <c r="R64" s="121" t="e">
        <f>SUMIFS(#REF!,#REF!,Extrato!$B64,#REF!,Extrato!R$3)</f>
        <v>#REF!</v>
      </c>
      <c r="S64" s="121" t="e">
        <f>SUMIFS(#REF!,#REF!,Extrato!$B64,#REF!,Extrato!S$3)</f>
        <v>#REF!</v>
      </c>
      <c r="T64" s="121" t="e">
        <f>SUMIFS(#REF!,#REF!,Extrato!$B64,#REF!,Extrato!T$3)</f>
        <v>#REF!</v>
      </c>
      <c r="U64" s="121" t="e">
        <f>SUMIFS(#REF!,#REF!,Extrato!$B64,#REF!,Extrato!U$3)</f>
        <v>#REF!</v>
      </c>
      <c r="V64" s="121" t="e">
        <f>SUMIFS(#REF!,#REF!,Extrato!$B64,#REF!,Extrato!V$3)</f>
        <v>#REF!</v>
      </c>
      <c r="W64" s="121" t="e">
        <f>SUMIFS(#REF!,#REF!,Extrato!$B64,#REF!,Extrato!W$3)</f>
        <v>#REF!</v>
      </c>
      <c r="X64" s="121" t="e">
        <f>SUMIFS(#REF!,#REF!,Extrato!$B64,#REF!,Extrato!X$3)</f>
        <v>#REF!</v>
      </c>
      <c r="Y64" s="121" t="e">
        <f>SUMIFS(#REF!,#REF!,Extrato!$B64,#REF!,Extrato!Y$3)</f>
        <v>#REF!</v>
      </c>
      <c r="Z64" s="121" t="e">
        <f>SUMIFS(#REF!,#REF!,Extrato!$B64,#REF!,Extrato!Z$3)</f>
        <v>#REF!</v>
      </c>
      <c r="AA64" s="121" t="e">
        <f>SUMIFS(#REF!,#REF!,Extrato!$B64,#REF!,Extrato!AA$3)</f>
        <v>#REF!</v>
      </c>
      <c r="AB64" s="121" t="e">
        <f>SUMIFS(#REF!,#REF!,Extrato!$B64,#REF!,Extrato!AB$3)</f>
        <v>#REF!</v>
      </c>
      <c r="AC64" s="121" t="e">
        <f>SUMIFS(#REF!,#REF!,Extrato!$B64,#REF!,Extrato!AC$3)</f>
        <v>#REF!</v>
      </c>
      <c r="AD64" s="121" t="e">
        <f>SUMIFS(#REF!,#REF!,Extrato!$B64,#REF!,Extrato!AD$3)</f>
        <v>#REF!</v>
      </c>
      <c r="AE64" s="121" t="e">
        <f>SUMIFS(#REF!,#REF!,Extrato!$B64,#REF!,Extrato!AE$3)</f>
        <v>#REF!</v>
      </c>
      <c r="AF64" s="121" t="e">
        <f>SUMIFS(#REF!,#REF!,Extrato!$B64,#REF!,Extrato!AF$3)</f>
        <v>#REF!</v>
      </c>
      <c r="AG64" s="121" t="e">
        <f>SUMIFS(#REF!,#REF!,Extrato!$B64,#REF!,Extrato!AG$3)</f>
        <v>#REF!</v>
      </c>
      <c r="AH64" s="121" t="e">
        <f>SUMIFS(#REF!,#REF!,Extrato!$B64,#REF!,Extrato!AH$3)</f>
        <v>#REF!</v>
      </c>
      <c r="AI64" s="121" t="e">
        <f>SUMIFS(#REF!,#REF!,Extrato!$B64,#REF!,Extrato!AI$3)</f>
        <v>#REF!</v>
      </c>
      <c r="AJ64" s="121">
        <v>0</v>
      </c>
      <c r="AK64" s="121">
        <v>0.01</v>
      </c>
      <c r="AL64" s="25" t="e">
        <f t="shared" si="1"/>
        <v>#REF!</v>
      </c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</row>
    <row r="65" spans="2:68" ht="15" customHeight="1">
      <c r="B65" s="12">
        <v>46055</v>
      </c>
      <c r="C65" s="121" t="e">
        <f t="shared" si="0"/>
        <v>#REF!</v>
      </c>
      <c r="D65" s="121" t="e">
        <f>SUMIFS(#REF!,#REF!,Extrato!$B65,#REF!,Extrato!D$3)</f>
        <v>#REF!</v>
      </c>
      <c r="E65" s="121" t="e">
        <f>SUMIFS(#REF!,#REF!,Extrato!$B65,#REF!,Extrato!E$3)</f>
        <v>#REF!</v>
      </c>
      <c r="F65" s="121" t="e">
        <f>SUMIFS(#REF!,#REF!,Extrato!$B65,#REF!,Extrato!F$3)</f>
        <v>#REF!</v>
      </c>
      <c r="G65" s="121" t="e">
        <f>SUMIFS(#REF!,#REF!,Extrato!$B65,#REF!,Extrato!G$3)</f>
        <v>#REF!</v>
      </c>
      <c r="H65" s="121" t="e">
        <f>SUMIFS(#REF!,#REF!,Extrato!$B65,#REF!,Extrato!H$3)</f>
        <v>#REF!</v>
      </c>
      <c r="I65" s="121" t="e">
        <f>SUMIFS(#REF!,#REF!,Extrato!$B65,#REF!,Extrato!I$3)</f>
        <v>#REF!</v>
      </c>
      <c r="J65" s="121" t="e">
        <f>SUMIFS(#REF!,#REF!,Extrato!$B65,#REF!,Extrato!J$3)</f>
        <v>#REF!</v>
      </c>
      <c r="K65" s="121" t="e">
        <f>SUMIFS(#REF!,#REF!,Extrato!$B65,#REF!,Extrato!K$3)</f>
        <v>#REF!</v>
      </c>
      <c r="L65" s="121" t="e">
        <f>SUMIFS(#REF!,#REF!,Extrato!$B65,#REF!,Extrato!L$3)</f>
        <v>#REF!</v>
      </c>
      <c r="M65" s="121" t="e">
        <f>SUMIFS(#REF!,#REF!,Extrato!$B65,#REF!,Extrato!M$3)</f>
        <v>#REF!</v>
      </c>
      <c r="N65" s="121" t="e">
        <f>SUMIFS(#REF!,#REF!,Extrato!$B65,#REF!,Extrato!N$3)</f>
        <v>#REF!</v>
      </c>
      <c r="O65" s="121" t="e">
        <f>SUMIFS(#REF!,#REF!,Extrato!$B65,#REF!,Extrato!O$3)</f>
        <v>#REF!</v>
      </c>
      <c r="P65" s="121">
        <f>SUMIF(BetFlow!B:B,B65,BetFlow!J:J)</f>
        <v>0</v>
      </c>
      <c r="Q65" s="121" t="e">
        <f>SUMIFS(#REF!,#REF!,Extrato!$B65,#REF!,Extrato!Q$3)</f>
        <v>#REF!</v>
      </c>
      <c r="R65" s="121" t="e">
        <f>SUMIFS(#REF!,#REF!,Extrato!$B65,#REF!,Extrato!R$3)</f>
        <v>#REF!</v>
      </c>
      <c r="S65" s="121" t="e">
        <f>SUMIFS(#REF!,#REF!,Extrato!$B65,#REF!,Extrato!S$3)</f>
        <v>#REF!</v>
      </c>
      <c r="T65" s="121" t="e">
        <f>SUMIFS(#REF!,#REF!,Extrato!$B65,#REF!,Extrato!T$3)</f>
        <v>#REF!</v>
      </c>
      <c r="U65" s="121" t="e">
        <f>SUMIFS(#REF!,#REF!,Extrato!$B65,#REF!,Extrato!U$3)</f>
        <v>#REF!</v>
      </c>
      <c r="V65" s="121" t="e">
        <f>SUMIFS(#REF!,#REF!,Extrato!$B65,#REF!,Extrato!V$3)</f>
        <v>#REF!</v>
      </c>
      <c r="W65" s="121" t="e">
        <f>SUMIFS(#REF!,#REF!,Extrato!$B65,#REF!,Extrato!W$3)</f>
        <v>#REF!</v>
      </c>
      <c r="X65" s="121" t="e">
        <f>SUMIFS(#REF!,#REF!,Extrato!$B65,#REF!,Extrato!X$3)</f>
        <v>#REF!</v>
      </c>
      <c r="Y65" s="121" t="e">
        <f>SUMIFS(#REF!,#REF!,Extrato!$B65,#REF!,Extrato!Y$3)</f>
        <v>#REF!</v>
      </c>
      <c r="Z65" s="121" t="e">
        <f>SUMIFS(#REF!,#REF!,Extrato!$B65,#REF!,Extrato!Z$3)</f>
        <v>#REF!</v>
      </c>
      <c r="AA65" s="121" t="e">
        <f>SUMIFS(#REF!,#REF!,Extrato!$B65,#REF!,Extrato!AA$3)</f>
        <v>#REF!</v>
      </c>
      <c r="AB65" s="121" t="e">
        <f>SUMIFS(#REF!,#REF!,Extrato!$B65,#REF!,Extrato!AB$3)</f>
        <v>#REF!</v>
      </c>
      <c r="AC65" s="121" t="e">
        <f>SUMIFS(#REF!,#REF!,Extrato!$B65,#REF!,Extrato!AC$3)</f>
        <v>#REF!</v>
      </c>
      <c r="AD65" s="121" t="e">
        <f>SUMIFS(#REF!,#REF!,Extrato!$B65,#REF!,Extrato!AD$3)</f>
        <v>#REF!</v>
      </c>
      <c r="AE65" s="121" t="e">
        <f>SUMIFS(#REF!,#REF!,Extrato!$B65,#REF!,Extrato!AE$3)</f>
        <v>#REF!</v>
      </c>
      <c r="AF65" s="121" t="e">
        <f>SUMIFS(#REF!,#REF!,Extrato!$B65,#REF!,Extrato!AF$3)</f>
        <v>#REF!</v>
      </c>
      <c r="AG65" s="121" t="e">
        <f>SUMIFS(#REF!,#REF!,Extrato!$B65,#REF!,Extrato!AG$3)</f>
        <v>#REF!</v>
      </c>
      <c r="AH65" s="121" t="e">
        <f>SUMIFS(#REF!,#REF!,Extrato!$B65,#REF!,Extrato!AH$3)</f>
        <v>#REF!</v>
      </c>
      <c r="AI65" s="121" t="e">
        <f>SUMIFS(#REF!,#REF!,Extrato!$B65,#REF!,Extrato!AI$3)</f>
        <v>#REF!</v>
      </c>
      <c r="AJ65" s="121">
        <v>0</v>
      </c>
      <c r="AK65" s="121">
        <v>0.01</v>
      </c>
      <c r="AL65" s="25" t="e">
        <f t="shared" si="1"/>
        <v>#REF!</v>
      </c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</row>
    <row r="66" spans="2:68" ht="15" customHeight="1">
      <c r="B66" s="12">
        <v>46056</v>
      </c>
      <c r="C66" s="121" t="e">
        <f t="shared" si="0"/>
        <v>#REF!</v>
      </c>
      <c r="D66" s="121" t="e">
        <f>SUMIFS(#REF!,#REF!,Extrato!$B66,#REF!,Extrato!D$3)</f>
        <v>#REF!</v>
      </c>
      <c r="E66" s="121" t="e">
        <f>SUMIFS(#REF!,#REF!,Extrato!$B66,#REF!,Extrato!E$3)</f>
        <v>#REF!</v>
      </c>
      <c r="F66" s="121" t="e">
        <f>SUMIFS(#REF!,#REF!,Extrato!$B66,#REF!,Extrato!F$3)</f>
        <v>#REF!</v>
      </c>
      <c r="G66" s="121" t="e">
        <f>SUMIFS(#REF!,#REF!,Extrato!$B66,#REF!,Extrato!G$3)</f>
        <v>#REF!</v>
      </c>
      <c r="H66" s="121" t="e">
        <f>SUMIFS(#REF!,#REF!,Extrato!$B66,#REF!,Extrato!H$3)</f>
        <v>#REF!</v>
      </c>
      <c r="I66" s="121" t="e">
        <f>SUMIFS(#REF!,#REF!,Extrato!$B66,#REF!,Extrato!I$3)</f>
        <v>#REF!</v>
      </c>
      <c r="J66" s="121" t="e">
        <f>SUMIFS(#REF!,#REF!,Extrato!$B66,#REF!,Extrato!J$3)</f>
        <v>#REF!</v>
      </c>
      <c r="K66" s="121" t="e">
        <f>SUMIFS(#REF!,#REF!,Extrato!$B66,#REF!,Extrato!K$3)</f>
        <v>#REF!</v>
      </c>
      <c r="L66" s="121" t="e">
        <f>SUMIFS(#REF!,#REF!,Extrato!$B66,#REF!,Extrato!L$3)</f>
        <v>#REF!</v>
      </c>
      <c r="M66" s="121" t="e">
        <f>SUMIFS(#REF!,#REF!,Extrato!$B66,#REF!,Extrato!M$3)</f>
        <v>#REF!</v>
      </c>
      <c r="N66" s="121" t="e">
        <f>SUMIFS(#REF!,#REF!,Extrato!$B66,#REF!,Extrato!N$3)</f>
        <v>#REF!</v>
      </c>
      <c r="O66" s="121" t="e">
        <f>SUMIFS(#REF!,#REF!,Extrato!$B66,#REF!,Extrato!O$3)</f>
        <v>#REF!</v>
      </c>
      <c r="P66" s="121">
        <f>SUMIF(BetFlow!B:B,B66,BetFlow!J:J)</f>
        <v>0</v>
      </c>
      <c r="Q66" s="121" t="e">
        <f>SUMIFS(#REF!,#REF!,Extrato!$B66,#REF!,Extrato!Q$3)</f>
        <v>#REF!</v>
      </c>
      <c r="R66" s="121" t="e">
        <f>SUMIFS(#REF!,#REF!,Extrato!$B66,#REF!,Extrato!R$3)</f>
        <v>#REF!</v>
      </c>
      <c r="S66" s="121" t="e">
        <f>SUMIFS(#REF!,#REF!,Extrato!$B66,#REF!,Extrato!S$3)</f>
        <v>#REF!</v>
      </c>
      <c r="T66" s="121" t="e">
        <f>SUMIFS(#REF!,#REF!,Extrato!$B66,#REF!,Extrato!T$3)</f>
        <v>#REF!</v>
      </c>
      <c r="U66" s="121" t="e">
        <f>SUMIFS(#REF!,#REF!,Extrato!$B66,#REF!,Extrato!U$3)</f>
        <v>#REF!</v>
      </c>
      <c r="V66" s="121" t="e">
        <f>SUMIFS(#REF!,#REF!,Extrato!$B66,#REF!,Extrato!V$3)</f>
        <v>#REF!</v>
      </c>
      <c r="W66" s="121" t="e">
        <f>SUMIFS(#REF!,#REF!,Extrato!$B66,#REF!,Extrato!W$3)</f>
        <v>#REF!</v>
      </c>
      <c r="X66" s="121" t="e">
        <f>SUMIFS(#REF!,#REF!,Extrato!$B66,#REF!,Extrato!X$3)</f>
        <v>#REF!</v>
      </c>
      <c r="Y66" s="121" t="e">
        <f>SUMIFS(#REF!,#REF!,Extrato!$B66,#REF!,Extrato!Y$3)</f>
        <v>#REF!</v>
      </c>
      <c r="Z66" s="121" t="e">
        <f>SUMIFS(#REF!,#REF!,Extrato!$B66,#REF!,Extrato!Z$3)</f>
        <v>#REF!</v>
      </c>
      <c r="AA66" s="121" t="e">
        <f>SUMIFS(#REF!,#REF!,Extrato!$B66,#REF!,Extrato!AA$3)</f>
        <v>#REF!</v>
      </c>
      <c r="AB66" s="121" t="e">
        <f>SUMIFS(#REF!,#REF!,Extrato!$B66,#REF!,Extrato!AB$3)</f>
        <v>#REF!</v>
      </c>
      <c r="AC66" s="121" t="e">
        <f>SUMIFS(#REF!,#REF!,Extrato!$B66,#REF!,Extrato!AC$3)</f>
        <v>#REF!</v>
      </c>
      <c r="AD66" s="121" t="e">
        <f>SUMIFS(#REF!,#REF!,Extrato!$B66,#REF!,Extrato!AD$3)</f>
        <v>#REF!</v>
      </c>
      <c r="AE66" s="121" t="e">
        <f>SUMIFS(#REF!,#REF!,Extrato!$B66,#REF!,Extrato!AE$3)</f>
        <v>#REF!</v>
      </c>
      <c r="AF66" s="121" t="e">
        <f>SUMIFS(#REF!,#REF!,Extrato!$B66,#REF!,Extrato!AF$3)</f>
        <v>#REF!</v>
      </c>
      <c r="AG66" s="121" t="e">
        <f>SUMIFS(#REF!,#REF!,Extrato!$B66,#REF!,Extrato!AG$3)</f>
        <v>#REF!</v>
      </c>
      <c r="AH66" s="121" t="e">
        <f>SUMIFS(#REF!,#REF!,Extrato!$B66,#REF!,Extrato!AH$3)</f>
        <v>#REF!</v>
      </c>
      <c r="AI66" s="121" t="e">
        <f>SUMIFS(#REF!,#REF!,Extrato!$B66,#REF!,Extrato!AI$3)</f>
        <v>#REF!</v>
      </c>
      <c r="AJ66" s="121">
        <v>0</v>
      </c>
      <c r="AK66" s="121"/>
      <c r="AL66" s="25" t="e">
        <f t="shared" si="1"/>
        <v>#REF!</v>
      </c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</row>
    <row r="67" spans="2:68" ht="15" customHeight="1">
      <c r="B67" s="12">
        <v>46057</v>
      </c>
      <c r="C67" s="121" t="e">
        <f t="shared" si="0"/>
        <v>#REF!</v>
      </c>
      <c r="D67" s="121" t="e">
        <f>SUMIFS(#REF!,#REF!,Extrato!$B67,#REF!,Extrato!D$3)</f>
        <v>#REF!</v>
      </c>
      <c r="E67" s="121" t="e">
        <f>SUMIFS(#REF!,#REF!,Extrato!$B67,#REF!,Extrato!E$3)</f>
        <v>#REF!</v>
      </c>
      <c r="F67" s="121" t="e">
        <f>SUMIFS(#REF!,#REF!,Extrato!$B67,#REF!,Extrato!F$3)</f>
        <v>#REF!</v>
      </c>
      <c r="G67" s="121" t="e">
        <f>SUMIFS(#REF!,#REF!,Extrato!$B67,#REF!,Extrato!G$3)</f>
        <v>#REF!</v>
      </c>
      <c r="H67" s="121" t="e">
        <f>SUMIFS(#REF!,#REF!,Extrato!$B67,#REF!,Extrato!H$3)</f>
        <v>#REF!</v>
      </c>
      <c r="I67" s="121" t="e">
        <f>SUMIFS(#REF!,#REF!,Extrato!$B67,#REF!,Extrato!I$3)</f>
        <v>#REF!</v>
      </c>
      <c r="J67" s="121" t="e">
        <f>SUMIFS(#REF!,#REF!,Extrato!$B67,#REF!,Extrato!J$3)</f>
        <v>#REF!</v>
      </c>
      <c r="K67" s="121" t="e">
        <f>SUMIFS(#REF!,#REF!,Extrato!$B67,#REF!,Extrato!K$3)</f>
        <v>#REF!</v>
      </c>
      <c r="L67" s="121" t="e">
        <f>SUMIFS(#REF!,#REF!,Extrato!$B67,#REF!,Extrato!L$3)</f>
        <v>#REF!</v>
      </c>
      <c r="M67" s="121" t="e">
        <f>SUMIFS(#REF!,#REF!,Extrato!$B67,#REF!,Extrato!M$3)</f>
        <v>#REF!</v>
      </c>
      <c r="N67" s="121" t="e">
        <f>SUMIFS(#REF!,#REF!,Extrato!$B67,#REF!,Extrato!N$3)</f>
        <v>#REF!</v>
      </c>
      <c r="O67" s="121" t="e">
        <f>SUMIFS(#REF!,#REF!,Extrato!$B67,#REF!,Extrato!O$3)</f>
        <v>#REF!</v>
      </c>
      <c r="P67" s="121">
        <f>SUMIF(BetFlow!B:B,B67,BetFlow!J:J)</f>
        <v>0</v>
      </c>
      <c r="Q67" s="121" t="e">
        <f>SUMIFS(#REF!,#REF!,Extrato!$B67,#REF!,Extrato!Q$3)</f>
        <v>#REF!</v>
      </c>
      <c r="R67" s="121" t="e">
        <f>SUMIFS(#REF!,#REF!,Extrato!$B67,#REF!,Extrato!R$3)</f>
        <v>#REF!</v>
      </c>
      <c r="S67" s="121" t="e">
        <f>SUMIFS(#REF!,#REF!,Extrato!$B67,#REF!,Extrato!S$3)</f>
        <v>#REF!</v>
      </c>
      <c r="T67" s="121" t="e">
        <f>SUMIFS(#REF!,#REF!,Extrato!$B67,#REF!,Extrato!T$3)</f>
        <v>#REF!</v>
      </c>
      <c r="U67" s="121" t="e">
        <f>SUMIFS(#REF!,#REF!,Extrato!$B67,#REF!,Extrato!U$3)</f>
        <v>#REF!</v>
      </c>
      <c r="V67" s="121" t="e">
        <f>SUMIFS(#REF!,#REF!,Extrato!$B67,#REF!,Extrato!V$3)</f>
        <v>#REF!</v>
      </c>
      <c r="W67" s="121" t="e">
        <f>SUMIFS(#REF!,#REF!,Extrato!$B67,#REF!,Extrato!W$3)</f>
        <v>#REF!</v>
      </c>
      <c r="X67" s="121" t="e">
        <f>SUMIFS(#REF!,#REF!,Extrato!$B67,#REF!,Extrato!X$3)</f>
        <v>#REF!</v>
      </c>
      <c r="Y67" s="121" t="e">
        <f>SUMIFS(#REF!,#REF!,Extrato!$B67,#REF!,Extrato!Y$3)</f>
        <v>#REF!</v>
      </c>
      <c r="Z67" s="121" t="e">
        <f>SUMIFS(#REF!,#REF!,Extrato!$B67,#REF!,Extrato!Z$3)</f>
        <v>#REF!</v>
      </c>
      <c r="AA67" s="121" t="e">
        <f>SUMIFS(#REF!,#REF!,Extrato!$B67,#REF!,Extrato!AA$3)</f>
        <v>#REF!</v>
      </c>
      <c r="AB67" s="121" t="e">
        <f>SUMIFS(#REF!,#REF!,Extrato!$B67,#REF!,Extrato!AB$3)</f>
        <v>#REF!</v>
      </c>
      <c r="AC67" s="121" t="e">
        <f>SUMIFS(#REF!,#REF!,Extrato!$B67,#REF!,Extrato!AC$3)</f>
        <v>#REF!</v>
      </c>
      <c r="AD67" s="121" t="e">
        <f>SUMIFS(#REF!,#REF!,Extrato!$B67,#REF!,Extrato!AD$3)</f>
        <v>#REF!</v>
      </c>
      <c r="AE67" s="121" t="e">
        <f>SUMIFS(#REF!,#REF!,Extrato!$B67,#REF!,Extrato!AE$3)</f>
        <v>#REF!</v>
      </c>
      <c r="AF67" s="121" t="e">
        <f>SUMIFS(#REF!,#REF!,Extrato!$B67,#REF!,Extrato!AF$3)</f>
        <v>#REF!</v>
      </c>
      <c r="AG67" s="121" t="e">
        <f>SUMIFS(#REF!,#REF!,Extrato!$B67,#REF!,Extrato!AG$3)</f>
        <v>#REF!</v>
      </c>
      <c r="AH67" s="121" t="e">
        <f>SUMIFS(#REF!,#REF!,Extrato!$B67,#REF!,Extrato!AH$3)</f>
        <v>#REF!</v>
      </c>
      <c r="AI67" s="121" t="e">
        <f>SUMIFS(#REF!,#REF!,Extrato!$B67,#REF!,Extrato!AI$3)</f>
        <v>#REF!</v>
      </c>
      <c r="AJ67" s="121">
        <v>0</v>
      </c>
      <c r="AK67" s="121"/>
      <c r="AL67" s="25" t="e">
        <f t="shared" si="1"/>
        <v>#REF!</v>
      </c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</row>
    <row r="68" spans="2:68" ht="15" customHeight="1">
      <c r="B68" s="12">
        <v>46058</v>
      </c>
      <c r="C68" s="121" t="e">
        <f t="shared" si="0"/>
        <v>#REF!</v>
      </c>
      <c r="D68" s="121" t="e">
        <f>SUMIFS(#REF!,#REF!,Extrato!$B68,#REF!,Extrato!D$3)</f>
        <v>#REF!</v>
      </c>
      <c r="E68" s="121" t="e">
        <f>SUMIFS(#REF!,#REF!,Extrato!$B68,#REF!,Extrato!E$3)</f>
        <v>#REF!</v>
      </c>
      <c r="F68" s="121" t="e">
        <f>SUMIFS(#REF!,#REF!,Extrato!$B68,#REF!,Extrato!F$3)</f>
        <v>#REF!</v>
      </c>
      <c r="G68" s="121" t="e">
        <f>SUMIFS(#REF!,#REF!,Extrato!$B68,#REF!,Extrato!G$3)</f>
        <v>#REF!</v>
      </c>
      <c r="H68" s="121" t="e">
        <f>SUMIFS(#REF!,#REF!,Extrato!$B68,#REF!,Extrato!H$3)</f>
        <v>#REF!</v>
      </c>
      <c r="I68" s="121" t="e">
        <f>SUMIFS(#REF!,#REF!,Extrato!$B68,#REF!,Extrato!I$3)</f>
        <v>#REF!</v>
      </c>
      <c r="J68" s="121" t="e">
        <f>SUMIFS(#REF!,#REF!,Extrato!$B68,#REF!,Extrato!J$3)</f>
        <v>#REF!</v>
      </c>
      <c r="K68" s="121" t="e">
        <f>SUMIFS(#REF!,#REF!,Extrato!$B68,#REF!,Extrato!K$3)</f>
        <v>#REF!</v>
      </c>
      <c r="L68" s="121" t="e">
        <f>SUMIFS(#REF!,#REF!,Extrato!$B68,#REF!,Extrato!L$3)</f>
        <v>#REF!</v>
      </c>
      <c r="M68" s="121" t="e">
        <f>SUMIFS(#REF!,#REF!,Extrato!$B68,#REF!,Extrato!M$3)</f>
        <v>#REF!</v>
      </c>
      <c r="N68" s="121" t="e">
        <f>SUMIFS(#REF!,#REF!,Extrato!$B68,#REF!,Extrato!N$3)</f>
        <v>#REF!</v>
      </c>
      <c r="O68" s="121" t="e">
        <f>SUMIFS(#REF!,#REF!,Extrato!$B68,#REF!,Extrato!O$3)</f>
        <v>#REF!</v>
      </c>
      <c r="P68" s="121">
        <f>SUMIF(BetFlow!B:B,B68,BetFlow!J:J)</f>
        <v>0</v>
      </c>
      <c r="Q68" s="121" t="e">
        <f>SUMIFS(#REF!,#REF!,Extrato!$B68,#REF!,Extrato!Q$3)</f>
        <v>#REF!</v>
      </c>
      <c r="R68" s="121" t="e">
        <f>SUMIFS(#REF!,#REF!,Extrato!$B68,#REF!,Extrato!R$3)</f>
        <v>#REF!</v>
      </c>
      <c r="S68" s="121" t="e">
        <f>SUMIFS(#REF!,#REF!,Extrato!$B68,#REF!,Extrato!S$3)</f>
        <v>#REF!</v>
      </c>
      <c r="T68" s="121" t="e">
        <f>SUMIFS(#REF!,#REF!,Extrato!$B68,#REF!,Extrato!T$3)</f>
        <v>#REF!</v>
      </c>
      <c r="U68" s="121" t="e">
        <f>SUMIFS(#REF!,#REF!,Extrato!$B68,#REF!,Extrato!U$3)</f>
        <v>#REF!</v>
      </c>
      <c r="V68" s="121" t="e">
        <f>SUMIFS(#REF!,#REF!,Extrato!$B68,#REF!,Extrato!V$3)</f>
        <v>#REF!</v>
      </c>
      <c r="W68" s="121" t="e">
        <f>SUMIFS(#REF!,#REF!,Extrato!$B68,#REF!,Extrato!W$3)</f>
        <v>#REF!</v>
      </c>
      <c r="X68" s="121" t="e">
        <f>SUMIFS(#REF!,#REF!,Extrato!$B68,#REF!,Extrato!X$3)</f>
        <v>#REF!</v>
      </c>
      <c r="Y68" s="121" t="e">
        <f>SUMIFS(#REF!,#REF!,Extrato!$B68,#REF!,Extrato!Y$3)</f>
        <v>#REF!</v>
      </c>
      <c r="Z68" s="121" t="e">
        <f>SUMIFS(#REF!,#REF!,Extrato!$B68,#REF!,Extrato!Z$3)</f>
        <v>#REF!</v>
      </c>
      <c r="AA68" s="121" t="e">
        <f>SUMIFS(#REF!,#REF!,Extrato!$B68,#REF!,Extrato!AA$3)</f>
        <v>#REF!</v>
      </c>
      <c r="AB68" s="121" t="e">
        <f>SUMIFS(#REF!,#REF!,Extrato!$B68,#REF!,Extrato!AB$3)</f>
        <v>#REF!</v>
      </c>
      <c r="AC68" s="121" t="e">
        <f>SUMIFS(#REF!,#REF!,Extrato!$B68,#REF!,Extrato!AC$3)</f>
        <v>#REF!</v>
      </c>
      <c r="AD68" s="121" t="e">
        <f>SUMIFS(#REF!,#REF!,Extrato!$B68,#REF!,Extrato!AD$3)</f>
        <v>#REF!</v>
      </c>
      <c r="AE68" s="121" t="e">
        <f>SUMIFS(#REF!,#REF!,Extrato!$B68,#REF!,Extrato!AE$3)</f>
        <v>#REF!</v>
      </c>
      <c r="AF68" s="121" t="e">
        <f>SUMIFS(#REF!,#REF!,Extrato!$B68,#REF!,Extrato!AF$3)</f>
        <v>#REF!</v>
      </c>
      <c r="AG68" s="121" t="e">
        <f>SUMIFS(#REF!,#REF!,Extrato!$B68,#REF!,Extrato!AG$3)</f>
        <v>#REF!</v>
      </c>
      <c r="AH68" s="121" t="e">
        <f>SUMIFS(#REF!,#REF!,Extrato!$B68,#REF!,Extrato!AH$3)</f>
        <v>#REF!</v>
      </c>
      <c r="AI68" s="121" t="e">
        <f>SUMIFS(#REF!,#REF!,Extrato!$B68,#REF!,Extrato!AI$3)</f>
        <v>#REF!</v>
      </c>
      <c r="AJ68" s="121">
        <v>0</v>
      </c>
      <c r="AK68" s="121"/>
      <c r="AL68" s="25" t="e">
        <f t="shared" si="1"/>
        <v>#REF!</v>
      </c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</row>
    <row r="69" spans="2:68" ht="15" customHeight="1">
      <c r="B69" s="12">
        <v>46059</v>
      </c>
      <c r="C69" s="121" t="e">
        <f t="shared" ref="C69:C132" si="2">AL68</f>
        <v>#REF!</v>
      </c>
      <c r="D69" s="121" t="e">
        <f>SUMIFS(#REF!,#REF!,Extrato!$B69,#REF!,Extrato!D$3)</f>
        <v>#REF!</v>
      </c>
      <c r="E69" s="121" t="e">
        <f>SUMIFS(#REF!,#REF!,Extrato!$B69,#REF!,Extrato!E$3)</f>
        <v>#REF!</v>
      </c>
      <c r="F69" s="121" t="e">
        <f>SUMIFS(#REF!,#REF!,Extrato!$B69,#REF!,Extrato!F$3)</f>
        <v>#REF!</v>
      </c>
      <c r="G69" s="121" t="e">
        <f>SUMIFS(#REF!,#REF!,Extrato!$B69,#REF!,Extrato!G$3)</f>
        <v>#REF!</v>
      </c>
      <c r="H69" s="121" t="e">
        <f>SUMIFS(#REF!,#REF!,Extrato!$B69,#REF!,Extrato!H$3)</f>
        <v>#REF!</v>
      </c>
      <c r="I69" s="121" t="e">
        <f>SUMIFS(#REF!,#REF!,Extrato!$B69,#REF!,Extrato!I$3)</f>
        <v>#REF!</v>
      </c>
      <c r="J69" s="121" t="e">
        <f>SUMIFS(#REF!,#REF!,Extrato!$B69,#REF!,Extrato!J$3)</f>
        <v>#REF!</v>
      </c>
      <c r="K69" s="121" t="e">
        <f>SUMIFS(#REF!,#REF!,Extrato!$B69,#REF!,Extrato!K$3)</f>
        <v>#REF!</v>
      </c>
      <c r="L69" s="121" t="e">
        <f>SUMIFS(#REF!,#REF!,Extrato!$B69,#REF!,Extrato!L$3)</f>
        <v>#REF!</v>
      </c>
      <c r="M69" s="121" t="e">
        <f>SUMIFS(#REF!,#REF!,Extrato!$B69,#REF!,Extrato!M$3)</f>
        <v>#REF!</v>
      </c>
      <c r="N69" s="121" t="e">
        <f>SUMIFS(#REF!,#REF!,Extrato!$B69,#REF!,Extrato!N$3)</f>
        <v>#REF!</v>
      </c>
      <c r="O69" s="121" t="e">
        <f>SUMIFS(#REF!,#REF!,Extrato!$B69,#REF!,Extrato!O$3)</f>
        <v>#REF!</v>
      </c>
      <c r="P69" s="121">
        <f>SUMIF(BetFlow!B:B,B69,BetFlow!J:J)</f>
        <v>0</v>
      </c>
      <c r="Q69" s="121" t="e">
        <f>SUMIFS(#REF!,#REF!,Extrato!$B69,#REF!,Extrato!Q$3)</f>
        <v>#REF!</v>
      </c>
      <c r="R69" s="121" t="e">
        <f>SUMIFS(#REF!,#REF!,Extrato!$B69,#REF!,Extrato!R$3)</f>
        <v>#REF!</v>
      </c>
      <c r="S69" s="121" t="e">
        <f>SUMIFS(#REF!,#REF!,Extrato!$B69,#REF!,Extrato!S$3)</f>
        <v>#REF!</v>
      </c>
      <c r="T69" s="121" t="e">
        <f>SUMIFS(#REF!,#REF!,Extrato!$B69,#REF!,Extrato!T$3)</f>
        <v>#REF!</v>
      </c>
      <c r="U69" s="121" t="e">
        <f>SUMIFS(#REF!,#REF!,Extrato!$B69,#REF!,Extrato!U$3)</f>
        <v>#REF!</v>
      </c>
      <c r="V69" s="121" t="e">
        <f>SUMIFS(#REF!,#REF!,Extrato!$B69,#REF!,Extrato!V$3)</f>
        <v>#REF!</v>
      </c>
      <c r="W69" s="121" t="e">
        <f>SUMIFS(#REF!,#REF!,Extrato!$B69,#REF!,Extrato!W$3)</f>
        <v>#REF!</v>
      </c>
      <c r="X69" s="121" t="e">
        <f>SUMIFS(#REF!,#REF!,Extrato!$B69,#REF!,Extrato!X$3)</f>
        <v>#REF!</v>
      </c>
      <c r="Y69" s="121" t="e">
        <f>SUMIFS(#REF!,#REF!,Extrato!$B69,#REF!,Extrato!Y$3)</f>
        <v>#REF!</v>
      </c>
      <c r="Z69" s="121" t="e">
        <f>SUMIFS(#REF!,#REF!,Extrato!$B69,#REF!,Extrato!Z$3)</f>
        <v>#REF!</v>
      </c>
      <c r="AA69" s="121" t="e">
        <f>SUMIFS(#REF!,#REF!,Extrato!$B69,#REF!,Extrato!AA$3)</f>
        <v>#REF!</v>
      </c>
      <c r="AB69" s="121" t="e">
        <f>SUMIFS(#REF!,#REF!,Extrato!$B69,#REF!,Extrato!AB$3)</f>
        <v>#REF!</v>
      </c>
      <c r="AC69" s="121" t="e">
        <f>SUMIFS(#REF!,#REF!,Extrato!$B69,#REF!,Extrato!AC$3)</f>
        <v>#REF!</v>
      </c>
      <c r="AD69" s="121" t="e">
        <f>SUMIFS(#REF!,#REF!,Extrato!$B69,#REF!,Extrato!AD$3)</f>
        <v>#REF!</v>
      </c>
      <c r="AE69" s="121" t="e">
        <f>SUMIFS(#REF!,#REF!,Extrato!$B69,#REF!,Extrato!AE$3)</f>
        <v>#REF!</v>
      </c>
      <c r="AF69" s="121" t="e">
        <f>SUMIFS(#REF!,#REF!,Extrato!$B69,#REF!,Extrato!AF$3)</f>
        <v>#REF!</v>
      </c>
      <c r="AG69" s="121" t="e">
        <f>SUMIFS(#REF!,#REF!,Extrato!$B69,#REF!,Extrato!AG$3)</f>
        <v>#REF!</v>
      </c>
      <c r="AH69" s="121" t="e">
        <f>SUMIFS(#REF!,#REF!,Extrato!$B69,#REF!,Extrato!AH$3)</f>
        <v>#REF!</v>
      </c>
      <c r="AI69" s="121" t="e">
        <f>SUMIFS(#REF!,#REF!,Extrato!$B69,#REF!,Extrato!AI$3)</f>
        <v>#REF!</v>
      </c>
      <c r="AJ69" s="121">
        <v>0</v>
      </c>
      <c r="AK69" s="121"/>
      <c r="AL69" s="25" t="e">
        <f t="shared" ref="AL69:AL132" si="3">SUM(C69:AK69)</f>
        <v>#REF!</v>
      </c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</row>
    <row r="70" spans="2:68" ht="15" customHeight="1">
      <c r="B70" s="12">
        <v>46060</v>
      </c>
      <c r="C70" s="121" t="e">
        <f t="shared" si="2"/>
        <v>#REF!</v>
      </c>
      <c r="D70" s="121" t="e">
        <f>SUMIFS(#REF!,#REF!,Extrato!$B70,#REF!,Extrato!D$3)</f>
        <v>#REF!</v>
      </c>
      <c r="E70" s="121" t="e">
        <f>SUMIFS(#REF!,#REF!,Extrato!$B70,#REF!,Extrato!E$3)</f>
        <v>#REF!</v>
      </c>
      <c r="F70" s="121" t="e">
        <f>SUMIFS(#REF!,#REF!,Extrato!$B70,#REF!,Extrato!F$3)</f>
        <v>#REF!</v>
      </c>
      <c r="G70" s="121" t="e">
        <f>SUMIFS(#REF!,#REF!,Extrato!$B70,#REF!,Extrato!G$3)</f>
        <v>#REF!</v>
      </c>
      <c r="H70" s="121" t="e">
        <f>SUMIFS(#REF!,#REF!,Extrato!$B70,#REF!,Extrato!H$3)</f>
        <v>#REF!</v>
      </c>
      <c r="I70" s="121" t="e">
        <f>SUMIFS(#REF!,#REF!,Extrato!$B70,#REF!,Extrato!I$3)</f>
        <v>#REF!</v>
      </c>
      <c r="J70" s="121" t="e">
        <f>SUMIFS(#REF!,#REF!,Extrato!$B70,#REF!,Extrato!J$3)</f>
        <v>#REF!</v>
      </c>
      <c r="K70" s="121" t="e">
        <f>SUMIFS(#REF!,#REF!,Extrato!$B70,#REF!,Extrato!K$3)</f>
        <v>#REF!</v>
      </c>
      <c r="L70" s="121" t="e">
        <f>SUMIFS(#REF!,#REF!,Extrato!$B70,#REF!,Extrato!L$3)</f>
        <v>#REF!</v>
      </c>
      <c r="M70" s="121" t="e">
        <f>SUMIFS(#REF!,#REF!,Extrato!$B70,#REF!,Extrato!M$3)</f>
        <v>#REF!</v>
      </c>
      <c r="N70" s="121" t="e">
        <f>SUMIFS(#REF!,#REF!,Extrato!$B70,#REF!,Extrato!N$3)</f>
        <v>#REF!</v>
      </c>
      <c r="O70" s="121" t="e">
        <f>SUMIFS(#REF!,#REF!,Extrato!$B70,#REF!,Extrato!O$3)</f>
        <v>#REF!</v>
      </c>
      <c r="P70" s="121">
        <f>SUMIF(BetFlow!B:B,B70,BetFlow!J:J)</f>
        <v>0</v>
      </c>
      <c r="Q70" s="121" t="e">
        <f>SUMIFS(#REF!,#REF!,Extrato!$B70,#REF!,Extrato!Q$3)</f>
        <v>#REF!</v>
      </c>
      <c r="R70" s="121" t="e">
        <f>SUMIFS(#REF!,#REF!,Extrato!$B70,#REF!,Extrato!R$3)</f>
        <v>#REF!</v>
      </c>
      <c r="S70" s="121" t="e">
        <f>SUMIFS(#REF!,#REF!,Extrato!$B70,#REF!,Extrato!S$3)</f>
        <v>#REF!</v>
      </c>
      <c r="T70" s="121" t="e">
        <f>SUMIFS(#REF!,#REF!,Extrato!$B70,#REF!,Extrato!T$3)</f>
        <v>#REF!</v>
      </c>
      <c r="U70" s="121" t="e">
        <f>SUMIFS(#REF!,#REF!,Extrato!$B70,#REF!,Extrato!U$3)</f>
        <v>#REF!</v>
      </c>
      <c r="V70" s="121" t="e">
        <f>SUMIFS(#REF!,#REF!,Extrato!$B70,#REF!,Extrato!V$3)</f>
        <v>#REF!</v>
      </c>
      <c r="W70" s="121" t="e">
        <f>SUMIFS(#REF!,#REF!,Extrato!$B70,#REF!,Extrato!W$3)</f>
        <v>#REF!</v>
      </c>
      <c r="X70" s="121" t="e">
        <f>SUMIFS(#REF!,#REF!,Extrato!$B70,#REF!,Extrato!X$3)</f>
        <v>#REF!</v>
      </c>
      <c r="Y70" s="121" t="e">
        <f>SUMIFS(#REF!,#REF!,Extrato!$B70,#REF!,Extrato!Y$3)</f>
        <v>#REF!</v>
      </c>
      <c r="Z70" s="121" t="e">
        <f>SUMIFS(#REF!,#REF!,Extrato!$B70,#REF!,Extrato!Z$3)</f>
        <v>#REF!</v>
      </c>
      <c r="AA70" s="121" t="e">
        <f>SUMIFS(#REF!,#REF!,Extrato!$B70,#REF!,Extrato!AA$3)</f>
        <v>#REF!</v>
      </c>
      <c r="AB70" s="121" t="e">
        <f>SUMIFS(#REF!,#REF!,Extrato!$B70,#REF!,Extrato!AB$3)</f>
        <v>#REF!</v>
      </c>
      <c r="AC70" s="121" t="e">
        <f>SUMIFS(#REF!,#REF!,Extrato!$B70,#REF!,Extrato!AC$3)</f>
        <v>#REF!</v>
      </c>
      <c r="AD70" s="121" t="e">
        <f>SUMIFS(#REF!,#REF!,Extrato!$B70,#REF!,Extrato!AD$3)</f>
        <v>#REF!</v>
      </c>
      <c r="AE70" s="121" t="e">
        <f>SUMIFS(#REF!,#REF!,Extrato!$B70,#REF!,Extrato!AE$3)</f>
        <v>#REF!</v>
      </c>
      <c r="AF70" s="121" t="e">
        <f>SUMIFS(#REF!,#REF!,Extrato!$B70,#REF!,Extrato!AF$3)</f>
        <v>#REF!</v>
      </c>
      <c r="AG70" s="121" t="e">
        <f>SUMIFS(#REF!,#REF!,Extrato!$B70,#REF!,Extrato!AG$3)</f>
        <v>#REF!</v>
      </c>
      <c r="AH70" s="121" t="e">
        <f>SUMIFS(#REF!,#REF!,Extrato!$B70,#REF!,Extrato!AH$3)</f>
        <v>#REF!</v>
      </c>
      <c r="AI70" s="121" t="e">
        <f>SUMIFS(#REF!,#REF!,Extrato!$B70,#REF!,Extrato!AI$3)</f>
        <v>#REF!</v>
      </c>
      <c r="AJ70" s="121">
        <v>350</v>
      </c>
      <c r="AK70" s="121">
        <v>0.01</v>
      </c>
      <c r="AL70" s="25" t="e">
        <f t="shared" si="3"/>
        <v>#REF!</v>
      </c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</row>
    <row r="71" spans="2:68" ht="15" customHeight="1">
      <c r="B71" s="12">
        <v>46061</v>
      </c>
      <c r="C71" s="121" t="e">
        <f t="shared" si="2"/>
        <v>#REF!</v>
      </c>
      <c r="D71" s="121" t="e">
        <f>SUMIFS(#REF!,#REF!,Extrato!$B71,#REF!,Extrato!D$3)</f>
        <v>#REF!</v>
      </c>
      <c r="E71" s="121" t="e">
        <f>SUMIFS(#REF!,#REF!,Extrato!$B71,#REF!,Extrato!E$3)</f>
        <v>#REF!</v>
      </c>
      <c r="F71" s="121" t="e">
        <f>SUMIFS(#REF!,#REF!,Extrato!$B71,#REF!,Extrato!F$3)</f>
        <v>#REF!</v>
      </c>
      <c r="G71" s="121" t="e">
        <f>SUMIFS(#REF!,#REF!,Extrato!$B71,#REF!,Extrato!G$3)</f>
        <v>#REF!</v>
      </c>
      <c r="H71" s="121" t="e">
        <f>SUMIFS(#REF!,#REF!,Extrato!$B71,#REF!,Extrato!H$3)</f>
        <v>#REF!</v>
      </c>
      <c r="I71" s="121" t="e">
        <f>SUMIFS(#REF!,#REF!,Extrato!$B71,#REF!,Extrato!I$3)</f>
        <v>#REF!</v>
      </c>
      <c r="J71" s="121" t="e">
        <f>SUMIFS(#REF!,#REF!,Extrato!$B71,#REF!,Extrato!J$3)</f>
        <v>#REF!</v>
      </c>
      <c r="K71" s="121" t="e">
        <f>SUMIFS(#REF!,#REF!,Extrato!$B71,#REF!,Extrato!K$3)</f>
        <v>#REF!</v>
      </c>
      <c r="L71" s="121" t="e">
        <f>SUMIFS(#REF!,#REF!,Extrato!$B71,#REF!,Extrato!L$3)</f>
        <v>#REF!</v>
      </c>
      <c r="M71" s="121" t="e">
        <f>SUMIFS(#REF!,#REF!,Extrato!$B71,#REF!,Extrato!M$3)</f>
        <v>#REF!</v>
      </c>
      <c r="N71" s="121" t="e">
        <f>SUMIFS(#REF!,#REF!,Extrato!$B71,#REF!,Extrato!N$3)</f>
        <v>#REF!</v>
      </c>
      <c r="O71" s="121" t="e">
        <f>SUMIFS(#REF!,#REF!,Extrato!$B71,#REF!,Extrato!O$3)</f>
        <v>#REF!</v>
      </c>
      <c r="P71" s="121">
        <f>SUMIF(BetFlow!B:B,B71,BetFlow!J:J)</f>
        <v>0</v>
      </c>
      <c r="Q71" s="121" t="e">
        <f>SUMIFS(#REF!,#REF!,Extrato!$B71,#REF!,Extrato!Q$3)</f>
        <v>#REF!</v>
      </c>
      <c r="R71" s="121" t="e">
        <f>SUMIFS(#REF!,#REF!,Extrato!$B71,#REF!,Extrato!R$3)</f>
        <v>#REF!</v>
      </c>
      <c r="S71" s="121" t="e">
        <f>SUMIFS(#REF!,#REF!,Extrato!$B71,#REF!,Extrato!S$3)</f>
        <v>#REF!</v>
      </c>
      <c r="T71" s="121" t="e">
        <f>SUMIFS(#REF!,#REF!,Extrato!$B71,#REF!,Extrato!T$3)</f>
        <v>#REF!</v>
      </c>
      <c r="U71" s="121" t="e">
        <f>SUMIFS(#REF!,#REF!,Extrato!$B71,#REF!,Extrato!U$3)</f>
        <v>#REF!</v>
      </c>
      <c r="V71" s="121" t="e">
        <f>SUMIFS(#REF!,#REF!,Extrato!$B71,#REF!,Extrato!V$3)</f>
        <v>#REF!</v>
      </c>
      <c r="W71" s="121" t="e">
        <f>SUMIFS(#REF!,#REF!,Extrato!$B71,#REF!,Extrato!W$3)</f>
        <v>#REF!</v>
      </c>
      <c r="X71" s="121" t="e">
        <f>SUMIFS(#REF!,#REF!,Extrato!$B71,#REF!,Extrato!X$3)</f>
        <v>#REF!</v>
      </c>
      <c r="Y71" s="121" t="e">
        <f>SUMIFS(#REF!,#REF!,Extrato!$B71,#REF!,Extrato!Y$3)</f>
        <v>#REF!</v>
      </c>
      <c r="Z71" s="121" t="e">
        <f>SUMIFS(#REF!,#REF!,Extrato!$B71,#REF!,Extrato!Z$3)</f>
        <v>#REF!</v>
      </c>
      <c r="AA71" s="121" t="e">
        <f>SUMIFS(#REF!,#REF!,Extrato!$B71,#REF!,Extrato!AA$3)</f>
        <v>#REF!</v>
      </c>
      <c r="AB71" s="121" t="e">
        <f>SUMIFS(#REF!,#REF!,Extrato!$B71,#REF!,Extrato!AB$3)</f>
        <v>#REF!</v>
      </c>
      <c r="AC71" s="121" t="e">
        <f>SUMIFS(#REF!,#REF!,Extrato!$B71,#REF!,Extrato!AC$3)</f>
        <v>#REF!</v>
      </c>
      <c r="AD71" s="121" t="e">
        <f>SUMIFS(#REF!,#REF!,Extrato!$B71,#REF!,Extrato!AD$3)</f>
        <v>#REF!</v>
      </c>
      <c r="AE71" s="121" t="e">
        <f>SUMIFS(#REF!,#REF!,Extrato!$B71,#REF!,Extrato!AE$3)</f>
        <v>#REF!</v>
      </c>
      <c r="AF71" s="121" t="e">
        <f>SUMIFS(#REF!,#REF!,Extrato!$B71,#REF!,Extrato!AF$3)</f>
        <v>#REF!</v>
      </c>
      <c r="AG71" s="121" t="e">
        <f>SUMIFS(#REF!,#REF!,Extrato!$B71,#REF!,Extrato!AG$3)</f>
        <v>#REF!</v>
      </c>
      <c r="AH71" s="121" t="e">
        <f>SUMIFS(#REF!,#REF!,Extrato!$B71,#REF!,Extrato!AH$3)</f>
        <v>#REF!</v>
      </c>
      <c r="AI71" s="121" t="e">
        <f>SUMIFS(#REF!,#REF!,Extrato!$B71,#REF!,Extrato!AI$3)</f>
        <v>#REF!</v>
      </c>
      <c r="AJ71" s="121">
        <v>0</v>
      </c>
      <c r="AK71" s="121">
        <v>-0.01</v>
      </c>
      <c r="AL71" s="25" t="e">
        <f t="shared" si="3"/>
        <v>#REF!</v>
      </c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</row>
    <row r="72" spans="2:68" ht="15" customHeight="1">
      <c r="B72" s="12">
        <v>46062</v>
      </c>
      <c r="C72" s="121" t="e">
        <f t="shared" si="2"/>
        <v>#REF!</v>
      </c>
      <c r="D72" s="121" t="e">
        <f>SUMIFS(#REF!,#REF!,Extrato!$B72,#REF!,Extrato!D$3)</f>
        <v>#REF!</v>
      </c>
      <c r="E72" s="121" t="e">
        <f>SUMIFS(#REF!,#REF!,Extrato!$B72,#REF!,Extrato!E$3)</f>
        <v>#REF!</v>
      </c>
      <c r="F72" s="121" t="e">
        <f>SUMIFS(#REF!,#REF!,Extrato!$B72,#REF!,Extrato!F$3)</f>
        <v>#REF!</v>
      </c>
      <c r="G72" s="121" t="e">
        <f>SUMIFS(#REF!,#REF!,Extrato!$B72,#REF!,Extrato!G$3)</f>
        <v>#REF!</v>
      </c>
      <c r="H72" s="121" t="e">
        <f>SUMIFS(#REF!,#REF!,Extrato!$B72,#REF!,Extrato!H$3)</f>
        <v>#REF!</v>
      </c>
      <c r="I72" s="121" t="e">
        <f>SUMIFS(#REF!,#REF!,Extrato!$B72,#REF!,Extrato!I$3)</f>
        <v>#REF!</v>
      </c>
      <c r="J72" s="121" t="e">
        <f>SUMIFS(#REF!,#REF!,Extrato!$B72,#REF!,Extrato!J$3)</f>
        <v>#REF!</v>
      </c>
      <c r="K72" s="121" t="e">
        <f>SUMIFS(#REF!,#REF!,Extrato!$B72,#REF!,Extrato!K$3)</f>
        <v>#REF!</v>
      </c>
      <c r="L72" s="121" t="e">
        <f>SUMIFS(#REF!,#REF!,Extrato!$B72,#REF!,Extrato!L$3)</f>
        <v>#REF!</v>
      </c>
      <c r="M72" s="121" t="e">
        <f>SUMIFS(#REF!,#REF!,Extrato!$B72,#REF!,Extrato!M$3)</f>
        <v>#REF!</v>
      </c>
      <c r="N72" s="121" t="e">
        <f>SUMIFS(#REF!,#REF!,Extrato!$B72,#REF!,Extrato!N$3)</f>
        <v>#REF!</v>
      </c>
      <c r="O72" s="121" t="e">
        <f>SUMIFS(#REF!,#REF!,Extrato!$B72,#REF!,Extrato!O$3)</f>
        <v>#REF!</v>
      </c>
      <c r="P72" s="121">
        <f>SUMIF(BetFlow!B:B,B72,BetFlow!J:J)</f>
        <v>0</v>
      </c>
      <c r="Q72" s="121" t="e">
        <f>SUMIFS(#REF!,#REF!,Extrato!$B72,#REF!,Extrato!Q$3)</f>
        <v>#REF!</v>
      </c>
      <c r="R72" s="121" t="e">
        <f>SUMIFS(#REF!,#REF!,Extrato!$B72,#REF!,Extrato!R$3)</f>
        <v>#REF!</v>
      </c>
      <c r="S72" s="121" t="e">
        <f>SUMIFS(#REF!,#REF!,Extrato!$B72,#REF!,Extrato!S$3)</f>
        <v>#REF!</v>
      </c>
      <c r="T72" s="121" t="e">
        <f>SUMIFS(#REF!,#REF!,Extrato!$B72,#REF!,Extrato!T$3)</f>
        <v>#REF!</v>
      </c>
      <c r="U72" s="121" t="e">
        <f>SUMIFS(#REF!,#REF!,Extrato!$B72,#REF!,Extrato!U$3)</f>
        <v>#REF!</v>
      </c>
      <c r="V72" s="121" t="e">
        <f>SUMIFS(#REF!,#REF!,Extrato!$B72,#REF!,Extrato!V$3)</f>
        <v>#REF!</v>
      </c>
      <c r="W72" s="121" t="e">
        <f>SUMIFS(#REF!,#REF!,Extrato!$B72,#REF!,Extrato!W$3)</f>
        <v>#REF!</v>
      </c>
      <c r="X72" s="121" t="e">
        <f>SUMIFS(#REF!,#REF!,Extrato!$B72,#REF!,Extrato!X$3)</f>
        <v>#REF!</v>
      </c>
      <c r="Y72" s="121" t="e">
        <f>SUMIFS(#REF!,#REF!,Extrato!$B72,#REF!,Extrato!Y$3)</f>
        <v>#REF!</v>
      </c>
      <c r="Z72" s="121" t="e">
        <f>SUMIFS(#REF!,#REF!,Extrato!$B72,#REF!,Extrato!Z$3)</f>
        <v>#REF!</v>
      </c>
      <c r="AA72" s="121" t="e">
        <f>SUMIFS(#REF!,#REF!,Extrato!$B72,#REF!,Extrato!AA$3)</f>
        <v>#REF!</v>
      </c>
      <c r="AB72" s="121" t="e">
        <f>SUMIFS(#REF!,#REF!,Extrato!$B72,#REF!,Extrato!AB$3)</f>
        <v>#REF!</v>
      </c>
      <c r="AC72" s="121" t="e">
        <f>SUMIFS(#REF!,#REF!,Extrato!$B72,#REF!,Extrato!AC$3)</f>
        <v>#REF!</v>
      </c>
      <c r="AD72" s="121" t="e">
        <f>SUMIFS(#REF!,#REF!,Extrato!$B72,#REF!,Extrato!AD$3)</f>
        <v>#REF!</v>
      </c>
      <c r="AE72" s="121" t="e">
        <f>SUMIFS(#REF!,#REF!,Extrato!$B72,#REF!,Extrato!AE$3)</f>
        <v>#REF!</v>
      </c>
      <c r="AF72" s="121" t="e">
        <f>SUMIFS(#REF!,#REF!,Extrato!$B72,#REF!,Extrato!AF$3)</f>
        <v>#REF!</v>
      </c>
      <c r="AG72" s="121" t="e">
        <f>SUMIFS(#REF!,#REF!,Extrato!$B72,#REF!,Extrato!AG$3)</f>
        <v>#REF!</v>
      </c>
      <c r="AH72" s="121" t="e">
        <f>SUMIFS(#REF!,#REF!,Extrato!$B72,#REF!,Extrato!AH$3)</f>
        <v>#REF!</v>
      </c>
      <c r="AI72" s="121" t="e">
        <f>SUMIFS(#REF!,#REF!,Extrato!$B72,#REF!,Extrato!AI$3)</f>
        <v>#REF!</v>
      </c>
      <c r="AJ72" s="121">
        <v>0</v>
      </c>
      <c r="AK72" s="121">
        <v>0.01</v>
      </c>
      <c r="AL72" s="25" t="e">
        <f t="shared" si="3"/>
        <v>#REF!</v>
      </c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</row>
    <row r="73" spans="2:68" ht="15" customHeight="1">
      <c r="B73" s="12">
        <v>46063</v>
      </c>
      <c r="C73" s="121" t="e">
        <f t="shared" si="2"/>
        <v>#REF!</v>
      </c>
      <c r="D73" s="121" t="e">
        <f>SUMIFS(#REF!,#REF!,Extrato!$B73,#REF!,Extrato!D$3)</f>
        <v>#REF!</v>
      </c>
      <c r="E73" s="121" t="e">
        <f>SUMIFS(#REF!,#REF!,Extrato!$B73,#REF!,Extrato!E$3)</f>
        <v>#REF!</v>
      </c>
      <c r="F73" s="121" t="e">
        <f>SUMIFS(#REF!,#REF!,Extrato!$B73,#REF!,Extrato!F$3)</f>
        <v>#REF!</v>
      </c>
      <c r="G73" s="121" t="e">
        <f>SUMIFS(#REF!,#REF!,Extrato!$B73,#REF!,Extrato!G$3)</f>
        <v>#REF!</v>
      </c>
      <c r="H73" s="121" t="e">
        <f>SUMIFS(#REF!,#REF!,Extrato!$B73,#REF!,Extrato!H$3)</f>
        <v>#REF!</v>
      </c>
      <c r="I73" s="121" t="e">
        <f>SUMIFS(#REF!,#REF!,Extrato!$B73,#REF!,Extrato!I$3)</f>
        <v>#REF!</v>
      </c>
      <c r="J73" s="121" t="e">
        <f>SUMIFS(#REF!,#REF!,Extrato!$B73,#REF!,Extrato!J$3)</f>
        <v>#REF!</v>
      </c>
      <c r="K73" s="121" t="e">
        <f>SUMIFS(#REF!,#REF!,Extrato!$B73,#REF!,Extrato!K$3)</f>
        <v>#REF!</v>
      </c>
      <c r="L73" s="121" t="e">
        <f>SUMIFS(#REF!,#REF!,Extrato!$B73,#REF!,Extrato!L$3)</f>
        <v>#REF!</v>
      </c>
      <c r="M73" s="121" t="e">
        <f>SUMIFS(#REF!,#REF!,Extrato!$B73,#REF!,Extrato!M$3)</f>
        <v>#REF!</v>
      </c>
      <c r="N73" s="121" t="e">
        <f>SUMIFS(#REF!,#REF!,Extrato!$B73,#REF!,Extrato!N$3)</f>
        <v>#REF!</v>
      </c>
      <c r="O73" s="121" t="e">
        <f>SUMIFS(#REF!,#REF!,Extrato!$B73,#REF!,Extrato!O$3)</f>
        <v>#REF!</v>
      </c>
      <c r="P73" s="121">
        <f>SUMIF(BetFlow!B:B,B73,BetFlow!J:J)</f>
        <v>0</v>
      </c>
      <c r="Q73" s="121" t="e">
        <f>SUMIFS(#REF!,#REF!,Extrato!$B73,#REF!,Extrato!Q$3)</f>
        <v>#REF!</v>
      </c>
      <c r="R73" s="121" t="e">
        <f>SUMIFS(#REF!,#REF!,Extrato!$B73,#REF!,Extrato!R$3)</f>
        <v>#REF!</v>
      </c>
      <c r="S73" s="121" t="e">
        <f>SUMIFS(#REF!,#REF!,Extrato!$B73,#REF!,Extrato!S$3)</f>
        <v>#REF!</v>
      </c>
      <c r="T73" s="121" t="e">
        <f>SUMIFS(#REF!,#REF!,Extrato!$B73,#REF!,Extrato!T$3)</f>
        <v>#REF!</v>
      </c>
      <c r="U73" s="121" t="e">
        <f>SUMIFS(#REF!,#REF!,Extrato!$B73,#REF!,Extrato!U$3)</f>
        <v>#REF!</v>
      </c>
      <c r="V73" s="121" t="e">
        <f>SUMIFS(#REF!,#REF!,Extrato!$B73,#REF!,Extrato!V$3)</f>
        <v>#REF!</v>
      </c>
      <c r="W73" s="121" t="e">
        <f>SUMIFS(#REF!,#REF!,Extrato!$B73,#REF!,Extrato!W$3)</f>
        <v>#REF!</v>
      </c>
      <c r="X73" s="121" t="e">
        <f>SUMIFS(#REF!,#REF!,Extrato!$B73,#REF!,Extrato!X$3)</f>
        <v>#REF!</v>
      </c>
      <c r="Y73" s="121" t="e">
        <f>SUMIFS(#REF!,#REF!,Extrato!$B73,#REF!,Extrato!Y$3)</f>
        <v>#REF!</v>
      </c>
      <c r="Z73" s="121" t="e">
        <f>SUMIFS(#REF!,#REF!,Extrato!$B73,#REF!,Extrato!Z$3)</f>
        <v>#REF!</v>
      </c>
      <c r="AA73" s="121" t="e">
        <f>SUMIFS(#REF!,#REF!,Extrato!$B73,#REF!,Extrato!AA$3)</f>
        <v>#REF!</v>
      </c>
      <c r="AB73" s="121" t="e">
        <f>SUMIFS(#REF!,#REF!,Extrato!$B73,#REF!,Extrato!AB$3)</f>
        <v>#REF!</v>
      </c>
      <c r="AC73" s="121" t="e">
        <f>SUMIFS(#REF!,#REF!,Extrato!$B73,#REF!,Extrato!AC$3)</f>
        <v>#REF!</v>
      </c>
      <c r="AD73" s="121" t="e">
        <f>SUMIFS(#REF!,#REF!,Extrato!$B73,#REF!,Extrato!AD$3)</f>
        <v>#REF!</v>
      </c>
      <c r="AE73" s="121" t="e">
        <f>SUMIFS(#REF!,#REF!,Extrato!$B73,#REF!,Extrato!AE$3)</f>
        <v>#REF!</v>
      </c>
      <c r="AF73" s="121" t="e">
        <f>SUMIFS(#REF!,#REF!,Extrato!$B73,#REF!,Extrato!AF$3)</f>
        <v>#REF!</v>
      </c>
      <c r="AG73" s="121" t="e">
        <f>SUMIFS(#REF!,#REF!,Extrato!$B73,#REF!,Extrato!AG$3)</f>
        <v>#REF!</v>
      </c>
      <c r="AH73" s="121" t="e">
        <f>SUMIFS(#REF!,#REF!,Extrato!$B73,#REF!,Extrato!AH$3)</f>
        <v>#REF!</v>
      </c>
      <c r="AI73" s="121" t="e">
        <f>SUMIFS(#REF!,#REF!,Extrato!$B73,#REF!,Extrato!AI$3)</f>
        <v>#REF!</v>
      </c>
      <c r="AJ73" s="121">
        <v>0</v>
      </c>
      <c r="AK73" s="121">
        <v>0.01</v>
      </c>
      <c r="AL73" s="25" t="e">
        <f t="shared" si="3"/>
        <v>#REF!</v>
      </c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</row>
    <row r="74" spans="2:68" ht="15" customHeight="1">
      <c r="B74" s="12">
        <v>46064</v>
      </c>
      <c r="C74" s="121" t="e">
        <f t="shared" si="2"/>
        <v>#REF!</v>
      </c>
      <c r="D74" s="121" t="e">
        <f>SUMIFS(#REF!,#REF!,Extrato!$B74,#REF!,Extrato!D$3)</f>
        <v>#REF!</v>
      </c>
      <c r="E74" s="121" t="e">
        <f>SUMIFS(#REF!,#REF!,Extrato!$B74,#REF!,Extrato!E$3)</f>
        <v>#REF!</v>
      </c>
      <c r="F74" s="121" t="e">
        <f>SUMIFS(#REF!,#REF!,Extrato!$B74,#REF!,Extrato!F$3)</f>
        <v>#REF!</v>
      </c>
      <c r="G74" s="121" t="e">
        <f>SUMIFS(#REF!,#REF!,Extrato!$B74,#REF!,Extrato!G$3)</f>
        <v>#REF!</v>
      </c>
      <c r="H74" s="121" t="e">
        <f>SUMIFS(#REF!,#REF!,Extrato!$B74,#REF!,Extrato!H$3)</f>
        <v>#REF!</v>
      </c>
      <c r="I74" s="121" t="e">
        <f>SUMIFS(#REF!,#REF!,Extrato!$B74,#REF!,Extrato!I$3)</f>
        <v>#REF!</v>
      </c>
      <c r="J74" s="121" t="e">
        <f>SUMIFS(#REF!,#REF!,Extrato!$B74,#REF!,Extrato!J$3)</f>
        <v>#REF!</v>
      </c>
      <c r="K74" s="121" t="e">
        <f>SUMIFS(#REF!,#REF!,Extrato!$B74,#REF!,Extrato!K$3)</f>
        <v>#REF!</v>
      </c>
      <c r="L74" s="121" t="e">
        <f>SUMIFS(#REF!,#REF!,Extrato!$B74,#REF!,Extrato!L$3)</f>
        <v>#REF!</v>
      </c>
      <c r="M74" s="121" t="e">
        <f>SUMIFS(#REF!,#REF!,Extrato!$B74,#REF!,Extrato!M$3)</f>
        <v>#REF!</v>
      </c>
      <c r="N74" s="121" t="e">
        <f>SUMIFS(#REF!,#REF!,Extrato!$B74,#REF!,Extrato!N$3)</f>
        <v>#REF!</v>
      </c>
      <c r="O74" s="121" t="e">
        <f>SUMIFS(#REF!,#REF!,Extrato!$B74,#REF!,Extrato!O$3)</f>
        <v>#REF!</v>
      </c>
      <c r="P74" s="121">
        <f>SUMIF(BetFlow!B:B,B74,BetFlow!J:J)</f>
        <v>0</v>
      </c>
      <c r="Q74" s="121" t="e">
        <f>SUMIFS(#REF!,#REF!,Extrato!$B74,#REF!,Extrato!Q$3)</f>
        <v>#REF!</v>
      </c>
      <c r="R74" s="121" t="e">
        <f>SUMIFS(#REF!,#REF!,Extrato!$B74,#REF!,Extrato!R$3)</f>
        <v>#REF!</v>
      </c>
      <c r="S74" s="121" t="e">
        <f>SUMIFS(#REF!,#REF!,Extrato!$B74,#REF!,Extrato!S$3)</f>
        <v>#REF!</v>
      </c>
      <c r="T74" s="121" t="e">
        <f>SUMIFS(#REF!,#REF!,Extrato!$B74,#REF!,Extrato!T$3)</f>
        <v>#REF!</v>
      </c>
      <c r="U74" s="121" t="e">
        <f>SUMIFS(#REF!,#REF!,Extrato!$B74,#REF!,Extrato!U$3)</f>
        <v>#REF!</v>
      </c>
      <c r="V74" s="121" t="e">
        <f>SUMIFS(#REF!,#REF!,Extrato!$B74,#REF!,Extrato!V$3)</f>
        <v>#REF!</v>
      </c>
      <c r="W74" s="121" t="e">
        <f>SUMIFS(#REF!,#REF!,Extrato!$B74,#REF!,Extrato!W$3)</f>
        <v>#REF!</v>
      </c>
      <c r="X74" s="121" t="e">
        <f>SUMIFS(#REF!,#REF!,Extrato!$B74,#REF!,Extrato!X$3)</f>
        <v>#REF!</v>
      </c>
      <c r="Y74" s="121" t="e">
        <f>SUMIFS(#REF!,#REF!,Extrato!$B74,#REF!,Extrato!Y$3)</f>
        <v>#REF!</v>
      </c>
      <c r="Z74" s="121" t="e">
        <f>SUMIFS(#REF!,#REF!,Extrato!$B74,#REF!,Extrato!Z$3)</f>
        <v>#REF!</v>
      </c>
      <c r="AA74" s="121" t="e">
        <f>SUMIFS(#REF!,#REF!,Extrato!$B74,#REF!,Extrato!AA$3)</f>
        <v>#REF!</v>
      </c>
      <c r="AB74" s="121" t="e">
        <f>SUMIFS(#REF!,#REF!,Extrato!$B74,#REF!,Extrato!AB$3)</f>
        <v>#REF!</v>
      </c>
      <c r="AC74" s="121" t="e">
        <f>SUMIFS(#REF!,#REF!,Extrato!$B74,#REF!,Extrato!AC$3)</f>
        <v>#REF!</v>
      </c>
      <c r="AD74" s="121" t="e">
        <f>SUMIFS(#REF!,#REF!,Extrato!$B74,#REF!,Extrato!AD$3)</f>
        <v>#REF!</v>
      </c>
      <c r="AE74" s="121" t="e">
        <f>SUMIFS(#REF!,#REF!,Extrato!$B74,#REF!,Extrato!AE$3)</f>
        <v>#REF!</v>
      </c>
      <c r="AF74" s="121" t="e">
        <f>SUMIFS(#REF!,#REF!,Extrato!$B74,#REF!,Extrato!AF$3)</f>
        <v>#REF!</v>
      </c>
      <c r="AG74" s="121" t="e">
        <f>SUMIFS(#REF!,#REF!,Extrato!$B74,#REF!,Extrato!AG$3)</f>
        <v>#REF!</v>
      </c>
      <c r="AH74" s="121" t="e">
        <f>SUMIFS(#REF!,#REF!,Extrato!$B74,#REF!,Extrato!AH$3)</f>
        <v>#REF!</v>
      </c>
      <c r="AI74" s="121" t="e">
        <f>SUMIFS(#REF!,#REF!,Extrato!$B74,#REF!,Extrato!AI$3)</f>
        <v>#REF!</v>
      </c>
      <c r="AJ74" s="121">
        <v>0</v>
      </c>
      <c r="AK74" s="121">
        <v>-0.02</v>
      </c>
      <c r="AL74" s="25" t="e">
        <f t="shared" si="3"/>
        <v>#REF!</v>
      </c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</row>
    <row r="75" spans="2:68" ht="15" customHeight="1">
      <c r="B75" s="12">
        <v>46065</v>
      </c>
      <c r="C75" s="121" t="e">
        <f t="shared" si="2"/>
        <v>#REF!</v>
      </c>
      <c r="D75" s="121" t="e">
        <f>SUMIFS(#REF!,#REF!,Extrato!$B75,#REF!,Extrato!D$3)</f>
        <v>#REF!</v>
      </c>
      <c r="E75" s="121" t="e">
        <f>SUMIFS(#REF!,#REF!,Extrato!$B75,#REF!,Extrato!E$3)</f>
        <v>#REF!</v>
      </c>
      <c r="F75" s="121" t="e">
        <f>SUMIFS(#REF!,#REF!,Extrato!$B75,#REF!,Extrato!F$3)</f>
        <v>#REF!</v>
      </c>
      <c r="G75" s="121" t="e">
        <f>SUMIFS(#REF!,#REF!,Extrato!$B75,#REF!,Extrato!G$3)</f>
        <v>#REF!</v>
      </c>
      <c r="H75" s="121" t="e">
        <f>SUMIFS(#REF!,#REF!,Extrato!$B75,#REF!,Extrato!H$3)</f>
        <v>#REF!</v>
      </c>
      <c r="I75" s="121" t="e">
        <f>SUMIFS(#REF!,#REF!,Extrato!$B75,#REF!,Extrato!I$3)</f>
        <v>#REF!</v>
      </c>
      <c r="J75" s="121" t="e">
        <f>SUMIFS(#REF!,#REF!,Extrato!$B75,#REF!,Extrato!J$3)</f>
        <v>#REF!</v>
      </c>
      <c r="K75" s="121" t="e">
        <f>SUMIFS(#REF!,#REF!,Extrato!$B75,#REF!,Extrato!K$3)</f>
        <v>#REF!</v>
      </c>
      <c r="L75" s="121" t="e">
        <f>SUMIFS(#REF!,#REF!,Extrato!$B75,#REF!,Extrato!L$3)</f>
        <v>#REF!</v>
      </c>
      <c r="M75" s="121" t="e">
        <f>SUMIFS(#REF!,#REF!,Extrato!$B75,#REF!,Extrato!M$3)</f>
        <v>#REF!</v>
      </c>
      <c r="N75" s="121" t="e">
        <f>SUMIFS(#REF!,#REF!,Extrato!$B75,#REF!,Extrato!N$3)</f>
        <v>#REF!</v>
      </c>
      <c r="O75" s="121" t="e">
        <f>SUMIFS(#REF!,#REF!,Extrato!$B75,#REF!,Extrato!O$3)</f>
        <v>#REF!</v>
      </c>
      <c r="P75" s="121">
        <f>SUMIF(BetFlow!B:B,B75,BetFlow!J:J)</f>
        <v>0</v>
      </c>
      <c r="Q75" s="121" t="e">
        <f>SUMIFS(#REF!,#REF!,Extrato!$B75,#REF!,Extrato!Q$3)</f>
        <v>#REF!</v>
      </c>
      <c r="R75" s="121" t="e">
        <f>SUMIFS(#REF!,#REF!,Extrato!$B75,#REF!,Extrato!R$3)</f>
        <v>#REF!</v>
      </c>
      <c r="S75" s="121" t="e">
        <f>SUMIFS(#REF!,#REF!,Extrato!$B75,#REF!,Extrato!S$3)</f>
        <v>#REF!</v>
      </c>
      <c r="T75" s="121" t="e">
        <f>SUMIFS(#REF!,#REF!,Extrato!$B75,#REF!,Extrato!T$3)</f>
        <v>#REF!</v>
      </c>
      <c r="U75" s="121" t="e">
        <f>SUMIFS(#REF!,#REF!,Extrato!$B75,#REF!,Extrato!U$3)</f>
        <v>#REF!</v>
      </c>
      <c r="V75" s="121" t="e">
        <f>SUMIFS(#REF!,#REF!,Extrato!$B75,#REF!,Extrato!V$3)</f>
        <v>#REF!</v>
      </c>
      <c r="W75" s="121" t="e">
        <f>SUMIFS(#REF!,#REF!,Extrato!$B75,#REF!,Extrato!W$3)</f>
        <v>#REF!</v>
      </c>
      <c r="X75" s="121" t="e">
        <f>SUMIFS(#REF!,#REF!,Extrato!$B75,#REF!,Extrato!X$3)</f>
        <v>#REF!</v>
      </c>
      <c r="Y75" s="121" t="e">
        <f>SUMIFS(#REF!,#REF!,Extrato!$B75,#REF!,Extrato!Y$3)</f>
        <v>#REF!</v>
      </c>
      <c r="Z75" s="121" t="e">
        <f>SUMIFS(#REF!,#REF!,Extrato!$B75,#REF!,Extrato!Z$3)</f>
        <v>#REF!</v>
      </c>
      <c r="AA75" s="121" t="e">
        <f>SUMIFS(#REF!,#REF!,Extrato!$B75,#REF!,Extrato!AA$3)</f>
        <v>#REF!</v>
      </c>
      <c r="AB75" s="121" t="e">
        <f>SUMIFS(#REF!,#REF!,Extrato!$B75,#REF!,Extrato!AB$3)</f>
        <v>#REF!</v>
      </c>
      <c r="AC75" s="121" t="e">
        <f>SUMIFS(#REF!,#REF!,Extrato!$B75,#REF!,Extrato!AC$3)</f>
        <v>#REF!</v>
      </c>
      <c r="AD75" s="121" t="e">
        <f>SUMIFS(#REF!,#REF!,Extrato!$B75,#REF!,Extrato!AD$3)</f>
        <v>#REF!</v>
      </c>
      <c r="AE75" s="121" t="e">
        <f>SUMIFS(#REF!,#REF!,Extrato!$B75,#REF!,Extrato!AE$3)</f>
        <v>#REF!</v>
      </c>
      <c r="AF75" s="121" t="e">
        <f>SUMIFS(#REF!,#REF!,Extrato!$B75,#REF!,Extrato!AF$3)</f>
        <v>#REF!</v>
      </c>
      <c r="AG75" s="121" t="e">
        <f>SUMIFS(#REF!,#REF!,Extrato!$B75,#REF!,Extrato!AG$3)</f>
        <v>#REF!</v>
      </c>
      <c r="AH75" s="121" t="e">
        <f>SUMIFS(#REF!,#REF!,Extrato!$B75,#REF!,Extrato!AH$3)</f>
        <v>#REF!</v>
      </c>
      <c r="AI75" s="121" t="e">
        <f>SUMIFS(#REF!,#REF!,Extrato!$B75,#REF!,Extrato!AI$3)</f>
        <v>#REF!</v>
      </c>
      <c r="AJ75" s="121">
        <v>0</v>
      </c>
      <c r="AK75" s="121">
        <v>-0.01</v>
      </c>
      <c r="AL75" s="25" t="e">
        <f t="shared" si="3"/>
        <v>#REF!</v>
      </c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</row>
    <row r="76" spans="2:68" ht="15" customHeight="1">
      <c r="B76" s="12">
        <v>46066</v>
      </c>
      <c r="C76" s="121" t="e">
        <f t="shared" si="2"/>
        <v>#REF!</v>
      </c>
      <c r="D76" s="121" t="e">
        <f>SUMIFS(#REF!,#REF!,Extrato!$B76,#REF!,Extrato!D$3)</f>
        <v>#REF!</v>
      </c>
      <c r="E76" s="121" t="e">
        <f>SUMIFS(#REF!,#REF!,Extrato!$B76,#REF!,Extrato!E$3)</f>
        <v>#REF!</v>
      </c>
      <c r="F76" s="121" t="e">
        <f>SUMIFS(#REF!,#REF!,Extrato!$B76,#REF!,Extrato!F$3)</f>
        <v>#REF!</v>
      </c>
      <c r="G76" s="121" t="e">
        <f>SUMIFS(#REF!,#REF!,Extrato!$B76,#REF!,Extrato!G$3)</f>
        <v>#REF!</v>
      </c>
      <c r="H76" s="121" t="e">
        <f>SUMIFS(#REF!,#REF!,Extrato!$B76,#REF!,Extrato!H$3)</f>
        <v>#REF!</v>
      </c>
      <c r="I76" s="121" t="e">
        <f>SUMIFS(#REF!,#REF!,Extrato!$B76,#REF!,Extrato!I$3)</f>
        <v>#REF!</v>
      </c>
      <c r="J76" s="121" t="e">
        <f>SUMIFS(#REF!,#REF!,Extrato!$B76,#REF!,Extrato!J$3)</f>
        <v>#REF!</v>
      </c>
      <c r="K76" s="121" t="e">
        <f>SUMIFS(#REF!,#REF!,Extrato!$B76,#REF!,Extrato!K$3)</f>
        <v>#REF!</v>
      </c>
      <c r="L76" s="121" t="e">
        <f>SUMIFS(#REF!,#REF!,Extrato!$B76,#REF!,Extrato!L$3)</f>
        <v>#REF!</v>
      </c>
      <c r="M76" s="121" t="e">
        <f>SUMIFS(#REF!,#REF!,Extrato!$B76,#REF!,Extrato!M$3)</f>
        <v>#REF!</v>
      </c>
      <c r="N76" s="121" t="e">
        <f>SUMIFS(#REF!,#REF!,Extrato!$B76,#REF!,Extrato!N$3)</f>
        <v>#REF!</v>
      </c>
      <c r="O76" s="121" t="e">
        <f>SUMIFS(#REF!,#REF!,Extrato!$B76,#REF!,Extrato!O$3)</f>
        <v>#REF!</v>
      </c>
      <c r="P76" s="121">
        <f>SUMIF(BetFlow!B:B,B76,BetFlow!J:J)</f>
        <v>0</v>
      </c>
      <c r="Q76" s="121" t="e">
        <f>SUMIFS(#REF!,#REF!,Extrato!$B76,#REF!,Extrato!Q$3)</f>
        <v>#REF!</v>
      </c>
      <c r="R76" s="121" t="e">
        <f>SUMIFS(#REF!,#REF!,Extrato!$B76,#REF!,Extrato!R$3)</f>
        <v>#REF!</v>
      </c>
      <c r="S76" s="121" t="e">
        <f>SUMIFS(#REF!,#REF!,Extrato!$B76,#REF!,Extrato!S$3)</f>
        <v>#REF!</v>
      </c>
      <c r="T76" s="121" t="e">
        <f>SUMIFS(#REF!,#REF!,Extrato!$B76,#REF!,Extrato!T$3)</f>
        <v>#REF!</v>
      </c>
      <c r="U76" s="121" t="e">
        <f>SUMIFS(#REF!,#REF!,Extrato!$B76,#REF!,Extrato!U$3)</f>
        <v>#REF!</v>
      </c>
      <c r="V76" s="121" t="e">
        <f>SUMIFS(#REF!,#REF!,Extrato!$B76,#REF!,Extrato!V$3)</f>
        <v>#REF!</v>
      </c>
      <c r="W76" s="121" t="e">
        <f>SUMIFS(#REF!,#REF!,Extrato!$B76,#REF!,Extrato!W$3)</f>
        <v>#REF!</v>
      </c>
      <c r="X76" s="121" t="e">
        <f>SUMIFS(#REF!,#REF!,Extrato!$B76,#REF!,Extrato!X$3)</f>
        <v>#REF!</v>
      </c>
      <c r="Y76" s="121" t="e">
        <f>SUMIFS(#REF!,#REF!,Extrato!$B76,#REF!,Extrato!Y$3)</f>
        <v>#REF!</v>
      </c>
      <c r="Z76" s="121" t="e">
        <f>SUMIFS(#REF!,#REF!,Extrato!$B76,#REF!,Extrato!Z$3)</f>
        <v>#REF!</v>
      </c>
      <c r="AA76" s="121" t="e">
        <f>SUMIFS(#REF!,#REF!,Extrato!$B76,#REF!,Extrato!AA$3)</f>
        <v>#REF!</v>
      </c>
      <c r="AB76" s="121" t="e">
        <f>SUMIFS(#REF!,#REF!,Extrato!$B76,#REF!,Extrato!AB$3)</f>
        <v>#REF!</v>
      </c>
      <c r="AC76" s="121" t="e">
        <f>SUMIFS(#REF!,#REF!,Extrato!$B76,#REF!,Extrato!AC$3)</f>
        <v>#REF!</v>
      </c>
      <c r="AD76" s="121" t="e">
        <f>SUMIFS(#REF!,#REF!,Extrato!$B76,#REF!,Extrato!AD$3)</f>
        <v>#REF!</v>
      </c>
      <c r="AE76" s="121" t="e">
        <f>SUMIFS(#REF!,#REF!,Extrato!$B76,#REF!,Extrato!AE$3)</f>
        <v>#REF!</v>
      </c>
      <c r="AF76" s="121" t="e">
        <f>SUMIFS(#REF!,#REF!,Extrato!$B76,#REF!,Extrato!AF$3)</f>
        <v>#REF!</v>
      </c>
      <c r="AG76" s="121" t="e">
        <f>SUMIFS(#REF!,#REF!,Extrato!$B76,#REF!,Extrato!AG$3)</f>
        <v>#REF!</v>
      </c>
      <c r="AH76" s="121" t="e">
        <f>SUMIFS(#REF!,#REF!,Extrato!$B76,#REF!,Extrato!AH$3)</f>
        <v>#REF!</v>
      </c>
      <c r="AI76" s="121" t="e">
        <f>SUMIFS(#REF!,#REF!,Extrato!$B76,#REF!,Extrato!AI$3)</f>
        <v>#REF!</v>
      </c>
      <c r="AJ76" s="121">
        <v>0</v>
      </c>
      <c r="AK76" s="121">
        <v>0.01</v>
      </c>
      <c r="AL76" s="25" t="e">
        <f t="shared" si="3"/>
        <v>#REF!</v>
      </c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</row>
    <row r="77" spans="2:68" ht="15" customHeight="1">
      <c r="B77" s="12">
        <v>46067</v>
      </c>
      <c r="C77" s="121" t="e">
        <f t="shared" si="2"/>
        <v>#REF!</v>
      </c>
      <c r="D77" s="121" t="e">
        <f>SUMIFS(#REF!,#REF!,Extrato!$B77,#REF!,Extrato!D$3)</f>
        <v>#REF!</v>
      </c>
      <c r="E77" s="121" t="e">
        <f>SUMIFS(#REF!,#REF!,Extrato!$B77,#REF!,Extrato!E$3)</f>
        <v>#REF!</v>
      </c>
      <c r="F77" s="121" t="e">
        <f>SUMIFS(#REF!,#REF!,Extrato!$B77,#REF!,Extrato!F$3)</f>
        <v>#REF!</v>
      </c>
      <c r="G77" s="121" t="e">
        <f>SUMIFS(#REF!,#REF!,Extrato!$B77,#REF!,Extrato!G$3)</f>
        <v>#REF!</v>
      </c>
      <c r="H77" s="121" t="e">
        <f>SUMIFS(#REF!,#REF!,Extrato!$B77,#REF!,Extrato!H$3)</f>
        <v>#REF!</v>
      </c>
      <c r="I77" s="121" t="e">
        <f>SUMIFS(#REF!,#REF!,Extrato!$B77,#REF!,Extrato!I$3)</f>
        <v>#REF!</v>
      </c>
      <c r="J77" s="121" t="e">
        <f>SUMIFS(#REF!,#REF!,Extrato!$B77,#REF!,Extrato!J$3)</f>
        <v>#REF!</v>
      </c>
      <c r="K77" s="121" t="e">
        <f>SUMIFS(#REF!,#REF!,Extrato!$B77,#REF!,Extrato!K$3)</f>
        <v>#REF!</v>
      </c>
      <c r="L77" s="121" t="e">
        <f>SUMIFS(#REF!,#REF!,Extrato!$B77,#REF!,Extrato!L$3)</f>
        <v>#REF!</v>
      </c>
      <c r="M77" s="121" t="e">
        <f>SUMIFS(#REF!,#REF!,Extrato!$B77,#REF!,Extrato!M$3)</f>
        <v>#REF!</v>
      </c>
      <c r="N77" s="121" t="e">
        <f>SUMIFS(#REF!,#REF!,Extrato!$B77,#REF!,Extrato!N$3)</f>
        <v>#REF!</v>
      </c>
      <c r="O77" s="121" t="e">
        <f>SUMIFS(#REF!,#REF!,Extrato!$B77,#REF!,Extrato!O$3)</f>
        <v>#REF!</v>
      </c>
      <c r="P77" s="121">
        <f>SUMIF(BetFlow!B:B,B77,BetFlow!J:J)</f>
        <v>0</v>
      </c>
      <c r="Q77" s="121" t="e">
        <f>SUMIFS(#REF!,#REF!,Extrato!$B77,#REF!,Extrato!Q$3)</f>
        <v>#REF!</v>
      </c>
      <c r="R77" s="121" t="e">
        <f>SUMIFS(#REF!,#REF!,Extrato!$B77,#REF!,Extrato!R$3)</f>
        <v>#REF!</v>
      </c>
      <c r="S77" s="121" t="e">
        <f>SUMIFS(#REF!,#REF!,Extrato!$B77,#REF!,Extrato!S$3)</f>
        <v>#REF!</v>
      </c>
      <c r="T77" s="121" t="e">
        <f>SUMIFS(#REF!,#REF!,Extrato!$B77,#REF!,Extrato!T$3)</f>
        <v>#REF!</v>
      </c>
      <c r="U77" s="121" t="e">
        <f>SUMIFS(#REF!,#REF!,Extrato!$B77,#REF!,Extrato!U$3)</f>
        <v>#REF!</v>
      </c>
      <c r="V77" s="121" t="e">
        <f>SUMIFS(#REF!,#REF!,Extrato!$B77,#REF!,Extrato!V$3)</f>
        <v>#REF!</v>
      </c>
      <c r="W77" s="121" t="e">
        <f>SUMIFS(#REF!,#REF!,Extrato!$B77,#REF!,Extrato!W$3)</f>
        <v>#REF!</v>
      </c>
      <c r="X77" s="121" t="e">
        <f>SUMIFS(#REF!,#REF!,Extrato!$B77,#REF!,Extrato!X$3)</f>
        <v>#REF!</v>
      </c>
      <c r="Y77" s="121" t="e">
        <f>SUMIFS(#REF!,#REF!,Extrato!$B77,#REF!,Extrato!Y$3)</f>
        <v>#REF!</v>
      </c>
      <c r="Z77" s="121" t="e">
        <f>SUMIFS(#REF!,#REF!,Extrato!$B77,#REF!,Extrato!Z$3)</f>
        <v>#REF!</v>
      </c>
      <c r="AA77" s="121" t="e">
        <f>SUMIFS(#REF!,#REF!,Extrato!$B77,#REF!,Extrato!AA$3)</f>
        <v>#REF!</v>
      </c>
      <c r="AB77" s="121" t="e">
        <f>SUMIFS(#REF!,#REF!,Extrato!$B77,#REF!,Extrato!AB$3)</f>
        <v>#REF!</v>
      </c>
      <c r="AC77" s="121" t="e">
        <f>SUMIFS(#REF!,#REF!,Extrato!$B77,#REF!,Extrato!AC$3)</f>
        <v>#REF!</v>
      </c>
      <c r="AD77" s="121" t="e">
        <f>SUMIFS(#REF!,#REF!,Extrato!$B77,#REF!,Extrato!AD$3)</f>
        <v>#REF!</v>
      </c>
      <c r="AE77" s="121" t="e">
        <f>SUMIFS(#REF!,#REF!,Extrato!$B77,#REF!,Extrato!AE$3)</f>
        <v>#REF!</v>
      </c>
      <c r="AF77" s="121" t="e">
        <f>SUMIFS(#REF!,#REF!,Extrato!$B77,#REF!,Extrato!AF$3)</f>
        <v>#REF!</v>
      </c>
      <c r="AG77" s="121" t="e">
        <f>SUMIFS(#REF!,#REF!,Extrato!$B77,#REF!,Extrato!AG$3)</f>
        <v>#REF!</v>
      </c>
      <c r="AH77" s="121" t="e">
        <f>SUMIFS(#REF!,#REF!,Extrato!$B77,#REF!,Extrato!AH$3)</f>
        <v>#REF!</v>
      </c>
      <c r="AI77" s="121" t="e">
        <f>SUMIFS(#REF!,#REF!,Extrato!$B77,#REF!,Extrato!AI$3)</f>
        <v>#REF!</v>
      </c>
      <c r="AJ77" s="121">
        <v>0</v>
      </c>
      <c r="AK77" s="121">
        <v>-0.01</v>
      </c>
      <c r="AL77" s="25" t="e">
        <f t="shared" si="3"/>
        <v>#REF!</v>
      </c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</row>
    <row r="78" spans="2:68" ht="15" customHeight="1">
      <c r="B78" s="12">
        <v>46068</v>
      </c>
      <c r="C78" s="121" t="e">
        <f t="shared" si="2"/>
        <v>#REF!</v>
      </c>
      <c r="D78" s="121" t="e">
        <f>SUMIFS(#REF!,#REF!,Extrato!$B78,#REF!,Extrato!D$3)</f>
        <v>#REF!</v>
      </c>
      <c r="E78" s="121" t="e">
        <f>SUMIFS(#REF!,#REF!,Extrato!$B78,#REF!,Extrato!E$3)</f>
        <v>#REF!</v>
      </c>
      <c r="F78" s="121" t="e">
        <f>SUMIFS(#REF!,#REF!,Extrato!$B78,#REF!,Extrato!F$3)</f>
        <v>#REF!</v>
      </c>
      <c r="G78" s="121" t="e">
        <f>SUMIFS(#REF!,#REF!,Extrato!$B78,#REF!,Extrato!G$3)</f>
        <v>#REF!</v>
      </c>
      <c r="H78" s="121" t="e">
        <f>SUMIFS(#REF!,#REF!,Extrato!$B78,#REF!,Extrato!H$3)</f>
        <v>#REF!</v>
      </c>
      <c r="I78" s="121" t="e">
        <f>SUMIFS(#REF!,#REF!,Extrato!$B78,#REF!,Extrato!I$3)</f>
        <v>#REF!</v>
      </c>
      <c r="J78" s="121" t="e">
        <f>SUMIFS(#REF!,#REF!,Extrato!$B78,#REF!,Extrato!J$3)</f>
        <v>#REF!</v>
      </c>
      <c r="K78" s="121" t="e">
        <f>SUMIFS(#REF!,#REF!,Extrato!$B78,#REF!,Extrato!K$3)</f>
        <v>#REF!</v>
      </c>
      <c r="L78" s="121" t="e">
        <f>SUMIFS(#REF!,#REF!,Extrato!$B78,#REF!,Extrato!L$3)</f>
        <v>#REF!</v>
      </c>
      <c r="M78" s="121" t="e">
        <f>SUMIFS(#REF!,#REF!,Extrato!$B78,#REF!,Extrato!M$3)</f>
        <v>#REF!</v>
      </c>
      <c r="N78" s="121" t="e">
        <f>SUMIFS(#REF!,#REF!,Extrato!$B78,#REF!,Extrato!N$3)</f>
        <v>#REF!</v>
      </c>
      <c r="O78" s="121" t="e">
        <f>SUMIFS(#REF!,#REF!,Extrato!$B78,#REF!,Extrato!O$3)</f>
        <v>#REF!</v>
      </c>
      <c r="P78" s="121">
        <f>SUMIF(BetFlow!B:B,B78,BetFlow!J:J)</f>
        <v>0</v>
      </c>
      <c r="Q78" s="121" t="e">
        <f>SUMIFS(#REF!,#REF!,Extrato!$B78,#REF!,Extrato!Q$3)</f>
        <v>#REF!</v>
      </c>
      <c r="R78" s="121" t="e">
        <f>SUMIFS(#REF!,#REF!,Extrato!$B78,#REF!,Extrato!R$3)</f>
        <v>#REF!</v>
      </c>
      <c r="S78" s="121" t="e">
        <f>SUMIFS(#REF!,#REF!,Extrato!$B78,#REF!,Extrato!S$3)</f>
        <v>#REF!</v>
      </c>
      <c r="T78" s="121" t="e">
        <f>SUMIFS(#REF!,#REF!,Extrato!$B78,#REF!,Extrato!T$3)</f>
        <v>#REF!</v>
      </c>
      <c r="U78" s="121" t="e">
        <f>SUMIFS(#REF!,#REF!,Extrato!$B78,#REF!,Extrato!U$3)</f>
        <v>#REF!</v>
      </c>
      <c r="V78" s="121" t="e">
        <f>SUMIFS(#REF!,#REF!,Extrato!$B78,#REF!,Extrato!V$3)</f>
        <v>#REF!</v>
      </c>
      <c r="W78" s="121" t="e">
        <f>SUMIFS(#REF!,#REF!,Extrato!$B78,#REF!,Extrato!W$3)</f>
        <v>#REF!</v>
      </c>
      <c r="X78" s="121" t="e">
        <f>SUMIFS(#REF!,#REF!,Extrato!$B78,#REF!,Extrato!X$3)</f>
        <v>#REF!</v>
      </c>
      <c r="Y78" s="121" t="e">
        <f>SUMIFS(#REF!,#REF!,Extrato!$B78,#REF!,Extrato!Y$3)</f>
        <v>#REF!</v>
      </c>
      <c r="Z78" s="121" t="e">
        <f>SUMIFS(#REF!,#REF!,Extrato!$B78,#REF!,Extrato!Z$3)</f>
        <v>#REF!</v>
      </c>
      <c r="AA78" s="121" t="e">
        <f>SUMIFS(#REF!,#REF!,Extrato!$B78,#REF!,Extrato!AA$3)</f>
        <v>#REF!</v>
      </c>
      <c r="AB78" s="121" t="e">
        <f>SUMIFS(#REF!,#REF!,Extrato!$B78,#REF!,Extrato!AB$3)</f>
        <v>#REF!</v>
      </c>
      <c r="AC78" s="121" t="e">
        <f>SUMIFS(#REF!,#REF!,Extrato!$B78,#REF!,Extrato!AC$3)</f>
        <v>#REF!</v>
      </c>
      <c r="AD78" s="121" t="e">
        <f>SUMIFS(#REF!,#REF!,Extrato!$B78,#REF!,Extrato!AD$3)</f>
        <v>#REF!</v>
      </c>
      <c r="AE78" s="121" t="e">
        <f>SUMIFS(#REF!,#REF!,Extrato!$B78,#REF!,Extrato!AE$3)</f>
        <v>#REF!</v>
      </c>
      <c r="AF78" s="121" t="e">
        <f>SUMIFS(#REF!,#REF!,Extrato!$B78,#REF!,Extrato!AF$3)</f>
        <v>#REF!</v>
      </c>
      <c r="AG78" s="121" t="e">
        <f>SUMIFS(#REF!,#REF!,Extrato!$B78,#REF!,Extrato!AG$3)</f>
        <v>#REF!</v>
      </c>
      <c r="AH78" s="121" t="e">
        <f>SUMIFS(#REF!,#REF!,Extrato!$B78,#REF!,Extrato!AH$3)</f>
        <v>#REF!</v>
      </c>
      <c r="AI78" s="121" t="e">
        <f>SUMIFS(#REF!,#REF!,Extrato!$B78,#REF!,Extrato!AI$3)</f>
        <v>#REF!</v>
      </c>
      <c r="AJ78" s="121">
        <v>0</v>
      </c>
      <c r="AK78" s="121">
        <v>0.01</v>
      </c>
      <c r="AL78" s="25" t="e">
        <f t="shared" si="3"/>
        <v>#REF!</v>
      </c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</row>
    <row r="79" spans="2:68" ht="15" customHeight="1">
      <c r="B79" s="12">
        <v>46069</v>
      </c>
      <c r="C79" s="121" t="e">
        <f t="shared" si="2"/>
        <v>#REF!</v>
      </c>
      <c r="D79" s="121" t="e">
        <f>SUMIFS(#REF!,#REF!,Extrato!$B79,#REF!,Extrato!D$3)</f>
        <v>#REF!</v>
      </c>
      <c r="E79" s="121" t="e">
        <f>SUMIFS(#REF!,#REF!,Extrato!$B79,#REF!,Extrato!E$3)</f>
        <v>#REF!</v>
      </c>
      <c r="F79" s="121" t="e">
        <f>SUMIFS(#REF!,#REF!,Extrato!$B79,#REF!,Extrato!F$3)</f>
        <v>#REF!</v>
      </c>
      <c r="G79" s="121" t="e">
        <f>SUMIFS(#REF!,#REF!,Extrato!$B79,#REF!,Extrato!G$3)</f>
        <v>#REF!</v>
      </c>
      <c r="H79" s="121" t="e">
        <f>SUMIFS(#REF!,#REF!,Extrato!$B79,#REF!,Extrato!H$3)</f>
        <v>#REF!</v>
      </c>
      <c r="I79" s="121" t="e">
        <f>SUMIFS(#REF!,#REF!,Extrato!$B79,#REF!,Extrato!I$3)</f>
        <v>#REF!</v>
      </c>
      <c r="J79" s="121" t="e">
        <f>SUMIFS(#REF!,#REF!,Extrato!$B79,#REF!,Extrato!J$3)</f>
        <v>#REF!</v>
      </c>
      <c r="K79" s="121" t="e">
        <f>SUMIFS(#REF!,#REF!,Extrato!$B79,#REF!,Extrato!K$3)</f>
        <v>#REF!</v>
      </c>
      <c r="L79" s="121" t="e">
        <f>SUMIFS(#REF!,#REF!,Extrato!$B79,#REF!,Extrato!L$3)</f>
        <v>#REF!</v>
      </c>
      <c r="M79" s="121" t="e">
        <f>SUMIFS(#REF!,#REF!,Extrato!$B79,#REF!,Extrato!M$3)</f>
        <v>#REF!</v>
      </c>
      <c r="N79" s="121" t="e">
        <f>SUMIFS(#REF!,#REF!,Extrato!$B79,#REF!,Extrato!N$3)</f>
        <v>#REF!</v>
      </c>
      <c r="O79" s="121" t="e">
        <f>SUMIFS(#REF!,#REF!,Extrato!$B79,#REF!,Extrato!O$3)</f>
        <v>#REF!</v>
      </c>
      <c r="P79" s="121">
        <f>SUMIF(BetFlow!B:B,B79,BetFlow!J:J)</f>
        <v>0</v>
      </c>
      <c r="Q79" s="121" t="e">
        <f>SUMIFS(#REF!,#REF!,Extrato!$B79,#REF!,Extrato!Q$3)</f>
        <v>#REF!</v>
      </c>
      <c r="R79" s="121" t="e">
        <f>SUMIFS(#REF!,#REF!,Extrato!$B79,#REF!,Extrato!R$3)</f>
        <v>#REF!</v>
      </c>
      <c r="S79" s="121" t="e">
        <f>SUMIFS(#REF!,#REF!,Extrato!$B79,#REF!,Extrato!S$3)</f>
        <v>#REF!</v>
      </c>
      <c r="T79" s="121" t="e">
        <f>SUMIFS(#REF!,#REF!,Extrato!$B79,#REF!,Extrato!T$3)</f>
        <v>#REF!</v>
      </c>
      <c r="U79" s="121" t="e">
        <f>SUMIFS(#REF!,#REF!,Extrato!$B79,#REF!,Extrato!U$3)</f>
        <v>#REF!</v>
      </c>
      <c r="V79" s="121" t="e">
        <f>SUMIFS(#REF!,#REF!,Extrato!$B79,#REF!,Extrato!V$3)</f>
        <v>#REF!</v>
      </c>
      <c r="W79" s="121" t="e">
        <f>SUMIFS(#REF!,#REF!,Extrato!$B79,#REF!,Extrato!W$3)</f>
        <v>#REF!</v>
      </c>
      <c r="X79" s="121" t="e">
        <f>SUMIFS(#REF!,#REF!,Extrato!$B79,#REF!,Extrato!X$3)</f>
        <v>#REF!</v>
      </c>
      <c r="Y79" s="121" t="e">
        <f>SUMIFS(#REF!,#REF!,Extrato!$B79,#REF!,Extrato!Y$3)</f>
        <v>#REF!</v>
      </c>
      <c r="Z79" s="121" t="e">
        <f>SUMIFS(#REF!,#REF!,Extrato!$B79,#REF!,Extrato!Z$3)</f>
        <v>#REF!</v>
      </c>
      <c r="AA79" s="121" t="e">
        <f>SUMIFS(#REF!,#REF!,Extrato!$B79,#REF!,Extrato!AA$3)</f>
        <v>#REF!</v>
      </c>
      <c r="AB79" s="121" t="e">
        <f>SUMIFS(#REF!,#REF!,Extrato!$B79,#REF!,Extrato!AB$3)</f>
        <v>#REF!</v>
      </c>
      <c r="AC79" s="121" t="e">
        <f>SUMIFS(#REF!,#REF!,Extrato!$B79,#REF!,Extrato!AC$3)</f>
        <v>#REF!</v>
      </c>
      <c r="AD79" s="121" t="e">
        <f>SUMIFS(#REF!,#REF!,Extrato!$B79,#REF!,Extrato!AD$3)</f>
        <v>#REF!</v>
      </c>
      <c r="AE79" s="121" t="e">
        <f>SUMIFS(#REF!,#REF!,Extrato!$B79,#REF!,Extrato!AE$3)</f>
        <v>#REF!</v>
      </c>
      <c r="AF79" s="121" t="e">
        <f>SUMIFS(#REF!,#REF!,Extrato!$B79,#REF!,Extrato!AF$3)</f>
        <v>#REF!</v>
      </c>
      <c r="AG79" s="121" t="e">
        <f>SUMIFS(#REF!,#REF!,Extrato!$B79,#REF!,Extrato!AG$3)</f>
        <v>#REF!</v>
      </c>
      <c r="AH79" s="121" t="e">
        <f>SUMIFS(#REF!,#REF!,Extrato!$B79,#REF!,Extrato!AH$3)</f>
        <v>#REF!</v>
      </c>
      <c r="AI79" s="121" t="e">
        <f>SUMIFS(#REF!,#REF!,Extrato!$B79,#REF!,Extrato!AI$3)</f>
        <v>#REF!</v>
      </c>
      <c r="AJ79" s="121">
        <v>0</v>
      </c>
      <c r="AK79" s="121"/>
      <c r="AL79" s="25" t="e">
        <f t="shared" si="3"/>
        <v>#REF!</v>
      </c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22"/>
      <c r="BO79" s="122"/>
      <c r="BP79" s="122"/>
    </row>
    <row r="80" spans="2:68" ht="15" customHeight="1">
      <c r="B80" s="12">
        <v>46070</v>
      </c>
      <c r="C80" s="121" t="e">
        <f t="shared" si="2"/>
        <v>#REF!</v>
      </c>
      <c r="D80" s="121" t="e">
        <f>SUMIFS(#REF!,#REF!,Extrato!$B80,#REF!,Extrato!D$3)</f>
        <v>#REF!</v>
      </c>
      <c r="E80" s="121" t="e">
        <f>SUMIFS(#REF!,#REF!,Extrato!$B80,#REF!,Extrato!E$3)</f>
        <v>#REF!</v>
      </c>
      <c r="F80" s="121" t="e">
        <f>SUMIFS(#REF!,#REF!,Extrato!$B80,#REF!,Extrato!F$3)</f>
        <v>#REF!</v>
      </c>
      <c r="G80" s="121" t="e">
        <f>SUMIFS(#REF!,#REF!,Extrato!$B80,#REF!,Extrato!G$3)</f>
        <v>#REF!</v>
      </c>
      <c r="H80" s="121" t="e">
        <f>SUMIFS(#REF!,#REF!,Extrato!$B80,#REF!,Extrato!H$3)</f>
        <v>#REF!</v>
      </c>
      <c r="I80" s="121" t="e">
        <f>SUMIFS(#REF!,#REF!,Extrato!$B80,#REF!,Extrato!I$3)</f>
        <v>#REF!</v>
      </c>
      <c r="J80" s="121" t="e">
        <f>SUMIFS(#REF!,#REF!,Extrato!$B80,#REF!,Extrato!J$3)</f>
        <v>#REF!</v>
      </c>
      <c r="K80" s="121" t="e">
        <f>SUMIFS(#REF!,#REF!,Extrato!$B80,#REF!,Extrato!K$3)</f>
        <v>#REF!</v>
      </c>
      <c r="L80" s="121" t="e">
        <f>SUMIFS(#REF!,#REF!,Extrato!$B80,#REF!,Extrato!L$3)</f>
        <v>#REF!</v>
      </c>
      <c r="M80" s="121" t="e">
        <f>SUMIFS(#REF!,#REF!,Extrato!$B80,#REF!,Extrato!M$3)</f>
        <v>#REF!</v>
      </c>
      <c r="N80" s="121" t="e">
        <f>SUMIFS(#REF!,#REF!,Extrato!$B80,#REF!,Extrato!N$3)</f>
        <v>#REF!</v>
      </c>
      <c r="O80" s="121" t="e">
        <f>SUMIFS(#REF!,#REF!,Extrato!$B80,#REF!,Extrato!O$3)</f>
        <v>#REF!</v>
      </c>
      <c r="P80" s="121">
        <f>SUMIF(BetFlow!B:B,B80,BetFlow!J:J)</f>
        <v>0</v>
      </c>
      <c r="Q80" s="121" t="e">
        <f>SUMIFS(#REF!,#REF!,Extrato!$B80,#REF!,Extrato!Q$3)</f>
        <v>#REF!</v>
      </c>
      <c r="R80" s="121" t="e">
        <f>SUMIFS(#REF!,#REF!,Extrato!$B80,#REF!,Extrato!R$3)</f>
        <v>#REF!</v>
      </c>
      <c r="S80" s="121" t="e">
        <f>SUMIFS(#REF!,#REF!,Extrato!$B80,#REF!,Extrato!S$3)</f>
        <v>#REF!</v>
      </c>
      <c r="T80" s="121" t="e">
        <f>SUMIFS(#REF!,#REF!,Extrato!$B80,#REF!,Extrato!T$3)</f>
        <v>#REF!</v>
      </c>
      <c r="U80" s="121" t="e">
        <f>SUMIFS(#REF!,#REF!,Extrato!$B80,#REF!,Extrato!U$3)</f>
        <v>#REF!</v>
      </c>
      <c r="V80" s="121" t="e">
        <f>SUMIFS(#REF!,#REF!,Extrato!$B80,#REF!,Extrato!V$3)</f>
        <v>#REF!</v>
      </c>
      <c r="W80" s="121" t="e">
        <f>SUMIFS(#REF!,#REF!,Extrato!$B80,#REF!,Extrato!W$3)</f>
        <v>#REF!</v>
      </c>
      <c r="X80" s="121" t="e">
        <f>SUMIFS(#REF!,#REF!,Extrato!$B80,#REF!,Extrato!X$3)</f>
        <v>#REF!</v>
      </c>
      <c r="Y80" s="121" t="e">
        <f>SUMIFS(#REF!,#REF!,Extrato!$B80,#REF!,Extrato!Y$3)</f>
        <v>#REF!</v>
      </c>
      <c r="Z80" s="121" t="e">
        <f>SUMIFS(#REF!,#REF!,Extrato!$B80,#REF!,Extrato!Z$3)</f>
        <v>#REF!</v>
      </c>
      <c r="AA80" s="121" t="e">
        <f>SUMIFS(#REF!,#REF!,Extrato!$B80,#REF!,Extrato!AA$3)</f>
        <v>#REF!</v>
      </c>
      <c r="AB80" s="121" t="e">
        <f>SUMIFS(#REF!,#REF!,Extrato!$B80,#REF!,Extrato!AB$3)</f>
        <v>#REF!</v>
      </c>
      <c r="AC80" s="121" t="e">
        <f>SUMIFS(#REF!,#REF!,Extrato!$B80,#REF!,Extrato!AC$3)</f>
        <v>#REF!</v>
      </c>
      <c r="AD80" s="121" t="e">
        <f>SUMIFS(#REF!,#REF!,Extrato!$B80,#REF!,Extrato!AD$3)</f>
        <v>#REF!</v>
      </c>
      <c r="AE80" s="121" t="e">
        <f>SUMIFS(#REF!,#REF!,Extrato!$B80,#REF!,Extrato!AE$3)</f>
        <v>#REF!</v>
      </c>
      <c r="AF80" s="121" t="e">
        <f>SUMIFS(#REF!,#REF!,Extrato!$B80,#REF!,Extrato!AF$3)</f>
        <v>#REF!</v>
      </c>
      <c r="AG80" s="121" t="e">
        <f>SUMIFS(#REF!,#REF!,Extrato!$B80,#REF!,Extrato!AG$3)</f>
        <v>#REF!</v>
      </c>
      <c r="AH80" s="121" t="e">
        <f>SUMIFS(#REF!,#REF!,Extrato!$B80,#REF!,Extrato!AH$3)</f>
        <v>#REF!</v>
      </c>
      <c r="AI80" s="121" t="e">
        <f>SUMIFS(#REF!,#REF!,Extrato!$B80,#REF!,Extrato!AI$3)</f>
        <v>#REF!</v>
      </c>
      <c r="AJ80" s="121">
        <v>0</v>
      </c>
      <c r="AK80" s="121"/>
      <c r="AL80" s="25" t="e">
        <f t="shared" si="3"/>
        <v>#REF!</v>
      </c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/>
      <c r="BN80" s="122"/>
      <c r="BO80" s="122"/>
      <c r="BP80" s="122"/>
    </row>
    <row r="81" spans="2:68" ht="15" customHeight="1">
      <c r="B81" s="12">
        <v>46071</v>
      </c>
      <c r="C81" s="121" t="e">
        <f t="shared" si="2"/>
        <v>#REF!</v>
      </c>
      <c r="D81" s="121" t="e">
        <f>SUMIFS(#REF!,#REF!,Extrato!$B81,#REF!,Extrato!D$3)</f>
        <v>#REF!</v>
      </c>
      <c r="E81" s="121" t="e">
        <f>SUMIFS(#REF!,#REF!,Extrato!$B81,#REF!,Extrato!E$3)</f>
        <v>#REF!</v>
      </c>
      <c r="F81" s="121" t="e">
        <f>SUMIFS(#REF!,#REF!,Extrato!$B81,#REF!,Extrato!F$3)</f>
        <v>#REF!</v>
      </c>
      <c r="G81" s="121" t="e">
        <f>SUMIFS(#REF!,#REF!,Extrato!$B81,#REF!,Extrato!G$3)</f>
        <v>#REF!</v>
      </c>
      <c r="H81" s="121" t="e">
        <f>SUMIFS(#REF!,#REF!,Extrato!$B81,#REF!,Extrato!H$3)</f>
        <v>#REF!</v>
      </c>
      <c r="I81" s="121" t="e">
        <f>SUMIFS(#REF!,#REF!,Extrato!$B81,#REF!,Extrato!I$3)</f>
        <v>#REF!</v>
      </c>
      <c r="J81" s="121" t="e">
        <f>SUMIFS(#REF!,#REF!,Extrato!$B81,#REF!,Extrato!J$3)</f>
        <v>#REF!</v>
      </c>
      <c r="K81" s="121" t="e">
        <f>SUMIFS(#REF!,#REF!,Extrato!$B81,#REF!,Extrato!K$3)</f>
        <v>#REF!</v>
      </c>
      <c r="L81" s="121" t="e">
        <f>SUMIFS(#REF!,#REF!,Extrato!$B81,#REF!,Extrato!L$3)</f>
        <v>#REF!</v>
      </c>
      <c r="M81" s="121" t="e">
        <f>SUMIFS(#REF!,#REF!,Extrato!$B81,#REF!,Extrato!M$3)</f>
        <v>#REF!</v>
      </c>
      <c r="N81" s="121" t="e">
        <f>SUMIFS(#REF!,#REF!,Extrato!$B81,#REF!,Extrato!N$3)</f>
        <v>#REF!</v>
      </c>
      <c r="O81" s="121" t="e">
        <f>SUMIFS(#REF!,#REF!,Extrato!$B81,#REF!,Extrato!O$3)</f>
        <v>#REF!</v>
      </c>
      <c r="P81" s="121">
        <f>SUMIF(BetFlow!B:B,B81,BetFlow!J:J)</f>
        <v>0</v>
      </c>
      <c r="Q81" s="121" t="e">
        <f>SUMIFS(#REF!,#REF!,Extrato!$B81,#REF!,Extrato!Q$3)</f>
        <v>#REF!</v>
      </c>
      <c r="R81" s="121" t="e">
        <f>SUMIFS(#REF!,#REF!,Extrato!$B81,#REF!,Extrato!R$3)</f>
        <v>#REF!</v>
      </c>
      <c r="S81" s="121" t="e">
        <f>SUMIFS(#REF!,#REF!,Extrato!$B81,#REF!,Extrato!S$3)</f>
        <v>#REF!</v>
      </c>
      <c r="T81" s="121" t="e">
        <f>SUMIFS(#REF!,#REF!,Extrato!$B81,#REF!,Extrato!T$3)</f>
        <v>#REF!</v>
      </c>
      <c r="U81" s="121" t="e">
        <f>SUMIFS(#REF!,#REF!,Extrato!$B81,#REF!,Extrato!U$3)</f>
        <v>#REF!</v>
      </c>
      <c r="V81" s="121" t="e">
        <f>SUMIFS(#REF!,#REF!,Extrato!$B81,#REF!,Extrato!V$3)</f>
        <v>#REF!</v>
      </c>
      <c r="W81" s="121" t="e">
        <f>SUMIFS(#REF!,#REF!,Extrato!$B81,#REF!,Extrato!W$3)</f>
        <v>#REF!</v>
      </c>
      <c r="X81" s="121" t="e">
        <f>SUMIFS(#REF!,#REF!,Extrato!$B81,#REF!,Extrato!X$3)</f>
        <v>#REF!</v>
      </c>
      <c r="Y81" s="121" t="e">
        <f>SUMIFS(#REF!,#REF!,Extrato!$B81,#REF!,Extrato!Y$3)</f>
        <v>#REF!</v>
      </c>
      <c r="Z81" s="121" t="e">
        <f>SUMIFS(#REF!,#REF!,Extrato!$B81,#REF!,Extrato!Z$3)</f>
        <v>#REF!</v>
      </c>
      <c r="AA81" s="121" t="e">
        <f>SUMIFS(#REF!,#REF!,Extrato!$B81,#REF!,Extrato!AA$3)</f>
        <v>#REF!</v>
      </c>
      <c r="AB81" s="121" t="e">
        <f>SUMIFS(#REF!,#REF!,Extrato!$B81,#REF!,Extrato!AB$3)</f>
        <v>#REF!</v>
      </c>
      <c r="AC81" s="121" t="e">
        <f>SUMIFS(#REF!,#REF!,Extrato!$B81,#REF!,Extrato!AC$3)</f>
        <v>#REF!</v>
      </c>
      <c r="AD81" s="121" t="e">
        <f>SUMIFS(#REF!,#REF!,Extrato!$B81,#REF!,Extrato!AD$3)</f>
        <v>#REF!</v>
      </c>
      <c r="AE81" s="121" t="e">
        <f>SUMIFS(#REF!,#REF!,Extrato!$B81,#REF!,Extrato!AE$3)</f>
        <v>#REF!</v>
      </c>
      <c r="AF81" s="121" t="e">
        <f>SUMIFS(#REF!,#REF!,Extrato!$B81,#REF!,Extrato!AF$3)</f>
        <v>#REF!</v>
      </c>
      <c r="AG81" s="121" t="e">
        <f>SUMIFS(#REF!,#REF!,Extrato!$B81,#REF!,Extrato!AG$3)</f>
        <v>#REF!</v>
      </c>
      <c r="AH81" s="121" t="e">
        <f>SUMIFS(#REF!,#REF!,Extrato!$B81,#REF!,Extrato!AH$3)</f>
        <v>#REF!</v>
      </c>
      <c r="AI81" s="121" t="e">
        <f>SUMIFS(#REF!,#REF!,Extrato!$B81,#REF!,Extrato!AI$3)</f>
        <v>#REF!</v>
      </c>
      <c r="AJ81" s="121">
        <v>0</v>
      </c>
      <c r="AK81" s="121"/>
      <c r="AL81" s="25" t="e">
        <f t="shared" si="3"/>
        <v>#REF!</v>
      </c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122"/>
      <c r="BM81" s="122"/>
      <c r="BN81" s="122"/>
      <c r="BO81" s="122"/>
      <c r="BP81" s="122"/>
    </row>
    <row r="82" spans="2:68" ht="15" customHeight="1">
      <c r="B82" s="12">
        <v>46072</v>
      </c>
      <c r="C82" s="121" t="e">
        <f t="shared" si="2"/>
        <v>#REF!</v>
      </c>
      <c r="D82" s="121" t="e">
        <f>SUMIFS(#REF!,#REF!,Extrato!$B82,#REF!,Extrato!D$3)</f>
        <v>#REF!</v>
      </c>
      <c r="E82" s="121" t="e">
        <f>SUMIFS(#REF!,#REF!,Extrato!$B82,#REF!,Extrato!E$3)</f>
        <v>#REF!</v>
      </c>
      <c r="F82" s="121" t="e">
        <f>SUMIFS(#REF!,#REF!,Extrato!$B82,#REF!,Extrato!F$3)</f>
        <v>#REF!</v>
      </c>
      <c r="G82" s="121" t="e">
        <f>SUMIFS(#REF!,#REF!,Extrato!$B82,#REF!,Extrato!G$3)</f>
        <v>#REF!</v>
      </c>
      <c r="H82" s="121" t="e">
        <f>SUMIFS(#REF!,#REF!,Extrato!$B82,#REF!,Extrato!H$3)</f>
        <v>#REF!</v>
      </c>
      <c r="I82" s="121" t="e">
        <f>SUMIFS(#REF!,#REF!,Extrato!$B82,#REF!,Extrato!I$3)</f>
        <v>#REF!</v>
      </c>
      <c r="J82" s="121" t="e">
        <f>SUMIFS(#REF!,#REF!,Extrato!$B82,#REF!,Extrato!J$3)</f>
        <v>#REF!</v>
      </c>
      <c r="K82" s="121" t="e">
        <f>SUMIFS(#REF!,#REF!,Extrato!$B82,#REF!,Extrato!K$3)</f>
        <v>#REF!</v>
      </c>
      <c r="L82" s="121" t="e">
        <f>SUMIFS(#REF!,#REF!,Extrato!$B82,#REF!,Extrato!L$3)</f>
        <v>#REF!</v>
      </c>
      <c r="M82" s="121" t="e">
        <f>SUMIFS(#REF!,#REF!,Extrato!$B82,#REF!,Extrato!M$3)</f>
        <v>#REF!</v>
      </c>
      <c r="N82" s="121" t="e">
        <f>SUMIFS(#REF!,#REF!,Extrato!$B82,#REF!,Extrato!N$3)</f>
        <v>#REF!</v>
      </c>
      <c r="O82" s="121" t="e">
        <f>SUMIFS(#REF!,#REF!,Extrato!$B82,#REF!,Extrato!O$3)</f>
        <v>#REF!</v>
      </c>
      <c r="P82" s="121">
        <f>SUMIF(BetFlow!B:B,B82,BetFlow!J:J)</f>
        <v>0</v>
      </c>
      <c r="Q82" s="121" t="e">
        <f>SUMIFS(#REF!,#REF!,Extrato!$B82,#REF!,Extrato!Q$3)</f>
        <v>#REF!</v>
      </c>
      <c r="R82" s="121" t="e">
        <f>SUMIFS(#REF!,#REF!,Extrato!$B82,#REF!,Extrato!R$3)</f>
        <v>#REF!</v>
      </c>
      <c r="S82" s="121" t="e">
        <f>SUMIFS(#REF!,#REF!,Extrato!$B82,#REF!,Extrato!S$3)</f>
        <v>#REF!</v>
      </c>
      <c r="T82" s="121" t="e">
        <f>SUMIFS(#REF!,#REF!,Extrato!$B82,#REF!,Extrato!T$3)</f>
        <v>#REF!</v>
      </c>
      <c r="U82" s="121" t="e">
        <f>SUMIFS(#REF!,#REF!,Extrato!$B82,#REF!,Extrato!U$3)</f>
        <v>#REF!</v>
      </c>
      <c r="V82" s="121" t="e">
        <f>SUMIFS(#REF!,#REF!,Extrato!$B82,#REF!,Extrato!V$3)</f>
        <v>#REF!</v>
      </c>
      <c r="W82" s="121" t="e">
        <f>SUMIFS(#REF!,#REF!,Extrato!$B82,#REF!,Extrato!W$3)</f>
        <v>#REF!</v>
      </c>
      <c r="X82" s="121" t="e">
        <f>SUMIFS(#REF!,#REF!,Extrato!$B82,#REF!,Extrato!X$3)</f>
        <v>#REF!</v>
      </c>
      <c r="Y82" s="121" t="e">
        <f>SUMIFS(#REF!,#REF!,Extrato!$B82,#REF!,Extrato!Y$3)</f>
        <v>#REF!</v>
      </c>
      <c r="Z82" s="121" t="e">
        <f>SUMIFS(#REF!,#REF!,Extrato!$B82,#REF!,Extrato!Z$3)</f>
        <v>#REF!</v>
      </c>
      <c r="AA82" s="121" t="e">
        <f>SUMIFS(#REF!,#REF!,Extrato!$B82,#REF!,Extrato!AA$3)</f>
        <v>#REF!</v>
      </c>
      <c r="AB82" s="121" t="e">
        <f>SUMIFS(#REF!,#REF!,Extrato!$B82,#REF!,Extrato!AB$3)</f>
        <v>#REF!</v>
      </c>
      <c r="AC82" s="121" t="e">
        <f>SUMIFS(#REF!,#REF!,Extrato!$B82,#REF!,Extrato!AC$3)</f>
        <v>#REF!</v>
      </c>
      <c r="AD82" s="121" t="e">
        <f>SUMIFS(#REF!,#REF!,Extrato!$B82,#REF!,Extrato!AD$3)</f>
        <v>#REF!</v>
      </c>
      <c r="AE82" s="121" t="e">
        <f>SUMIFS(#REF!,#REF!,Extrato!$B82,#REF!,Extrato!AE$3)</f>
        <v>#REF!</v>
      </c>
      <c r="AF82" s="121" t="e">
        <f>SUMIFS(#REF!,#REF!,Extrato!$B82,#REF!,Extrato!AF$3)</f>
        <v>#REF!</v>
      </c>
      <c r="AG82" s="121" t="e">
        <f>SUMIFS(#REF!,#REF!,Extrato!$B82,#REF!,Extrato!AG$3)</f>
        <v>#REF!</v>
      </c>
      <c r="AH82" s="121" t="e">
        <f>SUMIFS(#REF!,#REF!,Extrato!$B82,#REF!,Extrato!AH$3)</f>
        <v>#REF!</v>
      </c>
      <c r="AI82" s="121" t="e">
        <f>SUMIFS(#REF!,#REF!,Extrato!$B82,#REF!,Extrato!AI$3)</f>
        <v>#REF!</v>
      </c>
      <c r="AJ82" s="121">
        <v>0</v>
      </c>
      <c r="AK82" s="121">
        <v>-0.01</v>
      </c>
      <c r="AL82" s="25" t="e">
        <f t="shared" si="3"/>
        <v>#REF!</v>
      </c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</row>
    <row r="83" spans="2:68" ht="15" customHeight="1">
      <c r="B83" s="12">
        <v>46073</v>
      </c>
      <c r="C83" s="121" t="e">
        <f t="shared" si="2"/>
        <v>#REF!</v>
      </c>
      <c r="D83" s="121" t="e">
        <f>SUMIFS(#REF!,#REF!,Extrato!$B83,#REF!,Extrato!D$3)</f>
        <v>#REF!</v>
      </c>
      <c r="E83" s="121" t="e">
        <f>SUMIFS(#REF!,#REF!,Extrato!$B83,#REF!,Extrato!E$3)</f>
        <v>#REF!</v>
      </c>
      <c r="F83" s="121" t="e">
        <f>SUMIFS(#REF!,#REF!,Extrato!$B83,#REF!,Extrato!F$3)</f>
        <v>#REF!</v>
      </c>
      <c r="G83" s="121" t="e">
        <f>SUMIFS(#REF!,#REF!,Extrato!$B83,#REF!,Extrato!G$3)</f>
        <v>#REF!</v>
      </c>
      <c r="H83" s="121" t="e">
        <f>SUMIFS(#REF!,#REF!,Extrato!$B83,#REF!,Extrato!H$3)</f>
        <v>#REF!</v>
      </c>
      <c r="I83" s="121" t="e">
        <f>SUMIFS(#REF!,#REF!,Extrato!$B83,#REF!,Extrato!I$3)</f>
        <v>#REF!</v>
      </c>
      <c r="J83" s="121" t="e">
        <f>SUMIFS(#REF!,#REF!,Extrato!$B83,#REF!,Extrato!J$3)</f>
        <v>#REF!</v>
      </c>
      <c r="K83" s="121" t="e">
        <f>SUMIFS(#REF!,#REF!,Extrato!$B83,#REF!,Extrato!K$3)</f>
        <v>#REF!</v>
      </c>
      <c r="L83" s="121" t="e">
        <f>SUMIFS(#REF!,#REF!,Extrato!$B83,#REF!,Extrato!L$3)</f>
        <v>#REF!</v>
      </c>
      <c r="M83" s="121" t="e">
        <f>SUMIFS(#REF!,#REF!,Extrato!$B83,#REF!,Extrato!M$3)</f>
        <v>#REF!</v>
      </c>
      <c r="N83" s="121" t="e">
        <f>SUMIFS(#REF!,#REF!,Extrato!$B83,#REF!,Extrato!N$3)</f>
        <v>#REF!</v>
      </c>
      <c r="O83" s="121" t="e">
        <f>SUMIFS(#REF!,#REF!,Extrato!$B83,#REF!,Extrato!O$3)</f>
        <v>#REF!</v>
      </c>
      <c r="P83" s="121">
        <f>SUMIF(BetFlow!B:B,B83,BetFlow!J:J)</f>
        <v>0</v>
      </c>
      <c r="Q83" s="121" t="e">
        <f>SUMIFS(#REF!,#REF!,Extrato!$B83,#REF!,Extrato!Q$3)</f>
        <v>#REF!</v>
      </c>
      <c r="R83" s="121" t="e">
        <f>SUMIFS(#REF!,#REF!,Extrato!$B83,#REF!,Extrato!R$3)</f>
        <v>#REF!</v>
      </c>
      <c r="S83" s="121" t="e">
        <f>SUMIFS(#REF!,#REF!,Extrato!$B83,#REF!,Extrato!S$3)</f>
        <v>#REF!</v>
      </c>
      <c r="T83" s="121" t="e">
        <f>SUMIFS(#REF!,#REF!,Extrato!$B83,#REF!,Extrato!T$3)</f>
        <v>#REF!</v>
      </c>
      <c r="U83" s="121" t="e">
        <f>SUMIFS(#REF!,#REF!,Extrato!$B83,#REF!,Extrato!U$3)</f>
        <v>#REF!</v>
      </c>
      <c r="V83" s="121" t="e">
        <f>SUMIFS(#REF!,#REF!,Extrato!$B83,#REF!,Extrato!V$3)</f>
        <v>#REF!</v>
      </c>
      <c r="W83" s="121" t="e">
        <f>SUMIFS(#REF!,#REF!,Extrato!$B83,#REF!,Extrato!W$3)</f>
        <v>#REF!</v>
      </c>
      <c r="X83" s="121" t="e">
        <f>SUMIFS(#REF!,#REF!,Extrato!$B83,#REF!,Extrato!X$3)</f>
        <v>#REF!</v>
      </c>
      <c r="Y83" s="121" t="e">
        <f>SUMIFS(#REF!,#REF!,Extrato!$B83,#REF!,Extrato!Y$3)</f>
        <v>#REF!</v>
      </c>
      <c r="Z83" s="121" t="e">
        <f>SUMIFS(#REF!,#REF!,Extrato!$B83,#REF!,Extrato!Z$3)</f>
        <v>#REF!</v>
      </c>
      <c r="AA83" s="121" t="e">
        <f>SUMIFS(#REF!,#REF!,Extrato!$B83,#REF!,Extrato!AA$3)</f>
        <v>#REF!</v>
      </c>
      <c r="AB83" s="121" t="e">
        <f>SUMIFS(#REF!,#REF!,Extrato!$B83,#REF!,Extrato!AB$3)</f>
        <v>#REF!</v>
      </c>
      <c r="AC83" s="121" t="e">
        <f>SUMIFS(#REF!,#REF!,Extrato!$B83,#REF!,Extrato!AC$3)</f>
        <v>#REF!</v>
      </c>
      <c r="AD83" s="121" t="e">
        <f>SUMIFS(#REF!,#REF!,Extrato!$B83,#REF!,Extrato!AD$3)</f>
        <v>#REF!</v>
      </c>
      <c r="AE83" s="121" t="e">
        <f>SUMIFS(#REF!,#REF!,Extrato!$B83,#REF!,Extrato!AE$3)</f>
        <v>#REF!</v>
      </c>
      <c r="AF83" s="121" t="e">
        <f>SUMIFS(#REF!,#REF!,Extrato!$B83,#REF!,Extrato!AF$3)</f>
        <v>#REF!</v>
      </c>
      <c r="AG83" s="121" t="e">
        <f>SUMIFS(#REF!,#REF!,Extrato!$B83,#REF!,Extrato!AG$3)</f>
        <v>#REF!</v>
      </c>
      <c r="AH83" s="121" t="e">
        <f>SUMIFS(#REF!,#REF!,Extrato!$B83,#REF!,Extrato!AH$3)</f>
        <v>#REF!</v>
      </c>
      <c r="AI83" s="121" t="e">
        <f>SUMIFS(#REF!,#REF!,Extrato!$B83,#REF!,Extrato!AI$3)</f>
        <v>#REF!</v>
      </c>
      <c r="AJ83" s="121">
        <v>0</v>
      </c>
      <c r="AK83" s="121"/>
      <c r="AL83" s="25" t="e">
        <f t="shared" si="3"/>
        <v>#REF!</v>
      </c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</row>
    <row r="84" spans="2:68" ht="15" customHeight="1">
      <c r="B84" s="12">
        <v>46074</v>
      </c>
      <c r="C84" s="121" t="e">
        <f t="shared" si="2"/>
        <v>#REF!</v>
      </c>
      <c r="D84" s="121" t="e">
        <f>SUMIFS(#REF!,#REF!,Extrato!$B84,#REF!,Extrato!D$3)</f>
        <v>#REF!</v>
      </c>
      <c r="E84" s="121" t="e">
        <f>SUMIFS(#REF!,#REF!,Extrato!$B84,#REF!,Extrato!E$3)</f>
        <v>#REF!</v>
      </c>
      <c r="F84" s="121" t="e">
        <f>SUMIFS(#REF!,#REF!,Extrato!$B84,#REF!,Extrato!F$3)</f>
        <v>#REF!</v>
      </c>
      <c r="G84" s="121" t="e">
        <f>SUMIFS(#REF!,#REF!,Extrato!$B84,#REF!,Extrato!G$3)</f>
        <v>#REF!</v>
      </c>
      <c r="H84" s="121" t="e">
        <f>SUMIFS(#REF!,#REF!,Extrato!$B84,#REF!,Extrato!H$3)</f>
        <v>#REF!</v>
      </c>
      <c r="I84" s="121" t="e">
        <f>SUMIFS(#REF!,#REF!,Extrato!$B84,#REF!,Extrato!I$3)</f>
        <v>#REF!</v>
      </c>
      <c r="J84" s="121" t="e">
        <f>SUMIFS(#REF!,#REF!,Extrato!$B84,#REF!,Extrato!J$3)</f>
        <v>#REF!</v>
      </c>
      <c r="K84" s="121" t="e">
        <f>SUMIFS(#REF!,#REF!,Extrato!$B84,#REF!,Extrato!K$3)</f>
        <v>#REF!</v>
      </c>
      <c r="L84" s="121" t="e">
        <f>SUMIFS(#REF!,#REF!,Extrato!$B84,#REF!,Extrato!L$3)</f>
        <v>#REF!</v>
      </c>
      <c r="M84" s="121" t="e">
        <f>SUMIFS(#REF!,#REF!,Extrato!$B84,#REF!,Extrato!M$3)</f>
        <v>#REF!</v>
      </c>
      <c r="N84" s="121" t="e">
        <f>SUMIFS(#REF!,#REF!,Extrato!$B84,#REF!,Extrato!N$3)</f>
        <v>#REF!</v>
      </c>
      <c r="O84" s="121" t="e">
        <f>SUMIFS(#REF!,#REF!,Extrato!$B84,#REF!,Extrato!O$3)</f>
        <v>#REF!</v>
      </c>
      <c r="P84" s="121">
        <f>SUMIF(BetFlow!B:B,B84,BetFlow!J:J)</f>
        <v>0</v>
      </c>
      <c r="Q84" s="121" t="e">
        <f>SUMIFS(#REF!,#REF!,Extrato!$B84,#REF!,Extrato!Q$3)</f>
        <v>#REF!</v>
      </c>
      <c r="R84" s="121" t="e">
        <f>SUMIFS(#REF!,#REF!,Extrato!$B84,#REF!,Extrato!R$3)</f>
        <v>#REF!</v>
      </c>
      <c r="S84" s="121" t="e">
        <f>SUMIFS(#REF!,#REF!,Extrato!$B84,#REF!,Extrato!S$3)</f>
        <v>#REF!</v>
      </c>
      <c r="T84" s="121" t="e">
        <f>SUMIFS(#REF!,#REF!,Extrato!$B84,#REF!,Extrato!T$3)</f>
        <v>#REF!</v>
      </c>
      <c r="U84" s="121" t="e">
        <f>SUMIFS(#REF!,#REF!,Extrato!$B84,#REF!,Extrato!U$3)</f>
        <v>#REF!</v>
      </c>
      <c r="V84" s="121" t="e">
        <f>SUMIFS(#REF!,#REF!,Extrato!$B84,#REF!,Extrato!V$3)</f>
        <v>#REF!</v>
      </c>
      <c r="W84" s="121" t="e">
        <f>SUMIFS(#REF!,#REF!,Extrato!$B84,#REF!,Extrato!W$3)</f>
        <v>#REF!</v>
      </c>
      <c r="X84" s="121" t="e">
        <f>SUMIFS(#REF!,#REF!,Extrato!$B84,#REF!,Extrato!X$3)</f>
        <v>#REF!</v>
      </c>
      <c r="Y84" s="121" t="e">
        <f>SUMIFS(#REF!,#REF!,Extrato!$B84,#REF!,Extrato!Y$3)</f>
        <v>#REF!</v>
      </c>
      <c r="Z84" s="121" t="e">
        <f>SUMIFS(#REF!,#REF!,Extrato!$B84,#REF!,Extrato!Z$3)</f>
        <v>#REF!</v>
      </c>
      <c r="AA84" s="121" t="e">
        <f>SUMIFS(#REF!,#REF!,Extrato!$B84,#REF!,Extrato!AA$3)</f>
        <v>#REF!</v>
      </c>
      <c r="AB84" s="121" t="e">
        <f>SUMIFS(#REF!,#REF!,Extrato!$B84,#REF!,Extrato!AB$3)</f>
        <v>#REF!</v>
      </c>
      <c r="AC84" s="121" t="e">
        <f>SUMIFS(#REF!,#REF!,Extrato!$B84,#REF!,Extrato!AC$3)</f>
        <v>#REF!</v>
      </c>
      <c r="AD84" s="121" t="e">
        <f>SUMIFS(#REF!,#REF!,Extrato!$B84,#REF!,Extrato!AD$3)</f>
        <v>#REF!</v>
      </c>
      <c r="AE84" s="121" t="e">
        <f>SUMIFS(#REF!,#REF!,Extrato!$B84,#REF!,Extrato!AE$3)</f>
        <v>#REF!</v>
      </c>
      <c r="AF84" s="121" t="e">
        <f>SUMIFS(#REF!,#REF!,Extrato!$B84,#REF!,Extrato!AF$3)</f>
        <v>#REF!</v>
      </c>
      <c r="AG84" s="121" t="e">
        <f>SUMIFS(#REF!,#REF!,Extrato!$B84,#REF!,Extrato!AG$3)</f>
        <v>#REF!</v>
      </c>
      <c r="AH84" s="121" t="e">
        <f>SUMIFS(#REF!,#REF!,Extrato!$B84,#REF!,Extrato!AH$3)</f>
        <v>#REF!</v>
      </c>
      <c r="AI84" s="121" t="e">
        <f>SUMIFS(#REF!,#REF!,Extrato!$B84,#REF!,Extrato!AI$3)</f>
        <v>#REF!</v>
      </c>
      <c r="AJ84" s="121">
        <v>0</v>
      </c>
      <c r="AK84" s="121">
        <v>-0.01</v>
      </c>
      <c r="AL84" s="25" t="e">
        <f t="shared" si="3"/>
        <v>#REF!</v>
      </c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</row>
    <row r="85" spans="2:68" ht="15" customHeight="1">
      <c r="B85" s="12">
        <v>46075</v>
      </c>
      <c r="C85" s="121" t="e">
        <f t="shared" si="2"/>
        <v>#REF!</v>
      </c>
      <c r="D85" s="121" t="e">
        <f>SUMIFS(#REF!,#REF!,Extrato!$B85,#REF!,Extrato!D$3)</f>
        <v>#REF!</v>
      </c>
      <c r="E85" s="121" t="e">
        <f>SUMIFS(#REF!,#REF!,Extrato!$B85,#REF!,Extrato!E$3)</f>
        <v>#REF!</v>
      </c>
      <c r="F85" s="121" t="e">
        <f>SUMIFS(#REF!,#REF!,Extrato!$B85,#REF!,Extrato!F$3)</f>
        <v>#REF!</v>
      </c>
      <c r="G85" s="121" t="e">
        <f>SUMIFS(#REF!,#REF!,Extrato!$B85,#REF!,Extrato!G$3)</f>
        <v>#REF!</v>
      </c>
      <c r="H85" s="121" t="e">
        <f>SUMIFS(#REF!,#REF!,Extrato!$B85,#REF!,Extrato!H$3)</f>
        <v>#REF!</v>
      </c>
      <c r="I85" s="121" t="e">
        <f>SUMIFS(#REF!,#REF!,Extrato!$B85,#REF!,Extrato!I$3)</f>
        <v>#REF!</v>
      </c>
      <c r="J85" s="121" t="e">
        <f>SUMIFS(#REF!,#REF!,Extrato!$B85,#REF!,Extrato!J$3)</f>
        <v>#REF!</v>
      </c>
      <c r="K85" s="121" t="e">
        <f>SUMIFS(#REF!,#REF!,Extrato!$B85,#REF!,Extrato!K$3)</f>
        <v>#REF!</v>
      </c>
      <c r="L85" s="121" t="e">
        <f>SUMIFS(#REF!,#REF!,Extrato!$B85,#REF!,Extrato!L$3)</f>
        <v>#REF!</v>
      </c>
      <c r="M85" s="121" t="e">
        <f>SUMIFS(#REF!,#REF!,Extrato!$B85,#REF!,Extrato!M$3)</f>
        <v>#REF!</v>
      </c>
      <c r="N85" s="121" t="e">
        <f>SUMIFS(#REF!,#REF!,Extrato!$B85,#REF!,Extrato!N$3)</f>
        <v>#REF!</v>
      </c>
      <c r="O85" s="121" t="e">
        <f>SUMIFS(#REF!,#REF!,Extrato!$B85,#REF!,Extrato!O$3)</f>
        <v>#REF!</v>
      </c>
      <c r="P85" s="121">
        <f>SUMIF(BetFlow!B:B,B85,BetFlow!J:J)</f>
        <v>0</v>
      </c>
      <c r="Q85" s="121" t="e">
        <f>SUMIFS(#REF!,#REF!,Extrato!$B85,#REF!,Extrato!Q$3)</f>
        <v>#REF!</v>
      </c>
      <c r="R85" s="121" t="e">
        <f>SUMIFS(#REF!,#REF!,Extrato!$B85,#REF!,Extrato!R$3)</f>
        <v>#REF!</v>
      </c>
      <c r="S85" s="121" t="e">
        <f>SUMIFS(#REF!,#REF!,Extrato!$B85,#REF!,Extrato!S$3)</f>
        <v>#REF!</v>
      </c>
      <c r="T85" s="121" t="e">
        <f>SUMIFS(#REF!,#REF!,Extrato!$B85,#REF!,Extrato!T$3)</f>
        <v>#REF!</v>
      </c>
      <c r="U85" s="121" t="e">
        <f>SUMIFS(#REF!,#REF!,Extrato!$B85,#REF!,Extrato!U$3)</f>
        <v>#REF!</v>
      </c>
      <c r="V85" s="121" t="e">
        <f>SUMIFS(#REF!,#REF!,Extrato!$B85,#REF!,Extrato!V$3)</f>
        <v>#REF!</v>
      </c>
      <c r="W85" s="121" t="e">
        <f>SUMIFS(#REF!,#REF!,Extrato!$B85,#REF!,Extrato!W$3)</f>
        <v>#REF!</v>
      </c>
      <c r="X85" s="121" t="e">
        <f>SUMIFS(#REF!,#REF!,Extrato!$B85,#REF!,Extrato!X$3)</f>
        <v>#REF!</v>
      </c>
      <c r="Y85" s="121" t="e">
        <f>SUMIFS(#REF!,#REF!,Extrato!$B85,#REF!,Extrato!Y$3)</f>
        <v>#REF!</v>
      </c>
      <c r="Z85" s="121" t="e">
        <f>SUMIFS(#REF!,#REF!,Extrato!$B85,#REF!,Extrato!Z$3)</f>
        <v>#REF!</v>
      </c>
      <c r="AA85" s="121" t="e">
        <f>SUMIFS(#REF!,#REF!,Extrato!$B85,#REF!,Extrato!AA$3)</f>
        <v>#REF!</v>
      </c>
      <c r="AB85" s="121" t="e">
        <f>SUMIFS(#REF!,#REF!,Extrato!$B85,#REF!,Extrato!AB$3)</f>
        <v>#REF!</v>
      </c>
      <c r="AC85" s="121" t="e">
        <f>SUMIFS(#REF!,#REF!,Extrato!$B85,#REF!,Extrato!AC$3)</f>
        <v>#REF!</v>
      </c>
      <c r="AD85" s="121" t="e">
        <f>SUMIFS(#REF!,#REF!,Extrato!$B85,#REF!,Extrato!AD$3)</f>
        <v>#REF!</v>
      </c>
      <c r="AE85" s="121" t="e">
        <f>SUMIFS(#REF!,#REF!,Extrato!$B85,#REF!,Extrato!AE$3)</f>
        <v>#REF!</v>
      </c>
      <c r="AF85" s="121" t="e">
        <f>SUMIFS(#REF!,#REF!,Extrato!$B85,#REF!,Extrato!AF$3)</f>
        <v>#REF!</v>
      </c>
      <c r="AG85" s="121" t="e">
        <f>SUMIFS(#REF!,#REF!,Extrato!$B85,#REF!,Extrato!AG$3)</f>
        <v>#REF!</v>
      </c>
      <c r="AH85" s="121" t="e">
        <f>SUMIFS(#REF!,#REF!,Extrato!$B85,#REF!,Extrato!AH$3)</f>
        <v>#REF!</v>
      </c>
      <c r="AI85" s="121" t="e">
        <f>SUMIFS(#REF!,#REF!,Extrato!$B85,#REF!,Extrato!AI$3)</f>
        <v>#REF!</v>
      </c>
      <c r="AJ85" s="121">
        <v>0</v>
      </c>
      <c r="AK85" s="121"/>
      <c r="AL85" s="25" t="e">
        <f t="shared" si="3"/>
        <v>#REF!</v>
      </c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</row>
    <row r="86" spans="2:68" ht="15" customHeight="1">
      <c r="B86" s="12">
        <v>46076</v>
      </c>
      <c r="C86" s="121" t="e">
        <f t="shared" si="2"/>
        <v>#REF!</v>
      </c>
      <c r="D86" s="121" t="e">
        <f>SUMIFS(#REF!,#REF!,Extrato!$B86,#REF!,Extrato!D$3)</f>
        <v>#REF!</v>
      </c>
      <c r="E86" s="121" t="e">
        <f>SUMIFS(#REF!,#REF!,Extrato!$B86,#REF!,Extrato!E$3)</f>
        <v>#REF!</v>
      </c>
      <c r="F86" s="121" t="e">
        <f>SUMIFS(#REF!,#REF!,Extrato!$B86,#REF!,Extrato!F$3)</f>
        <v>#REF!</v>
      </c>
      <c r="G86" s="121" t="e">
        <f>SUMIFS(#REF!,#REF!,Extrato!$B86,#REF!,Extrato!G$3)</f>
        <v>#REF!</v>
      </c>
      <c r="H86" s="121" t="e">
        <f>SUMIFS(#REF!,#REF!,Extrato!$B86,#REF!,Extrato!H$3)</f>
        <v>#REF!</v>
      </c>
      <c r="I86" s="121" t="e">
        <f>SUMIFS(#REF!,#REF!,Extrato!$B86,#REF!,Extrato!I$3)</f>
        <v>#REF!</v>
      </c>
      <c r="J86" s="121" t="e">
        <f>SUMIFS(#REF!,#REF!,Extrato!$B86,#REF!,Extrato!J$3)</f>
        <v>#REF!</v>
      </c>
      <c r="K86" s="121" t="e">
        <f>SUMIFS(#REF!,#REF!,Extrato!$B86,#REF!,Extrato!K$3)</f>
        <v>#REF!</v>
      </c>
      <c r="L86" s="121" t="e">
        <f>SUMIFS(#REF!,#REF!,Extrato!$B86,#REF!,Extrato!L$3)</f>
        <v>#REF!</v>
      </c>
      <c r="M86" s="121" t="e">
        <f>SUMIFS(#REF!,#REF!,Extrato!$B86,#REF!,Extrato!M$3)</f>
        <v>#REF!</v>
      </c>
      <c r="N86" s="121" t="e">
        <f>SUMIFS(#REF!,#REF!,Extrato!$B86,#REF!,Extrato!N$3)</f>
        <v>#REF!</v>
      </c>
      <c r="O86" s="121" t="e">
        <f>SUMIFS(#REF!,#REF!,Extrato!$B86,#REF!,Extrato!O$3)</f>
        <v>#REF!</v>
      </c>
      <c r="P86" s="121">
        <f>SUMIF(BetFlow!B:B,B86,BetFlow!J:J)</f>
        <v>0</v>
      </c>
      <c r="Q86" s="121" t="e">
        <f>SUMIFS(#REF!,#REF!,Extrato!$B86,#REF!,Extrato!Q$3)</f>
        <v>#REF!</v>
      </c>
      <c r="R86" s="121" t="e">
        <f>SUMIFS(#REF!,#REF!,Extrato!$B86,#REF!,Extrato!R$3)</f>
        <v>#REF!</v>
      </c>
      <c r="S86" s="121" t="e">
        <f>SUMIFS(#REF!,#REF!,Extrato!$B86,#REF!,Extrato!S$3)</f>
        <v>#REF!</v>
      </c>
      <c r="T86" s="121" t="e">
        <f>SUMIFS(#REF!,#REF!,Extrato!$B86,#REF!,Extrato!T$3)</f>
        <v>#REF!</v>
      </c>
      <c r="U86" s="121" t="e">
        <f>SUMIFS(#REF!,#REF!,Extrato!$B86,#REF!,Extrato!U$3)</f>
        <v>#REF!</v>
      </c>
      <c r="V86" s="121" t="e">
        <f>SUMIFS(#REF!,#REF!,Extrato!$B86,#REF!,Extrato!V$3)</f>
        <v>#REF!</v>
      </c>
      <c r="W86" s="121" t="e">
        <f>SUMIFS(#REF!,#REF!,Extrato!$B86,#REF!,Extrato!W$3)</f>
        <v>#REF!</v>
      </c>
      <c r="X86" s="121" t="e">
        <f>SUMIFS(#REF!,#REF!,Extrato!$B86,#REF!,Extrato!X$3)</f>
        <v>#REF!</v>
      </c>
      <c r="Y86" s="121" t="e">
        <f>SUMIFS(#REF!,#REF!,Extrato!$B86,#REF!,Extrato!Y$3)</f>
        <v>#REF!</v>
      </c>
      <c r="Z86" s="121" t="e">
        <f>SUMIFS(#REF!,#REF!,Extrato!$B86,#REF!,Extrato!Z$3)</f>
        <v>#REF!</v>
      </c>
      <c r="AA86" s="121" t="e">
        <f>SUMIFS(#REF!,#REF!,Extrato!$B86,#REF!,Extrato!AA$3)</f>
        <v>#REF!</v>
      </c>
      <c r="AB86" s="121" t="e">
        <f>SUMIFS(#REF!,#REF!,Extrato!$B86,#REF!,Extrato!AB$3)</f>
        <v>#REF!</v>
      </c>
      <c r="AC86" s="121" t="e">
        <f>SUMIFS(#REF!,#REF!,Extrato!$B86,#REF!,Extrato!AC$3)</f>
        <v>#REF!</v>
      </c>
      <c r="AD86" s="121" t="e">
        <f>SUMIFS(#REF!,#REF!,Extrato!$B86,#REF!,Extrato!AD$3)</f>
        <v>#REF!</v>
      </c>
      <c r="AE86" s="121" t="e">
        <f>SUMIFS(#REF!,#REF!,Extrato!$B86,#REF!,Extrato!AE$3)</f>
        <v>#REF!</v>
      </c>
      <c r="AF86" s="121" t="e">
        <f>SUMIFS(#REF!,#REF!,Extrato!$B86,#REF!,Extrato!AF$3)</f>
        <v>#REF!</v>
      </c>
      <c r="AG86" s="121" t="e">
        <f>SUMIFS(#REF!,#REF!,Extrato!$B86,#REF!,Extrato!AG$3)</f>
        <v>#REF!</v>
      </c>
      <c r="AH86" s="121" t="e">
        <f>SUMIFS(#REF!,#REF!,Extrato!$B86,#REF!,Extrato!AH$3)</f>
        <v>#REF!</v>
      </c>
      <c r="AI86" s="121" t="e">
        <f>SUMIFS(#REF!,#REF!,Extrato!$B86,#REF!,Extrato!AI$3)</f>
        <v>#REF!</v>
      </c>
      <c r="AJ86" s="121">
        <v>0</v>
      </c>
      <c r="AK86" s="121">
        <v>-0.02</v>
      </c>
      <c r="AL86" s="25" t="e">
        <f t="shared" si="3"/>
        <v>#REF!</v>
      </c>
      <c r="AM86" s="122"/>
      <c r="AN86" s="122"/>
      <c r="AO86" s="122"/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22"/>
    </row>
    <row r="87" spans="2:68" ht="15" customHeight="1">
      <c r="B87" s="12">
        <v>46077</v>
      </c>
      <c r="C87" s="121" t="e">
        <f t="shared" si="2"/>
        <v>#REF!</v>
      </c>
      <c r="D87" s="121" t="e">
        <f>SUMIFS(#REF!,#REF!,Extrato!$B87,#REF!,Extrato!D$3)</f>
        <v>#REF!</v>
      </c>
      <c r="E87" s="121" t="e">
        <f>SUMIFS(#REF!,#REF!,Extrato!$B87,#REF!,Extrato!E$3)</f>
        <v>#REF!</v>
      </c>
      <c r="F87" s="121" t="e">
        <f>SUMIFS(#REF!,#REF!,Extrato!$B87,#REF!,Extrato!F$3)</f>
        <v>#REF!</v>
      </c>
      <c r="G87" s="121" t="e">
        <f>SUMIFS(#REF!,#REF!,Extrato!$B87,#REF!,Extrato!G$3)</f>
        <v>#REF!</v>
      </c>
      <c r="H87" s="121" t="e">
        <f>SUMIFS(#REF!,#REF!,Extrato!$B87,#REF!,Extrato!H$3)</f>
        <v>#REF!</v>
      </c>
      <c r="I87" s="121" t="e">
        <f>SUMIFS(#REF!,#REF!,Extrato!$B87,#REF!,Extrato!I$3)</f>
        <v>#REF!</v>
      </c>
      <c r="J87" s="121" t="e">
        <f>SUMIFS(#REF!,#REF!,Extrato!$B87,#REF!,Extrato!J$3)</f>
        <v>#REF!</v>
      </c>
      <c r="K87" s="121" t="e">
        <f>SUMIFS(#REF!,#REF!,Extrato!$B87,#REF!,Extrato!K$3)</f>
        <v>#REF!</v>
      </c>
      <c r="L87" s="121" t="e">
        <f>SUMIFS(#REF!,#REF!,Extrato!$B87,#REF!,Extrato!L$3)</f>
        <v>#REF!</v>
      </c>
      <c r="M87" s="121" t="e">
        <f>SUMIFS(#REF!,#REF!,Extrato!$B87,#REF!,Extrato!M$3)</f>
        <v>#REF!</v>
      </c>
      <c r="N87" s="121" t="e">
        <f>SUMIFS(#REF!,#REF!,Extrato!$B87,#REF!,Extrato!N$3)</f>
        <v>#REF!</v>
      </c>
      <c r="O87" s="121" t="e">
        <f>SUMIFS(#REF!,#REF!,Extrato!$B87,#REF!,Extrato!O$3)</f>
        <v>#REF!</v>
      </c>
      <c r="P87" s="121">
        <f>SUMIF(BetFlow!B:B,B87,BetFlow!J:J)</f>
        <v>0</v>
      </c>
      <c r="Q87" s="121" t="e">
        <f>SUMIFS(#REF!,#REF!,Extrato!$B87,#REF!,Extrato!Q$3)</f>
        <v>#REF!</v>
      </c>
      <c r="R87" s="121" t="e">
        <f>SUMIFS(#REF!,#REF!,Extrato!$B87,#REF!,Extrato!R$3)</f>
        <v>#REF!</v>
      </c>
      <c r="S87" s="121" t="e">
        <f>SUMIFS(#REF!,#REF!,Extrato!$B87,#REF!,Extrato!S$3)</f>
        <v>#REF!</v>
      </c>
      <c r="T87" s="121" t="e">
        <f>SUMIFS(#REF!,#REF!,Extrato!$B87,#REF!,Extrato!T$3)</f>
        <v>#REF!</v>
      </c>
      <c r="U87" s="121" t="e">
        <f>SUMIFS(#REF!,#REF!,Extrato!$B87,#REF!,Extrato!U$3)</f>
        <v>#REF!</v>
      </c>
      <c r="V87" s="121" t="e">
        <f>SUMIFS(#REF!,#REF!,Extrato!$B87,#REF!,Extrato!V$3)</f>
        <v>#REF!</v>
      </c>
      <c r="W87" s="121" t="e">
        <f>SUMIFS(#REF!,#REF!,Extrato!$B87,#REF!,Extrato!W$3)</f>
        <v>#REF!</v>
      </c>
      <c r="X87" s="121" t="e">
        <f>SUMIFS(#REF!,#REF!,Extrato!$B87,#REF!,Extrato!X$3)</f>
        <v>#REF!</v>
      </c>
      <c r="Y87" s="121" t="e">
        <f>SUMIFS(#REF!,#REF!,Extrato!$B87,#REF!,Extrato!Y$3)</f>
        <v>#REF!</v>
      </c>
      <c r="Z87" s="121" t="e">
        <f>SUMIFS(#REF!,#REF!,Extrato!$B87,#REF!,Extrato!Z$3)</f>
        <v>#REF!</v>
      </c>
      <c r="AA87" s="121" t="e">
        <f>SUMIFS(#REF!,#REF!,Extrato!$B87,#REF!,Extrato!AA$3)</f>
        <v>#REF!</v>
      </c>
      <c r="AB87" s="121" t="e">
        <f>SUMIFS(#REF!,#REF!,Extrato!$B87,#REF!,Extrato!AB$3)</f>
        <v>#REF!</v>
      </c>
      <c r="AC87" s="121" t="e">
        <f>SUMIFS(#REF!,#REF!,Extrato!$B87,#REF!,Extrato!AC$3)</f>
        <v>#REF!</v>
      </c>
      <c r="AD87" s="121" t="e">
        <f>SUMIFS(#REF!,#REF!,Extrato!$B87,#REF!,Extrato!AD$3)</f>
        <v>#REF!</v>
      </c>
      <c r="AE87" s="121" t="e">
        <f>SUMIFS(#REF!,#REF!,Extrato!$B87,#REF!,Extrato!AE$3)</f>
        <v>#REF!</v>
      </c>
      <c r="AF87" s="121" t="e">
        <f>SUMIFS(#REF!,#REF!,Extrato!$B87,#REF!,Extrato!AF$3)</f>
        <v>#REF!</v>
      </c>
      <c r="AG87" s="121" t="e">
        <f>SUMIFS(#REF!,#REF!,Extrato!$B87,#REF!,Extrato!AG$3)</f>
        <v>#REF!</v>
      </c>
      <c r="AH87" s="121" t="e">
        <f>SUMIFS(#REF!,#REF!,Extrato!$B87,#REF!,Extrato!AH$3)</f>
        <v>#REF!</v>
      </c>
      <c r="AI87" s="121" t="e">
        <f>SUMIFS(#REF!,#REF!,Extrato!$B87,#REF!,Extrato!AI$3)</f>
        <v>#REF!</v>
      </c>
      <c r="AJ87" s="121">
        <v>0</v>
      </c>
      <c r="AK87" s="121"/>
      <c r="AL87" s="25" t="e">
        <f t="shared" si="3"/>
        <v>#REF!</v>
      </c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</row>
    <row r="88" spans="2:68" ht="15" customHeight="1">
      <c r="B88" s="12">
        <v>46078</v>
      </c>
      <c r="C88" s="121" t="e">
        <f t="shared" si="2"/>
        <v>#REF!</v>
      </c>
      <c r="D88" s="121" t="e">
        <f>SUMIFS(#REF!,#REF!,Extrato!$B88,#REF!,Extrato!D$3)</f>
        <v>#REF!</v>
      </c>
      <c r="E88" s="121" t="e">
        <f>SUMIFS(#REF!,#REF!,Extrato!$B88,#REF!,Extrato!E$3)</f>
        <v>#REF!</v>
      </c>
      <c r="F88" s="121" t="e">
        <f>SUMIFS(#REF!,#REF!,Extrato!$B88,#REF!,Extrato!F$3)</f>
        <v>#REF!</v>
      </c>
      <c r="G88" s="121" t="e">
        <f>SUMIFS(#REF!,#REF!,Extrato!$B88,#REF!,Extrato!G$3)</f>
        <v>#REF!</v>
      </c>
      <c r="H88" s="121" t="e">
        <f>SUMIFS(#REF!,#REF!,Extrato!$B88,#REF!,Extrato!H$3)</f>
        <v>#REF!</v>
      </c>
      <c r="I88" s="121" t="e">
        <f>SUMIFS(#REF!,#REF!,Extrato!$B88,#REF!,Extrato!I$3)</f>
        <v>#REF!</v>
      </c>
      <c r="J88" s="121" t="e">
        <f>SUMIFS(#REF!,#REF!,Extrato!$B88,#REF!,Extrato!J$3)</f>
        <v>#REF!</v>
      </c>
      <c r="K88" s="121" t="e">
        <f>SUMIFS(#REF!,#REF!,Extrato!$B88,#REF!,Extrato!K$3)</f>
        <v>#REF!</v>
      </c>
      <c r="L88" s="121" t="e">
        <f>SUMIFS(#REF!,#REF!,Extrato!$B88,#REF!,Extrato!L$3)</f>
        <v>#REF!</v>
      </c>
      <c r="M88" s="121" t="e">
        <f>SUMIFS(#REF!,#REF!,Extrato!$B88,#REF!,Extrato!M$3)</f>
        <v>#REF!</v>
      </c>
      <c r="N88" s="121" t="e">
        <f>SUMIFS(#REF!,#REF!,Extrato!$B88,#REF!,Extrato!N$3)</f>
        <v>#REF!</v>
      </c>
      <c r="O88" s="121" t="e">
        <f>SUMIFS(#REF!,#REF!,Extrato!$B88,#REF!,Extrato!O$3)</f>
        <v>#REF!</v>
      </c>
      <c r="P88" s="121">
        <f>SUMIF(BetFlow!B:B,B88,BetFlow!J:J)</f>
        <v>0</v>
      </c>
      <c r="Q88" s="121" t="e">
        <f>SUMIFS(#REF!,#REF!,Extrato!$B88,#REF!,Extrato!Q$3)</f>
        <v>#REF!</v>
      </c>
      <c r="R88" s="121" t="e">
        <f>SUMIFS(#REF!,#REF!,Extrato!$B88,#REF!,Extrato!R$3)</f>
        <v>#REF!</v>
      </c>
      <c r="S88" s="121" t="e">
        <f>SUMIFS(#REF!,#REF!,Extrato!$B88,#REF!,Extrato!S$3)</f>
        <v>#REF!</v>
      </c>
      <c r="T88" s="121" t="e">
        <f>SUMIFS(#REF!,#REF!,Extrato!$B88,#REF!,Extrato!T$3)</f>
        <v>#REF!</v>
      </c>
      <c r="U88" s="121" t="e">
        <f>SUMIFS(#REF!,#REF!,Extrato!$B88,#REF!,Extrato!U$3)</f>
        <v>#REF!</v>
      </c>
      <c r="V88" s="121" t="e">
        <f>SUMIFS(#REF!,#REF!,Extrato!$B88,#REF!,Extrato!V$3)</f>
        <v>#REF!</v>
      </c>
      <c r="W88" s="121" t="e">
        <f>SUMIFS(#REF!,#REF!,Extrato!$B88,#REF!,Extrato!W$3)</f>
        <v>#REF!</v>
      </c>
      <c r="X88" s="121" t="e">
        <f>SUMIFS(#REF!,#REF!,Extrato!$B88,#REF!,Extrato!X$3)</f>
        <v>#REF!</v>
      </c>
      <c r="Y88" s="121" t="e">
        <f>SUMIFS(#REF!,#REF!,Extrato!$B88,#REF!,Extrato!Y$3)</f>
        <v>#REF!</v>
      </c>
      <c r="Z88" s="121" t="e">
        <f>SUMIFS(#REF!,#REF!,Extrato!$B88,#REF!,Extrato!Z$3)</f>
        <v>#REF!</v>
      </c>
      <c r="AA88" s="121" t="e">
        <f>SUMIFS(#REF!,#REF!,Extrato!$B88,#REF!,Extrato!AA$3)</f>
        <v>#REF!</v>
      </c>
      <c r="AB88" s="121" t="e">
        <f>SUMIFS(#REF!,#REF!,Extrato!$B88,#REF!,Extrato!AB$3)</f>
        <v>#REF!</v>
      </c>
      <c r="AC88" s="121" t="e">
        <f>SUMIFS(#REF!,#REF!,Extrato!$B88,#REF!,Extrato!AC$3)</f>
        <v>#REF!</v>
      </c>
      <c r="AD88" s="121" t="e">
        <f>SUMIFS(#REF!,#REF!,Extrato!$B88,#REF!,Extrato!AD$3)</f>
        <v>#REF!</v>
      </c>
      <c r="AE88" s="121" t="e">
        <f>SUMIFS(#REF!,#REF!,Extrato!$B88,#REF!,Extrato!AE$3)</f>
        <v>#REF!</v>
      </c>
      <c r="AF88" s="121" t="e">
        <f>SUMIFS(#REF!,#REF!,Extrato!$B88,#REF!,Extrato!AF$3)</f>
        <v>#REF!</v>
      </c>
      <c r="AG88" s="121" t="e">
        <f>SUMIFS(#REF!,#REF!,Extrato!$B88,#REF!,Extrato!AG$3)</f>
        <v>#REF!</v>
      </c>
      <c r="AH88" s="121" t="e">
        <f>SUMIFS(#REF!,#REF!,Extrato!$B88,#REF!,Extrato!AH$3)</f>
        <v>#REF!</v>
      </c>
      <c r="AI88" s="121" t="e">
        <f>SUMIFS(#REF!,#REF!,Extrato!$B88,#REF!,Extrato!AI$3)</f>
        <v>#REF!</v>
      </c>
      <c r="AJ88" s="121">
        <v>0</v>
      </c>
      <c r="AK88" s="121">
        <v>-0.01</v>
      </c>
      <c r="AL88" s="25" t="e">
        <f t="shared" si="3"/>
        <v>#REF!</v>
      </c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122"/>
    </row>
    <row r="89" spans="2:68" ht="15" customHeight="1">
      <c r="B89" s="12">
        <v>46079</v>
      </c>
      <c r="C89" s="121" t="e">
        <f t="shared" si="2"/>
        <v>#REF!</v>
      </c>
      <c r="D89" s="121" t="e">
        <f>SUMIFS(#REF!,#REF!,Extrato!$B89,#REF!,Extrato!D$3)</f>
        <v>#REF!</v>
      </c>
      <c r="E89" s="121" t="e">
        <f>SUMIFS(#REF!,#REF!,Extrato!$B89,#REF!,Extrato!E$3)</f>
        <v>#REF!</v>
      </c>
      <c r="F89" s="121" t="e">
        <f>SUMIFS(#REF!,#REF!,Extrato!$B89,#REF!,Extrato!F$3)</f>
        <v>#REF!</v>
      </c>
      <c r="G89" s="121" t="e">
        <f>SUMIFS(#REF!,#REF!,Extrato!$B89,#REF!,Extrato!G$3)</f>
        <v>#REF!</v>
      </c>
      <c r="H89" s="121" t="e">
        <f>SUMIFS(#REF!,#REF!,Extrato!$B89,#REF!,Extrato!H$3)</f>
        <v>#REF!</v>
      </c>
      <c r="I89" s="121" t="e">
        <f>SUMIFS(#REF!,#REF!,Extrato!$B89,#REF!,Extrato!I$3)</f>
        <v>#REF!</v>
      </c>
      <c r="J89" s="121" t="e">
        <f>SUMIFS(#REF!,#REF!,Extrato!$B89,#REF!,Extrato!J$3)</f>
        <v>#REF!</v>
      </c>
      <c r="K89" s="121" t="e">
        <f>SUMIFS(#REF!,#REF!,Extrato!$B89,#REF!,Extrato!K$3)</f>
        <v>#REF!</v>
      </c>
      <c r="L89" s="121" t="e">
        <f>SUMIFS(#REF!,#REF!,Extrato!$B89,#REF!,Extrato!L$3)</f>
        <v>#REF!</v>
      </c>
      <c r="M89" s="121" t="e">
        <f>SUMIFS(#REF!,#REF!,Extrato!$B89,#REF!,Extrato!M$3)</f>
        <v>#REF!</v>
      </c>
      <c r="N89" s="121" t="e">
        <f>SUMIFS(#REF!,#REF!,Extrato!$B89,#REF!,Extrato!N$3)</f>
        <v>#REF!</v>
      </c>
      <c r="O89" s="121" t="e">
        <f>SUMIFS(#REF!,#REF!,Extrato!$B89,#REF!,Extrato!O$3)</f>
        <v>#REF!</v>
      </c>
      <c r="P89" s="121">
        <f>SUMIF(BetFlow!B:B,B89,BetFlow!J:J)</f>
        <v>0</v>
      </c>
      <c r="Q89" s="121" t="e">
        <f>SUMIFS(#REF!,#REF!,Extrato!$B89,#REF!,Extrato!Q$3)</f>
        <v>#REF!</v>
      </c>
      <c r="R89" s="121" t="e">
        <f>SUMIFS(#REF!,#REF!,Extrato!$B89,#REF!,Extrato!R$3)</f>
        <v>#REF!</v>
      </c>
      <c r="S89" s="121" t="e">
        <f>SUMIFS(#REF!,#REF!,Extrato!$B89,#REF!,Extrato!S$3)</f>
        <v>#REF!</v>
      </c>
      <c r="T89" s="121" t="e">
        <f>SUMIFS(#REF!,#REF!,Extrato!$B89,#REF!,Extrato!T$3)</f>
        <v>#REF!</v>
      </c>
      <c r="U89" s="121" t="e">
        <f>SUMIFS(#REF!,#REF!,Extrato!$B89,#REF!,Extrato!U$3)</f>
        <v>#REF!</v>
      </c>
      <c r="V89" s="121" t="e">
        <f>SUMIFS(#REF!,#REF!,Extrato!$B89,#REF!,Extrato!V$3)</f>
        <v>#REF!</v>
      </c>
      <c r="W89" s="121" t="e">
        <f>SUMIFS(#REF!,#REF!,Extrato!$B89,#REF!,Extrato!W$3)</f>
        <v>#REF!</v>
      </c>
      <c r="X89" s="121" t="e">
        <f>SUMIFS(#REF!,#REF!,Extrato!$B89,#REF!,Extrato!X$3)</f>
        <v>#REF!</v>
      </c>
      <c r="Y89" s="121" t="e">
        <f>SUMIFS(#REF!,#REF!,Extrato!$B89,#REF!,Extrato!Y$3)</f>
        <v>#REF!</v>
      </c>
      <c r="Z89" s="121" t="e">
        <f>SUMIFS(#REF!,#REF!,Extrato!$B89,#REF!,Extrato!Z$3)</f>
        <v>#REF!</v>
      </c>
      <c r="AA89" s="121" t="e">
        <f>SUMIFS(#REF!,#REF!,Extrato!$B89,#REF!,Extrato!AA$3)</f>
        <v>#REF!</v>
      </c>
      <c r="AB89" s="121" t="e">
        <f>SUMIFS(#REF!,#REF!,Extrato!$B89,#REF!,Extrato!AB$3)</f>
        <v>#REF!</v>
      </c>
      <c r="AC89" s="121" t="e">
        <f>SUMIFS(#REF!,#REF!,Extrato!$B89,#REF!,Extrato!AC$3)</f>
        <v>#REF!</v>
      </c>
      <c r="AD89" s="121" t="e">
        <f>SUMIFS(#REF!,#REF!,Extrato!$B89,#REF!,Extrato!AD$3)</f>
        <v>#REF!</v>
      </c>
      <c r="AE89" s="121" t="e">
        <f>SUMIFS(#REF!,#REF!,Extrato!$B89,#REF!,Extrato!AE$3)</f>
        <v>#REF!</v>
      </c>
      <c r="AF89" s="121" t="e">
        <f>SUMIFS(#REF!,#REF!,Extrato!$B89,#REF!,Extrato!AF$3)</f>
        <v>#REF!</v>
      </c>
      <c r="AG89" s="121" t="e">
        <f>SUMIFS(#REF!,#REF!,Extrato!$B89,#REF!,Extrato!AG$3)</f>
        <v>#REF!</v>
      </c>
      <c r="AH89" s="121" t="e">
        <f>SUMIFS(#REF!,#REF!,Extrato!$B89,#REF!,Extrato!AH$3)</f>
        <v>#REF!</v>
      </c>
      <c r="AI89" s="121" t="e">
        <f>SUMIFS(#REF!,#REF!,Extrato!$B89,#REF!,Extrato!AI$3)</f>
        <v>#REF!</v>
      </c>
      <c r="AJ89" s="121">
        <v>0</v>
      </c>
      <c r="AK89" s="121"/>
      <c r="AL89" s="25" t="e">
        <f t="shared" si="3"/>
        <v>#REF!</v>
      </c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</row>
    <row r="90" spans="2:68" ht="15" customHeight="1">
      <c r="B90" s="12">
        <v>46080</v>
      </c>
      <c r="C90" s="121" t="e">
        <f t="shared" si="2"/>
        <v>#REF!</v>
      </c>
      <c r="D90" s="121" t="e">
        <f>SUMIFS(#REF!,#REF!,Extrato!$B90,#REF!,Extrato!D$3)</f>
        <v>#REF!</v>
      </c>
      <c r="E90" s="121" t="e">
        <f>SUMIFS(#REF!,#REF!,Extrato!$B90,#REF!,Extrato!E$3)</f>
        <v>#REF!</v>
      </c>
      <c r="F90" s="121" t="e">
        <f>SUMIFS(#REF!,#REF!,Extrato!$B90,#REF!,Extrato!F$3)</f>
        <v>#REF!</v>
      </c>
      <c r="G90" s="121" t="e">
        <f>SUMIFS(#REF!,#REF!,Extrato!$B90,#REF!,Extrato!G$3)</f>
        <v>#REF!</v>
      </c>
      <c r="H90" s="121" t="e">
        <f>SUMIFS(#REF!,#REF!,Extrato!$B90,#REF!,Extrato!H$3)</f>
        <v>#REF!</v>
      </c>
      <c r="I90" s="121" t="e">
        <f>SUMIFS(#REF!,#REF!,Extrato!$B90,#REF!,Extrato!I$3)</f>
        <v>#REF!</v>
      </c>
      <c r="J90" s="121" t="e">
        <f>SUMIFS(#REF!,#REF!,Extrato!$B90,#REF!,Extrato!J$3)</f>
        <v>#REF!</v>
      </c>
      <c r="K90" s="121" t="e">
        <f>SUMIFS(#REF!,#REF!,Extrato!$B90,#REF!,Extrato!K$3)</f>
        <v>#REF!</v>
      </c>
      <c r="L90" s="121" t="e">
        <f>SUMIFS(#REF!,#REF!,Extrato!$B90,#REF!,Extrato!L$3)</f>
        <v>#REF!</v>
      </c>
      <c r="M90" s="121" t="e">
        <f>SUMIFS(#REF!,#REF!,Extrato!$B90,#REF!,Extrato!M$3)</f>
        <v>#REF!</v>
      </c>
      <c r="N90" s="121" t="e">
        <f>SUMIFS(#REF!,#REF!,Extrato!$B90,#REF!,Extrato!N$3)</f>
        <v>#REF!</v>
      </c>
      <c r="O90" s="121" t="e">
        <f>SUMIFS(#REF!,#REF!,Extrato!$B90,#REF!,Extrato!O$3)</f>
        <v>#REF!</v>
      </c>
      <c r="P90" s="121">
        <f>SUMIF(BetFlow!B:B,B90,BetFlow!J:J)</f>
        <v>0</v>
      </c>
      <c r="Q90" s="121" t="e">
        <f>SUMIFS(#REF!,#REF!,Extrato!$B90,#REF!,Extrato!Q$3)</f>
        <v>#REF!</v>
      </c>
      <c r="R90" s="121" t="e">
        <f>SUMIFS(#REF!,#REF!,Extrato!$B90,#REF!,Extrato!R$3)</f>
        <v>#REF!</v>
      </c>
      <c r="S90" s="121" t="e">
        <f>SUMIFS(#REF!,#REF!,Extrato!$B90,#REF!,Extrato!S$3)</f>
        <v>#REF!</v>
      </c>
      <c r="T90" s="121" t="e">
        <f>SUMIFS(#REF!,#REF!,Extrato!$B90,#REF!,Extrato!T$3)</f>
        <v>#REF!</v>
      </c>
      <c r="U90" s="121" t="e">
        <f>SUMIFS(#REF!,#REF!,Extrato!$B90,#REF!,Extrato!U$3)</f>
        <v>#REF!</v>
      </c>
      <c r="V90" s="121" t="e">
        <f>SUMIFS(#REF!,#REF!,Extrato!$B90,#REF!,Extrato!V$3)</f>
        <v>#REF!</v>
      </c>
      <c r="W90" s="121" t="e">
        <f>SUMIFS(#REF!,#REF!,Extrato!$B90,#REF!,Extrato!W$3)</f>
        <v>#REF!</v>
      </c>
      <c r="X90" s="121" t="e">
        <f>SUMIFS(#REF!,#REF!,Extrato!$B90,#REF!,Extrato!X$3)</f>
        <v>#REF!</v>
      </c>
      <c r="Y90" s="121" t="e">
        <f>SUMIFS(#REF!,#REF!,Extrato!$B90,#REF!,Extrato!Y$3)</f>
        <v>#REF!</v>
      </c>
      <c r="Z90" s="121" t="e">
        <f>SUMIFS(#REF!,#REF!,Extrato!$B90,#REF!,Extrato!Z$3)</f>
        <v>#REF!</v>
      </c>
      <c r="AA90" s="121" t="e">
        <f>SUMIFS(#REF!,#REF!,Extrato!$B90,#REF!,Extrato!AA$3)</f>
        <v>#REF!</v>
      </c>
      <c r="AB90" s="121" t="e">
        <f>SUMIFS(#REF!,#REF!,Extrato!$B90,#REF!,Extrato!AB$3)</f>
        <v>#REF!</v>
      </c>
      <c r="AC90" s="121" t="e">
        <f>SUMIFS(#REF!,#REF!,Extrato!$B90,#REF!,Extrato!AC$3)</f>
        <v>#REF!</v>
      </c>
      <c r="AD90" s="121" t="e">
        <f>SUMIFS(#REF!,#REF!,Extrato!$B90,#REF!,Extrato!AD$3)</f>
        <v>#REF!</v>
      </c>
      <c r="AE90" s="121" t="e">
        <f>SUMIFS(#REF!,#REF!,Extrato!$B90,#REF!,Extrato!AE$3)</f>
        <v>#REF!</v>
      </c>
      <c r="AF90" s="121" t="e">
        <f>SUMIFS(#REF!,#REF!,Extrato!$B90,#REF!,Extrato!AF$3)</f>
        <v>#REF!</v>
      </c>
      <c r="AG90" s="121" t="e">
        <f>SUMIFS(#REF!,#REF!,Extrato!$B90,#REF!,Extrato!AG$3)</f>
        <v>#REF!</v>
      </c>
      <c r="AH90" s="121" t="e">
        <f>SUMIFS(#REF!,#REF!,Extrato!$B90,#REF!,Extrato!AH$3)</f>
        <v>#REF!</v>
      </c>
      <c r="AI90" s="121" t="e">
        <f>SUMIFS(#REF!,#REF!,Extrato!$B90,#REF!,Extrato!AI$3)</f>
        <v>#REF!</v>
      </c>
      <c r="AJ90" s="121">
        <v>0</v>
      </c>
      <c r="AK90" s="121"/>
      <c r="AL90" s="25" t="e">
        <f t="shared" si="3"/>
        <v>#REF!</v>
      </c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</row>
    <row r="91" spans="2:68" ht="15" customHeight="1">
      <c r="B91" s="12">
        <v>46081</v>
      </c>
      <c r="C91" s="121" t="e">
        <f t="shared" si="2"/>
        <v>#REF!</v>
      </c>
      <c r="D91" s="121" t="e">
        <f>SUMIFS(#REF!,#REF!,Extrato!$B91,#REF!,Extrato!D$3)</f>
        <v>#REF!</v>
      </c>
      <c r="E91" s="121" t="e">
        <f>SUMIFS(#REF!,#REF!,Extrato!$B91,#REF!,Extrato!E$3)</f>
        <v>#REF!</v>
      </c>
      <c r="F91" s="121" t="e">
        <f>SUMIFS(#REF!,#REF!,Extrato!$B91,#REF!,Extrato!F$3)</f>
        <v>#REF!</v>
      </c>
      <c r="G91" s="121" t="e">
        <f>SUMIFS(#REF!,#REF!,Extrato!$B91,#REF!,Extrato!G$3)</f>
        <v>#REF!</v>
      </c>
      <c r="H91" s="121" t="e">
        <f>SUMIFS(#REF!,#REF!,Extrato!$B91,#REF!,Extrato!H$3)</f>
        <v>#REF!</v>
      </c>
      <c r="I91" s="121" t="e">
        <f>SUMIFS(#REF!,#REF!,Extrato!$B91,#REF!,Extrato!I$3)</f>
        <v>#REF!</v>
      </c>
      <c r="J91" s="121" t="e">
        <f>SUMIFS(#REF!,#REF!,Extrato!$B91,#REF!,Extrato!J$3)</f>
        <v>#REF!</v>
      </c>
      <c r="K91" s="121" t="e">
        <f>SUMIFS(#REF!,#REF!,Extrato!$B91,#REF!,Extrato!K$3)</f>
        <v>#REF!</v>
      </c>
      <c r="L91" s="121" t="e">
        <f>SUMIFS(#REF!,#REF!,Extrato!$B91,#REF!,Extrato!L$3)</f>
        <v>#REF!</v>
      </c>
      <c r="M91" s="121" t="e">
        <f>SUMIFS(#REF!,#REF!,Extrato!$B91,#REF!,Extrato!M$3)</f>
        <v>#REF!</v>
      </c>
      <c r="N91" s="121" t="e">
        <f>SUMIFS(#REF!,#REF!,Extrato!$B91,#REF!,Extrato!N$3)</f>
        <v>#REF!</v>
      </c>
      <c r="O91" s="121" t="e">
        <f>SUMIFS(#REF!,#REF!,Extrato!$B91,#REF!,Extrato!O$3)</f>
        <v>#REF!</v>
      </c>
      <c r="P91" s="121">
        <f>SUMIF(BetFlow!B:B,B91,BetFlow!J:J)</f>
        <v>0</v>
      </c>
      <c r="Q91" s="121" t="e">
        <f>SUMIFS(#REF!,#REF!,Extrato!$B91,#REF!,Extrato!Q$3)</f>
        <v>#REF!</v>
      </c>
      <c r="R91" s="121" t="e">
        <f>SUMIFS(#REF!,#REF!,Extrato!$B91,#REF!,Extrato!R$3)</f>
        <v>#REF!</v>
      </c>
      <c r="S91" s="121" t="e">
        <f>SUMIFS(#REF!,#REF!,Extrato!$B91,#REF!,Extrato!S$3)</f>
        <v>#REF!</v>
      </c>
      <c r="T91" s="121" t="e">
        <f>SUMIFS(#REF!,#REF!,Extrato!$B91,#REF!,Extrato!T$3)</f>
        <v>#REF!</v>
      </c>
      <c r="U91" s="121" t="e">
        <f>SUMIFS(#REF!,#REF!,Extrato!$B91,#REF!,Extrato!U$3)</f>
        <v>#REF!</v>
      </c>
      <c r="V91" s="121" t="e">
        <f>SUMIFS(#REF!,#REF!,Extrato!$B91,#REF!,Extrato!V$3)</f>
        <v>#REF!</v>
      </c>
      <c r="W91" s="121" t="e">
        <f>SUMIFS(#REF!,#REF!,Extrato!$B91,#REF!,Extrato!W$3)</f>
        <v>#REF!</v>
      </c>
      <c r="X91" s="121" t="e">
        <f>SUMIFS(#REF!,#REF!,Extrato!$B91,#REF!,Extrato!X$3)</f>
        <v>#REF!</v>
      </c>
      <c r="Y91" s="121" t="e">
        <f>SUMIFS(#REF!,#REF!,Extrato!$B91,#REF!,Extrato!Y$3)</f>
        <v>#REF!</v>
      </c>
      <c r="Z91" s="121" t="e">
        <f>SUMIFS(#REF!,#REF!,Extrato!$B91,#REF!,Extrato!Z$3)</f>
        <v>#REF!</v>
      </c>
      <c r="AA91" s="121" t="e">
        <f>SUMIFS(#REF!,#REF!,Extrato!$B91,#REF!,Extrato!AA$3)</f>
        <v>#REF!</v>
      </c>
      <c r="AB91" s="121" t="e">
        <f>SUMIFS(#REF!,#REF!,Extrato!$B91,#REF!,Extrato!AB$3)</f>
        <v>#REF!</v>
      </c>
      <c r="AC91" s="121" t="e">
        <f>SUMIFS(#REF!,#REF!,Extrato!$B91,#REF!,Extrato!AC$3)</f>
        <v>#REF!</v>
      </c>
      <c r="AD91" s="121" t="e">
        <f>SUMIFS(#REF!,#REF!,Extrato!$B91,#REF!,Extrato!AD$3)</f>
        <v>#REF!</v>
      </c>
      <c r="AE91" s="121" t="e">
        <f>SUMIFS(#REF!,#REF!,Extrato!$B91,#REF!,Extrato!AE$3)</f>
        <v>#REF!</v>
      </c>
      <c r="AF91" s="121" t="e">
        <f>SUMIFS(#REF!,#REF!,Extrato!$B91,#REF!,Extrato!AF$3)</f>
        <v>#REF!</v>
      </c>
      <c r="AG91" s="121" t="e">
        <f>SUMIFS(#REF!,#REF!,Extrato!$B91,#REF!,Extrato!AG$3)</f>
        <v>#REF!</v>
      </c>
      <c r="AH91" s="121" t="e">
        <f>SUMIFS(#REF!,#REF!,Extrato!$B91,#REF!,Extrato!AH$3)</f>
        <v>#REF!</v>
      </c>
      <c r="AI91" s="121" t="e">
        <f>SUMIFS(#REF!,#REF!,Extrato!$B91,#REF!,Extrato!AI$3)</f>
        <v>#REF!</v>
      </c>
      <c r="AJ91" s="121">
        <v>0</v>
      </c>
      <c r="AK91" s="121"/>
      <c r="AL91" s="25" t="e">
        <f t="shared" si="3"/>
        <v>#REF!</v>
      </c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</row>
    <row r="92" spans="2:68" ht="15" customHeight="1">
      <c r="B92" s="12">
        <v>46082</v>
      </c>
      <c r="C92" s="121" t="e">
        <f t="shared" si="2"/>
        <v>#REF!</v>
      </c>
      <c r="D92" s="121" t="e">
        <f>SUMIFS(#REF!,#REF!,Extrato!$B92,#REF!,Extrato!D$3)</f>
        <v>#REF!</v>
      </c>
      <c r="E92" s="121" t="e">
        <f>SUMIFS(#REF!,#REF!,Extrato!$B92,#REF!,Extrato!E$3)</f>
        <v>#REF!</v>
      </c>
      <c r="F92" s="121" t="e">
        <f>SUMIFS(#REF!,#REF!,Extrato!$B92,#REF!,Extrato!F$3)</f>
        <v>#REF!</v>
      </c>
      <c r="G92" s="121" t="e">
        <f>SUMIFS(#REF!,#REF!,Extrato!$B92,#REF!,Extrato!G$3)</f>
        <v>#REF!</v>
      </c>
      <c r="H92" s="121" t="e">
        <f>SUMIFS(#REF!,#REF!,Extrato!$B92,#REF!,Extrato!H$3)</f>
        <v>#REF!</v>
      </c>
      <c r="I92" s="121" t="e">
        <f>SUMIFS(#REF!,#REF!,Extrato!$B92,#REF!,Extrato!I$3)</f>
        <v>#REF!</v>
      </c>
      <c r="J92" s="121" t="e">
        <f>SUMIFS(#REF!,#REF!,Extrato!$B92,#REF!,Extrato!J$3)</f>
        <v>#REF!</v>
      </c>
      <c r="K92" s="121" t="e">
        <f>SUMIFS(#REF!,#REF!,Extrato!$B92,#REF!,Extrato!K$3)</f>
        <v>#REF!</v>
      </c>
      <c r="L92" s="121" t="e">
        <f>SUMIFS(#REF!,#REF!,Extrato!$B92,#REF!,Extrato!L$3)</f>
        <v>#REF!</v>
      </c>
      <c r="M92" s="121" t="e">
        <f>SUMIFS(#REF!,#REF!,Extrato!$B92,#REF!,Extrato!M$3)</f>
        <v>#REF!</v>
      </c>
      <c r="N92" s="121" t="e">
        <f>SUMIFS(#REF!,#REF!,Extrato!$B92,#REF!,Extrato!N$3)</f>
        <v>#REF!</v>
      </c>
      <c r="O92" s="121" t="e">
        <f>SUMIFS(#REF!,#REF!,Extrato!$B92,#REF!,Extrato!O$3)</f>
        <v>#REF!</v>
      </c>
      <c r="P92" s="121">
        <f>SUMIF(BetFlow!B:B,B92,BetFlow!J:J)</f>
        <v>0</v>
      </c>
      <c r="Q92" s="121" t="e">
        <f>SUMIFS(#REF!,#REF!,Extrato!$B92,#REF!,Extrato!Q$3)</f>
        <v>#REF!</v>
      </c>
      <c r="R92" s="121" t="e">
        <f>SUMIFS(#REF!,#REF!,Extrato!$B92,#REF!,Extrato!R$3)</f>
        <v>#REF!</v>
      </c>
      <c r="S92" s="121" t="e">
        <f>SUMIFS(#REF!,#REF!,Extrato!$B92,#REF!,Extrato!S$3)</f>
        <v>#REF!</v>
      </c>
      <c r="T92" s="121" t="e">
        <f>SUMIFS(#REF!,#REF!,Extrato!$B92,#REF!,Extrato!T$3)</f>
        <v>#REF!</v>
      </c>
      <c r="U92" s="121" t="e">
        <f>SUMIFS(#REF!,#REF!,Extrato!$B92,#REF!,Extrato!U$3)</f>
        <v>#REF!</v>
      </c>
      <c r="V92" s="121" t="e">
        <f>SUMIFS(#REF!,#REF!,Extrato!$B92,#REF!,Extrato!V$3)</f>
        <v>#REF!</v>
      </c>
      <c r="W92" s="121" t="e">
        <f>SUMIFS(#REF!,#REF!,Extrato!$B92,#REF!,Extrato!W$3)</f>
        <v>#REF!</v>
      </c>
      <c r="X92" s="121" t="e">
        <f>SUMIFS(#REF!,#REF!,Extrato!$B92,#REF!,Extrato!X$3)</f>
        <v>#REF!</v>
      </c>
      <c r="Y92" s="121" t="e">
        <f>SUMIFS(#REF!,#REF!,Extrato!$B92,#REF!,Extrato!Y$3)</f>
        <v>#REF!</v>
      </c>
      <c r="Z92" s="121" t="e">
        <f>SUMIFS(#REF!,#REF!,Extrato!$B92,#REF!,Extrato!Z$3)</f>
        <v>#REF!</v>
      </c>
      <c r="AA92" s="121" t="e">
        <f>SUMIFS(#REF!,#REF!,Extrato!$B92,#REF!,Extrato!AA$3)</f>
        <v>#REF!</v>
      </c>
      <c r="AB92" s="121" t="e">
        <f>SUMIFS(#REF!,#REF!,Extrato!$B92,#REF!,Extrato!AB$3)</f>
        <v>#REF!</v>
      </c>
      <c r="AC92" s="121" t="e">
        <f>SUMIFS(#REF!,#REF!,Extrato!$B92,#REF!,Extrato!AC$3)</f>
        <v>#REF!</v>
      </c>
      <c r="AD92" s="121" t="e">
        <f>SUMIFS(#REF!,#REF!,Extrato!$B92,#REF!,Extrato!AD$3)</f>
        <v>#REF!</v>
      </c>
      <c r="AE92" s="121" t="e">
        <f>SUMIFS(#REF!,#REF!,Extrato!$B92,#REF!,Extrato!AE$3)</f>
        <v>#REF!</v>
      </c>
      <c r="AF92" s="121" t="e">
        <f>SUMIFS(#REF!,#REF!,Extrato!$B92,#REF!,Extrato!AF$3)</f>
        <v>#REF!</v>
      </c>
      <c r="AG92" s="121" t="e">
        <f>SUMIFS(#REF!,#REF!,Extrato!$B92,#REF!,Extrato!AG$3)</f>
        <v>#REF!</v>
      </c>
      <c r="AH92" s="121" t="e">
        <f>SUMIFS(#REF!,#REF!,Extrato!$B92,#REF!,Extrato!AH$3)</f>
        <v>#REF!</v>
      </c>
      <c r="AI92" s="121" t="e">
        <f>SUMIFS(#REF!,#REF!,Extrato!$B92,#REF!,Extrato!AI$3)</f>
        <v>#REF!</v>
      </c>
      <c r="AJ92" s="121">
        <v>250</v>
      </c>
      <c r="AK92" s="121">
        <v>-0.02</v>
      </c>
      <c r="AL92" s="25" t="e">
        <f t="shared" si="3"/>
        <v>#REF!</v>
      </c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</row>
    <row r="93" spans="2:68" ht="15" customHeight="1">
      <c r="B93" s="12">
        <v>46083</v>
      </c>
      <c r="C93" s="121" t="e">
        <f t="shared" si="2"/>
        <v>#REF!</v>
      </c>
      <c r="D93" s="121" t="e">
        <f>SUMIFS(#REF!,#REF!,Extrato!$B93,#REF!,Extrato!D$3)</f>
        <v>#REF!</v>
      </c>
      <c r="E93" s="121" t="e">
        <f>SUMIFS(#REF!,#REF!,Extrato!$B93,#REF!,Extrato!E$3)</f>
        <v>#REF!</v>
      </c>
      <c r="F93" s="121" t="e">
        <f>SUMIFS(#REF!,#REF!,Extrato!$B93,#REF!,Extrato!F$3)</f>
        <v>#REF!</v>
      </c>
      <c r="G93" s="121" t="e">
        <f>SUMIFS(#REF!,#REF!,Extrato!$B93,#REF!,Extrato!G$3)</f>
        <v>#REF!</v>
      </c>
      <c r="H93" s="121" t="e">
        <f>SUMIFS(#REF!,#REF!,Extrato!$B93,#REF!,Extrato!H$3)</f>
        <v>#REF!</v>
      </c>
      <c r="I93" s="121" t="e">
        <f>SUMIFS(#REF!,#REF!,Extrato!$B93,#REF!,Extrato!I$3)</f>
        <v>#REF!</v>
      </c>
      <c r="J93" s="121" t="e">
        <f>SUMIFS(#REF!,#REF!,Extrato!$B93,#REF!,Extrato!J$3)</f>
        <v>#REF!</v>
      </c>
      <c r="K93" s="121" t="e">
        <f>SUMIFS(#REF!,#REF!,Extrato!$B93,#REF!,Extrato!K$3)</f>
        <v>#REF!</v>
      </c>
      <c r="L93" s="121" t="e">
        <f>SUMIFS(#REF!,#REF!,Extrato!$B93,#REF!,Extrato!L$3)</f>
        <v>#REF!</v>
      </c>
      <c r="M93" s="121" t="e">
        <f>SUMIFS(#REF!,#REF!,Extrato!$B93,#REF!,Extrato!M$3)</f>
        <v>#REF!</v>
      </c>
      <c r="N93" s="121" t="e">
        <f>SUMIFS(#REF!,#REF!,Extrato!$B93,#REF!,Extrato!N$3)</f>
        <v>#REF!</v>
      </c>
      <c r="O93" s="121" t="e">
        <f>SUMIFS(#REF!,#REF!,Extrato!$B93,#REF!,Extrato!O$3)</f>
        <v>#REF!</v>
      </c>
      <c r="P93" s="121">
        <f>SUMIF(BetFlow!B:B,B93,BetFlow!J:J)</f>
        <v>0</v>
      </c>
      <c r="Q93" s="121" t="e">
        <f>SUMIFS(#REF!,#REF!,Extrato!$B93,#REF!,Extrato!Q$3)</f>
        <v>#REF!</v>
      </c>
      <c r="R93" s="121" t="e">
        <f>SUMIFS(#REF!,#REF!,Extrato!$B93,#REF!,Extrato!R$3)</f>
        <v>#REF!</v>
      </c>
      <c r="S93" s="121" t="e">
        <f>SUMIFS(#REF!,#REF!,Extrato!$B93,#REF!,Extrato!S$3)</f>
        <v>#REF!</v>
      </c>
      <c r="T93" s="121" t="e">
        <f>SUMIFS(#REF!,#REF!,Extrato!$B93,#REF!,Extrato!T$3)</f>
        <v>#REF!</v>
      </c>
      <c r="U93" s="121" t="e">
        <f>SUMIFS(#REF!,#REF!,Extrato!$B93,#REF!,Extrato!U$3)</f>
        <v>#REF!</v>
      </c>
      <c r="V93" s="121" t="e">
        <f>SUMIFS(#REF!,#REF!,Extrato!$B93,#REF!,Extrato!V$3)</f>
        <v>#REF!</v>
      </c>
      <c r="W93" s="121" t="e">
        <f>SUMIFS(#REF!,#REF!,Extrato!$B93,#REF!,Extrato!W$3)</f>
        <v>#REF!</v>
      </c>
      <c r="X93" s="121" t="e">
        <f>SUMIFS(#REF!,#REF!,Extrato!$B93,#REF!,Extrato!X$3)</f>
        <v>#REF!</v>
      </c>
      <c r="Y93" s="121" t="e">
        <f>SUMIFS(#REF!,#REF!,Extrato!$B93,#REF!,Extrato!Y$3)</f>
        <v>#REF!</v>
      </c>
      <c r="Z93" s="121" t="e">
        <f>SUMIFS(#REF!,#REF!,Extrato!$B93,#REF!,Extrato!Z$3)</f>
        <v>#REF!</v>
      </c>
      <c r="AA93" s="121" t="e">
        <f>SUMIFS(#REF!,#REF!,Extrato!$B93,#REF!,Extrato!AA$3)</f>
        <v>#REF!</v>
      </c>
      <c r="AB93" s="121" t="e">
        <f>SUMIFS(#REF!,#REF!,Extrato!$B93,#REF!,Extrato!AB$3)</f>
        <v>#REF!</v>
      </c>
      <c r="AC93" s="121" t="e">
        <f>SUMIFS(#REF!,#REF!,Extrato!$B93,#REF!,Extrato!AC$3)</f>
        <v>#REF!</v>
      </c>
      <c r="AD93" s="121" t="e">
        <f>SUMIFS(#REF!,#REF!,Extrato!$B93,#REF!,Extrato!AD$3)</f>
        <v>#REF!</v>
      </c>
      <c r="AE93" s="121" t="e">
        <f>SUMIFS(#REF!,#REF!,Extrato!$B93,#REF!,Extrato!AE$3)</f>
        <v>#REF!</v>
      </c>
      <c r="AF93" s="121" t="e">
        <f>SUMIFS(#REF!,#REF!,Extrato!$B93,#REF!,Extrato!AF$3)</f>
        <v>#REF!</v>
      </c>
      <c r="AG93" s="121" t="e">
        <f>SUMIFS(#REF!,#REF!,Extrato!$B93,#REF!,Extrato!AG$3)</f>
        <v>#REF!</v>
      </c>
      <c r="AH93" s="121" t="e">
        <f>SUMIFS(#REF!,#REF!,Extrato!$B93,#REF!,Extrato!AH$3)</f>
        <v>#REF!</v>
      </c>
      <c r="AI93" s="121" t="e">
        <f>SUMIFS(#REF!,#REF!,Extrato!$B93,#REF!,Extrato!AI$3)</f>
        <v>#REF!</v>
      </c>
      <c r="AJ93" s="121">
        <v>0</v>
      </c>
      <c r="AK93" s="121"/>
      <c r="AL93" s="25" t="e">
        <f t="shared" si="3"/>
        <v>#REF!</v>
      </c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</row>
    <row r="94" spans="2:68" ht="15" customHeight="1">
      <c r="B94" s="12">
        <v>46084</v>
      </c>
      <c r="C94" s="121" t="e">
        <f t="shared" si="2"/>
        <v>#REF!</v>
      </c>
      <c r="D94" s="121" t="e">
        <f>SUMIFS(#REF!,#REF!,Extrato!$B94,#REF!,Extrato!D$3)</f>
        <v>#REF!</v>
      </c>
      <c r="E94" s="121" t="e">
        <f>SUMIFS(#REF!,#REF!,Extrato!$B94,#REF!,Extrato!E$3)</f>
        <v>#REF!</v>
      </c>
      <c r="F94" s="121" t="e">
        <f>SUMIFS(#REF!,#REF!,Extrato!$B94,#REF!,Extrato!F$3)</f>
        <v>#REF!</v>
      </c>
      <c r="G94" s="121" t="e">
        <f>SUMIFS(#REF!,#REF!,Extrato!$B94,#REF!,Extrato!G$3)</f>
        <v>#REF!</v>
      </c>
      <c r="H94" s="121" t="e">
        <f>SUMIFS(#REF!,#REF!,Extrato!$B94,#REF!,Extrato!H$3)</f>
        <v>#REF!</v>
      </c>
      <c r="I94" s="121" t="e">
        <f>SUMIFS(#REF!,#REF!,Extrato!$B94,#REF!,Extrato!I$3)</f>
        <v>#REF!</v>
      </c>
      <c r="J94" s="121" t="e">
        <f>SUMIFS(#REF!,#REF!,Extrato!$B94,#REF!,Extrato!J$3)</f>
        <v>#REF!</v>
      </c>
      <c r="K94" s="121" t="e">
        <f>SUMIFS(#REF!,#REF!,Extrato!$B94,#REF!,Extrato!K$3)</f>
        <v>#REF!</v>
      </c>
      <c r="L94" s="121" t="e">
        <f>SUMIFS(#REF!,#REF!,Extrato!$B94,#REF!,Extrato!L$3)</f>
        <v>#REF!</v>
      </c>
      <c r="M94" s="121" t="e">
        <f>SUMIFS(#REF!,#REF!,Extrato!$B94,#REF!,Extrato!M$3)</f>
        <v>#REF!</v>
      </c>
      <c r="N94" s="121" t="e">
        <f>SUMIFS(#REF!,#REF!,Extrato!$B94,#REF!,Extrato!N$3)</f>
        <v>#REF!</v>
      </c>
      <c r="O94" s="121" t="e">
        <f>SUMIFS(#REF!,#REF!,Extrato!$B94,#REF!,Extrato!O$3)</f>
        <v>#REF!</v>
      </c>
      <c r="P94" s="121">
        <f>SUMIF(BetFlow!B:B,B94,BetFlow!J:J)</f>
        <v>0</v>
      </c>
      <c r="Q94" s="121" t="e">
        <f>SUMIFS(#REF!,#REF!,Extrato!$B94,#REF!,Extrato!Q$3)</f>
        <v>#REF!</v>
      </c>
      <c r="R94" s="121" t="e">
        <f>SUMIFS(#REF!,#REF!,Extrato!$B94,#REF!,Extrato!R$3)</f>
        <v>#REF!</v>
      </c>
      <c r="S94" s="121" t="e">
        <f>SUMIFS(#REF!,#REF!,Extrato!$B94,#REF!,Extrato!S$3)</f>
        <v>#REF!</v>
      </c>
      <c r="T94" s="121" t="e">
        <f>SUMIFS(#REF!,#REF!,Extrato!$B94,#REF!,Extrato!T$3)</f>
        <v>#REF!</v>
      </c>
      <c r="U94" s="121" t="e">
        <f>SUMIFS(#REF!,#REF!,Extrato!$B94,#REF!,Extrato!U$3)</f>
        <v>#REF!</v>
      </c>
      <c r="V94" s="121" t="e">
        <f>SUMIFS(#REF!,#REF!,Extrato!$B94,#REF!,Extrato!V$3)</f>
        <v>#REF!</v>
      </c>
      <c r="W94" s="121" t="e">
        <f>SUMIFS(#REF!,#REF!,Extrato!$B94,#REF!,Extrato!W$3)</f>
        <v>#REF!</v>
      </c>
      <c r="X94" s="121" t="e">
        <f>SUMIFS(#REF!,#REF!,Extrato!$B94,#REF!,Extrato!X$3)</f>
        <v>#REF!</v>
      </c>
      <c r="Y94" s="121" t="e">
        <f>SUMIFS(#REF!,#REF!,Extrato!$B94,#REF!,Extrato!Y$3)</f>
        <v>#REF!</v>
      </c>
      <c r="Z94" s="121" t="e">
        <f>SUMIFS(#REF!,#REF!,Extrato!$B94,#REF!,Extrato!Z$3)</f>
        <v>#REF!</v>
      </c>
      <c r="AA94" s="121" t="e">
        <f>SUMIFS(#REF!,#REF!,Extrato!$B94,#REF!,Extrato!AA$3)</f>
        <v>#REF!</v>
      </c>
      <c r="AB94" s="121" t="e">
        <f>SUMIFS(#REF!,#REF!,Extrato!$B94,#REF!,Extrato!AB$3)</f>
        <v>#REF!</v>
      </c>
      <c r="AC94" s="121" t="e">
        <f>SUMIFS(#REF!,#REF!,Extrato!$B94,#REF!,Extrato!AC$3)</f>
        <v>#REF!</v>
      </c>
      <c r="AD94" s="121" t="e">
        <f>SUMIFS(#REF!,#REF!,Extrato!$B94,#REF!,Extrato!AD$3)</f>
        <v>#REF!</v>
      </c>
      <c r="AE94" s="121" t="e">
        <f>SUMIFS(#REF!,#REF!,Extrato!$B94,#REF!,Extrato!AE$3)</f>
        <v>#REF!</v>
      </c>
      <c r="AF94" s="121" t="e">
        <f>SUMIFS(#REF!,#REF!,Extrato!$B94,#REF!,Extrato!AF$3)</f>
        <v>#REF!</v>
      </c>
      <c r="AG94" s="121" t="e">
        <f>SUMIFS(#REF!,#REF!,Extrato!$B94,#REF!,Extrato!AG$3)</f>
        <v>#REF!</v>
      </c>
      <c r="AH94" s="121" t="e">
        <f>SUMIFS(#REF!,#REF!,Extrato!$B94,#REF!,Extrato!AH$3)</f>
        <v>#REF!</v>
      </c>
      <c r="AI94" s="121" t="e">
        <f>SUMIFS(#REF!,#REF!,Extrato!$B94,#REF!,Extrato!AI$3)</f>
        <v>#REF!</v>
      </c>
      <c r="AJ94" s="121">
        <v>0</v>
      </c>
      <c r="AK94" s="121"/>
      <c r="AL94" s="25" t="e">
        <f t="shared" si="3"/>
        <v>#REF!</v>
      </c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/>
    </row>
    <row r="95" spans="2:68" ht="15" customHeight="1">
      <c r="B95" s="12">
        <v>46085</v>
      </c>
      <c r="C95" s="121" t="e">
        <f t="shared" si="2"/>
        <v>#REF!</v>
      </c>
      <c r="D95" s="121" t="e">
        <f>SUMIFS(#REF!,#REF!,Extrato!$B95,#REF!,Extrato!D$3)</f>
        <v>#REF!</v>
      </c>
      <c r="E95" s="121" t="e">
        <f>SUMIFS(#REF!,#REF!,Extrato!$B95,#REF!,Extrato!E$3)</f>
        <v>#REF!</v>
      </c>
      <c r="F95" s="121" t="e">
        <f>SUMIFS(#REF!,#REF!,Extrato!$B95,#REF!,Extrato!F$3)</f>
        <v>#REF!</v>
      </c>
      <c r="G95" s="121" t="e">
        <f>SUMIFS(#REF!,#REF!,Extrato!$B95,#REF!,Extrato!G$3)</f>
        <v>#REF!</v>
      </c>
      <c r="H95" s="121" t="e">
        <f>SUMIFS(#REF!,#REF!,Extrato!$B95,#REF!,Extrato!H$3)</f>
        <v>#REF!</v>
      </c>
      <c r="I95" s="121" t="e">
        <f>SUMIFS(#REF!,#REF!,Extrato!$B95,#REF!,Extrato!I$3)</f>
        <v>#REF!</v>
      </c>
      <c r="J95" s="121" t="e">
        <f>SUMIFS(#REF!,#REF!,Extrato!$B95,#REF!,Extrato!J$3)</f>
        <v>#REF!</v>
      </c>
      <c r="K95" s="121" t="e">
        <f>SUMIFS(#REF!,#REF!,Extrato!$B95,#REF!,Extrato!K$3)</f>
        <v>#REF!</v>
      </c>
      <c r="L95" s="121" t="e">
        <f>SUMIFS(#REF!,#REF!,Extrato!$B95,#REF!,Extrato!L$3)</f>
        <v>#REF!</v>
      </c>
      <c r="M95" s="121" t="e">
        <f>SUMIFS(#REF!,#REF!,Extrato!$B95,#REF!,Extrato!M$3)</f>
        <v>#REF!</v>
      </c>
      <c r="N95" s="121" t="e">
        <f>SUMIFS(#REF!,#REF!,Extrato!$B95,#REF!,Extrato!N$3)</f>
        <v>#REF!</v>
      </c>
      <c r="O95" s="121" t="e">
        <f>SUMIFS(#REF!,#REF!,Extrato!$B95,#REF!,Extrato!O$3)</f>
        <v>#REF!</v>
      </c>
      <c r="P95" s="121">
        <f>SUMIF(BetFlow!B:B,B95,BetFlow!J:J)</f>
        <v>0</v>
      </c>
      <c r="Q95" s="121" t="e">
        <f>SUMIFS(#REF!,#REF!,Extrato!$B95,#REF!,Extrato!Q$3)</f>
        <v>#REF!</v>
      </c>
      <c r="R95" s="121" t="e">
        <f>SUMIFS(#REF!,#REF!,Extrato!$B95,#REF!,Extrato!R$3)</f>
        <v>#REF!</v>
      </c>
      <c r="S95" s="121" t="e">
        <f>SUMIFS(#REF!,#REF!,Extrato!$B95,#REF!,Extrato!S$3)</f>
        <v>#REF!</v>
      </c>
      <c r="T95" s="121" t="e">
        <f>SUMIFS(#REF!,#REF!,Extrato!$B95,#REF!,Extrato!T$3)</f>
        <v>#REF!</v>
      </c>
      <c r="U95" s="121" t="e">
        <f>SUMIFS(#REF!,#REF!,Extrato!$B95,#REF!,Extrato!U$3)</f>
        <v>#REF!</v>
      </c>
      <c r="V95" s="121" t="e">
        <f>SUMIFS(#REF!,#REF!,Extrato!$B95,#REF!,Extrato!V$3)</f>
        <v>#REF!</v>
      </c>
      <c r="W95" s="121" t="e">
        <f>SUMIFS(#REF!,#REF!,Extrato!$B95,#REF!,Extrato!W$3)</f>
        <v>#REF!</v>
      </c>
      <c r="X95" s="121" t="e">
        <f>SUMIFS(#REF!,#REF!,Extrato!$B95,#REF!,Extrato!X$3)</f>
        <v>#REF!</v>
      </c>
      <c r="Y95" s="121" t="e">
        <f>SUMIFS(#REF!,#REF!,Extrato!$B95,#REF!,Extrato!Y$3)</f>
        <v>#REF!</v>
      </c>
      <c r="Z95" s="121" t="e">
        <f>SUMIFS(#REF!,#REF!,Extrato!$B95,#REF!,Extrato!Z$3)</f>
        <v>#REF!</v>
      </c>
      <c r="AA95" s="121" t="e">
        <f>SUMIFS(#REF!,#REF!,Extrato!$B95,#REF!,Extrato!AA$3)</f>
        <v>#REF!</v>
      </c>
      <c r="AB95" s="121" t="e">
        <f>SUMIFS(#REF!,#REF!,Extrato!$B95,#REF!,Extrato!AB$3)</f>
        <v>#REF!</v>
      </c>
      <c r="AC95" s="121" t="e">
        <f>SUMIFS(#REF!,#REF!,Extrato!$B95,#REF!,Extrato!AC$3)</f>
        <v>#REF!</v>
      </c>
      <c r="AD95" s="121" t="e">
        <f>SUMIFS(#REF!,#REF!,Extrato!$B95,#REF!,Extrato!AD$3)</f>
        <v>#REF!</v>
      </c>
      <c r="AE95" s="121" t="e">
        <f>SUMIFS(#REF!,#REF!,Extrato!$B95,#REF!,Extrato!AE$3)</f>
        <v>#REF!</v>
      </c>
      <c r="AF95" s="121" t="e">
        <f>SUMIFS(#REF!,#REF!,Extrato!$B95,#REF!,Extrato!AF$3)</f>
        <v>#REF!</v>
      </c>
      <c r="AG95" s="121" t="e">
        <f>SUMIFS(#REF!,#REF!,Extrato!$B95,#REF!,Extrato!AG$3)</f>
        <v>#REF!</v>
      </c>
      <c r="AH95" s="121" t="e">
        <f>SUMIFS(#REF!,#REF!,Extrato!$B95,#REF!,Extrato!AH$3)</f>
        <v>#REF!</v>
      </c>
      <c r="AI95" s="121" t="e">
        <f>SUMIFS(#REF!,#REF!,Extrato!$B95,#REF!,Extrato!AI$3)</f>
        <v>#REF!</v>
      </c>
      <c r="AJ95" s="121">
        <v>0</v>
      </c>
      <c r="AK95" s="121">
        <v>-0.02</v>
      </c>
      <c r="AL95" s="25" t="e">
        <f t="shared" si="3"/>
        <v>#REF!</v>
      </c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</row>
    <row r="96" spans="2:68" ht="15" customHeight="1">
      <c r="B96" s="12">
        <v>46086</v>
      </c>
      <c r="C96" s="121" t="e">
        <f t="shared" si="2"/>
        <v>#REF!</v>
      </c>
      <c r="D96" s="121" t="e">
        <f>SUMIFS(#REF!,#REF!,Extrato!$B96,#REF!,Extrato!D$3)</f>
        <v>#REF!</v>
      </c>
      <c r="E96" s="121" t="e">
        <f>SUMIFS(#REF!,#REF!,Extrato!$B96,#REF!,Extrato!E$3)</f>
        <v>#REF!</v>
      </c>
      <c r="F96" s="121" t="e">
        <f>SUMIFS(#REF!,#REF!,Extrato!$B96,#REF!,Extrato!F$3)</f>
        <v>#REF!</v>
      </c>
      <c r="G96" s="121" t="e">
        <f>SUMIFS(#REF!,#REF!,Extrato!$B96,#REF!,Extrato!G$3)</f>
        <v>#REF!</v>
      </c>
      <c r="H96" s="121" t="e">
        <f>SUMIFS(#REF!,#REF!,Extrato!$B96,#REF!,Extrato!H$3)</f>
        <v>#REF!</v>
      </c>
      <c r="I96" s="121" t="e">
        <f>SUMIFS(#REF!,#REF!,Extrato!$B96,#REF!,Extrato!I$3)</f>
        <v>#REF!</v>
      </c>
      <c r="J96" s="121" t="e">
        <f>SUMIFS(#REF!,#REF!,Extrato!$B96,#REF!,Extrato!J$3)</f>
        <v>#REF!</v>
      </c>
      <c r="K96" s="121" t="e">
        <f>SUMIFS(#REF!,#REF!,Extrato!$B96,#REF!,Extrato!K$3)</f>
        <v>#REF!</v>
      </c>
      <c r="L96" s="121" t="e">
        <f>SUMIFS(#REF!,#REF!,Extrato!$B96,#REF!,Extrato!L$3)</f>
        <v>#REF!</v>
      </c>
      <c r="M96" s="121" t="e">
        <f>SUMIFS(#REF!,#REF!,Extrato!$B96,#REF!,Extrato!M$3)</f>
        <v>#REF!</v>
      </c>
      <c r="N96" s="121" t="e">
        <f>SUMIFS(#REF!,#REF!,Extrato!$B96,#REF!,Extrato!N$3)</f>
        <v>#REF!</v>
      </c>
      <c r="O96" s="121" t="e">
        <f>SUMIFS(#REF!,#REF!,Extrato!$B96,#REF!,Extrato!O$3)</f>
        <v>#REF!</v>
      </c>
      <c r="P96" s="121">
        <f>SUMIF(BetFlow!B:B,B96,BetFlow!J:J)</f>
        <v>0</v>
      </c>
      <c r="Q96" s="121" t="e">
        <f>SUMIFS(#REF!,#REF!,Extrato!$B96,#REF!,Extrato!Q$3)</f>
        <v>#REF!</v>
      </c>
      <c r="R96" s="121" t="e">
        <f>SUMIFS(#REF!,#REF!,Extrato!$B96,#REF!,Extrato!R$3)</f>
        <v>#REF!</v>
      </c>
      <c r="S96" s="121" t="e">
        <f>SUMIFS(#REF!,#REF!,Extrato!$B96,#REF!,Extrato!S$3)</f>
        <v>#REF!</v>
      </c>
      <c r="T96" s="121" t="e">
        <f>SUMIFS(#REF!,#REF!,Extrato!$B96,#REF!,Extrato!T$3)</f>
        <v>#REF!</v>
      </c>
      <c r="U96" s="121" t="e">
        <f>SUMIFS(#REF!,#REF!,Extrato!$B96,#REF!,Extrato!U$3)</f>
        <v>#REF!</v>
      </c>
      <c r="V96" s="121" t="e">
        <f>SUMIFS(#REF!,#REF!,Extrato!$B96,#REF!,Extrato!V$3)</f>
        <v>#REF!</v>
      </c>
      <c r="W96" s="121" t="e">
        <f>SUMIFS(#REF!,#REF!,Extrato!$B96,#REF!,Extrato!W$3)</f>
        <v>#REF!</v>
      </c>
      <c r="X96" s="121" t="e">
        <f>SUMIFS(#REF!,#REF!,Extrato!$B96,#REF!,Extrato!X$3)</f>
        <v>#REF!</v>
      </c>
      <c r="Y96" s="121" t="e">
        <f>SUMIFS(#REF!,#REF!,Extrato!$B96,#REF!,Extrato!Y$3)</f>
        <v>#REF!</v>
      </c>
      <c r="Z96" s="121" t="e">
        <f>SUMIFS(#REF!,#REF!,Extrato!$B96,#REF!,Extrato!Z$3)</f>
        <v>#REF!</v>
      </c>
      <c r="AA96" s="121" t="e">
        <f>SUMIFS(#REF!,#REF!,Extrato!$B96,#REF!,Extrato!AA$3)</f>
        <v>#REF!</v>
      </c>
      <c r="AB96" s="121" t="e">
        <f>SUMIFS(#REF!,#REF!,Extrato!$B96,#REF!,Extrato!AB$3)</f>
        <v>#REF!</v>
      </c>
      <c r="AC96" s="121" t="e">
        <f>SUMIFS(#REF!,#REF!,Extrato!$B96,#REF!,Extrato!AC$3)</f>
        <v>#REF!</v>
      </c>
      <c r="AD96" s="121" t="e">
        <f>SUMIFS(#REF!,#REF!,Extrato!$B96,#REF!,Extrato!AD$3)</f>
        <v>#REF!</v>
      </c>
      <c r="AE96" s="121" t="e">
        <f>SUMIFS(#REF!,#REF!,Extrato!$B96,#REF!,Extrato!AE$3)</f>
        <v>#REF!</v>
      </c>
      <c r="AF96" s="121" t="e">
        <f>SUMIFS(#REF!,#REF!,Extrato!$B96,#REF!,Extrato!AF$3)</f>
        <v>#REF!</v>
      </c>
      <c r="AG96" s="121" t="e">
        <f>SUMIFS(#REF!,#REF!,Extrato!$B96,#REF!,Extrato!AG$3)</f>
        <v>#REF!</v>
      </c>
      <c r="AH96" s="121" t="e">
        <f>SUMIFS(#REF!,#REF!,Extrato!$B96,#REF!,Extrato!AH$3)</f>
        <v>#REF!</v>
      </c>
      <c r="AI96" s="121" t="e">
        <f>SUMIFS(#REF!,#REF!,Extrato!$B96,#REF!,Extrato!AI$3)</f>
        <v>#REF!</v>
      </c>
      <c r="AJ96" s="121">
        <v>0</v>
      </c>
      <c r="AK96" s="121"/>
      <c r="AL96" s="25" t="e">
        <f t="shared" si="3"/>
        <v>#REF!</v>
      </c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/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</row>
    <row r="97" spans="2:68" ht="15" customHeight="1">
      <c r="B97" s="12">
        <v>46087</v>
      </c>
      <c r="C97" s="121" t="e">
        <f t="shared" si="2"/>
        <v>#REF!</v>
      </c>
      <c r="D97" s="121" t="e">
        <f>SUMIFS(#REF!,#REF!,Extrato!$B97,#REF!,Extrato!D$3)</f>
        <v>#REF!</v>
      </c>
      <c r="E97" s="121" t="e">
        <f>SUMIFS(#REF!,#REF!,Extrato!$B97,#REF!,Extrato!E$3)</f>
        <v>#REF!</v>
      </c>
      <c r="F97" s="121" t="e">
        <f>SUMIFS(#REF!,#REF!,Extrato!$B97,#REF!,Extrato!F$3)</f>
        <v>#REF!</v>
      </c>
      <c r="G97" s="121" t="e">
        <f>SUMIFS(#REF!,#REF!,Extrato!$B97,#REF!,Extrato!G$3)</f>
        <v>#REF!</v>
      </c>
      <c r="H97" s="121" t="e">
        <f>SUMIFS(#REF!,#REF!,Extrato!$B97,#REF!,Extrato!H$3)</f>
        <v>#REF!</v>
      </c>
      <c r="I97" s="121" t="e">
        <f>SUMIFS(#REF!,#REF!,Extrato!$B97,#REF!,Extrato!I$3)</f>
        <v>#REF!</v>
      </c>
      <c r="J97" s="121" t="e">
        <f>SUMIFS(#REF!,#REF!,Extrato!$B97,#REF!,Extrato!J$3)</f>
        <v>#REF!</v>
      </c>
      <c r="K97" s="121" t="e">
        <f>SUMIFS(#REF!,#REF!,Extrato!$B97,#REF!,Extrato!K$3)</f>
        <v>#REF!</v>
      </c>
      <c r="L97" s="121" t="e">
        <f>SUMIFS(#REF!,#REF!,Extrato!$B97,#REF!,Extrato!L$3)</f>
        <v>#REF!</v>
      </c>
      <c r="M97" s="121" t="e">
        <f>SUMIFS(#REF!,#REF!,Extrato!$B97,#REF!,Extrato!M$3)</f>
        <v>#REF!</v>
      </c>
      <c r="N97" s="121" t="e">
        <f>SUMIFS(#REF!,#REF!,Extrato!$B97,#REF!,Extrato!N$3)</f>
        <v>#REF!</v>
      </c>
      <c r="O97" s="121" t="e">
        <f>SUMIFS(#REF!,#REF!,Extrato!$B97,#REF!,Extrato!O$3)</f>
        <v>#REF!</v>
      </c>
      <c r="P97" s="121">
        <f>SUMIF(BetFlow!B:B,B97,BetFlow!J:J)</f>
        <v>0</v>
      </c>
      <c r="Q97" s="121" t="e">
        <f>SUMIFS(#REF!,#REF!,Extrato!$B97,#REF!,Extrato!Q$3)</f>
        <v>#REF!</v>
      </c>
      <c r="R97" s="121" t="e">
        <f>SUMIFS(#REF!,#REF!,Extrato!$B97,#REF!,Extrato!R$3)</f>
        <v>#REF!</v>
      </c>
      <c r="S97" s="121" t="e">
        <f>SUMIFS(#REF!,#REF!,Extrato!$B97,#REF!,Extrato!S$3)</f>
        <v>#REF!</v>
      </c>
      <c r="T97" s="121" t="e">
        <f>SUMIFS(#REF!,#REF!,Extrato!$B97,#REF!,Extrato!T$3)</f>
        <v>#REF!</v>
      </c>
      <c r="U97" s="121" t="e">
        <f>SUMIFS(#REF!,#REF!,Extrato!$B97,#REF!,Extrato!U$3)</f>
        <v>#REF!</v>
      </c>
      <c r="V97" s="121" t="e">
        <f>SUMIFS(#REF!,#REF!,Extrato!$B97,#REF!,Extrato!V$3)</f>
        <v>#REF!</v>
      </c>
      <c r="W97" s="121" t="e">
        <f>SUMIFS(#REF!,#REF!,Extrato!$B97,#REF!,Extrato!W$3)</f>
        <v>#REF!</v>
      </c>
      <c r="X97" s="121" t="e">
        <f>SUMIFS(#REF!,#REF!,Extrato!$B97,#REF!,Extrato!X$3)</f>
        <v>#REF!</v>
      </c>
      <c r="Y97" s="121" t="e">
        <f>SUMIFS(#REF!,#REF!,Extrato!$B97,#REF!,Extrato!Y$3)</f>
        <v>#REF!</v>
      </c>
      <c r="Z97" s="121" t="e">
        <f>SUMIFS(#REF!,#REF!,Extrato!$B97,#REF!,Extrato!Z$3)</f>
        <v>#REF!</v>
      </c>
      <c r="AA97" s="121" t="e">
        <f>SUMIFS(#REF!,#REF!,Extrato!$B97,#REF!,Extrato!AA$3)</f>
        <v>#REF!</v>
      </c>
      <c r="AB97" s="121" t="e">
        <f>SUMIFS(#REF!,#REF!,Extrato!$B97,#REF!,Extrato!AB$3)</f>
        <v>#REF!</v>
      </c>
      <c r="AC97" s="121" t="e">
        <f>SUMIFS(#REF!,#REF!,Extrato!$B97,#REF!,Extrato!AC$3)</f>
        <v>#REF!</v>
      </c>
      <c r="AD97" s="121" t="e">
        <f>SUMIFS(#REF!,#REF!,Extrato!$B97,#REF!,Extrato!AD$3)</f>
        <v>#REF!</v>
      </c>
      <c r="AE97" s="121" t="e">
        <f>SUMIFS(#REF!,#REF!,Extrato!$B97,#REF!,Extrato!AE$3)</f>
        <v>#REF!</v>
      </c>
      <c r="AF97" s="121" t="e">
        <f>SUMIFS(#REF!,#REF!,Extrato!$B97,#REF!,Extrato!AF$3)</f>
        <v>#REF!</v>
      </c>
      <c r="AG97" s="121" t="e">
        <f>SUMIFS(#REF!,#REF!,Extrato!$B97,#REF!,Extrato!AG$3)</f>
        <v>#REF!</v>
      </c>
      <c r="AH97" s="121" t="e">
        <f>SUMIFS(#REF!,#REF!,Extrato!$B97,#REF!,Extrato!AH$3)</f>
        <v>#REF!</v>
      </c>
      <c r="AI97" s="121" t="e">
        <f>SUMIFS(#REF!,#REF!,Extrato!$B97,#REF!,Extrato!AI$3)</f>
        <v>#REF!</v>
      </c>
      <c r="AJ97" s="121">
        <v>0</v>
      </c>
      <c r="AK97" s="121">
        <v>0.01</v>
      </c>
      <c r="AL97" s="25" t="e">
        <f t="shared" si="3"/>
        <v>#REF!</v>
      </c>
      <c r="AM97" s="122"/>
      <c r="AN97" s="122"/>
      <c r="AO97" s="122"/>
      <c r="AP97" s="122"/>
      <c r="AQ97" s="122"/>
      <c r="AR97" s="122"/>
      <c r="AS97" s="122"/>
      <c r="AT97" s="122"/>
      <c r="AU97" s="122"/>
      <c r="AV97" s="122"/>
      <c r="AW97" s="122"/>
      <c r="AX97" s="122"/>
      <c r="AY97" s="122"/>
      <c r="AZ97" s="122"/>
      <c r="BA97" s="122"/>
      <c r="BB97" s="122"/>
      <c r="BC97" s="122"/>
      <c r="BD97" s="122"/>
      <c r="BE97" s="122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</row>
    <row r="98" spans="2:68" ht="15" customHeight="1">
      <c r="B98" s="12">
        <v>46088</v>
      </c>
      <c r="C98" s="121" t="e">
        <f t="shared" si="2"/>
        <v>#REF!</v>
      </c>
      <c r="D98" s="121" t="e">
        <f>SUMIFS(#REF!,#REF!,Extrato!$B98,#REF!,Extrato!D$3)</f>
        <v>#REF!</v>
      </c>
      <c r="E98" s="121" t="e">
        <f>SUMIFS(#REF!,#REF!,Extrato!$B98,#REF!,Extrato!E$3)</f>
        <v>#REF!</v>
      </c>
      <c r="F98" s="121" t="e">
        <f>SUMIFS(#REF!,#REF!,Extrato!$B98,#REF!,Extrato!F$3)</f>
        <v>#REF!</v>
      </c>
      <c r="G98" s="121" t="e">
        <f>SUMIFS(#REF!,#REF!,Extrato!$B98,#REF!,Extrato!G$3)</f>
        <v>#REF!</v>
      </c>
      <c r="H98" s="121" t="e">
        <f>SUMIFS(#REF!,#REF!,Extrato!$B98,#REF!,Extrato!H$3)</f>
        <v>#REF!</v>
      </c>
      <c r="I98" s="121" t="e">
        <f>SUMIFS(#REF!,#REF!,Extrato!$B98,#REF!,Extrato!I$3)</f>
        <v>#REF!</v>
      </c>
      <c r="J98" s="121" t="e">
        <f>SUMIFS(#REF!,#REF!,Extrato!$B98,#REF!,Extrato!J$3)</f>
        <v>#REF!</v>
      </c>
      <c r="K98" s="121" t="e">
        <f>SUMIFS(#REF!,#REF!,Extrato!$B98,#REF!,Extrato!K$3)</f>
        <v>#REF!</v>
      </c>
      <c r="L98" s="121" t="e">
        <f>SUMIFS(#REF!,#REF!,Extrato!$B98,#REF!,Extrato!L$3)</f>
        <v>#REF!</v>
      </c>
      <c r="M98" s="121" t="e">
        <f>SUMIFS(#REF!,#REF!,Extrato!$B98,#REF!,Extrato!M$3)</f>
        <v>#REF!</v>
      </c>
      <c r="N98" s="121" t="e">
        <f>SUMIFS(#REF!,#REF!,Extrato!$B98,#REF!,Extrato!N$3)</f>
        <v>#REF!</v>
      </c>
      <c r="O98" s="121" t="e">
        <f>SUMIFS(#REF!,#REF!,Extrato!$B98,#REF!,Extrato!O$3)</f>
        <v>#REF!</v>
      </c>
      <c r="P98" s="121">
        <f>SUMIF(BetFlow!B:B,B98,BetFlow!J:J)</f>
        <v>0</v>
      </c>
      <c r="Q98" s="121" t="e">
        <f>SUMIFS(#REF!,#REF!,Extrato!$B98,#REF!,Extrato!Q$3)</f>
        <v>#REF!</v>
      </c>
      <c r="R98" s="121" t="e">
        <f>SUMIFS(#REF!,#REF!,Extrato!$B98,#REF!,Extrato!R$3)</f>
        <v>#REF!</v>
      </c>
      <c r="S98" s="121" t="e">
        <f>SUMIFS(#REF!,#REF!,Extrato!$B98,#REF!,Extrato!S$3)</f>
        <v>#REF!</v>
      </c>
      <c r="T98" s="121" t="e">
        <f>SUMIFS(#REF!,#REF!,Extrato!$B98,#REF!,Extrato!T$3)</f>
        <v>#REF!</v>
      </c>
      <c r="U98" s="121" t="e">
        <f>SUMIFS(#REF!,#REF!,Extrato!$B98,#REF!,Extrato!U$3)</f>
        <v>#REF!</v>
      </c>
      <c r="V98" s="121" t="e">
        <f>SUMIFS(#REF!,#REF!,Extrato!$B98,#REF!,Extrato!V$3)</f>
        <v>#REF!</v>
      </c>
      <c r="W98" s="121" t="e">
        <f>SUMIFS(#REF!,#REF!,Extrato!$B98,#REF!,Extrato!W$3)</f>
        <v>#REF!</v>
      </c>
      <c r="X98" s="121" t="e">
        <f>SUMIFS(#REF!,#REF!,Extrato!$B98,#REF!,Extrato!X$3)</f>
        <v>#REF!</v>
      </c>
      <c r="Y98" s="121" t="e">
        <f>SUMIFS(#REF!,#REF!,Extrato!$B98,#REF!,Extrato!Y$3)</f>
        <v>#REF!</v>
      </c>
      <c r="Z98" s="121" t="e">
        <f>SUMIFS(#REF!,#REF!,Extrato!$B98,#REF!,Extrato!Z$3)</f>
        <v>#REF!</v>
      </c>
      <c r="AA98" s="121" t="e">
        <f>SUMIFS(#REF!,#REF!,Extrato!$B98,#REF!,Extrato!AA$3)</f>
        <v>#REF!</v>
      </c>
      <c r="AB98" s="121" t="e">
        <f>SUMIFS(#REF!,#REF!,Extrato!$B98,#REF!,Extrato!AB$3)</f>
        <v>#REF!</v>
      </c>
      <c r="AC98" s="121" t="e">
        <f>SUMIFS(#REF!,#REF!,Extrato!$B98,#REF!,Extrato!AC$3)</f>
        <v>#REF!</v>
      </c>
      <c r="AD98" s="121" t="e">
        <f>SUMIFS(#REF!,#REF!,Extrato!$B98,#REF!,Extrato!AD$3)</f>
        <v>#REF!</v>
      </c>
      <c r="AE98" s="121" t="e">
        <f>SUMIFS(#REF!,#REF!,Extrato!$B98,#REF!,Extrato!AE$3)</f>
        <v>#REF!</v>
      </c>
      <c r="AF98" s="121" t="e">
        <f>SUMIFS(#REF!,#REF!,Extrato!$B98,#REF!,Extrato!AF$3)</f>
        <v>#REF!</v>
      </c>
      <c r="AG98" s="121" t="e">
        <f>SUMIFS(#REF!,#REF!,Extrato!$B98,#REF!,Extrato!AG$3)</f>
        <v>#REF!</v>
      </c>
      <c r="AH98" s="121" t="e">
        <f>SUMIFS(#REF!,#REF!,Extrato!$B98,#REF!,Extrato!AH$3)</f>
        <v>#REF!</v>
      </c>
      <c r="AI98" s="121" t="e">
        <f>SUMIFS(#REF!,#REF!,Extrato!$B98,#REF!,Extrato!AI$3)</f>
        <v>#REF!</v>
      </c>
      <c r="AJ98" s="121">
        <v>0</v>
      </c>
      <c r="AK98" s="121"/>
      <c r="AL98" s="25" t="e">
        <f t="shared" si="3"/>
        <v>#REF!</v>
      </c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</row>
    <row r="99" spans="2:68" ht="15" customHeight="1">
      <c r="B99" s="12">
        <v>46089</v>
      </c>
      <c r="C99" s="121" t="e">
        <f t="shared" si="2"/>
        <v>#REF!</v>
      </c>
      <c r="D99" s="121" t="e">
        <f>SUMIFS(#REF!,#REF!,Extrato!$B99,#REF!,Extrato!D$3)</f>
        <v>#REF!</v>
      </c>
      <c r="E99" s="121" t="e">
        <f>SUMIFS(#REF!,#REF!,Extrato!$B99,#REF!,Extrato!E$3)</f>
        <v>#REF!</v>
      </c>
      <c r="F99" s="121" t="e">
        <f>SUMIFS(#REF!,#REF!,Extrato!$B99,#REF!,Extrato!F$3)</f>
        <v>#REF!</v>
      </c>
      <c r="G99" s="121" t="e">
        <f>SUMIFS(#REF!,#REF!,Extrato!$B99,#REF!,Extrato!G$3)</f>
        <v>#REF!</v>
      </c>
      <c r="H99" s="121" t="e">
        <f>SUMIFS(#REF!,#REF!,Extrato!$B99,#REF!,Extrato!H$3)</f>
        <v>#REF!</v>
      </c>
      <c r="I99" s="121" t="e">
        <f>SUMIFS(#REF!,#REF!,Extrato!$B99,#REF!,Extrato!I$3)</f>
        <v>#REF!</v>
      </c>
      <c r="J99" s="121" t="e">
        <f>SUMIFS(#REF!,#REF!,Extrato!$B99,#REF!,Extrato!J$3)</f>
        <v>#REF!</v>
      </c>
      <c r="K99" s="121" t="e">
        <f>SUMIFS(#REF!,#REF!,Extrato!$B99,#REF!,Extrato!K$3)</f>
        <v>#REF!</v>
      </c>
      <c r="L99" s="121" t="e">
        <f>SUMIFS(#REF!,#REF!,Extrato!$B99,#REF!,Extrato!L$3)</f>
        <v>#REF!</v>
      </c>
      <c r="M99" s="121" t="e">
        <f>SUMIFS(#REF!,#REF!,Extrato!$B99,#REF!,Extrato!M$3)</f>
        <v>#REF!</v>
      </c>
      <c r="N99" s="121" t="e">
        <f>SUMIFS(#REF!,#REF!,Extrato!$B99,#REF!,Extrato!N$3)</f>
        <v>#REF!</v>
      </c>
      <c r="O99" s="121" t="e">
        <f>SUMIFS(#REF!,#REF!,Extrato!$B99,#REF!,Extrato!O$3)</f>
        <v>#REF!</v>
      </c>
      <c r="P99" s="121">
        <f>SUMIF(BetFlow!B:B,B99,BetFlow!J:J)</f>
        <v>0</v>
      </c>
      <c r="Q99" s="121" t="e">
        <f>SUMIFS(#REF!,#REF!,Extrato!$B99,#REF!,Extrato!Q$3)</f>
        <v>#REF!</v>
      </c>
      <c r="R99" s="121" t="e">
        <f>SUMIFS(#REF!,#REF!,Extrato!$B99,#REF!,Extrato!R$3)</f>
        <v>#REF!</v>
      </c>
      <c r="S99" s="121" t="e">
        <f>SUMIFS(#REF!,#REF!,Extrato!$B99,#REF!,Extrato!S$3)</f>
        <v>#REF!</v>
      </c>
      <c r="T99" s="121" t="e">
        <f>SUMIFS(#REF!,#REF!,Extrato!$B99,#REF!,Extrato!T$3)</f>
        <v>#REF!</v>
      </c>
      <c r="U99" s="121" t="e">
        <f>SUMIFS(#REF!,#REF!,Extrato!$B99,#REF!,Extrato!U$3)</f>
        <v>#REF!</v>
      </c>
      <c r="V99" s="121" t="e">
        <f>SUMIFS(#REF!,#REF!,Extrato!$B99,#REF!,Extrato!V$3)</f>
        <v>#REF!</v>
      </c>
      <c r="W99" s="121" t="e">
        <f>SUMIFS(#REF!,#REF!,Extrato!$B99,#REF!,Extrato!W$3)</f>
        <v>#REF!</v>
      </c>
      <c r="X99" s="121" t="e">
        <f>SUMIFS(#REF!,#REF!,Extrato!$B99,#REF!,Extrato!X$3)</f>
        <v>#REF!</v>
      </c>
      <c r="Y99" s="121" t="e">
        <f>SUMIFS(#REF!,#REF!,Extrato!$B99,#REF!,Extrato!Y$3)</f>
        <v>#REF!</v>
      </c>
      <c r="Z99" s="121" t="e">
        <f>SUMIFS(#REF!,#REF!,Extrato!$B99,#REF!,Extrato!Z$3)</f>
        <v>#REF!</v>
      </c>
      <c r="AA99" s="121" t="e">
        <f>SUMIFS(#REF!,#REF!,Extrato!$B99,#REF!,Extrato!AA$3)</f>
        <v>#REF!</v>
      </c>
      <c r="AB99" s="121" t="e">
        <f>SUMIFS(#REF!,#REF!,Extrato!$B99,#REF!,Extrato!AB$3)</f>
        <v>#REF!</v>
      </c>
      <c r="AC99" s="121" t="e">
        <f>SUMIFS(#REF!,#REF!,Extrato!$B99,#REF!,Extrato!AC$3)</f>
        <v>#REF!</v>
      </c>
      <c r="AD99" s="121" t="e">
        <f>SUMIFS(#REF!,#REF!,Extrato!$B99,#REF!,Extrato!AD$3)</f>
        <v>#REF!</v>
      </c>
      <c r="AE99" s="121" t="e">
        <f>SUMIFS(#REF!,#REF!,Extrato!$B99,#REF!,Extrato!AE$3)</f>
        <v>#REF!</v>
      </c>
      <c r="AF99" s="121" t="e">
        <f>SUMIFS(#REF!,#REF!,Extrato!$B99,#REF!,Extrato!AF$3)</f>
        <v>#REF!</v>
      </c>
      <c r="AG99" s="121" t="e">
        <f>SUMIFS(#REF!,#REF!,Extrato!$B99,#REF!,Extrato!AG$3)</f>
        <v>#REF!</v>
      </c>
      <c r="AH99" s="121" t="e">
        <f>SUMIFS(#REF!,#REF!,Extrato!$B99,#REF!,Extrato!AH$3)</f>
        <v>#REF!</v>
      </c>
      <c r="AI99" s="121" t="e">
        <f>SUMIFS(#REF!,#REF!,Extrato!$B99,#REF!,Extrato!AI$3)</f>
        <v>#REF!</v>
      </c>
      <c r="AJ99" s="121">
        <v>0</v>
      </c>
      <c r="AK99" s="121">
        <v>-0.01</v>
      </c>
      <c r="AL99" s="25" t="e">
        <f t="shared" si="3"/>
        <v>#REF!</v>
      </c>
      <c r="AM99" s="122"/>
      <c r="AN99" s="122"/>
      <c r="AO99" s="122"/>
      <c r="AP99" s="122"/>
      <c r="AQ99" s="122"/>
      <c r="AR99" s="122"/>
      <c r="AS99" s="122"/>
      <c r="AT99" s="122"/>
      <c r="AU99" s="122"/>
      <c r="AV99" s="122"/>
      <c r="AW99" s="122"/>
      <c r="AX99" s="122"/>
      <c r="AY99" s="122"/>
      <c r="AZ99" s="122"/>
      <c r="BA99" s="122"/>
      <c r="BB99" s="122"/>
      <c r="BC99" s="122"/>
      <c r="BD99" s="122"/>
      <c r="BE99" s="122"/>
      <c r="BF99" s="122"/>
      <c r="BG99" s="122"/>
      <c r="BH99" s="122"/>
      <c r="BI99" s="122"/>
      <c r="BJ99" s="122"/>
      <c r="BK99" s="122"/>
      <c r="BL99" s="122"/>
      <c r="BM99" s="122"/>
      <c r="BN99" s="122"/>
      <c r="BO99" s="122"/>
      <c r="BP99" s="122"/>
    </row>
    <row r="100" spans="2:68" ht="15" customHeight="1">
      <c r="B100" s="12">
        <v>46090</v>
      </c>
      <c r="C100" s="121" t="e">
        <f t="shared" si="2"/>
        <v>#REF!</v>
      </c>
      <c r="D100" s="121" t="e">
        <f>SUMIFS(#REF!,#REF!,Extrato!$B100,#REF!,Extrato!D$3)</f>
        <v>#REF!</v>
      </c>
      <c r="E100" s="121" t="e">
        <f>SUMIFS(#REF!,#REF!,Extrato!$B100,#REF!,Extrato!E$3)</f>
        <v>#REF!</v>
      </c>
      <c r="F100" s="121" t="e">
        <f>SUMIFS(#REF!,#REF!,Extrato!$B100,#REF!,Extrato!F$3)</f>
        <v>#REF!</v>
      </c>
      <c r="G100" s="121" t="e">
        <f>SUMIFS(#REF!,#REF!,Extrato!$B100,#REF!,Extrato!G$3)</f>
        <v>#REF!</v>
      </c>
      <c r="H100" s="121" t="e">
        <f>SUMIFS(#REF!,#REF!,Extrato!$B100,#REF!,Extrato!H$3)</f>
        <v>#REF!</v>
      </c>
      <c r="I100" s="121" t="e">
        <f>SUMIFS(#REF!,#REF!,Extrato!$B100,#REF!,Extrato!I$3)</f>
        <v>#REF!</v>
      </c>
      <c r="J100" s="121" t="e">
        <f>SUMIFS(#REF!,#REF!,Extrato!$B100,#REF!,Extrato!J$3)</f>
        <v>#REF!</v>
      </c>
      <c r="K100" s="121" t="e">
        <f>SUMIFS(#REF!,#REF!,Extrato!$B100,#REF!,Extrato!K$3)</f>
        <v>#REF!</v>
      </c>
      <c r="L100" s="121" t="e">
        <f>SUMIFS(#REF!,#REF!,Extrato!$B100,#REF!,Extrato!L$3)</f>
        <v>#REF!</v>
      </c>
      <c r="M100" s="121" t="e">
        <f>SUMIFS(#REF!,#REF!,Extrato!$B100,#REF!,Extrato!M$3)</f>
        <v>#REF!</v>
      </c>
      <c r="N100" s="121" t="e">
        <f>SUMIFS(#REF!,#REF!,Extrato!$B100,#REF!,Extrato!N$3)</f>
        <v>#REF!</v>
      </c>
      <c r="O100" s="121" t="e">
        <f>SUMIFS(#REF!,#REF!,Extrato!$B100,#REF!,Extrato!O$3)</f>
        <v>#REF!</v>
      </c>
      <c r="P100" s="121">
        <f>SUMIF(BetFlow!B:B,B100,BetFlow!J:J)</f>
        <v>0</v>
      </c>
      <c r="Q100" s="121" t="e">
        <f>SUMIFS(#REF!,#REF!,Extrato!$B100,#REF!,Extrato!Q$3)</f>
        <v>#REF!</v>
      </c>
      <c r="R100" s="121" t="e">
        <f>SUMIFS(#REF!,#REF!,Extrato!$B100,#REF!,Extrato!R$3)</f>
        <v>#REF!</v>
      </c>
      <c r="S100" s="121" t="e">
        <f>SUMIFS(#REF!,#REF!,Extrato!$B100,#REF!,Extrato!S$3)</f>
        <v>#REF!</v>
      </c>
      <c r="T100" s="121" t="e">
        <f>SUMIFS(#REF!,#REF!,Extrato!$B100,#REF!,Extrato!T$3)</f>
        <v>#REF!</v>
      </c>
      <c r="U100" s="121" t="e">
        <f>SUMIFS(#REF!,#REF!,Extrato!$B100,#REF!,Extrato!U$3)</f>
        <v>#REF!</v>
      </c>
      <c r="V100" s="121" t="e">
        <f>SUMIFS(#REF!,#REF!,Extrato!$B100,#REF!,Extrato!V$3)</f>
        <v>#REF!</v>
      </c>
      <c r="W100" s="121" t="e">
        <f>SUMIFS(#REF!,#REF!,Extrato!$B100,#REF!,Extrato!W$3)</f>
        <v>#REF!</v>
      </c>
      <c r="X100" s="121" t="e">
        <f>SUMIFS(#REF!,#REF!,Extrato!$B100,#REF!,Extrato!X$3)</f>
        <v>#REF!</v>
      </c>
      <c r="Y100" s="121" t="e">
        <f>SUMIFS(#REF!,#REF!,Extrato!$B100,#REF!,Extrato!Y$3)</f>
        <v>#REF!</v>
      </c>
      <c r="Z100" s="121" t="e">
        <f>SUMIFS(#REF!,#REF!,Extrato!$B100,#REF!,Extrato!Z$3)</f>
        <v>#REF!</v>
      </c>
      <c r="AA100" s="121" t="e">
        <f>SUMIFS(#REF!,#REF!,Extrato!$B100,#REF!,Extrato!AA$3)</f>
        <v>#REF!</v>
      </c>
      <c r="AB100" s="121" t="e">
        <f>SUMIFS(#REF!,#REF!,Extrato!$B100,#REF!,Extrato!AB$3)</f>
        <v>#REF!</v>
      </c>
      <c r="AC100" s="121" t="e">
        <f>SUMIFS(#REF!,#REF!,Extrato!$B100,#REF!,Extrato!AC$3)</f>
        <v>#REF!</v>
      </c>
      <c r="AD100" s="121" t="e">
        <f>SUMIFS(#REF!,#REF!,Extrato!$B100,#REF!,Extrato!AD$3)</f>
        <v>#REF!</v>
      </c>
      <c r="AE100" s="121" t="e">
        <f>SUMIFS(#REF!,#REF!,Extrato!$B100,#REF!,Extrato!AE$3)</f>
        <v>#REF!</v>
      </c>
      <c r="AF100" s="121" t="e">
        <f>SUMIFS(#REF!,#REF!,Extrato!$B100,#REF!,Extrato!AF$3)</f>
        <v>#REF!</v>
      </c>
      <c r="AG100" s="121" t="e">
        <f>SUMIFS(#REF!,#REF!,Extrato!$B100,#REF!,Extrato!AG$3)</f>
        <v>#REF!</v>
      </c>
      <c r="AH100" s="121" t="e">
        <f>SUMIFS(#REF!,#REF!,Extrato!$B100,#REF!,Extrato!AH$3)</f>
        <v>#REF!</v>
      </c>
      <c r="AI100" s="121" t="e">
        <f>SUMIFS(#REF!,#REF!,Extrato!$B100,#REF!,Extrato!AI$3)</f>
        <v>#REF!</v>
      </c>
      <c r="AJ100" s="121">
        <v>0</v>
      </c>
      <c r="AK100" s="121"/>
      <c r="AL100" s="25" t="e">
        <f t="shared" si="3"/>
        <v>#REF!</v>
      </c>
      <c r="AM100" s="122"/>
      <c r="AN100" s="122"/>
      <c r="AO100" s="122"/>
      <c r="AP100" s="122"/>
      <c r="AQ100" s="122"/>
      <c r="AR100" s="122"/>
      <c r="AS100" s="122"/>
      <c r="AT100" s="122"/>
      <c r="AU100" s="122"/>
      <c r="AV100" s="122"/>
      <c r="AW100" s="122"/>
      <c r="AX100" s="122"/>
      <c r="AY100" s="122"/>
      <c r="AZ100" s="122"/>
      <c r="BA100" s="122"/>
      <c r="BB100" s="122"/>
      <c r="BC100" s="122"/>
      <c r="BD100" s="122"/>
      <c r="BE100" s="122"/>
      <c r="BF100" s="122"/>
      <c r="BG100" s="122"/>
      <c r="BH100" s="122"/>
      <c r="BI100" s="122"/>
      <c r="BJ100" s="122"/>
      <c r="BK100" s="122"/>
      <c r="BL100" s="122"/>
      <c r="BM100" s="122"/>
      <c r="BN100" s="122"/>
      <c r="BO100" s="122"/>
      <c r="BP100" s="122"/>
    </row>
    <row r="101" spans="2:68" ht="15" customHeight="1">
      <c r="B101" s="12">
        <v>46091</v>
      </c>
      <c r="C101" s="121" t="e">
        <f t="shared" si="2"/>
        <v>#REF!</v>
      </c>
      <c r="D101" s="121" t="e">
        <f>SUMIFS(#REF!,#REF!,Extrato!$B101,#REF!,Extrato!D$3)</f>
        <v>#REF!</v>
      </c>
      <c r="E101" s="121" t="e">
        <f>SUMIFS(#REF!,#REF!,Extrato!$B101,#REF!,Extrato!E$3)</f>
        <v>#REF!</v>
      </c>
      <c r="F101" s="121" t="e">
        <f>SUMIFS(#REF!,#REF!,Extrato!$B101,#REF!,Extrato!F$3)</f>
        <v>#REF!</v>
      </c>
      <c r="G101" s="121" t="e">
        <f>SUMIFS(#REF!,#REF!,Extrato!$B101,#REF!,Extrato!G$3)</f>
        <v>#REF!</v>
      </c>
      <c r="H101" s="121" t="e">
        <f>SUMIFS(#REF!,#REF!,Extrato!$B101,#REF!,Extrato!H$3)</f>
        <v>#REF!</v>
      </c>
      <c r="I101" s="121" t="e">
        <f>SUMIFS(#REF!,#REF!,Extrato!$B101,#REF!,Extrato!I$3)</f>
        <v>#REF!</v>
      </c>
      <c r="J101" s="121" t="e">
        <f>SUMIFS(#REF!,#REF!,Extrato!$B101,#REF!,Extrato!J$3)</f>
        <v>#REF!</v>
      </c>
      <c r="K101" s="121" t="e">
        <f>SUMIFS(#REF!,#REF!,Extrato!$B101,#REF!,Extrato!K$3)</f>
        <v>#REF!</v>
      </c>
      <c r="L101" s="121" t="e">
        <f>SUMIFS(#REF!,#REF!,Extrato!$B101,#REF!,Extrato!L$3)</f>
        <v>#REF!</v>
      </c>
      <c r="M101" s="121" t="e">
        <f>SUMIFS(#REF!,#REF!,Extrato!$B101,#REF!,Extrato!M$3)</f>
        <v>#REF!</v>
      </c>
      <c r="N101" s="121" t="e">
        <f>SUMIFS(#REF!,#REF!,Extrato!$B101,#REF!,Extrato!N$3)</f>
        <v>#REF!</v>
      </c>
      <c r="O101" s="121" t="e">
        <f>SUMIFS(#REF!,#REF!,Extrato!$B101,#REF!,Extrato!O$3)</f>
        <v>#REF!</v>
      </c>
      <c r="P101" s="121">
        <f>SUMIF(BetFlow!B:B,B101,BetFlow!J:J)</f>
        <v>0</v>
      </c>
      <c r="Q101" s="121" t="e">
        <f>SUMIFS(#REF!,#REF!,Extrato!$B101,#REF!,Extrato!Q$3)</f>
        <v>#REF!</v>
      </c>
      <c r="R101" s="121" t="e">
        <f>SUMIFS(#REF!,#REF!,Extrato!$B101,#REF!,Extrato!R$3)</f>
        <v>#REF!</v>
      </c>
      <c r="S101" s="121" t="e">
        <f>SUMIFS(#REF!,#REF!,Extrato!$B101,#REF!,Extrato!S$3)</f>
        <v>#REF!</v>
      </c>
      <c r="T101" s="121" t="e">
        <f>SUMIFS(#REF!,#REF!,Extrato!$B101,#REF!,Extrato!T$3)</f>
        <v>#REF!</v>
      </c>
      <c r="U101" s="121" t="e">
        <f>SUMIFS(#REF!,#REF!,Extrato!$B101,#REF!,Extrato!U$3)</f>
        <v>#REF!</v>
      </c>
      <c r="V101" s="121" t="e">
        <f>SUMIFS(#REF!,#REF!,Extrato!$B101,#REF!,Extrato!V$3)</f>
        <v>#REF!</v>
      </c>
      <c r="W101" s="121" t="e">
        <f>SUMIFS(#REF!,#REF!,Extrato!$B101,#REF!,Extrato!W$3)</f>
        <v>#REF!</v>
      </c>
      <c r="X101" s="121" t="e">
        <f>SUMIFS(#REF!,#REF!,Extrato!$B101,#REF!,Extrato!X$3)</f>
        <v>#REF!</v>
      </c>
      <c r="Y101" s="121" t="e">
        <f>SUMIFS(#REF!,#REF!,Extrato!$B101,#REF!,Extrato!Y$3)</f>
        <v>#REF!</v>
      </c>
      <c r="Z101" s="121" t="e">
        <f>SUMIFS(#REF!,#REF!,Extrato!$B101,#REF!,Extrato!Z$3)</f>
        <v>#REF!</v>
      </c>
      <c r="AA101" s="121" t="e">
        <f>SUMIFS(#REF!,#REF!,Extrato!$B101,#REF!,Extrato!AA$3)</f>
        <v>#REF!</v>
      </c>
      <c r="AB101" s="121" t="e">
        <f>SUMIFS(#REF!,#REF!,Extrato!$B101,#REF!,Extrato!AB$3)</f>
        <v>#REF!</v>
      </c>
      <c r="AC101" s="121" t="e">
        <f>SUMIFS(#REF!,#REF!,Extrato!$B101,#REF!,Extrato!AC$3)</f>
        <v>#REF!</v>
      </c>
      <c r="AD101" s="121" t="e">
        <f>SUMIFS(#REF!,#REF!,Extrato!$B101,#REF!,Extrato!AD$3)</f>
        <v>#REF!</v>
      </c>
      <c r="AE101" s="121" t="e">
        <f>SUMIFS(#REF!,#REF!,Extrato!$B101,#REF!,Extrato!AE$3)</f>
        <v>#REF!</v>
      </c>
      <c r="AF101" s="121" t="e">
        <f>SUMIFS(#REF!,#REF!,Extrato!$B101,#REF!,Extrato!AF$3)</f>
        <v>#REF!</v>
      </c>
      <c r="AG101" s="121" t="e">
        <f>SUMIFS(#REF!,#REF!,Extrato!$B101,#REF!,Extrato!AG$3)</f>
        <v>#REF!</v>
      </c>
      <c r="AH101" s="121" t="e">
        <f>SUMIFS(#REF!,#REF!,Extrato!$B101,#REF!,Extrato!AH$3)</f>
        <v>#REF!</v>
      </c>
      <c r="AI101" s="121" t="e">
        <f>SUMIFS(#REF!,#REF!,Extrato!$B101,#REF!,Extrato!AI$3)</f>
        <v>#REF!</v>
      </c>
      <c r="AJ101" s="121">
        <v>0</v>
      </c>
      <c r="AK101" s="121">
        <v>0.01</v>
      </c>
      <c r="AL101" s="25" t="e">
        <f t="shared" si="3"/>
        <v>#REF!</v>
      </c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</row>
    <row r="102" spans="2:68" ht="15" customHeight="1">
      <c r="B102" s="12">
        <v>46092</v>
      </c>
      <c r="C102" s="121" t="e">
        <f t="shared" si="2"/>
        <v>#REF!</v>
      </c>
      <c r="D102" s="121" t="e">
        <f>SUMIFS(#REF!,#REF!,Extrato!$B102,#REF!,Extrato!D$3)</f>
        <v>#REF!</v>
      </c>
      <c r="E102" s="121" t="e">
        <f>SUMIFS(#REF!,#REF!,Extrato!$B102,#REF!,Extrato!E$3)</f>
        <v>#REF!</v>
      </c>
      <c r="F102" s="121" t="e">
        <f>SUMIFS(#REF!,#REF!,Extrato!$B102,#REF!,Extrato!F$3)</f>
        <v>#REF!</v>
      </c>
      <c r="G102" s="121" t="e">
        <f>SUMIFS(#REF!,#REF!,Extrato!$B102,#REF!,Extrato!G$3)</f>
        <v>#REF!</v>
      </c>
      <c r="H102" s="121" t="e">
        <f>SUMIFS(#REF!,#REF!,Extrato!$B102,#REF!,Extrato!H$3)</f>
        <v>#REF!</v>
      </c>
      <c r="I102" s="121" t="e">
        <f>SUMIFS(#REF!,#REF!,Extrato!$B102,#REF!,Extrato!I$3)</f>
        <v>#REF!</v>
      </c>
      <c r="J102" s="121" t="e">
        <f>SUMIFS(#REF!,#REF!,Extrato!$B102,#REF!,Extrato!J$3)</f>
        <v>#REF!</v>
      </c>
      <c r="K102" s="121" t="e">
        <f>SUMIFS(#REF!,#REF!,Extrato!$B102,#REF!,Extrato!K$3)</f>
        <v>#REF!</v>
      </c>
      <c r="L102" s="121" t="e">
        <f>SUMIFS(#REF!,#REF!,Extrato!$B102,#REF!,Extrato!L$3)</f>
        <v>#REF!</v>
      </c>
      <c r="M102" s="121" t="e">
        <f>SUMIFS(#REF!,#REF!,Extrato!$B102,#REF!,Extrato!M$3)</f>
        <v>#REF!</v>
      </c>
      <c r="N102" s="121" t="e">
        <f>SUMIFS(#REF!,#REF!,Extrato!$B102,#REF!,Extrato!N$3)</f>
        <v>#REF!</v>
      </c>
      <c r="O102" s="121" t="e">
        <f>SUMIFS(#REF!,#REF!,Extrato!$B102,#REF!,Extrato!O$3)</f>
        <v>#REF!</v>
      </c>
      <c r="P102" s="121">
        <f>SUMIF(BetFlow!B:B,B102,BetFlow!J:J)</f>
        <v>0</v>
      </c>
      <c r="Q102" s="121" t="e">
        <f>SUMIFS(#REF!,#REF!,Extrato!$B102,#REF!,Extrato!Q$3)</f>
        <v>#REF!</v>
      </c>
      <c r="R102" s="121" t="e">
        <f>SUMIFS(#REF!,#REF!,Extrato!$B102,#REF!,Extrato!R$3)</f>
        <v>#REF!</v>
      </c>
      <c r="S102" s="121" t="e">
        <f>SUMIFS(#REF!,#REF!,Extrato!$B102,#REF!,Extrato!S$3)</f>
        <v>#REF!</v>
      </c>
      <c r="T102" s="121" t="e">
        <f>SUMIFS(#REF!,#REF!,Extrato!$B102,#REF!,Extrato!T$3)</f>
        <v>#REF!</v>
      </c>
      <c r="U102" s="121" t="e">
        <f>SUMIFS(#REF!,#REF!,Extrato!$B102,#REF!,Extrato!U$3)</f>
        <v>#REF!</v>
      </c>
      <c r="V102" s="121" t="e">
        <f>SUMIFS(#REF!,#REF!,Extrato!$B102,#REF!,Extrato!V$3)</f>
        <v>#REF!</v>
      </c>
      <c r="W102" s="121" t="e">
        <f>SUMIFS(#REF!,#REF!,Extrato!$B102,#REF!,Extrato!W$3)</f>
        <v>#REF!</v>
      </c>
      <c r="X102" s="121" t="e">
        <f>SUMIFS(#REF!,#REF!,Extrato!$B102,#REF!,Extrato!X$3)</f>
        <v>#REF!</v>
      </c>
      <c r="Y102" s="121" t="e">
        <f>SUMIFS(#REF!,#REF!,Extrato!$B102,#REF!,Extrato!Y$3)</f>
        <v>#REF!</v>
      </c>
      <c r="Z102" s="121" t="e">
        <f>SUMIFS(#REF!,#REF!,Extrato!$B102,#REF!,Extrato!Z$3)</f>
        <v>#REF!</v>
      </c>
      <c r="AA102" s="121" t="e">
        <f>SUMIFS(#REF!,#REF!,Extrato!$B102,#REF!,Extrato!AA$3)</f>
        <v>#REF!</v>
      </c>
      <c r="AB102" s="121" t="e">
        <f>SUMIFS(#REF!,#REF!,Extrato!$B102,#REF!,Extrato!AB$3)</f>
        <v>#REF!</v>
      </c>
      <c r="AC102" s="121" t="e">
        <f>SUMIFS(#REF!,#REF!,Extrato!$B102,#REF!,Extrato!AC$3)</f>
        <v>#REF!</v>
      </c>
      <c r="AD102" s="121" t="e">
        <f>SUMIFS(#REF!,#REF!,Extrato!$B102,#REF!,Extrato!AD$3)</f>
        <v>#REF!</v>
      </c>
      <c r="AE102" s="121" t="e">
        <f>SUMIFS(#REF!,#REF!,Extrato!$B102,#REF!,Extrato!AE$3)</f>
        <v>#REF!</v>
      </c>
      <c r="AF102" s="121" t="e">
        <f>SUMIFS(#REF!,#REF!,Extrato!$B102,#REF!,Extrato!AF$3)</f>
        <v>#REF!</v>
      </c>
      <c r="AG102" s="121" t="e">
        <f>SUMIFS(#REF!,#REF!,Extrato!$B102,#REF!,Extrato!AG$3)</f>
        <v>#REF!</v>
      </c>
      <c r="AH102" s="121" t="e">
        <f>SUMIFS(#REF!,#REF!,Extrato!$B102,#REF!,Extrato!AH$3)</f>
        <v>#REF!</v>
      </c>
      <c r="AI102" s="121" t="e">
        <f>SUMIFS(#REF!,#REF!,Extrato!$B102,#REF!,Extrato!AI$3)</f>
        <v>#REF!</v>
      </c>
      <c r="AJ102" s="121">
        <v>0</v>
      </c>
      <c r="AK102" s="121"/>
      <c r="AL102" s="25" t="e">
        <f t="shared" si="3"/>
        <v>#REF!</v>
      </c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</row>
    <row r="103" spans="2:68" ht="15" customHeight="1">
      <c r="B103" s="12">
        <v>46093</v>
      </c>
      <c r="C103" s="121" t="e">
        <f t="shared" si="2"/>
        <v>#REF!</v>
      </c>
      <c r="D103" s="121" t="e">
        <f>SUMIFS(#REF!,#REF!,Extrato!$B103,#REF!,Extrato!D$3)</f>
        <v>#REF!</v>
      </c>
      <c r="E103" s="121" t="e">
        <f>SUMIFS(#REF!,#REF!,Extrato!$B103,#REF!,Extrato!E$3)</f>
        <v>#REF!</v>
      </c>
      <c r="F103" s="121" t="e">
        <f>SUMIFS(#REF!,#REF!,Extrato!$B103,#REF!,Extrato!F$3)</f>
        <v>#REF!</v>
      </c>
      <c r="G103" s="121" t="e">
        <f>SUMIFS(#REF!,#REF!,Extrato!$B103,#REF!,Extrato!G$3)</f>
        <v>#REF!</v>
      </c>
      <c r="H103" s="121" t="e">
        <f>SUMIFS(#REF!,#REF!,Extrato!$B103,#REF!,Extrato!H$3)</f>
        <v>#REF!</v>
      </c>
      <c r="I103" s="121" t="e">
        <f>SUMIFS(#REF!,#REF!,Extrato!$B103,#REF!,Extrato!I$3)</f>
        <v>#REF!</v>
      </c>
      <c r="J103" s="121" t="e">
        <f>SUMIFS(#REF!,#REF!,Extrato!$B103,#REF!,Extrato!J$3)</f>
        <v>#REF!</v>
      </c>
      <c r="K103" s="121" t="e">
        <f>SUMIFS(#REF!,#REF!,Extrato!$B103,#REF!,Extrato!K$3)</f>
        <v>#REF!</v>
      </c>
      <c r="L103" s="121" t="e">
        <f>SUMIFS(#REF!,#REF!,Extrato!$B103,#REF!,Extrato!L$3)</f>
        <v>#REF!</v>
      </c>
      <c r="M103" s="121" t="e">
        <f>SUMIFS(#REF!,#REF!,Extrato!$B103,#REF!,Extrato!M$3)</f>
        <v>#REF!</v>
      </c>
      <c r="N103" s="121" t="e">
        <f>SUMIFS(#REF!,#REF!,Extrato!$B103,#REF!,Extrato!N$3)</f>
        <v>#REF!</v>
      </c>
      <c r="O103" s="121" t="e">
        <f>SUMIFS(#REF!,#REF!,Extrato!$B103,#REF!,Extrato!O$3)</f>
        <v>#REF!</v>
      </c>
      <c r="P103" s="121">
        <f>SUMIF(BetFlow!B:B,B103,BetFlow!J:J)</f>
        <v>0</v>
      </c>
      <c r="Q103" s="121" t="e">
        <f>SUMIFS(#REF!,#REF!,Extrato!$B103,#REF!,Extrato!Q$3)</f>
        <v>#REF!</v>
      </c>
      <c r="R103" s="121" t="e">
        <f>SUMIFS(#REF!,#REF!,Extrato!$B103,#REF!,Extrato!R$3)</f>
        <v>#REF!</v>
      </c>
      <c r="S103" s="121" t="e">
        <f>SUMIFS(#REF!,#REF!,Extrato!$B103,#REF!,Extrato!S$3)</f>
        <v>#REF!</v>
      </c>
      <c r="T103" s="121" t="e">
        <f>SUMIFS(#REF!,#REF!,Extrato!$B103,#REF!,Extrato!T$3)</f>
        <v>#REF!</v>
      </c>
      <c r="U103" s="121" t="e">
        <f>SUMIFS(#REF!,#REF!,Extrato!$B103,#REF!,Extrato!U$3)</f>
        <v>#REF!</v>
      </c>
      <c r="V103" s="121" t="e">
        <f>SUMIFS(#REF!,#REF!,Extrato!$B103,#REF!,Extrato!V$3)</f>
        <v>#REF!</v>
      </c>
      <c r="W103" s="121" t="e">
        <f>SUMIFS(#REF!,#REF!,Extrato!$B103,#REF!,Extrato!W$3)</f>
        <v>#REF!</v>
      </c>
      <c r="X103" s="121" t="e">
        <f>SUMIFS(#REF!,#REF!,Extrato!$B103,#REF!,Extrato!X$3)</f>
        <v>#REF!</v>
      </c>
      <c r="Y103" s="121" t="e">
        <f>SUMIFS(#REF!,#REF!,Extrato!$B103,#REF!,Extrato!Y$3)</f>
        <v>#REF!</v>
      </c>
      <c r="Z103" s="121" t="e">
        <f>SUMIFS(#REF!,#REF!,Extrato!$B103,#REF!,Extrato!Z$3)</f>
        <v>#REF!</v>
      </c>
      <c r="AA103" s="121" t="e">
        <f>SUMIFS(#REF!,#REF!,Extrato!$B103,#REF!,Extrato!AA$3)</f>
        <v>#REF!</v>
      </c>
      <c r="AB103" s="121" t="e">
        <f>SUMIFS(#REF!,#REF!,Extrato!$B103,#REF!,Extrato!AB$3)</f>
        <v>#REF!</v>
      </c>
      <c r="AC103" s="121" t="e">
        <f>SUMIFS(#REF!,#REF!,Extrato!$B103,#REF!,Extrato!AC$3)</f>
        <v>#REF!</v>
      </c>
      <c r="AD103" s="121" t="e">
        <f>SUMIFS(#REF!,#REF!,Extrato!$B103,#REF!,Extrato!AD$3)</f>
        <v>#REF!</v>
      </c>
      <c r="AE103" s="121" t="e">
        <f>SUMIFS(#REF!,#REF!,Extrato!$B103,#REF!,Extrato!AE$3)</f>
        <v>#REF!</v>
      </c>
      <c r="AF103" s="121" t="e">
        <f>SUMIFS(#REF!,#REF!,Extrato!$B103,#REF!,Extrato!AF$3)</f>
        <v>#REF!</v>
      </c>
      <c r="AG103" s="121" t="e">
        <f>SUMIFS(#REF!,#REF!,Extrato!$B103,#REF!,Extrato!AG$3)</f>
        <v>#REF!</v>
      </c>
      <c r="AH103" s="121" t="e">
        <f>SUMIFS(#REF!,#REF!,Extrato!$B103,#REF!,Extrato!AH$3)</f>
        <v>#REF!</v>
      </c>
      <c r="AI103" s="121" t="e">
        <f>SUMIFS(#REF!,#REF!,Extrato!$B103,#REF!,Extrato!AI$3)</f>
        <v>#REF!</v>
      </c>
      <c r="AJ103" s="121">
        <v>0</v>
      </c>
      <c r="AK103" s="121">
        <v>-0.01</v>
      </c>
      <c r="AL103" s="25" t="e">
        <f t="shared" si="3"/>
        <v>#REF!</v>
      </c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</row>
    <row r="104" spans="2:68" ht="15" customHeight="1">
      <c r="B104" s="12">
        <v>46094</v>
      </c>
      <c r="C104" s="121" t="e">
        <f t="shared" si="2"/>
        <v>#REF!</v>
      </c>
      <c r="D104" s="121" t="e">
        <f>SUMIFS(#REF!,#REF!,Extrato!$B104,#REF!,Extrato!D$3)</f>
        <v>#REF!</v>
      </c>
      <c r="E104" s="121" t="e">
        <f>SUMIFS(#REF!,#REF!,Extrato!$B104,#REF!,Extrato!E$3)</f>
        <v>#REF!</v>
      </c>
      <c r="F104" s="121" t="e">
        <f>SUMIFS(#REF!,#REF!,Extrato!$B104,#REF!,Extrato!F$3)</f>
        <v>#REF!</v>
      </c>
      <c r="G104" s="121" t="e">
        <f>SUMIFS(#REF!,#REF!,Extrato!$B104,#REF!,Extrato!G$3)</f>
        <v>#REF!</v>
      </c>
      <c r="H104" s="121" t="e">
        <f>SUMIFS(#REF!,#REF!,Extrato!$B104,#REF!,Extrato!H$3)</f>
        <v>#REF!</v>
      </c>
      <c r="I104" s="121" t="e">
        <f>SUMIFS(#REF!,#REF!,Extrato!$B104,#REF!,Extrato!I$3)</f>
        <v>#REF!</v>
      </c>
      <c r="J104" s="121" t="e">
        <f>SUMIFS(#REF!,#REF!,Extrato!$B104,#REF!,Extrato!J$3)</f>
        <v>#REF!</v>
      </c>
      <c r="K104" s="121" t="e">
        <f>SUMIFS(#REF!,#REF!,Extrato!$B104,#REF!,Extrato!K$3)</f>
        <v>#REF!</v>
      </c>
      <c r="L104" s="121" t="e">
        <f>SUMIFS(#REF!,#REF!,Extrato!$B104,#REF!,Extrato!L$3)</f>
        <v>#REF!</v>
      </c>
      <c r="M104" s="121" t="e">
        <f>SUMIFS(#REF!,#REF!,Extrato!$B104,#REF!,Extrato!M$3)</f>
        <v>#REF!</v>
      </c>
      <c r="N104" s="121" t="e">
        <f>SUMIFS(#REF!,#REF!,Extrato!$B104,#REF!,Extrato!N$3)</f>
        <v>#REF!</v>
      </c>
      <c r="O104" s="121" t="e">
        <f>SUMIFS(#REF!,#REF!,Extrato!$B104,#REF!,Extrato!O$3)</f>
        <v>#REF!</v>
      </c>
      <c r="P104" s="121">
        <f>SUMIF(BetFlow!B:B,B104,BetFlow!J:J)</f>
        <v>0</v>
      </c>
      <c r="Q104" s="121" t="e">
        <f>SUMIFS(#REF!,#REF!,Extrato!$B104,#REF!,Extrato!Q$3)</f>
        <v>#REF!</v>
      </c>
      <c r="R104" s="121" t="e">
        <f>SUMIFS(#REF!,#REF!,Extrato!$B104,#REF!,Extrato!R$3)</f>
        <v>#REF!</v>
      </c>
      <c r="S104" s="121" t="e">
        <f>SUMIFS(#REF!,#REF!,Extrato!$B104,#REF!,Extrato!S$3)</f>
        <v>#REF!</v>
      </c>
      <c r="T104" s="121" t="e">
        <f>SUMIFS(#REF!,#REF!,Extrato!$B104,#REF!,Extrato!T$3)</f>
        <v>#REF!</v>
      </c>
      <c r="U104" s="121" t="e">
        <f>SUMIFS(#REF!,#REF!,Extrato!$B104,#REF!,Extrato!U$3)</f>
        <v>#REF!</v>
      </c>
      <c r="V104" s="121" t="e">
        <f>SUMIFS(#REF!,#REF!,Extrato!$B104,#REF!,Extrato!V$3)</f>
        <v>#REF!</v>
      </c>
      <c r="W104" s="121" t="e">
        <f>SUMIFS(#REF!,#REF!,Extrato!$B104,#REF!,Extrato!W$3)</f>
        <v>#REF!</v>
      </c>
      <c r="X104" s="121" t="e">
        <f>SUMIFS(#REF!,#REF!,Extrato!$B104,#REF!,Extrato!X$3)</f>
        <v>#REF!</v>
      </c>
      <c r="Y104" s="121" t="e">
        <f>SUMIFS(#REF!,#REF!,Extrato!$B104,#REF!,Extrato!Y$3)</f>
        <v>#REF!</v>
      </c>
      <c r="Z104" s="121" t="e">
        <f>SUMIFS(#REF!,#REF!,Extrato!$B104,#REF!,Extrato!Z$3)</f>
        <v>#REF!</v>
      </c>
      <c r="AA104" s="121" t="e">
        <f>SUMIFS(#REF!,#REF!,Extrato!$B104,#REF!,Extrato!AA$3)</f>
        <v>#REF!</v>
      </c>
      <c r="AB104" s="121" t="e">
        <f>SUMIFS(#REF!,#REF!,Extrato!$B104,#REF!,Extrato!AB$3)</f>
        <v>#REF!</v>
      </c>
      <c r="AC104" s="121" t="e">
        <f>SUMIFS(#REF!,#REF!,Extrato!$B104,#REF!,Extrato!AC$3)</f>
        <v>#REF!</v>
      </c>
      <c r="AD104" s="121" t="e">
        <f>SUMIFS(#REF!,#REF!,Extrato!$B104,#REF!,Extrato!AD$3)</f>
        <v>#REF!</v>
      </c>
      <c r="AE104" s="121" t="e">
        <f>SUMIFS(#REF!,#REF!,Extrato!$B104,#REF!,Extrato!AE$3)</f>
        <v>#REF!</v>
      </c>
      <c r="AF104" s="121" t="e">
        <f>SUMIFS(#REF!,#REF!,Extrato!$B104,#REF!,Extrato!AF$3)</f>
        <v>#REF!</v>
      </c>
      <c r="AG104" s="121" t="e">
        <f>SUMIFS(#REF!,#REF!,Extrato!$B104,#REF!,Extrato!AG$3)</f>
        <v>#REF!</v>
      </c>
      <c r="AH104" s="121" t="e">
        <f>SUMIFS(#REF!,#REF!,Extrato!$B104,#REF!,Extrato!AH$3)</f>
        <v>#REF!</v>
      </c>
      <c r="AI104" s="121" t="e">
        <f>SUMIFS(#REF!,#REF!,Extrato!$B104,#REF!,Extrato!AI$3)</f>
        <v>#REF!</v>
      </c>
      <c r="AJ104" s="121">
        <v>0</v>
      </c>
      <c r="AK104" s="121"/>
      <c r="AL104" s="25" t="e">
        <f t="shared" si="3"/>
        <v>#REF!</v>
      </c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</row>
    <row r="105" spans="2:68" ht="15" customHeight="1">
      <c r="B105" s="12">
        <v>46095</v>
      </c>
      <c r="C105" s="121" t="e">
        <f t="shared" si="2"/>
        <v>#REF!</v>
      </c>
      <c r="D105" s="121" t="e">
        <f>SUMIFS(#REF!,#REF!,Extrato!$B105,#REF!,Extrato!D$3)</f>
        <v>#REF!</v>
      </c>
      <c r="E105" s="121" t="e">
        <f>SUMIFS(#REF!,#REF!,Extrato!$B105,#REF!,Extrato!E$3)</f>
        <v>#REF!</v>
      </c>
      <c r="F105" s="121" t="e">
        <f>SUMIFS(#REF!,#REF!,Extrato!$B105,#REF!,Extrato!F$3)</f>
        <v>#REF!</v>
      </c>
      <c r="G105" s="121" t="e">
        <f>SUMIFS(#REF!,#REF!,Extrato!$B105,#REF!,Extrato!G$3)</f>
        <v>#REF!</v>
      </c>
      <c r="H105" s="121" t="e">
        <f>SUMIFS(#REF!,#REF!,Extrato!$B105,#REF!,Extrato!H$3)</f>
        <v>#REF!</v>
      </c>
      <c r="I105" s="121" t="e">
        <f>SUMIFS(#REF!,#REF!,Extrato!$B105,#REF!,Extrato!I$3)</f>
        <v>#REF!</v>
      </c>
      <c r="J105" s="121" t="e">
        <f>SUMIFS(#REF!,#REF!,Extrato!$B105,#REF!,Extrato!J$3)</f>
        <v>#REF!</v>
      </c>
      <c r="K105" s="121" t="e">
        <f>SUMIFS(#REF!,#REF!,Extrato!$B105,#REF!,Extrato!K$3)</f>
        <v>#REF!</v>
      </c>
      <c r="L105" s="121" t="e">
        <f>SUMIFS(#REF!,#REF!,Extrato!$B105,#REF!,Extrato!L$3)</f>
        <v>#REF!</v>
      </c>
      <c r="M105" s="121" t="e">
        <f>SUMIFS(#REF!,#REF!,Extrato!$B105,#REF!,Extrato!M$3)</f>
        <v>#REF!</v>
      </c>
      <c r="N105" s="121" t="e">
        <f>SUMIFS(#REF!,#REF!,Extrato!$B105,#REF!,Extrato!N$3)</f>
        <v>#REF!</v>
      </c>
      <c r="O105" s="121" t="e">
        <f>SUMIFS(#REF!,#REF!,Extrato!$B105,#REF!,Extrato!O$3)</f>
        <v>#REF!</v>
      </c>
      <c r="P105" s="121">
        <f>SUMIF(BetFlow!B:B,B105,BetFlow!J:J)</f>
        <v>0</v>
      </c>
      <c r="Q105" s="121" t="e">
        <f>SUMIFS(#REF!,#REF!,Extrato!$B105,#REF!,Extrato!Q$3)</f>
        <v>#REF!</v>
      </c>
      <c r="R105" s="121" t="e">
        <f>SUMIFS(#REF!,#REF!,Extrato!$B105,#REF!,Extrato!R$3)</f>
        <v>#REF!</v>
      </c>
      <c r="S105" s="121" t="e">
        <f>SUMIFS(#REF!,#REF!,Extrato!$B105,#REF!,Extrato!S$3)</f>
        <v>#REF!</v>
      </c>
      <c r="T105" s="121" t="e">
        <f>SUMIFS(#REF!,#REF!,Extrato!$B105,#REF!,Extrato!T$3)</f>
        <v>#REF!</v>
      </c>
      <c r="U105" s="121" t="e">
        <f>SUMIFS(#REF!,#REF!,Extrato!$B105,#REF!,Extrato!U$3)</f>
        <v>#REF!</v>
      </c>
      <c r="V105" s="121" t="e">
        <f>SUMIFS(#REF!,#REF!,Extrato!$B105,#REF!,Extrato!V$3)</f>
        <v>#REF!</v>
      </c>
      <c r="W105" s="121" t="e">
        <f>SUMIFS(#REF!,#REF!,Extrato!$B105,#REF!,Extrato!W$3)</f>
        <v>#REF!</v>
      </c>
      <c r="X105" s="121" t="e">
        <f>SUMIFS(#REF!,#REF!,Extrato!$B105,#REF!,Extrato!X$3)</f>
        <v>#REF!</v>
      </c>
      <c r="Y105" s="121" t="e">
        <f>SUMIFS(#REF!,#REF!,Extrato!$B105,#REF!,Extrato!Y$3)</f>
        <v>#REF!</v>
      </c>
      <c r="Z105" s="121" t="e">
        <f>SUMIFS(#REF!,#REF!,Extrato!$B105,#REF!,Extrato!Z$3)</f>
        <v>#REF!</v>
      </c>
      <c r="AA105" s="121" t="e">
        <f>SUMIFS(#REF!,#REF!,Extrato!$B105,#REF!,Extrato!AA$3)</f>
        <v>#REF!</v>
      </c>
      <c r="AB105" s="121" t="e">
        <f>SUMIFS(#REF!,#REF!,Extrato!$B105,#REF!,Extrato!AB$3)</f>
        <v>#REF!</v>
      </c>
      <c r="AC105" s="121" t="e">
        <f>SUMIFS(#REF!,#REF!,Extrato!$B105,#REF!,Extrato!AC$3)</f>
        <v>#REF!</v>
      </c>
      <c r="AD105" s="121" t="e">
        <f>SUMIFS(#REF!,#REF!,Extrato!$B105,#REF!,Extrato!AD$3)</f>
        <v>#REF!</v>
      </c>
      <c r="AE105" s="121" t="e">
        <f>SUMIFS(#REF!,#REF!,Extrato!$B105,#REF!,Extrato!AE$3)</f>
        <v>#REF!</v>
      </c>
      <c r="AF105" s="121" t="e">
        <f>SUMIFS(#REF!,#REF!,Extrato!$B105,#REF!,Extrato!AF$3)</f>
        <v>#REF!</v>
      </c>
      <c r="AG105" s="121" t="e">
        <f>SUMIFS(#REF!,#REF!,Extrato!$B105,#REF!,Extrato!AG$3)</f>
        <v>#REF!</v>
      </c>
      <c r="AH105" s="121" t="e">
        <f>SUMIFS(#REF!,#REF!,Extrato!$B105,#REF!,Extrato!AH$3)</f>
        <v>#REF!</v>
      </c>
      <c r="AI105" s="121" t="e">
        <f>SUMIFS(#REF!,#REF!,Extrato!$B105,#REF!,Extrato!AI$3)</f>
        <v>#REF!</v>
      </c>
      <c r="AJ105" s="121">
        <v>0</v>
      </c>
      <c r="AK105" s="121">
        <v>0.01</v>
      </c>
      <c r="AL105" s="25" t="e">
        <f t="shared" si="3"/>
        <v>#REF!</v>
      </c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</row>
    <row r="106" spans="2:68" ht="15" customHeight="1">
      <c r="B106" s="12">
        <v>46096</v>
      </c>
      <c r="C106" s="121" t="e">
        <f t="shared" si="2"/>
        <v>#REF!</v>
      </c>
      <c r="D106" s="121" t="e">
        <f>SUMIFS(#REF!,#REF!,Extrato!$B106,#REF!,Extrato!D$3)</f>
        <v>#REF!</v>
      </c>
      <c r="E106" s="121" t="e">
        <f>SUMIFS(#REF!,#REF!,Extrato!$B106,#REF!,Extrato!E$3)</f>
        <v>#REF!</v>
      </c>
      <c r="F106" s="121" t="e">
        <f>SUMIFS(#REF!,#REF!,Extrato!$B106,#REF!,Extrato!F$3)</f>
        <v>#REF!</v>
      </c>
      <c r="G106" s="121" t="e">
        <f>SUMIFS(#REF!,#REF!,Extrato!$B106,#REF!,Extrato!G$3)</f>
        <v>#REF!</v>
      </c>
      <c r="H106" s="121" t="e">
        <f>SUMIFS(#REF!,#REF!,Extrato!$B106,#REF!,Extrato!H$3)</f>
        <v>#REF!</v>
      </c>
      <c r="I106" s="121" t="e">
        <f>SUMIFS(#REF!,#REF!,Extrato!$B106,#REF!,Extrato!I$3)</f>
        <v>#REF!</v>
      </c>
      <c r="J106" s="121" t="e">
        <f>SUMIFS(#REF!,#REF!,Extrato!$B106,#REF!,Extrato!J$3)</f>
        <v>#REF!</v>
      </c>
      <c r="K106" s="121" t="e">
        <f>SUMIFS(#REF!,#REF!,Extrato!$B106,#REF!,Extrato!K$3)</f>
        <v>#REF!</v>
      </c>
      <c r="L106" s="121" t="e">
        <f>SUMIFS(#REF!,#REF!,Extrato!$B106,#REF!,Extrato!L$3)</f>
        <v>#REF!</v>
      </c>
      <c r="M106" s="121" t="e">
        <f>SUMIFS(#REF!,#REF!,Extrato!$B106,#REF!,Extrato!M$3)</f>
        <v>#REF!</v>
      </c>
      <c r="N106" s="121" t="e">
        <f>SUMIFS(#REF!,#REF!,Extrato!$B106,#REF!,Extrato!N$3)</f>
        <v>#REF!</v>
      </c>
      <c r="O106" s="121" t="e">
        <f>SUMIFS(#REF!,#REF!,Extrato!$B106,#REF!,Extrato!O$3)</f>
        <v>#REF!</v>
      </c>
      <c r="P106" s="121">
        <f>SUMIF(BetFlow!B:B,B106,BetFlow!J:J)</f>
        <v>0</v>
      </c>
      <c r="Q106" s="121" t="e">
        <f>SUMIFS(#REF!,#REF!,Extrato!$B106,#REF!,Extrato!Q$3)</f>
        <v>#REF!</v>
      </c>
      <c r="R106" s="121" t="e">
        <f>SUMIFS(#REF!,#REF!,Extrato!$B106,#REF!,Extrato!R$3)</f>
        <v>#REF!</v>
      </c>
      <c r="S106" s="121" t="e">
        <f>SUMIFS(#REF!,#REF!,Extrato!$B106,#REF!,Extrato!S$3)</f>
        <v>#REF!</v>
      </c>
      <c r="T106" s="121" t="e">
        <f>SUMIFS(#REF!,#REF!,Extrato!$B106,#REF!,Extrato!T$3)</f>
        <v>#REF!</v>
      </c>
      <c r="U106" s="121" t="e">
        <f>SUMIFS(#REF!,#REF!,Extrato!$B106,#REF!,Extrato!U$3)</f>
        <v>#REF!</v>
      </c>
      <c r="V106" s="121" t="e">
        <f>SUMIFS(#REF!,#REF!,Extrato!$B106,#REF!,Extrato!V$3)</f>
        <v>#REF!</v>
      </c>
      <c r="W106" s="121" t="e">
        <f>SUMIFS(#REF!,#REF!,Extrato!$B106,#REF!,Extrato!W$3)</f>
        <v>#REF!</v>
      </c>
      <c r="X106" s="121" t="e">
        <f>SUMIFS(#REF!,#REF!,Extrato!$B106,#REF!,Extrato!X$3)</f>
        <v>#REF!</v>
      </c>
      <c r="Y106" s="121" t="e">
        <f>SUMIFS(#REF!,#REF!,Extrato!$B106,#REF!,Extrato!Y$3)</f>
        <v>#REF!</v>
      </c>
      <c r="Z106" s="121" t="e">
        <f>SUMIFS(#REF!,#REF!,Extrato!$B106,#REF!,Extrato!Z$3)</f>
        <v>#REF!</v>
      </c>
      <c r="AA106" s="121" t="e">
        <f>SUMIFS(#REF!,#REF!,Extrato!$B106,#REF!,Extrato!AA$3)</f>
        <v>#REF!</v>
      </c>
      <c r="AB106" s="121" t="e">
        <f>SUMIFS(#REF!,#REF!,Extrato!$B106,#REF!,Extrato!AB$3)</f>
        <v>#REF!</v>
      </c>
      <c r="AC106" s="121" t="e">
        <f>SUMIFS(#REF!,#REF!,Extrato!$B106,#REF!,Extrato!AC$3)</f>
        <v>#REF!</v>
      </c>
      <c r="AD106" s="121" t="e">
        <f>SUMIFS(#REF!,#REF!,Extrato!$B106,#REF!,Extrato!AD$3)</f>
        <v>#REF!</v>
      </c>
      <c r="AE106" s="121" t="e">
        <f>SUMIFS(#REF!,#REF!,Extrato!$B106,#REF!,Extrato!AE$3)</f>
        <v>#REF!</v>
      </c>
      <c r="AF106" s="121" t="e">
        <f>SUMIFS(#REF!,#REF!,Extrato!$B106,#REF!,Extrato!AF$3)</f>
        <v>#REF!</v>
      </c>
      <c r="AG106" s="121" t="e">
        <f>SUMIFS(#REF!,#REF!,Extrato!$B106,#REF!,Extrato!AG$3)</f>
        <v>#REF!</v>
      </c>
      <c r="AH106" s="121" t="e">
        <f>SUMIFS(#REF!,#REF!,Extrato!$B106,#REF!,Extrato!AH$3)</f>
        <v>#REF!</v>
      </c>
      <c r="AI106" s="121" t="e">
        <f>SUMIFS(#REF!,#REF!,Extrato!$B106,#REF!,Extrato!AI$3)</f>
        <v>#REF!</v>
      </c>
      <c r="AJ106" s="121">
        <v>0</v>
      </c>
      <c r="AK106" s="121">
        <v>-0.01</v>
      </c>
      <c r="AL106" s="25" t="e">
        <f t="shared" si="3"/>
        <v>#REF!</v>
      </c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  <c r="BP106" s="122"/>
    </row>
    <row r="107" spans="2:68" ht="15" customHeight="1">
      <c r="B107" s="12">
        <v>46097</v>
      </c>
      <c r="C107" s="121" t="e">
        <f t="shared" si="2"/>
        <v>#REF!</v>
      </c>
      <c r="D107" s="121" t="e">
        <f>SUMIFS(#REF!,#REF!,Extrato!$B107,#REF!,Extrato!D$3)</f>
        <v>#REF!</v>
      </c>
      <c r="E107" s="121" t="e">
        <f>SUMIFS(#REF!,#REF!,Extrato!$B107,#REF!,Extrato!E$3)</f>
        <v>#REF!</v>
      </c>
      <c r="F107" s="121" t="e">
        <f>SUMIFS(#REF!,#REF!,Extrato!$B107,#REF!,Extrato!F$3)</f>
        <v>#REF!</v>
      </c>
      <c r="G107" s="121" t="e">
        <f>SUMIFS(#REF!,#REF!,Extrato!$B107,#REF!,Extrato!G$3)</f>
        <v>#REF!</v>
      </c>
      <c r="H107" s="121" t="e">
        <f>SUMIFS(#REF!,#REF!,Extrato!$B107,#REF!,Extrato!H$3)</f>
        <v>#REF!</v>
      </c>
      <c r="I107" s="121" t="e">
        <f>SUMIFS(#REF!,#REF!,Extrato!$B107,#REF!,Extrato!I$3)</f>
        <v>#REF!</v>
      </c>
      <c r="J107" s="121" t="e">
        <f>SUMIFS(#REF!,#REF!,Extrato!$B107,#REF!,Extrato!J$3)</f>
        <v>#REF!</v>
      </c>
      <c r="K107" s="121" t="e">
        <f>SUMIFS(#REF!,#REF!,Extrato!$B107,#REF!,Extrato!K$3)</f>
        <v>#REF!</v>
      </c>
      <c r="L107" s="121" t="e">
        <f>SUMIFS(#REF!,#REF!,Extrato!$B107,#REF!,Extrato!L$3)</f>
        <v>#REF!</v>
      </c>
      <c r="M107" s="121" t="e">
        <f>SUMIFS(#REF!,#REF!,Extrato!$B107,#REF!,Extrato!M$3)</f>
        <v>#REF!</v>
      </c>
      <c r="N107" s="121" t="e">
        <f>SUMIFS(#REF!,#REF!,Extrato!$B107,#REF!,Extrato!N$3)</f>
        <v>#REF!</v>
      </c>
      <c r="O107" s="121" t="e">
        <f>SUMIFS(#REF!,#REF!,Extrato!$B107,#REF!,Extrato!O$3)</f>
        <v>#REF!</v>
      </c>
      <c r="P107" s="121">
        <f>SUMIF(BetFlow!B:B,B107,BetFlow!J:J)</f>
        <v>0</v>
      </c>
      <c r="Q107" s="121" t="e">
        <f>SUMIFS(#REF!,#REF!,Extrato!$B107,#REF!,Extrato!Q$3)</f>
        <v>#REF!</v>
      </c>
      <c r="R107" s="121" t="e">
        <f>SUMIFS(#REF!,#REF!,Extrato!$B107,#REF!,Extrato!R$3)</f>
        <v>#REF!</v>
      </c>
      <c r="S107" s="121" t="e">
        <f>SUMIFS(#REF!,#REF!,Extrato!$B107,#REF!,Extrato!S$3)</f>
        <v>#REF!</v>
      </c>
      <c r="T107" s="121" t="e">
        <f>SUMIFS(#REF!,#REF!,Extrato!$B107,#REF!,Extrato!T$3)</f>
        <v>#REF!</v>
      </c>
      <c r="U107" s="121" t="e">
        <f>SUMIFS(#REF!,#REF!,Extrato!$B107,#REF!,Extrato!U$3)</f>
        <v>#REF!</v>
      </c>
      <c r="V107" s="121" t="e">
        <f>SUMIFS(#REF!,#REF!,Extrato!$B107,#REF!,Extrato!V$3)</f>
        <v>#REF!</v>
      </c>
      <c r="W107" s="121" t="e">
        <f>SUMIFS(#REF!,#REF!,Extrato!$B107,#REF!,Extrato!W$3)</f>
        <v>#REF!</v>
      </c>
      <c r="X107" s="121" t="e">
        <f>SUMIFS(#REF!,#REF!,Extrato!$B107,#REF!,Extrato!X$3)</f>
        <v>#REF!</v>
      </c>
      <c r="Y107" s="121" t="e">
        <f>SUMIFS(#REF!,#REF!,Extrato!$B107,#REF!,Extrato!Y$3)</f>
        <v>#REF!</v>
      </c>
      <c r="Z107" s="121" t="e">
        <f>SUMIFS(#REF!,#REF!,Extrato!$B107,#REF!,Extrato!Z$3)</f>
        <v>#REF!</v>
      </c>
      <c r="AA107" s="121" t="e">
        <f>SUMIFS(#REF!,#REF!,Extrato!$B107,#REF!,Extrato!AA$3)</f>
        <v>#REF!</v>
      </c>
      <c r="AB107" s="121" t="e">
        <f>SUMIFS(#REF!,#REF!,Extrato!$B107,#REF!,Extrato!AB$3)</f>
        <v>#REF!</v>
      </c>
      <c r="AC107" s="121" t="e">
        <f>SUMIFS(#REF!,#REF!,Extrato!$B107,#REF!,Extrato!AC$3)</f>
        <v>#REF!</v>
      </c>
      <c r="AD107" s="121" t="e">
        <f>SUMIFS(#REF!,#REF!,Extrato!$B107,#REF!,Extrato!AD$3)</f>
        <v>#REF!</v>
      </c>
      <c r="AE107" s="121" t="e">
        <f>SUMIFS(#REF!,#REF!,Extrato!$B107,#REF!,Extrato!AE$3)</f>
        <v>#REF!</v>
      </c>
      <c r="AF107" s="121" t="e">
        <f>SUMIFS(#REF!,#REF!,Extrato!$B107,#REF!,Extrato!AF$3)</f>
        <v>#REF!</v>
      </c>
      <c r="AG107" s="121" t="e">
        <f>SUMIFS(#REF!,#REF!,Extrato!$B107,#REF!,Extrato!AG$3)</f>
        <v>#REF!</v>
      </c>
      <c r="AH107" s="121" t="e">
        <f>SUMIFS(#REF!,#REF!,Extrato!$B107,#REF!,Extrato!AH$3)</f>
        <v>#REF!</v>
      </c>
      <c r="AI107" s="121" t="e">
        <f>SUMIFS(#REF!,#REF!,Extrato!$B107,#REF!,Extrato!AI$3)</f>
        <v>#REF!</v>
      </c>
      <c r="AJ107" s="121">
        <v>0</v>
      </c>
      <c r="AK107" s="121"/>
      <c r="AL107" s="25" t="e">
        <f t="shared" si="3"/>
        <v>#REF!</v>
      </c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</row>
    <row r="108" spans="2:68" ht="15" customHeight="1">
      <c r="B108" s="12">
        <v>46098</v>
      </c>
      <c r="C108" s="121" t="e">
        <f t="shared" si="2"/>
        <v>#REF!</v>
      </c>
      <c r="D108" s="121" t="e">
        <f>SUMIFS(#REF!,#REF!,Extrato!$B108,#REF!,Extrato!D$3)</f>
        <v>#REF!</v>
      </c>
      <c r="E108" s="121" t="e">
        <f>SUMIFS(#REF!,#REF!,Extrato!$B108,#REF!,Extrato!E$3)</f>
        <v>#REF!</v>
      </c>
      <c r="F108" s="121" t="e">
        <f>SUMIFS(#REF!,#REF!,Extrato!$B108,#REF!,Extrato!F$3)</f>
        <v>#REF!</v>
      </c>
      <c r="G108" s="121" t="e">
        <f>SUMIFS(#REF!,#REF!,Extrato!$B108,#REF!,Extrato!G$3)</f>
        <v>#REF!</v>
      </c>
      <c r="H108" s="121" t="e">
        <f>SUMIFS(#REF!,#REF!,Extrato!$B108,#REF!,Extrato!H$3)</f>
        <v>#REF!</v>
      </c>
      <c r="I108" s="121" t="e">
        <f>SUMIFS(#REF!,#REF!,Extrato!$B108,#REF!,Extrato!I$3)</f>
        <v>#REF!</v>
      </c>
      <c r="J108" s="121" t="e">
        <f>SUMIFS(#REF!,#REF!,Extrato!$B108,#REF!,Extrato!J$3)</f>
        <v>#REF!</v>
      </c>
      <c r="K108" s="121" t="e">
        <f>SUMIFS(#REF!,#REF!,Extrato!$B108,#REF!,Extrato!K$3)</f>
        <v>#REF!</v>
      </c>
      <c r="L108" s="121" t="e">
        <f>SUMIFS(#REF!,#REF!,Extrato!$B108,#REF!,Extrato!L$3)</f>
        <v>#REF!</v>
      </c>
      <c r="M108" s="121" t="e">
        <f>SUMIFS(#REF!,#REF!,Extrato!$B108,#REF!,Extrato!M$3)</f>
        <v>#REF!</v>
      </c>
      <c r="N108" s="121" t="e">
        <f>SUMIFS(#REF!,#REF!,Extrato!$B108,#REF!,Extrato!N$3)</f>
        <v>#REF!</v>
      </c>
      <c r="O108" s="121" t="e">
        <f>SUMIFS(#REF!,#REF!,Extrato!$B108,#REF!,Extrato!O$3)</f>
        <v>#REF!</v>
      </c>
      <c r="P108" s="121">
        <f>SUMIF(BetFlow!B:B,B108,BetFlow!J:J)</f>
        <v>0</v>
      </c>
      <c r="Q108" s="121" t="e">
        <f>SUMIFS(#REF!,#REF!,Extrato!$B108,#REF!,Extrato!Q$3)</f>
        <v>#REF!</v>
      </c>
      <c r="R108" s="121" t="e">
        <f>SUMIFS(#REF!,#REF!,Extrato!$B108,#REF!,Extrato!R$3)</f>
        <v>#REF!</v>
      </c>
      <c r="S108" s="121" t="e">
        <f>SUMIFS(#REF!,#REF!,Extrato!$B108,#REF!,Extrato!S$3)</f>
        <v>#REF!</v>
      </c>
      <c r="T108" s="121" t="e">
        <f>SUMIFS(#REF!,#REF!,Extrato!$B108,#REF!,Extrato!T$3)</f>
        <v>#REF!</v>
      </c>
      <c r="U108" s="121" t="e">
        <f>SUMIFS(#REF!,#REF!,Extrato!$B108,#REF!,Extrato!U$3)</f>
        <v>#REF!</v>
      </c>
      <c r="V108" s="121" t="e">
        <f>SUMIFS(#REF!,#REF!,Extrato!$B108,#REF!,Extrato!V$3)</f>
        <v>#REF!</v>
      </c>
      <c r="W108" s="121" t="e">
        <f>SUMIFS(#REF!,#REF!,Extrato!$B108,#REF!,Extrato!W$3)</f>
        <v>#REF!</v>
      </c>
      <c r="X108" s="121" t="e">
        <f>SUMIFS(#REF!,#REF!,Extrato!$B108,#REF!,Extrato!X$3)</f>
        <v>#REF!</v>
      </c>
      <c r="Y108" s="121" t="e">
        <f>SUMIFS(#REF!,#REF!,Extrato!$B108,#REF!,Extrato!Y$3)</f>
        <v>#REF!</v>
      </c>
      <c r="Z108" s="121" t="e">
        <f>SUMIFS(#REF!,#REF!,Extrato!$B108,#REF!,Extrato!Z$3)</f>
        <v>#REF!</v>
      </c>
      <c r="AA108" s="121" t="e">
        <f>SUMIFS(#REF!,#REF!,Extrato!$B108,#REF!,Extrato!AA$3)</f>
        <v>#REF!</v>
      </c>
      <c r="AB108" s="121" t="e">
        <f>SUMIFS(#REF!,#REF!,Extrato!$B108,#REF!,Extrato!AB$3)</f>
        <v>#REF!</v>
      </c>
      <c r="AC108" s="121" t="e">
        <f>SUMIFS(#REF!,#REF!,Extrato!$B108,#REF!,Extrato!AC$3)</f>
        <v>#REF!</v>
      </c>
      <c r="AD108" s="121" t="e">
        <f>SUMIFS(#REF!,#REF!,Extrato!$B108,#REF!,Extrato!AD$3)</f>
        <v>#REF!</v>
      </c>
      <c r="AE108" s="121" t="e">
        <f>SUMIFS(#REF!,#REF!,Extrato!$B108,#REF!,Extrato!AE$3)</f>
        <v>#REF!</v>
      </c>
      <c r="AF108" s="121" t="e">
        <f>SUMIFS(#REF!,#REF!,Extrato!$B108,#REF!,Extrato!AF$3)</f>
        <v>#REF!</v>
      </c>
      <c r="AG108" s="121" t="e">
        <f>SUMIFS(#REF!,#REF!,Extrato!$B108,#REF!,Extrato!AG$3)</f>
        <v>#REF!</v>
      </c>
      <c r="AH108" s="121" t="e">
        <f>SUMIFS(#REF!,#REF!,Extrato!$B108,#REF!,Extrato!AH$3)</f>
        <v>#REF!</v>
      </c>
      <c r="AI108" s="121" t="e">
        <f>SUMIFS(#REF!,#REF!,Extrato!$B108,#REF!,Extrato!AI$3)</f>
        <v>#REF!</v>
      </c>
      <c r="AJ108" s="121">
        <v>0</v>
      </c>
      <c r="AK108" s="121">
        <v>0.01</v>
      </c>
      <c r="AL108" s="25" t="e">
        <f t="shared" si="3"/>
        <v>#REF!</v>
      </c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</row>
    <row r="109" spans="2:68" ht="15" customHeight="1">
      <c r="B109" s="12">
        <v>46099</v>
      </c>
      <c r="C109" s="121" t="e">
        <f t="shared" si="2"/>
        <v>#REF!</v>
      </c>
      <c r="D109" s="121" t="e">
        <f>SUMIFS(#REF!,#REF!,Extrato!$B109,#REF!,Extrato!D$3)</f>
        <v>#REF!</v>
      </c>
      <c r="E109" s="121" t="e">
        <f>SUMIFS(#REF!,#REF!,Extrato!$B109,#REF!,Extrato!E$3)</f>
        <v>#REF!</v>
      </c>
      <c r="F109" s="121" t="e">
        <f>SUMIFS(#REF!,#REF!,Extrato!$B109,#REF!,Extrato!F$3)</f>
        <v>#REF!</v>
      </c>
      <c r="G109" s="121" t="e">
        <f>SUMIFS(#REF!,#REF!,Extrato!$B109,#REF!,Extrato!G$3)</f>
        <v>#REF!</v>
      </c>
      <c r="H109" s="121" t="e">
        <f>SUMIFS(#REF!,#REF!,Extrato!$B109,#REF!,Extrato!H$3)</f>
        <v>#REF!</v>
      </c>
      <c r="I109" s="121" t="e">
        <f>SUMIFS(#REF!,#REF!,Extrato!$B109,#REF!,Extrato!I$3)</f>
        <v>#REF!</v>
      </c>
      <c r="J109" s="121" t="e">
        <f>SUMIFS(#REF!,#REF!,Extrato!$B109,#REF!,Extrato!J$3)</f>
        <v>#REF!</v>
      </c>
      <c r="K109" s="121" t="e">
        <f>SUMIFS(#REF!,#REF!,Extrato!$B109,#REF!,Extrato!K$3)</f>
        <v>#REF!</v>
      </c>
      <c r="L109" s="121" t="e">
        <f>SUMIFS(#REF!,#REF!,Extrato!$B109,#REF!,Extrato!L$3)</f>
        <v>#REF!</v>
      </c>
      <c r="M109" s="121" t="e">
        <f>SUMIFS(#REF!,#REF!,Extrato!$B109,#REF!,Extrato!M$3)</f>
        <v>#REF!</v>
      </c>
      <c r="N109" s="121" t="e">
        <f>SUMIFS(#REF!,#REF!,Extrato!$B109,#REF!,Extrato!N$3)</f>
        <v>#REF!</v>
      </c>
      <c r="O109" s="121" t="e">
        <f>SUMIFS(#REF!,#REF!,Extrato!$B109,#REF!,Extrato!O$3)</f>
        <v>#REF!</v>
      </c>
      <c r="P109" s="121">
        <f>SUMIF(BetFlow!B:B,B109,BetFlow!J:J)</f>
        <v>0</v>
      </c>
      <c r="Q109" s="121" t="e">
        <f>SUMIFS(#REF!,#REF!,Extrato!$B109,#REF!,Extrato!Q$3)</f>
        <v>#REF!</v>
      </c>
      <c r="R109" s="121" t="e">
        <f>SUMIFS(#REF!,#REF!,Extrato!$B109,#REF!,Extrato!R$3)</f>
        <v>#REF!</v>
      </c>
      <c r="S109" s="121" t="e">
        <f>SUMIFS(#REF!,#REF!,Extrato!$B109,#REF!,Extrato!S$3)</f>
        <v>#REF!</v>
      </c>
      <c r="T109" s="121" t="e">
        <f>SUMIFS(#REF!,#REF!,Extrato!$B109,#REF!,Extrato!T$3)</f>
        <v>#REF!</v>
      </c>
      <c r="U109" s="121" t="e">
        <f>SUMIFS(#REF!,#REF!,Extrato!$B109,#REF!,Extrato!U$3)</f>
        <v>#REF!</v>
      </c>
      <c r="V109" s="121" t="e">
        <f>SUMIFS(#REF!,#REF!,Extrato!$B109,#REF!,Extrato!V$3)</f>
        <v>#REF!</v>
      </c>
      <c r="W109" s="121" t="e">
        <f>SUMIFS(#REF!,#REF!,Extrato!$B109,#REF!,Extrato!W$3)</f>
        <v>#REF!</v>
      </c>
      <c r="X109" s="121" t="e">
        <f>SUMIFS(#REF!,#REF!,Extrato!$B109,#REF!,Extrato!X$3)</f>
        <v>#REF!</v>
      </c>
      <c r="Y109" s="121" t="e">
        <f>SUMIFS(#REF!,#REF!,Extrato!$B109,#REF!,Extrato!Y$3)</f>
        <v>#REF!</v>
      </c>
      <c r="Z109" s="121" t="e">
        <f>SUMIFS(#REF!,#REF!,Extrato!$B109,#REF!,Extrato!Z$3)</f>
        <v>#REF!</v>
      </c>
      <c r="AA109" s="121" t="e">
        <f>SUMIFS(#REF!,#REF!,Extrato!$B109,#REF!,Extrato!AA$3)</f>
        <v>#REF!</v>
      </c>
      <c r="AB109" s="121" t="e">
        <f>SUMIFS(#REF!,#REF!,Extrato!$B109,#REF!,Extrato!AB$3)</f>
        <v>#REF!</v>
      </c>
      <c r="AC109" s="121" t="e">
        <f>SUMIFS(#REF!,#REF!,Extrato!$B109,#REF!,Extrato!AC$3)</f>
        <v>#REF!</v>
      </c>
      <c r="AD109" s="121" t="e">
        <f>SUMIFS(#REF!,#REF!,Extrato!$B109,#REF!,Extrato!AD$3)</f>
        <v>#REF!</v>
      </c>
      <c r="AE109" s="121" t="e">
        <f>SUMIFS(#REF!,#REF!,Extrato!$B109,#REF!,Extrato!AE$3)</f>
        <v>#REF!</v>
      </c>
      <c r="AF109" s="121" t="e">
        <f>SUMIFS(#REF!,#REF!,Extrato!$B109,#REF!,Extrato!AF$3)</f>
        <v>#REF!</v>
      </c>
      <c r="AG109" s="121" t="e">
        <f>SUMIFS(#REF!,#REF!,Extrato!$B109,#REF!,Extrato!AG$3)</f>
        <v>#REF!</v>
      </c>
      <c r="AH109" s="121" t="e">
        <f>SUMIFS(#REF!,#REF!,Extrato!$B109,#REF!,Extrato!AH$3)</f>
        <v>#REF!</v>
      </c>
      <c r="AI109" s="121" t="e">
        <f>SUMIFS(#REF!,#REF!,Extrato!$B109,#REF!,Extrato!AI$3)</f>
        <v>#REF!</v>
      </c>
      <c r="AJ109" s="121">
        <v>0</v>
      </c>
      <c r="AK109" s="121">
        <v>-0.01</v>
      </c>
      <c r="AL109" s="25" t="e">
        <f t="shared" si="3"/>
        <v>#REF!</v>
      </c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</row>
    <row r="110" spans="2:68" ht="15" customHeight="1">
      <c r="B110" s="12">
        <v>46100</v>
      </c>
      <c r="C110" s="121" t="e">
        <f t="shared" si="2"/>
        <v>#REF!</v>
      </c>
      <c r="D110" s="121" t="e">
        <f>SUMIFS(#REF!,#REF!,Extrato!$B110,#REF!,Extrato!D$3)</f>
        <v>#REF!</v>
      </c>
      <c r="E110" s="121" t="e">
        <f>SUMIFS(#REF!,#REF!,Extrato!$B110,#REF!,Extrato!E$3)</f>
        <v>#REF!</v>
      </c>
      <c r="F110" s="121" t="e">
        <f>SUMIFS(#REF!,#REF!,Extrato!$B110,#REF!,Extrato!F$3)</f>
        <v>#REF!</v>
      </c>
      <c r="G110" s="121" t="e">
        <f>SUMIFS(#REF!,#REF!,Extrato!$B110,#REF!,Extrato!G$3)</f>
        <v>#REF!</v>
      </c>
      <c r="H110" s="121" t="e">
        <f>SUMIFS(#REF!,#REF!,Extrato!$B110,#REF!,Extrato!H$3)</f>
        <v>#REF!</v>
      </c>
      <c r="I110" s="121" t="e">
        <f>SUMIFS(#REF!,#REF!,Extrato!$B110,#REF!,Extrato!I$3)</f>
        <v>#REF!</v>
      </c>
      <c r="J110" s="121" t="e">
        <f>SUMIFS(#REF!,#REF!,Extrato!$B110,#REF!,Extrato!J$3)</f>
        <v>#REF!</v>
      </c>
      <c r="K110" s="121" t="e">
        <f>SUMIFS(#REF!,#REF!,Extrato!$B110,#REF!,Extrato!K$3)</f>
        <v>#REF!</v>
      </c>
      <c r="L110" s="121" t="e">
        <f>SUMIFS(#REF!,#REF!,Extrato!$B110,#REF!,Extrato!L$3)</f>
        <v>#REF!</v>
      </c>
      <c r="M110" s="121" t="e">
        <f>SUMIFS(#REF!,#REF!,Extrato!$B110,#REF!,Extrato!M$3)</f>
        <v>#REF!</v>
      </c>
      <c r="N110" s="121" t="e">
        <f>SUMIFS(#REF!,#REF!,Extrato!$B110,#REF!,Extrato!N$3)</f>
        <v>#REF!</v>
      </c>
      <c r="O110" s="121" t="e">
        <f>SUMIFS(#REF!,#REF!,Extrato!$B110,#REF!,Extrato!O$3)</f>
        <v>#REF!</v>
      </c>
      <c r="P110" s="121">
        <f>SUMIF(BetFlow!B:B,B110,BetFlow!J:J)</f>
        <v>0</v>
      </c>
      <c r="Q110" s="121" t="e">
        <f>SUMIFS(#REF!,#REF!,Extrato!$B110,#REF!,Extrato!Q$3)</f>
        <v>#REF!</v>
      </c>
      <c r="R110" s="121" t="e">
        <f>SUMIFS(#REF!,#REF!,Extrato!$B110,#REF!,Extrato!R$3)</f>
        <v>#REF!</v>
      </c>
      <c r="S110" s="121" t="e">
        <f>SUMIFS(#REF!,#REF!,Extrato!$B110,#REF!,Extrato!S$3)</f>
        <v>#REF!</v>
      </c>
      <c r="T110" s="121" t="e">
        <f>SUMIFS(#REF!,#REF!,Extrato!$B110,#REF!,Extrato!T$3)</f>
        <v>#REF!</v>
      </c>
      <c r="U110" s="121" t="e">
        <f>SUMIFS(#REF!,#REF!,Extrato!$B110,#REF!,Extrato!U$3)</f>
        <v>#REF!</v>
      </c>
      <c r="V110" s="121" t="e">
        <f>SUMIFS(#REF!,#REF!,Extrato!$B110,#REF!,Extrato!V$3)</f>
        <v>#REF!</v>
      </c>
      <c r="W110" s="121" t="e">
        <f>SUMIFS(#REF!,#REF!,Extrato!$B110,#REF!,Extrato!W$3)</f>
        <v>#REF!</v>
      </c>
      <c r="X110" s="121" t="e">
        <f>SUMIFS(#REF!,#REF!,Extrato!$B110,#REF!,Extrato!X$3)</f>
        <v>#REF!</v>
      </c>
      <c r="Y110" s="121" t="e">
        <f>SUMIFS(#REF!,#REF!,Extrato!$B110,#REF!,Extrato!Y$3)</f>
        <v>#REF!</v>
      </c>
      <c r="Z110" s="121" t="e">
        <f>SUMIFS(#REF!,#REF!,Extrato!$B110,#REF!,Extrato!Z$3)</f>
        <v>#REF!</v>
      </c>
      <c r="AA110" s="121" t="e">
        <f>SUMIFS(#REF!,#REF!,Extrato!$B110,#REF!,Extrato!AA$3)</f>
        <v>#REF!</v>
      </c>
      <c r="AB110" s="121" t="e">
        <f>SUMIFS(#REF!,#REF!,Extrato!$B110,#REF!,Extrato!AB$3)</f>
        <v>#REF!</v>
      </c>
      <c r="AC110" s="121" t="e">
        <f>SUMIFS(#REF!,#REF!,Extrato!$B110,#REF!,Extrato!AC$3)</f>
        <v>#REF!</v>
      </c>
      <c r="AD110" s="121" t="e">
        <f>SUMIFS(#REF!,#REF!,Extrato!$B110,#REF!,Extrato!AD$3)</f>
        <v>#REF!</v>
      </c>
      <c r="AE110" s="121" t="e">
        <f>SUMIFS(#REF!,#REF!,Extrato!$B110,#REF!,Extrato!AE$3)</f>
        <v>#REF!</v>
      </c>
      <c r="AF110" s="121" t="e">
        <f>SUMIFS(#REF!,#REF!,Extrato!$B110,#REF!,Extrato!AF$3)</f>
        <v>#REF!</v>
      </c>
      <c r="AG110" s="121" t="e">
        <f>SUMIFS(#REF!,#REF!,Extrato!$B110,#REF!,Extrato!AG$3)</f>
        <v>#REF!</v>
      </c>
      <c r="AH110" s="121" t="e">
        <f>SUMIFS(#REF!,#REF!,Extrato!$B110,#REF!,Extrato!AH$3)</f>
        <v>#REF!</v>
      </c>
      <c r="AI110" s="121" t="e">
        <f>SUMIFS(#REF!,#REF!,Extrato!$B110,#REF!,Extrato!AI$3)</f>
        <v>#REF!</v>
      </c>
      <c r="AJ110" s="121">
        <v>0</v>
      </c>
      <c r="AK110" s="121"/>
      <c r="AL110" s="25" t="e">
        <f t="shared" si="3"/>
        <v>#REF!</v>
      </c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</row>
    <row r="111" spans="2:68" ht="15" customHeight="1">
      <c r="B111" s="12">
        <v>46101</v>
      </c>
      <c r="C111" s="121" t="e">
        <f t="shared" si="2"/>
        <v>#REF!</v>
      </c>
      <c r="D111" s="121" t="e">
        <f>SUMIFS(#REF!,#REF!,Extrato!$B111,#REF!,Extrato!D$3)</f>
        <v>#REF!</v>
      </c>
      <c r="E111" s="121" t="e">
        <f>SUMIFS(#REF!,#REF!,Extrato!$B111,#REF!,Extrato!E$3)</f>
        <v>#REF!</v>
      </c>
      <c r="F111" s="121" t="e">
        <f>SUMIFS(#REF!,#REF!,Extrato!$B111,#REF!,Extrato!F$3)</f>
        <v>#REF!</v>
      </c>
      <c r="G111" s="121" t="e">
        <f>SUMIFS(#REF!,#REF!,Extrato!$B111,#REF!,Extrato!G$3)</f>
        <v>#REF!</v>
      </c>
      <c r="H111" s="121" t="e">
        <f>SUMIFS(#REF!,#REF!,Extrato!$B111,#REF!,Extrato!H$3)</f>
        <v>#REF!</v>
      </c>
      <c r="I111" s="121" t="e">
        <f>SUMIFS(#REF!,#REF!,Extrato!$B111,#REF!,Extrato!I$3)</f>
        <v>#REF!</v>
      </c>
      <c r="J111" s="121" t="e">
        <f>SUMIFS(#REF!,#REF!,Extrato!$B111,#REF!,Extrato!J$3)</f>
        <v>#REF!</v>
      </c>
      <c r="K111" s="121" t="e">
        <f>SUMIFS(#REF!,#REF!,Extrato!$B111,#REF!,Extrato!K$3)</f>
        <v>#REF!</v>
      </c>
      <c r="L111" s="121" t="e">
        <f>SUMIFS(#REF!,#REF!,Extrato!$B111,#REF!,Extrato!L$3)</f>
        <v>#REF!</v>
      </c>
      <c r="M111" s="121" t="e">
        <f>SUMIFS(#REF!,#REF!,Extrato!$B111,#REF!,Extrato!M$3)</f>
        <v>#REF!</v>
      </c>
      <c r="N111" s="121" t="e">
        <f>SUMIFS(#REF!,#REF!,Extrato!$B111,#REF!,Extrato!N$3)</f>
        <v>#REF!</v>
      </c>
      <c r="O111" s="121" t="e">
        <f>SUMIFS(#REF!,#REF!,Extrato!$B111,#REF!,Extrato!O$3)</f>
        <v>#REF!</v>
      </c>
      <c r="P111" s="121">
        <f>SUMIF(BetFlow!B:B,B111,BetFlow!J:J)</f>
        <v>0</v>
      </c>
      <c r="Q111" s="121" t="e">
        <f>SUMIFS(#REF!,#REF!,Extrato!$B111,#REF!,Extrato!Q$3)</f>
        <v>#REF!</v>
      </c>
      <c r="R111" s="121" t="e">
        <f>SUMIFS(#REF!,#REF!,Extrato!$B111,#REF!,Extrato!R$3)</f>
        <v>#REF!</v>
      </c>
      <c r="S111" s="121" t="e">
        <f>SUMIFS(#REF!,#REF!,Extrato!$B111,#REF!,Extrato!S$3)</f>
        <v>#REF!</v>
      </c>
      <c r="T111" s="121" t="e">
        <f>SUMIFS(#REF!,#REF!,Extrato!$B111,#REF!,Extrato!T$3)</f>
        <v>#REF!</v>
      </c>
      <c r="U111" s="121" t="e">
        <f>SUMIFS(#REF!,#REF!,Extrato!$B111,#REF!,Extrato!U$3)</f>
        <v>#REF!</v>
      </c>
      <c r="V111" s="121" t="e">
        <f>SUMIFS(#REF!,#REF!,Extrato!$B111,#REF!,Extrato!V$3)</f>
        <v>#REF!</v>
      </c>
      <c r="W111" s="121" t="e">
        <f>SUMIFS(#REF!,#REF!,Extrato!$B111,#REF!,Extrato!W$3)</f>
        <v>#REF!</v>
      </c>
      <c r="X111" s="121" t="e">
        <f>SUMIFS(#REF!,#REF!,Extrato!$B111,#REF!,Extrato!X$3)</f>
        <v>#REF!</v>
      </c>
      <c r="Y111" s="121" t="e">
        <f>SUMIFS(#REF!,#REF!,Extrato!$B111,#REF!,Extrato!Y$3)</f>
        <v>#REF!</v>
      </c>
      <c r="Z111" s="121" t="e">
        <f>SUMIFS(#REF!,#REF!,Extrato!$B111,#REF!,Extrato!Z$3)</f>
        <v>#REF!</v>
      </c>
      <c r="AA111" s="121" t="e">
        <f>SUMIFS(#REF!,#REF!,Extrato!$B111,#REF!,Extrato!AA$3)</f>
        <v>#REF!</v>
      </c>
      <c r="AB111" s="121" t="e">
        <f>SUMIFS(#REF!,#REF!,Extrato!$B111,#REF!,Extrato!AB$3)</f>
        <v>#REF!</v>
      </c>
      <c r="AC111" s="121" t="e">
        <f>SUMIFS(#REF!,#REF!,Extrato!$B111,#REF!,Extrato!AC$3)</f>
        <v>#REF!</v>
      </c>
      <c r="AD111" s="121" t="e">
        <f>SUMIFS(#REF!,#REF!,Extrato!$B111,#REF!,Extrato!AD$3)</f>
        <v>#REF!</v>
      </c>
      <c r="AE111" s="121" t="e">
        <f>SUMIFS(#REF!,#REF!,Extrato!$B111,#REF!,Extrato!AE$3)</f>
        <v>#REF!</v>
      </c>
      <c r="AF111" s="121" t="e">
        <f>SUMIFS(#REF!,#REF!,Extrato!$B111,#REF!,Extrato!AF$3)</f>
        <v>#REF!</v>
      </c>
      <c r="AG111" s="121" t="e">
        <f>SUMIFS(#REF!,#REF!,Extrato!$B111,#REF!,Extrato!AG$3)</f>
        <v>#REF!</v>
      </c>
      <c r="AH111" s="121" t="e">
        <f>SUMIFS(#REF!,#REF!,Extrato!$B111,#REF!,Extrato!AH$3)</f>
        <v>#REF!</v>
      </c>
      <c r="AI111" s="121" t="e">
        <f>SUMIFS(#REF!,#REF!,Extrato!$B111,#REF!,Extrato!AI$3)</f>
        <v>#REF!</v>
      </c>
      <c r="AJ111" s="121">
        <v>0</v>
      </c>
      <c r="AK111" s="121">
        <v>-0.01</v>
      </c>
      <c r="AL111" s="25" t="e">
        <f t="shared" si="3"/>
        <v>#REF!</v>
      </c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</row>
    <row r="112" spans="2:68" ht="15" customHeight="1">
      <c r="B112" s="12">
        <v>46102</v>
      </c>
      <c r="C112" s="121" t="e">
        <f t="shared" si="2"/>
        <v>#REF!</v>
      </c>
      <c r="D112" s="121" t="e">
        <f>SUMIFS(#REF!,#REF!,Extrato!$B112,#REF!,Extrato!D$3)</f>
        <v>#REF!</v>
      </c>
      <c r="E112" s="121" t="e">
        <f>SUMIFS(#REF!,#REF!,Extrato!$B112,#REF!,Extrato!E$3)</f>
        <v>#REF!</v>
      </c>
      <c r="F112" s="121" t="e">
        <f>SUMIFS(#REF!,#REF!,Extrato!$B112,#REF!,Extrato!F$3)</f>
        <v>#REF!</v>
      </c>
      <c r="G112" s="121" t="e">
        <f>SUMIFS(#REF!,#REF!,Extrato!$B112,#REF!,Extrato!G$3)</f>
        <v>#REF!</v>
      </c>
      <c r="H112" s="121" t="e">
        <f>SUMIFS(#REF!,#REF!,Extrato!$B112,#REF!,Extrato!H$3)</f>
        <v>#REF!</v>
      </c>
      <c r="I112" s="121" t="e">
        <f>SUMIFS(#REF!,#REF!,Extrato!$B112,#REF!,Extrato!I$3)</f>
        <v>#REF!</v>
      </c>
      <c r="J112" s="121" t="e">
        <f>SUMIFS(#REF!,#REF!,Extrato!$B112,#REF!,Extrato!J$3)</f>
        <v>#REF!</v>
      </c>
      <c r="K112" s="121" t="e">
        <f>SUMIFS(#REF!,#REF!,Extrato!$B112,#REF!,Extrato!K$3)</f>
        <v>#REF!</v>
      </c>
      <c r="L112" s="121" t="e">
        <f>SUMIFS(#REF!,#REF!,Extrato!$B112,#REF!,Extrato!L$3)</f>
        <v>#REF!</v>
      </c>
      <c r="M112" s="121" t="e">
        <f>SUMIFS(#REF!,#REF!,Extrato!$B112,#REF!,Extrato!M$3)</f>
        <v>#REF!</v>
      </c>
      <c r="N112" s="121" t="e">
        <f>SUMIFS(#REF!,#REF!,Extrato!$B112,#REF!,Extrato!N$3)</f>
        <v>#REF!</v>
      </c>
      <c r="O112" s="121" t="e">
        <f>SUMIFS(#REF!,#REF!,Extrato!$B112,#REF!,Extrato!O$3)</f>
        <v>#REF!</v>
      </c>
      <c r="P112" s="121">
        <f>SUMIF(BetFlow!B:B,B112,BetFlow!J:J)</f>
        <v>0</v>
      </c>
      <c r="Q112" s="121" t="e">
        <f>SUMIFS(#REF!,#REF!,Extrato!$B112,#REF!,Extrato!Q$3)</f>
        <v>#REF!</v>
      </c>
      <c r="R112" s="121" t="e">
        <f>SUMIFS(#REF!,#REF!,Extrato!$B112,#REF!,Extrato!R$3)</f>
        <v>#REF!</v>
      </c>
      <c r="S112" s="121" t="e">
        <f>SUMIFS(#REF!,#REF!,Extrato!$B112,#REF!,Extrato!S$3)</f>
        <v>#REF!</v>
      </c>
      <c r="T112" s="121" t="e">
        <f>SUMIFS(#REF!,#REF!,Extrato!$B112,#REF!,Extrato!T$3)</f>
        <v>#REF!</v>
      </c>
      <c r="U112" s="121" t="e">
        <f>SUMIFS(#REF!,#REF!,Extrato!$B112,#REF!,Extrato!U$3)</f>
        <v>#REF!</v>
      </c>
      <c r="V112" s="121" t="e">
        <f>SUMIFS(#REF!,#REF!,Extrato!$B112,#REF!,Extrato!V$3)</f>
        <v>#REF!</v>
      </c>
      <c r="W112" s="121" t="e">
        <f>SUMIFS(#REF!,#REF!,Extrato!$B112,#REF!,Extrato!W$3)</f>
        <v>#REF!</v>
      </c>
      <c r="X112" s="121" t="e">
        <f>SUMIFS(#REF!,#REF!,Extrato!$B112,#REF!,Extrato!X$3)</f>
        <v>#REF!</v>
      </c>
      <c r="Y112" s="121" t="e">
        <f>SUMIFS(#REF!,#REF!,Extrato!$B112,#REF!,Extrato!Y$3)</f>
        <v>#REF!</v>
      </c>
      <c r="Z112" s="121" t="e">
        <f>SUMIFS(#REF!,#REF!,Extrato!$B112,#REF!,Extrato!Z$3)</f>
        <v>#REF!</v>
      </c>
      <c r="AA112" s="121" t="e">
        <f>SUMIFS(#REF!,#REF!,Extrato!$B112,#REF!,Extrato!AA$3)</f>
        <v>#REF!</v>
      </c>
      <c r="AB112" s="121" t="e">
        <f>SUMIFS(#REF!,#REF!,Extrato!$B112,#REF!,Extrato!AB$3)</f>
        <v>#REF!</v>
      </c>
      <c r="AC112" s="121" t="e">
        <f>SUMIFS(#REF!,#REF!,Extrato!$B112,#REF!,Extrato!AC$3)</f>
        <v>#REF!</v>
      </c>
      <c r="AD112" s="121" t="e">
        <f>SUMIFS(#REF!,#REF!,Extrato!$B112,#REF!,Extrato!AD$3)</f>
        <v>#REF!</v>
      </c>
      <c r="AE112" s="121" t="e">
        <f>SUMIFS(#REF!,#REF!,Extrato!$B112,#REF!,Extrato!AE$3)</f>
        <v>#REF!</v>
      </c>
      <c r="AF112" s="121" t="e">
        <f>SUMIFS(#REF!,#REF!,Extrato!$B112,#REF!,Extrato!AF$3)</f>
        <v>#REF!</v>
      </c>
      <c r="AG112" s="121" t="e">
        <f>SUMIFS(#REF!,#REF!,Extrato!$B112,#REF!,Extrato!AG$3)</f>
        <v>#REF!</v>
      </c>
      <c r="AH112" s="121" t="e">
        <f>SUMIFS(#REF!,#REF!,Extrato!$B112,#REF!,Extrato!AH$3)</f>
        <v>#REF!</v>
      </c>
      <c r="AI112" s="121" t="e">
        <f>SUMIFS(#REF!,#REF!,Extrato!$B112,#REF!,Extrato!AI$3)</f>
        <v>#REF!</v>
      </c>
      <c r="AJ112" s="121">
        <v>0</v>
      </c>
      <c r="AK112" s="121">
        <v>0.01</v>
      </c>
      <c r="AL112" s="25" t="e">
        <f t="shared" si="3"/>
        <v>#REF!</v>
      </c>
      <c r="AM112" s="122"/>
      <c r="AN112" s="122"/>
      <c r="AO112" s="122"/>
      <c r="AP112" s="122"/>
      <c r="AQ112" s="122"/>
      <c r="AR112" s="122"/>
      <c r="AS112" s="122"/>
      <c r="AT112" s="122"/>
      <c r="AU112" s="122"/>
      <c r="AV112" s="122"/>
      <c r="AW112" s="122"/>
      <c r="AX112" s="122"/>
      <c r="AY112" s="122"/>
      <c r="AZ112" s="122"/>
      <c r="BA112" s="122"/>
      <c r="BB112" s="122"/>
      <c r="BC112" s="122"/>
      <c r="BD112" s="122"/>
      <c r="BE112" s="122"/>
      <c r="BF112" s="122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/>
    </row>
    <row r="113" spans="2:68" ht="15" customHeight="1">
      <c r="B113" s="12">
        <v>46103</v>
      </c>
      <c r="C113" s="121" t="e">
        <f t="shared" si="2"/>
        <v>#REF!</v>
      </c>
      <c r="D113" s="121" t="e">
        <f>SUMIFS(#REF!,#REF!,Extrato!$B113,#REF!,Extrato!D$3)</f>
        <v>#REF!</v>
      </c>
      <c r="E113" s="121" t="e">
        <f>SUMIFS(#REF!,#REF!,Extrato!$B113,#REF!,Extrato!E$3)</f>
        <v>#REF!</v>
      </c>
      <c r="F113" s="121" t="e">
        <f>SUMIFS(#REF!,#REF!,Extrato!$B113,#REF!,Extrato!F$3)</f>
        <v>#REF!</v>
      </c>
      <c r="G113" s="121" t="e">
        <f>SUMIFS(#REF!,#REF!,Extrato!$B113,#REF!,Extrato!G$3)</f>
        <v>#REF!</v>
      </c>
      <c r="H113" s="121" t="e">
        <f>SUMIFS(#REF!,#REF!,Extrato!$B113,#REF!,Extrato!H$3)</f>
        <v>#REF!</v>
      </c>
      <c r="I113" s="121" t="e">
        <f>SUMIFS(#REF!,#REF!,Extrato!$B113,#REF!,Extrato!I$3)</f>
        <v>#REF!</v>
      </c>
      <c r="J113" s="121" t="e">
        <f>SUMIFS(#REF!,#REF!,Extrato!$B113,#REF!,Extrato!J$3)</f>
        <v>#REF!</v>
      </c>
      <c r="K113" s="121" t="e">
        <f>SUMIFS(#REF!,#REF!,Extrato!$B113,#REF!,Extrato!K$3)</f>
        <v>#REF!</v>
      </c>
      <c r="L113" s="121" t="e">
        <f>SUMIFS(#REF!,#REF!,Extrato!$B113,#REF!,Extrato!L$3)</f>
        <v>#REF!</v>
      </c>
      <c r="M113" s="121" t="e">
        <f>SUMIFS(#REF!,#REF!,Extrato!$B113,#REF!,Extrato!M$3)</f>
        <v>#REF!</v>
      </c>
      <c r="N113" s="121" t="e">
        <f>SUMIFS(#REF!,#REF!,Extrato!$B113,#REF!,Extrato!N$3)</f>
        <v>#REF!</v>
      </c>
      <c r="O113" s="121" t="e">
        <f>SUMIFS(#REF!,#REF!,Extrato!$B113,#REF!,Extrato!O$3)</f>
        <v>#REF!</v>
      </c>
      <c r="P113" s="121">
        <f>SUMIF(BetFlow!B:B,B113,BetFlow!J:J)</f>
        <v>0</v>
      </c>
      <c r="Q113" s="121" t="e">
        <f>SUMIFS(#REF!,#REF!,Extrato!$B113,#REF!,Extrato!Q$3)</f>
        <v>#REF!</v>
      </c>
      <c r="R113" s="121" t="e">
        <f>SUMIFS(#REF!,#REF!,Extrato!$B113,#REF!,Extrato!R$3)</f>
        <v>#REF!</v>
      </c>
      <c r="S113" s="121" t="e">
        <f>SUMIFS(#REF!,#REF!,Extrato!$B113,#REF!,Extrato!S$3)</f>
        <v>#REF!</v>
      </c>
      <c r="T113" s="121" t="e">
        <f>SUMIFS(#REF!,#REF!,Extrato!$B113,#REF!,Extrato!T$3)</f>
        <v>#REF!</v>
      </c>
      <c r="U113" s="121" t="e">
        <f>SUMIFS(#REF!,#REF!,Extrato!$B113,#REF!,Extrato!U$3)</f>
        <v>#REF!</v>
      </c>
      <c r="V113" s="121" t="e">
        <f>SUMIFS(#REF!,#REF!,Extrato!$B113,#REF!,Extrato!V$3)</f>
        <v>#REF!</v>
      </c>
      <c r="W113" s="121" t="e">
        <f>SUMIFS(#REF!,#REF!,Extrato!$B113,#REF!,Extrato!W$3)</f>
        <v>#REF!</v>
      </c>
      <c r="X113" s="121" t="e">
        <f>SUMIFS(#REF!,#REF!,Extrato!$B113,#REF!,Extrato!X$3)</f>
        <v>#REF!</v>
      </c>
      <c r="Y113" s="121" t="e">
        <f>SUMIFS(#REF!,#REF!,Extrato!$B113,#REF!,Extrato!Y$3)</f>
        <v>#REF!</v>
      </c>
      <c r="Z113" s="121" t="e">
        <f>SUMIFS(#REF!,#REF!,Extrato!$B113,#REF!,Extrato!Z$3)</f>
        <v>#REF!</v>
      </c>
      <c r="AA113" s="121" t="e">
        <f>SUMIFS(#REF!,#REF!,Extrato!$B113,#REF!,Extrato!AA$3)</f>
        <v>#REF!</v>
      </c>
      <c r="AB113" s="121" t="e">
        <f>SUMIFS(#REF!,#REF!,Extrato!$B113,#REF!,Extrato!AB$3)</f>
        <v>#REF!</v>
      </c>
      <c r="AC113" s="121" t="e">
        <f>SUMIFS(#REF!,#REF!,Extrato!$B113,#REF!,Extrato!AC$3)</f>
        <v>#REF!</v>
      </c>
      <c r="AD113" s="121" t="e">
        <f>SUMIFS(#REF!,#REF!,Extrato!$B113,#REF!,Extrato!AD$3)</f>
        <v>#REF!</v>
      </c>
      <c r="AE113" s="121" t="e">
        <f>SUMIFS(#REF!,#REF!,Extrato!$B113,#REF!,Extrato!AE$3)</f>
        <v>#REF!</v>
      </c>
      <c r="AF113" s="121" t="e">
        <f>SUMIFS(#REF!,#REF!,Extrato!$B113,#REF!,Extrato!AF$3)</f>
        <v>#REF!</v>
      </c>
      <c r="AG113" s="121" t="e">
        <f>SUMIFS(#REF!,#REF!,Extrato!$B113,#REF!,Extrato!AG$3)</f>
        <v>#REF!</v>
      </c>
      <c r="AH113" s="121" t="e">
        <f>SUMIFS(#REF!,#REF!,Extrato!$B113,#REF!,Extrato!AH$3)</f>
        <v>#REF!</v>
      </c>
      <c r="AI113" s="121" t="e">
        <f>SUMIFS(#REF!,#REF!,Extrato!$B113,#REF!,Extrato!AI$3)</f>
        <v>#REF!</v>
      </c>
      <c r="AJ113" s="121">
        <v>0</v>
      </c>
      <c r="AK113" s="121">
        <v>0.01</v>
      </c>
      <c r="AL113" s="25" t="e">
        <f t="shared" si="3"/>
        <v>#REF!</v>
      </c>
      <c r="AM113" s="122"/>
      <c r="AN113" s="122"/>
      <c r="AO113" s="122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  <c r="BM113" s="122"/>
      <c r="BN113" s="122"/>
      <c r="BO113" s="122"/>
      <c r="BP113" s="122"/>
    </row>
    <row r="114" spans="2:68" ht="15" customHeight="1">
      <c r="B114" s="12">
        <v>46104</v>
      </c>
      <c r="C114" s="121" t="e">
        <f t="shared" si="2"/>
        <v>#REF!</v>
      </c>
      <c r="D114" s="121" t="e">
        <f>SUMIFS(#REF!,#REF!,Extrato!$B114,#REF!,Extrato!D$3)</f>
        <v>#REF!</v>
      </c>
      <c r="E114" s="121" t="e">
        <f>SUMIFS(#REF!,#REF!,Extrato!$B114,#REF!,Extrato!E$3)</f>
        <v>#REF!</v>
      </c>
      <c r="F114" s="121" t="e">
        <f>SUMIFS(#REF!,#REF!,Extrato!$B114,#REF!,Extrato!F$3)</f>
        <v>#REF!</v>
      </c>
      <c r="G114" s="121" t="e">
        <f>SUMIFS(#REF!,#REF!,Extrato!$B114,#REF!,Extrato!G$3)</f>
        <v>#REF!</v>
      </c>
      <c r="H114" s="121" t="e">
        <f>SUMIFS(#REF!,#REF!,Extrato!$B114,#REF!,Extrato!H$3)</f>
        <v>#REF!</v>
      </c>
      <c r="I114" s="121" t="e">
        <f>SUMIFS(#REF!,#REF!,Extrato!$B114,#REF!,Extrato!I$3)</f>
        <v>#REF!</v>
      </c>
      <c r="J114" s="121" t="e">
        <f>SUMIFS(#REF!,#REF!,Extrato!$B114,#REF!,Extrato!J$3)</f>
        <v>#REF!</v>
      </c>
      <c r="K114" s="121" t="e">
        <f>SUMIFS(#REF!,#REF!,Extrato!$B114,#REF!,Extrato!K$3)</f>
        <v>#REF!</v>
      </c>
      <c r="L114" s="121" t="e">
        <f>SUMIFS(#REF!,#REF!,Extrato!$B114,#REF!,Extrato!L$3)</f>
        <v>#REF!</v>
      </c>
      <c r="M114" s="121" t="e">
        <f>SUMIFS(#REF!,#REF!,Extrato!$B114,#REF!,Extrato!M$3)</f>
        <v>#REF!</v>
      </c>
      <c r="N114" s="121" t="e">
        <f>SUMIFS(#REF!,#REF!,Extrato!$B114,#REF!,Extrato!N$3)</f>
        <v>#REF!</v>
      </c>
      <c r="O114" s="121" t="e">
        <f>SUMIFS(#REF!,#REF!,Extrato!$B114,#REF!,Extrato!O$3)</f>
        <v>#REF!</v>
      </c>
      <c r="P114" s="121">
        <f>SUMIF(BetFlow!B:B,B114,BetFlow!J:J)</f>
        <v>0</v>
      </c>
      <c r="Q114" s="121" t="e">
        <f>SUMIFS(#REF!,#REF!,Extrato!$B114,#REF!,Extrato!Q$3)</f>
        <v>#REF!</v>
      </c>
      <c r="R114" s="121" t="e">
        <f>SUMIFS(#REF!,#REF!,Extrato!$B114,#REF!,Extrato!R$3)</f>
        <v>#REF!</v>
      </c>
      <c r="S114" s="121" t="e">
        <f>SUMIFS(#REF!,#REF!,Extrato!$B114,#REF!,Extrato!S$3)</f>
        <v>#REF!</v>
      </c>
      <c r="T114" s="121" t="e">
        <f>SUMIFS(#REF!,#REF!,Extrato!$B114,#REF!,Extrato!T$3)</f>
        <v>#REF!</v>
      </c>
      <c r="U114" s="121" t="e">
        <f>SUMIFS(#REF!,#REF!,Extrato!$B114,#REF!,Extrato!U$3)</f>
        <v>#REF!</v>
      </c>
      <c r="V114" s="121" t="e">
        <f>SUMIFS(#REF!,#REF!,Extrato!$B114,#REF!,Extrato!V$3)</f>
        <v>#REF!</v>
      </c>
      <c r="W114" s="121" t="e">
        <f>SUMIFS(#REF!,#REF!,Extrato!$B114,#REF!,Extrato!W$3)</f>
        <v>#REF!</v>
      </c>
      <c r="X114" s="121" t="e">
        <f>SUMIFS(#REF!,#REF!,Extrato!$B114,#REF!,Extrato!X$3)</f>
        <v>#REF!</v>
      </c>
      <c r="Y114" s="121" t="e">
        <f>SUMIFS(#REF!,#REF!,Extrato!$B114,#REF!,Extrato!Y$3)</f>
        <v>#REF!</v>
      </c>
      <c r="Z114" s="121" t="e">
        <f>SUMIFS(#REF!,#REF!,Extrato!$B114,#REF!,Extrato!Z$3)</f>
        <v>#REF!</v>
      </c>
      <c r="AA114" s="121" t="e">
        <f>SUMIFS(#REF!,#REF!,Extrato!$B114,#REF!,Extrato!AA$3)</f>
        <v>#REF!</v>
      </c>
      <c r="AB114" s="121" t="e">
        <f>SUMIFS(#REF!,#REF!,Extrato!$B114,#REF!,Extrato!AB$3)</f>
        <v>#REF!</v>
      </c>
      <c r="AC114" s="121" t="e">
        <f>SUMIFS(#REF!,#REF!,Extrato!$B114,#REF!,Extrato!AC$3)</f>
        <v>#REF!</v>
      </c>
      <c r="AD114" s="121" t="e">
        <f>SUMIFS(#REF!,#REF!,Extrato!$B114,#REF!,Extrato!AD$3)</f>
        <v>#REF!</v>
      </c>
      <c r="AE114" s="121" t="e">
        <f>SUMIFS(#REF!,#REF!,Extrato!$B114,#REF!,Extrato!AE$3)</f>
        <v>#REF!</v>
      </c>
      <c r="AF114" s="121" t="e">
        <f>SUMIFS(#REF!,#REF!,Extrato!$B114,#REF!,Extrato!AF$3)</f>
        <v>#REF!</v>
      </c>
      <c r="AG114" s="121" t="e">
        <f>SUMIFS(#REF!,#REF!,Extrato!$B114,#REF!,Extrato!AG$3)</f>
        <v>#REF!</v>
      </c>
      <c r="AH114" s="121" t="e">
        <f>SUMIFS(#REF!,#REF!,Extrato!$B114,#REF!,Extrato!AH$3)</f>
        <v>#REF!</v>
      </c>
      <c r="AI114" s="121" t="e">
        <f>SUMIFS(#REF!,#REF!,Extrato!$B114,#REF!,Extrato!AI$3)</f>
        <v>#REF!</v>
      </c>
      <c r="AJ114" s="121">
        <v>0</v>
      </c>
      <c r="AK114" s="121"/>
      <c r="AL114" s="25" t="e">
        <f t="shared" si="3"/>
        <v>#REF!</v>
      </c>
      <c r="AM114" s="122"/>
      <c r="AN114" s="122"/>
      <c r="AO114" s="122"/>
      <c r="AP114" s="122"/>
      <c r="AQ114" s="122"/>
      <c r="AR114" s="122"/>
      <c r="AS114" s="122"/>
      <c r="AT114" s="122"/>
      <c r="AU114" s="122"/>
      <c r="AV114" s="122"/>
      <c r="AW114" s="122"/>
      <c r="AX114" s="122"/>
      <c r="AY114" s="122"/>
      <c r="AZ114" s="122"/>
      <c r="BA114" s="122"/>
      <c r="BB114" s="122"/>
      <c r="BC114" s="122"/>
      <c r="BD114" s="122"/>
      <c r="BE114" s="122"/>
      <c r="BF114" s="122"/>
      <c r="BG114" s="122"/>
      <c r="BH114" s="122"/>
      <c r="BI114" s="122"/>
      <c r="BJ114" s="122"/>
      <c r="BK114" s="122"/>
      <c r="BL114" s="122"/>
      <c r="BM114" s="122"/>
      <c r="BN114" s="122"/>
      <c r="BO114" s="122"/>
      <c r="BP114" s="122"/>
    </row>
    <row r="115" spans="2:68" ht="15" customHeight="1">
      <c r="B115" s="12">
        <v>46105</v>
      </c>
      <c r="C115" s="121" t="e">
        <f t="shared" si="2"/>
        <v>#REF!</v>
      </c>
      <c r="D115" s="121" t="e">
        <f>SUMIFS(#REF!,#REF!,Extrato!$B115,#REF!,Extrato!D$3)</f>
        <v>#REF!</v>
      </c>
      <c r="E115" s="121" t="e">
        <f>SUMIFS(#REF!,#REF!,Extrato!$B115,#REF!,Extrato!E$3)</f>
        <v>#REF!</v>
      </c>
      <c r="F115" s="121" t="e">
        <f>SUMIFS(#REF!,#REF!,Extrato!$B115,#REF!,Extrato!F$3)</f>
        <v>#REF!</v>
      </c>
      <c r="G115" s="121" t="e">
        <f>SUMIFS(#REF!,#REF!,Extrato!$B115,#REF!,Extrato!G$3)</f>
        <v>#REF!</v>
      </c>
      <c r="H115" s="121" t="e">
        <f>SUMIFS(#REF!,#REF!,Extrato!$B115,#REF!,Extrato!H$3)</f>
        <v>#REF!</v>
      </c>
      <c r="I115" s="121" t="e">
        <f>SUMIFS(#REF!,#REF!,Extrato!$B115,#REF!,Extrato!I$3)</f>
        <v>#REF!</v>
      </c>
      <c r="J115" s="121" t="e">
        <f>SUMIFS(#REF!,#REF!,Extrato!$B115,#REF!,Extrato!J$3)</f>
        <v>#REF!</v>
      </c>
      <c r="K115" s="121" t="e">
        <f>SUMIFS(#REF!,#REF!,Extrato!$B115,#REF!,Extrato!K$3)</f>
        <v>#REF!</v>
      </c>
      <c r="L115" s="121" t="e">
        <f>SUMIFS(#REF!,#REF!,Extrato!$B115,#REF!,Extrato!L$3)</f>
        <v>#REF!</v>
      </c>
      <c r="M115" s="121" t="e">
        <f>SUMIFS(#REF!,#REF!,Extrato!$B115,#REF!,Extrato!M$3)</f>
        <v>#REF!</v>
      </c>
      <c r="N115" s="121" t="e">
        <f>SUMIFS(#REF!,#REF!,Extrato!$B115,#REF!,Extrato!N$3)</f>
        <v>#REF!</v>
      </c>
      <c r="O115" s="121" t="e">
        <f>SUMIFS(#REF!,#REF!,Extrato!$B115,#REF!,Extrato!O$3)</f>
        <v>#REF!</v>
      </c>
      <c r="P115" s="121">
        <f>SUMIF(BetFlow!B:B,B115,BetFlow!J:J)</f>
        <v>0</v>
      </c>
      <c r="Q115" s="121" t="e">
        <f>SUMIFS(#REF!,#REF!,Extrato!$B115,#REF!,Extrato!Q$3)</f>
        <v>#REF!</v>
      </c>
      <c r="R115" s="121" t="e">
        <f>SUMIFS(#REF!,#REF!,Extrato!$B115,#REF!,Extrato!R$3)</f>
        <v>#REF!</v>
      </c>
      <c r="S115" s="121" t="e">
        <f>SUMIFS(#REF!,#REF!,Extrato!$B115,#REF!,Extrato!S$3)</f>
        <v>#REF!</v>
      </c>
      <c r="T115" s="121" t="e">
        <f>SUMIFS(#REF!,#REF!,Extrato!$B115,#REF!,Extrato!T$3)</f>
        <v>#REF!</v>
      </c>
      <c r="U115" s="121" t="e">
        <f>SUMIFS(#REF!,#REF!,Extrato!$B115,#REF!,Extrato!U$3)</f>
        <v>#REF!</v>
      </c>
      <c r="V115" s="121" t="e">
        <f>SUMIFS(#REF!,#REF!,Extrato!$B115,#REF!,Extrato!V$3)</f>
        <v>#REF!</v>
      </c>
      <c r="W115" s="121" t="e">
        <f>SUMIFS(#REF!,#REF!,Extrato!$B115,#REF!,Extrato!W$3)</f>
        <v>#REF!</v>
      </c>
      <c r="X115" s="121" t="e">
        <f>SUMIFS(#REF!,#REF!,Extrato!$B115,#REF!,Extrato!X$3)</f>
        <v>#REF!</v>
      </c>
      <c r="Y115" s="121" t="e">
        <f>SUMIFS(#REF!,#REF!,Extrato!$B115,#REF!,Extrato!Y$3)</f>
        <v>#REF!</v>
      </c>
      <c r="Z115" s="121" t="e">
        <f>SUMIFS(#REF!,#REF!,Extrato!$B115,#REF!,Extrato!Z$3)</f>
        <v>#REF!</v>
      </c>
      <c r="AA115" s="121" t="e">
        <f>SUMIFS(#REF!,#REF!,Extrato!$B115,#REF!,Extrato!AA$3)</f>
        <v>#REF!</v>
      </c>
      <c r="AB115" s="121" t="e">
        <f>SUMIFS(#REF!,#REF!,Extrato!$B115,#REF!,Extrato!AB$3)</f>
        <v>#REF!</v>
      </c>
      <c r="AC115" s="121" t="e">
        <f>SUMIFS(#REF!,#REF!,Extrato!$B115,#REF!,Extrato!AC$3)</f>
        <v>#REF!</v>
      </c>
      <c r="AD115" s="121" t="e">
        <f>SUMIFS(#REF!,#REF!,Extrato!$B115,#REF!,Extrato!AD$3)</f>
        <v>#REF!</v>
      </c>
      <c r="AE115" s="121" t="e">
        <f>SUMIFS(#REF!,#REF!,Extrato!$B115,#REF!,Extrato!AE$3)</f>
        <v>#REF!</v>
      </c>
      <c r="AF115" s="121" t="e">
        <f>SUMIFS(#REF!,#REF!,Extrato!$B115,#REF!,Extrato!AF$3)</f>
        <v>#REF!</v>
      </c>
      <c r="AG115" s="121" t="e">
        <f>SUMIFS(#REF!,#REF!,Extrato!$B115,#REF!,Extrato!AG$3)</f>
        <v>#REF!</v>
      </c>
      <c r="AH115" s="121" t="e">
        <f>SUMIFS(#REF!,#REF!,Extrato!$B115,#REF!,Extrato!AH$3)</f>
        <v>#REF!</v>
      </c>
      <c r="AI115" s="121" t="e">
        <f>SUMIFS(#REF!,#REF!,Extrato!$B115,#REF!,Extrato!AI$3)</f>
        <v>#REF!</v>
      </c>
      <c r="AJ115" s="121">
        <v>0</v>
      </c>
      <c r="AK115" s="121"/>
      <c r="AL115" s="25" t="e">
        <f t="shared" si="3"/>
        <v>#REF!</v>
      </c>
      <c r="AM115" s="122"/>
      <c r="AN115" s="122"/>
      <c r="AO115" s="122"/>
      <c r="AP115" s="122"/>
      <c r="AQ115" s="122"/>
      <c r="AR115" s="122"/>
      <c r="AS115" s="122"/>
      <c r="AT115" s="122"/>
      <c r="AU115" s="122"/>
      <c r="AV115" s="122"/>
      <c r="AW115" s="122"/>
      <c r="AX115" s="122"/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</row>
    <row r="116" spans="2:68" ht="15" customHeight="1">
      <c r="B116" s="12">
        <v>46106</v>
      </c>
      <c r="C116" s="121" t="e">
        <f t="shared" si="2"/>
        <v>#REF!</v>
      </c>
      <c r="D116" s="121" t="e">
        <f>SUMIFS(#REF!,#REF!,Extrato!$B116,#REF!,Extrato!D$3)</f>
        <v>#REF!</v>
      </c>
      <c r="E116" s="121" t="e">
        <f>SUMIFS(#REF!,#REF!,Extrato!$B116,#REF!,Extrato!E$3)</f>
        <v>#REF!</v>
      </c>
      <c r="F116" s="121" t="e">
        <f>SUMIFS(#REF!,#REF!,Extrato!$B116,#REF!,Extrato!F$3)</f>
        <v>#REF!</v>
      </c>
      <c r="G116" s="121" t="e">
        <f>SUMIFS(#REF!,#REF!,Extrato!$B116,#REF!,Extrato!G$3)</f>
        <v>#REF!</v>
      </c>
      <c r="H116" s="121" t="e">
        <f>SUMIFS(#REF!,#REF!,Extrato!$B116,#REF!,Extrato!H$3)</f>
        <v>#REF!</v>
      </c>
      <c r="I116" s="121" t="e">
        <f>SUMIFS(#REF!,#REF!,Extrato!$B116,#REF!,Extrato!I$3)</f>
        <v>#REF!</v>
      </c>
      <c r="J116" s="121" t="e">
        <f>SUMIFS(#REF!,#REF!,Extrato!$B116,#REF!,Extrato!J$3)</f>
        <v>#REF!</v>
      </c>
      <c r="K116" s="121" t="e">
        <f>SUMIFS(#REF!,#REF!,Extrato!$B116,#REF!,Extrato!K$3)</f>
        <v>#REF!</v>
      </c>
      <c r="L116" s="121" t="e">
        <f>SUMIFS(#REF!,#REF!,Extrato!$B116,#REF!,Extrato!L$3)</f>
        <v>#REF!</v>
      </c>
      <c r="M116" s="121" t="e">
        <f>SUMIFS(#REF!,#REF!,Extrato!$B116,#REF!,Extrato!M$3)</f>
        <v>#REF!</v>
      </c>
      <c r="N116" s="121" t="e">
        <f>SUMIFS(#REF!,#REF!,Extrato!$B116,#REF!,Extrato!N$3)</f>
        <v>#REF!</v>
      </c>
      <c r="O116" s="121" t="e">
        <f>SUMIFS(#REF!,#REF!,Extrato!$B116,#REF!,Extrato!O$3)</f>
        <v>#REF!</v>
      </c>
      <c r="P116" s="121">
        <f>SUMIF(BetFlow!B:B,B116,BetFlow!J:J)</f>
        <v>0</v>
      </c>
      <c r="Q116" s="121" t="e">
        <f>SUMIFS(#REF!,#REF!,Extrato!$B116,#REF!,Extrato!Q$3)</f>
        <v>#REF!</v>
      </c>
      <c r="R116" s="121" t="e">
        <f>SUMIFS(#REF!,#REF!,Extrato!$B116,#REF!,Extrato!R$3)</f>
        <v>#REF!</v>
      </c>
      <c r="S116" s="121" t="e">
        <f>SUMIFS(#REF!,#REF!,Extrato!$B116,#REF!,Extrato!S$3)</f>
        <v>#REF!</v>
      </c>
      <c r="T116" s="121" t="e">
        <f>SUMIFS(#REF!,#REF!,Extrato!$B116,#REF!,Extrato!T$3)</f>
        <v>#REF!</v>
      </c>
      <c r="U116" s="121" t="e">
        <f>SUMIFS(#REF!,#REF!,Extrato!$B116,#REF!,Extrato!U$3)</f>
        <v>#REF!</v>
      </c>
      <c r="V116" s="121" t="e">
        <f>SUMIFS(#REF!,#REF!,Extrato!$B116,#REF!,Extrato!V$3)</f>
        <v>#REF!</v>
      </c>
      <c r="W116" s="121" t="e">
        <f>SUMIFS(#REF!,#REF!,Extrato!$B116,#REF!,Extrato!W$3)</f>
        <v>#REF!</v>
      </c>
      <c r="X116" s="121" t="e">
        <f>SUMIFS(#REF!,#REF!,Extrato!$B116,#REF!,Extrato!X$3)</f>
        <v>#REF!</v>
      </c>
      <c r="Y116" s="121" t="e">
        <f>SUMIFS(#REF!,#REF!,Extrato!$B116,#REF!,Extrato!Y$3)</f>
        <v>#REF!</v>
      </c>
      <c r="Z116" s="121" t="e">
        <f>SUMIFS(#REF!,#REF!,Extrato!$B116,#REF!,Extrato!Z$3)</f>
        <v>#REF!</v>
      </c>
      <c r="AA116" s="121" t="e">
        <f>SUMIFS(#REF!,#REF!,Extrato!$B116,#REF!,Extrato!AA$3)</f>
        <v>#REF!</v>
      </c>
      <c r="AB116" s="121" t="e">
        <f>SUMIFS(#REF!,#REF!,Extrato!$B116,#REF!,Extrato!AB$3)</f>
        <v>#REF!</v>
      </c>
      <c r="AC116" s="121" t="e">
        <f>SUMIFS(#REF!,#REF!,Extrato!$B116,#REF!,Extrato!AC$3)</f>
        <v>#REF!</v>
      </c>
      <c r="AD116" s="121" t="e">
        <f>SUMIFS(#REF!,#REF!,Extrato!$B116,#REF!,Extrato!AD$3)</f>
        <v>#REF!</v>
      </c>
      <c r="AE116" s="121" t="e">
        <f>SUMIFS(#REF!,#REF!,Extrato!$B116,#REF!,Extrato!AE$3)</f>
        <v>#REF!</v>
      </c>
      <c r="AF116" s="121" t="e">
        <f>SUMIFS(#REF!,#REF!,Extrato!$B116,#REF!,Extrato!AF$3)</f>
        <v>#REF!</v>
      </c>
      <c r="AG116" s="121" t="e">
        <f>SUMIFS(#REF!,#REF!,Extrato!$B116,#REF!,Extrato!AG$3)</f>
        <v>#REF!</v>
      </c>
      <c r="AH116" s="121" t="e">
        <f>SUMIFS(#REF!,#REF!,Extrato!$B116,#REF!,Extrato!AH$3)</f>
        <v>#REF!</v>
      </c>
      <c r="AI116" s="121" t="e">
        <f>SUMIFS(#REF!,#REF!,Extrato!$B116,#REF!,Extrato!AI$3)</f>
        <v>#REF!</v>
      </c>
      <c r="AJ116" s="121">
        <v>0</v>
      </c>
      <c r="AK116" s="121"/>
      <c r="AL116" s="25" t="e">
        <f t="shared" si="3"/>
        <v>#REF!</v>
      </c>
      <c r="AM116" s="122"/>
      <c r="AN116" s="122"/>
      <c r="AO116" s="122"/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  <c r="BE116" s="122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</row>
    <row r="117" spans="2:68" ht="15" customHeight="1">
      <c r="B117" s="12">
        <v>46107</v>
      </c>
      <c r="C117" s="121" t="e">
        <f t="shared" si="2"/>
        <v>#REF!</v>
      </c>
      <c r="D117" s="121" t="e">
        <f>SUMIFS(#REF!,#REF!,Extrato!$B117,#REF!,Extrato!D$3)</f>
        <v>#REF!</v>
      </c>
      <c r="E117" s="121" t="e">
        <f>SUMIFS(#REF!,#REF!,Extrato!$B117,#REF!,Extrato!E$3)</f>
        <v>#REF!</v>
      </c>
      <c r="F117" s="121" t="e">
        <f>SUMIFS(#REF!,#REF!,Extrato!$B117,#REF!,Extrato!F$3)</f>
        <v>#REF!</v>
      </c>
      <c r="G117" s="121" t="e">
        <f>SUMIFS(#REF!,#REF!,Extrato!$B117,#REF!,Extrato!G$3)</f>
        <v>#REF!</v>
      </c>
      <c r="H117" s="121" t="e">
        <f>SUMIFS(#REF!,#REF!,Extrato!$B117,#REF!,Extrato!H$3)</f>
        <v>#REF!</v>
      </c>
      <c r="I117" s="121" t="e">
        <f>SUMIFS(#REF!,#REF!,Extrato!$B117,#REF!,Extrato!I$3)</f>
        <v>#REF!</v>
      </c>
      <c r="J117" s="121" t="e">
        <f>SUMIFS(#REF!,#REF!,Extrato!$B117,#REF!,Extrato!J$3)</f>
        <v>#REF!</v>
      </c>
      <c r="K117" s="121" t="e">
        <f>SUMIFS(#REF!,#REF!,Extrato!$B117,#REF!,Extrato!K$3)</f>
        <v>#REF!</v>
      </c>
      <c r="L117" s="121" t="e">
        <f>SUMIFS(#REF!,#REF!,Extrato!$B117,#REF!,Extrato!L$3)</f>
        <v>#REF!</v>
      </c>
      <c r="M117" s="121" t="e">
        <f>SUMIFS(#REF!,#REF!,Extrato!$B117,#REF!,Extrato!M$3)</f>
        <v>#REF!</v>
      </c>
      <c r="N117" s="121" t="e">
        <f>SUMIFS(#REF!,#REF!,Extrato!$B117,#REF!,Extrato!N$3)</f>
        <v>#REF!</v>
      </c>
      <c r="O117" s="121" t="e">
        <f>SUMIFS(#REF!,#REF!,Extrato!$B117,#REF!,Extrato!O$3)</f>
        <v>#REF!</v>
      </c>
      <c r="P117" s="121">
        <f>SUMIF(BetFlow!B:B,B117,BetFlow!J:J)</f>
        <v>0</v>
      </c>
      <c r="Q117" s="121" t="e">
        <f>SUMIFS(#REF!,#REF!,Extrato!$B117,#REF!,Extrato!Q$3)</f>
        <v>#REF!</v>
      </c>
      <c r="R117" s="121" t="e">
        <f>SUMIFS(#REF!,#REF!,Extrato!$B117,#REF!,Extrato!R$3)</f>
        <v>#REF!</v>
      </c>
      <c r="S117" s="121" t="e">
        <f>SUMIFS(#REF!,#REF!,Extrato!$B117,#REF!,Extrato!S$3)</f>
        <v>#REF!</v>
      </c>
      <c r="T117" s="121" t="e">
        <f>SUMIFS(#REF!,#REF!,Extrato!$B117,#REF!,Extrato!T$3)</f>
        <v>#REF!</v>
      </c>
      <c r="U117" s="121" t="e">
        <f>SUMIFS(#REF!,#REF!,Extrato!$B117,#REF!,Extrato!U$3)</f>
        <v>#REF!</v>
      </c>
      <c r="V117" s="121" t="e">
        <f>SUMIFS(#REF!,#REF!,Extrato!$B117,#REF!,Extrato!V$3)</f>
        <v>#REF!</v>
      </c>
      <c r="W117" s="121" t="e">
        <f>SUMIFS(#REF!,#REF!,Extrato!$B117,#REF!,Extrato!W$3)</f>
        <v>#REF!</v>
      </c>
      <c r="X117" s="121" t="e">
        <f>SUMIFS(#REF!,#REF!,Extrato!$B117,#REF!,Extrato!X$3)</f>
        <v>#REF!</v>
      </c>
      <c r="Y117" s="121" t="e">
        <f>SUMIFS(#REF!,#REF!,Extrato!$B117,#REF!,Extrato!Y$3)</f>
        <v>#REF!</v>
      </c>
      <c r="Z117" s="121" t="e">
        <f>SUMIFS(#REF!,#REF!,Extrato!$B117,#REF!,Extrato!Z$3)</f>
        <v>#REF!</v>
      </c>
      <c r="AA117" s="121" t="e">
        <f>SUMIFS(#REF!,#REF!,Extrato!$B117,#REF!,Extrato!AA$3)</f>
        <v>#REF!</v>
      </c>
      <c r="AB117" s="121" t="e">
        <f>SUMIFS(#REF!,#REF!,Extrato!$B117,#REF!,Extrato!AB$3)</f>
        <v>#REF!</v>
      </c>
      <c r="AC117" s="121" t="e">
        <f>SUMIFS(#REF!,#REF!,Extrato!$B117,#REF!,Extrato!AC$3)</f>
        <v>#REF!</v>
      </c>
      <c r="AD117" s="121" t="e">
        <f>SUMIFS(#REF!,#REF!,Extrato!$B117,#REF!,Extrato!AD$3)</f>
        <v>#REF!</v>
      </c>
      <c r="AE117" s="121" t="e">
        <f>SUMIFS(#REF!,#REF!,Extrato!$B117,#REF!,Extrato!AE$3)</f>
        <v>#REF!</v>
      </c>
      <c r="AF117" s="121" t="e">
        <f>SUMIFS(#REF!,#REF!,Extrato!$B117,#REF!,Extrato!AF$3)</f>
        <v>#REF!</v>
      </c>
      <c r="AG117" s="121" t="e">
        <f>SUMIFS(#REF!,#REF!,Extrato!$B117,#REF!,Extrato!AG$3)</f>
        <v>#REF!</v>
      </c>
      <c r="AH117" s="121" t="e">
        <f>SUMIFS(#REF!,#REF!,Extrato!$B117,#REF!,Extrato!AH$3)</f>
        <v>#REF!</v>
      </c>
      <c r="AI117" s="121" t="e">
        <f>SUMIFS(#REF!,#REF!,Extrato!$B117,#REF!,Extrato!AI$3)</f>
        <v>#REF!</v>
      </c>
      <c r="AJ117" s="121">
        <v>0</v>
      </c>
      <c r="AK117" s="121"/>
      <c r="AL117" s="25" t="e">
        <f t="shared" si="3"/>
        <v>#REF!</v>
      </c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</row>
    <row r="118" spans="2:68" ht="15" customHeight="1">
      <c r="B118" s="12">
        <v>46108</v>
      </c>
      <c r="C118" s="121" t="e">
        <f t="shared" si="2"/>
        <v>#REF!</v>
      </c>
      <c r="D118" s="121" t="e">
        <f>SUMIFS(#REF!,#REF!,Extrato!$B118,#REF!,Extrato!D$3)</f>
        <v>#REF!</v>
      </c>
      <c r="E118" s="121" t="e">
        <f>SUMIFS(#REF!,#REF!,Extrato!$B118,#REF!,Extrato!E$3)</f>
        <v>#REF!</v>
      </c>
      <c r="F118" s="121" t="e">
        <f>SUMIFS(#REF!,#REF!,Extrato!$B118,#REF!,Extrato!F$3)</f>
        <v>#REF!</v>
      </c>
      <c r="G118" s="121" t="e">
        <f>SUMIFS(#REF!,#REF!,Extrato!$B118,#REF!,Extrato!G$3)</f>
        <v>#REF!</v>
      </c>
      <c r="H118" s="121" t="e">
        <f>SUMIFS(#REF!,#REF!,Extrato!$B118,#REF!,Extrato!H$3)</f>
        <v>#REF!</v>
      </c>
      <c r="I118" s="121" t="e">
        <f>SUMIFS(#REF!,#REF!,Extrato!$B118,#REF!,Extrato!I$3)</f>
        <v>#REF!</v>
      </c>
      <c r="J118" s="121" t="e">
        <f>SUMIFS(#REF!,#REF!,Extrato!$B118,#REF!,Extrato!J$3)</f>
        <v>#REF!</v>
      </c>
      <c r="K118" s="121" t="e">
        <f>SUMIFS(#REF!,#REF!,Extrato!$B118,#REF!,Extrato!K$3)</f>
        <v>#REF!</v>
      </c>
      <c r="L118" s="121" t="e">
        <f>SUMIFS(#REF!,#REF!,Extrato!$B118,#REF!,Extrato!L$3)</f>
        <v>#REF!</v>
      </c>
      <c r="M118" s="121" t="e">
        <f>SUMIFS(#REF!,#REF!,Extrato!$B118,#REF!,Extrato!M$3)</f>
        <v>#REF!</v>
      </c>
      <c r="N118" s="121" t="e">
        <f>SUMIFS(#REF!,#REF!,Extrato!$B118,#REF!,Extrato!N$3)</f>
        <v>#REF!</v>
      </c>
      <c r="O118" s="121" t="e">
        <f>SUMIFS(#REF!,#REF!,Extrato!$B118,#REF!,Extrato!O$3)</f>
        <v>#REF!</v>
      </c>
      <c r="P118" s="121">
        <f>SUMIF(BetFlow!B:B,B118,BetFlow!J:J)</f>
        <v>0</v>
      </c>
      <c r="Q118" s="121" t="e">
        <f>SUMIFS(#REF!,#REF!,Extrato!$B118,#REF!,Extrato!Q$3)</f>
        <v>#REF!</v>
      </c>
      <c r="R118" s="121" t="e">
        <f>SUMIFS(#REF!,#REF!,Extrato!$B118,#REF!,Extrato!R$3)</f>
        <v>#REF!</v>
      </c>
      <c r="S118" s="121" t="e">
        <f>SUMIFS(#REF!,#REF!,Extrato!$B118,#REF!,Extrato!S$3)</f>
        <v>#REF!</v>
      </c>
      <c r="T118" s="121" t="e">
        <f>SUMIFS(#REF!,#REF!,Extrato!$B118,#REF!,Extrato!T$3)</f>
        <v>#REF!</v>
      </c>
      <c r="U118" s="121" t="e">
        <f>SUMIFS(#REF!,#REF!,Extrato!$B118,#REF!,Extrato!U$3)</f>
        <v>#REF!</v>
      </c>
      <c r="V118" s="121" t="e">
        <f>SUMIFS(#REF!,#REF!,Extrato!$B118,#REF!,Extrato!V$3)</f>
        <v>#REF!</v>
      </c>
      <c r="W118" s="121" t="e">
        <f>SUMIFS(#REF!,#REF!,Extrato!$B118,#REF!,Extrato!W$3)</f>
        <v>#REF!</v>
      </c>
      <c r="X118" s="121" t="e">
        <f>SUMIFS(#REF!,#REF!,Extrato!$B118,#REF!,Extrato!X$3)</f>
        <v>#REF!</v>
      </c>
      <c r="Y118" s="121" t="e">
        <f>SUMIFS(#REF!,#REF!,Extrato!$B118,#REF!,Extrato!Y$3)</f>
        <v>#REF!</v>
      </c>
      <c r="Z118" s="121" t="e">
        <f>SUMIFS(#REF!,#REF!,Extrato!$B118,#REF!,Extrato!Z$3)</f>
        <v>#REF!</v>
      </c>
      <c r="AA118" s="121" t="e">
        <f>SUMIFS(#REF!,#REF!,Extrato!$B118,#REF!,Extrato!AA$3)</f>
        <v>#REF!</v>
      </c>
      <c r="AB118" s="121" t="e">
        <f>SUMIFS(#REF!,#REF!,Extrato!$B118,#REF!,Extrato!AB$3)</f>
        <v>#REF!</v>
      </c>
      <c r="AC118" s="121" t="e">
        <f>SUMIFS(#REF!,#REF!,Extrato!$B118,#REF!,Extrato!AC$3)</f>
        <v>#REF!</v>
      </c>
      <c r="AD118" s="121" t="e">
        <f>SUMIFS(#REF!,#REF!,Extrato!$B118,#REF!,Extrato!AD$3)</f>
        <v>#REF!</v>
      </c>
      <c r="AE118" s="121" t="e">
        <f>SUMIFS(#REF!,#REF!,Extrato!$B118,#REF!,Extrato!AE$3)</f>
        <v>#REF!</v>
      </c>
      <c r="AF118" s="121" t="e">
        <f>SUMIFS(#REF!,#REF!,Extrato!$B118,#REF!,Extrato!AF$3)</f>
        <v>#REF!</v>
      </c>
      <c r="AG118" s="121" t="e">
        <f>SUMIFS(#REF!,#REF!,Extrato!$B118,#REF!,Extrato!AG$3)</f>
        <v>#REF!</v>
      </c>
      <c r="AH118" s="121" t="e">
        <f>SUMIFS(#REF!,#REF!,Extrato!$B118,#REF!,Extrato!AH$3)</f>
        <v>#REF!</v>
      </c>
      <c r="AI118" s="121" t="e">
        <f>SUMIFS(#REF!,#REF!,Extrato!$B118,#REF!,Extrato!AI$3)</f>
        <v>#REF!</v>
      </c>
      <c r="AJ118" s="121">
        <v>0</v>
      </c>
      <c r="AK118" s="121"/>
      <c r="AL118" s="25" t="e">
        <f t="shared" si="3"/>
        <v>#REF!</v>
      </c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2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</row>
    <row r="119" spans="2:68" ht="15" customHeight="1">
      <c r="B119" s="12">
        <v>46109</v>
      </c>
      <c r="C119" s="121" t="e">
        <f t="shared" si="2"/>
        <v>#REF!</v>
      </c>
      <c r="D119" s="121" t="e">
        <f>SUMIFS(#REF!,#REF!,Extrato!$B119,#REF!,Extrato!D$3)</f>
        <v>#REF!</v>
      </c>
      <c r="E119" s="121" t="e">
        <f>SUMIFS(#REF!,#REF!,Extrato!$B119,#REF!,Extrato!E$3)</f>
        <v>#REF!</v>
      </c>
      <c r="F119" s="121" t="e">
        <f>SUMIFS(#REF!,#REF!,Extrato!$B119,#REF!,Extrato!F$3)</f>
        <v>#REF!</v>
      </c>
      <c r="G119" s="121" t="e">
        <f>SUMIFS(#REF!,#REF!,Extrato!$B119,#REF!,Extrato!G$3)</f>
        <v>#REF!</v>
      </c>
      <c r="H119" s="121" t="e">
        <f>SUMIFS(#REF!,#REF!,Extrato!$B119,#REF!,Extrato!H$3)</f>
        <v>#REF!</v>
      </c>
      <c r="I119" s="121" t="e">
        <f>SUMIFS(#REF!,#REF!,Extrato!$B119,#REF!,Extrato!I$3)</f>
        <v>#REF!</v>
      </c>
      <c r="J119" s="121" t="e">
        <f>SUMIFS(#REF!,#REF!,Extrato!$B119,#REF!,Extrato!J$3)</f>
        <v>#REF!</v>
      </c>
      <c r="K119" s="121" t="e">
        <f>SUMIFS(#REF!,#REF!,Extrato!$B119,#REF!,Extrato!K$3)</f>
        <v>#REF!</v>
      </c>
      <c r="L119" s="121" t="e">
        <f>SUMIFS(#REF!,#REF!,Extrato!$B119,#REF!,Extrato!L$3)</f>
        <v>#REF!</v>
      </c>
      <c r="M119" s="121" t="e">
        <f>SUMIFS(#REF!,#REF!,Extrato!$B119,#REF!,Extrato!M$3)</f>
        <v>#REF!</v>
      </c>
      <c r="N119" s="121" t="e">
        <f>SUMIFS(#REF!,#REF!,Extrato!$B119,#REF!,Extrato!N$3)</f>
        <v>#REF!</v>
      </c>
      <c r="O119" s="121" t="e">
        <f>SUMIFS(#REF!,#REF!,Extrato!$B119,#REF!,Extrato!O$3)</f>
        <v>#REF!</v>
      </c>
      <c r="P119" s="121">
        <f>SUMIF(BetFlow!B:B,B119,BetFlow!J:J)</f>
        <v>0</v>
      </c>
      <c r="Q119" s="121" t="e">
        <f>SUMIFS(#REF!,#REF!,Extrato!$B119,#REF!,Extrato!Q$3)</f>
        <v>#REF!</v>
      </c>
      <c r="R119" s="121" t="e">
        <f>SUMIFS(#REF!,#REF!,Extrato!$B119,#REF!,Extrato!R$3)</f>
        <v>#REF!</v>
      </c>
      <c r="S119" s="121" t="e">
        <f>SUMIFS(#REF!,#REF!,Extrato!$B119,#REF!,Extrato!S$3)</f>
        <v>#REF!</v>
      </c>
      <c r="T119" s="121" t="e">
        <f>SUMIFS(#REF!,#REF!,Extrato!$B119,#REF!,Extrato!T$3)</f>
        <v>#REF!</v>
      </c>
      <c r="U119" s="121" t="e">
        <f>SUMIFS(#REF!,#REF!,Extrato!$B119,#REF!,Extrato!U$3)</f>
        <v>#REF!</v>
      </c>
      <c r="V119" s="121" t="e">
        <f>SUMIFS(#REF!,#REF!,Extrato!$B119,#REF!,Extrato!V$3)</f>
        <v>#REF!</v>
      </c>
      <c r="W119" s="121" t="e">
        <f>SUMIFS(#REF!,#REF!,Extrato!$B119,#REF!,Extrato!W$3)</f>
        <v>#REF!</v>
      </c>
      <c r="X119" s="121" t="e">
        <f>SUMIFS(#REF!,#REF!,Extrato!$B119,#REF!,Extrato!X$3)</f>
        <v>#REF!</v>
      </c>
      <c r="Y119" s="121" t="e">
        <f>SUMIFS(#REF!,#REF!,Extrato!$B119,#REF!,Extrato!Y$3)</f>
        <v>#REF!</v>
      </c>
      <c r="Z119" s="121" t="e">
        <f>SUMIFS(#REF!,#REF!,Extrato!$B119,#REF!,Extrato!Z$3)</f>
        <v>#REF!</v>
      </c>
      <c r="AA119" s="121" t="e">
        <f>SUMIFS(#REF!,#REF!,Extrato!$B119,#REF!,Extrato!AA$3)</f>
        <v>#REF!</v>
      </c>
      <c r="AB119" s="121" t="e">
        <f>SUMIFS(#REF!,#REF!,Extrato!$B119,#REF!,Extrato!AB$3)</f>
        <v>#REF!</v>
      </c>
      <c r="AC119" s="121" t="e">
        <f>SUMIFS(#REF!,#REF!,Extrato!$B119,#REF!,Extrato!AC$3)</f>
        <v>#REF!</v>
      </c>
      <c r="AD119" s="121" t="e">
        <f>SUMIFS(#REF!,#REF!,Extrato!$B119,#REF!,Extrato!AD$3)</f>
        <v>#REF!</v>
      </c>
      <c r="AE119" s="121" t="e">
        <f>SUMIFS(#REF!,#REF!,Extrato!$B119,#REF!,Extrato!AE$3)</f>
        <v>#REF!</v>
      </c>
      <c r="AF119" s="121" t="e">
        <f>SUMIFS(#REF!,#REF!,Extrato!$B119,#REF!,Extrato!AF$3)</f>
        <v>#REF!</v>
      </c>
      <c r="AG119" s="121" t="e">
        <f>SUMIFS(#REF!,#REF!,Extrato!$B119,#REF!,Extrato!AG$3)</f>
        <v>#REF!</v>
      </c>
      <c r="AH119" s="121" t="e">
        <f>SUMIFS(#REF!,#REF!,Extrato!$B119,#REF!,Extrato!AH$3)</f>
        <v>#REF!</v>
      </c>
      <c r="AI119" s="121" t="e">
        <f>SUMIFS(#REF!,#REF!,Extrato!$B119,#REF!,Extrato!AI$3)</f>
        <v>#REF!</v>
      </c>
      <c r="AJ119" s="121">
        <v>0</v>
      </c>
      <c r="AK119" s="121"/>
      <c r="AL119" s="25" t="e">
        <f t="shared" si="3"/>
        <v>#REF!</v>
      </c>
      <c r="AM119" s="122"/>
      <c r="AN119" s="122"/>
      <c r="AO119" s="122"/>
      <c r="AP119" s="122"/>
      <c r="AQ119" s="122"/>
      <c r="AR119" s="122"/>
      <c r="AS119" s="122"/>
      <c r="AT119" s="122"/>
      <c r="AU119" s="122"/>
      <c r="AV119" s="122"/>
      <c r="AW119" s="122"/>
      <c r="AX119" s="122"/>
      <c r="AY119" s="122"/>
      <c r="AZ119" s="122"/>
      <c r="BA119" s="122"/>
      <c r="BB119" s="122"/>
      <c r="BC119" s="122"/>
      <c r="BD119" s="122"/>
      <c r="BE119" s="122"/>
      <c r="BF119" s="122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</row>
    <row r="120" spans="2:68" ht="15" customHeight="1">
      <c r="B120" s="12">
        <v>46110</v>
      </c>
      <c r="C120" s="121" t="e">
        <f t="shared" si="2"/>
        <v>#REF!</v>
      </c>
      <c r="D120" s="121" t="e">
        <f>SUMIFS(#REF!,#REF!,Extrato!$B120,#REF!,Extrato!D$3)</f>
        <v>#REF!</v>
      </c>
      <c r="E120" s="121" t="e">
        <f>SUMIFS(#REF!,#REF!,Extrato!$B120,#REF!,Extrato!E$3)</f>
        <v>#REF!</v>
      </c>
      <c r="F120" s="121" t="e">
        <f>SUMIFS(#REF!,#REF!,Extrato!$B120,#REF!,Extrato!F$3)</f>
        <v>#REF!</v>
      </c>
      <c r="G120" s="121" t="e">
        <f>SUMIFS(#REF!,#REF!,Extrato!$B120,#REF!,Extrato!G$3)</f>
        <v>#REF!</v>
      </c>
      <c r="H120" s="121" t="e">
        <f>SUMIFS(#REF!,#REF!,Extrato!$B120,#REF!,Extrato!H$3)</f>
        <v>#REF!</v>
      </c>
      <c r="I120" s="121" t="e">
        <f>SUMIFS(#REF!,#REF!,Extrato!$B120,#REF!,Extrato!I$3)</f>
        <v>#REF!</v>
      </c>
      <c r="J120" s="121" t="e">
        <f>SUMIFS(#REF!,#REF!,Extrato!$B120,#REF!,Extrato!J$3)</f>
        <v>#REF!</v>
      </c>
      <c r="K120" s="121" t="e">
        <f>SUMIFS(#REF!,#REF!,Extrato!$B120,#REF!,Extrato!K$3)</f>
        <v>#REF!</v>
      </c>
      <c r="L120" s="121" t="e">
        <f>SUMIFS(#REF!,#REF!,Extrato!$B120,#REF!,Extrato!L$3)</f>
        <v>#REF!</v>
      </c>
      <c r="M120" s="121" t="e">
        <f>SUMIFS(#REF!,#REF!,Extrato!$B120,#REF!,Extrato!M$3)</f>
        <v>#REF!</v>
      </c>
      <c r="N120" s="121" t="e">
        <f>SUMIFS(#REF!,#REF!,Extrato!$B120,#REF!,Extrato!N$3)</f>
        <v>#REF!</v>
      </c>
      <c r="O120" s="121" t="e">
        <f>SUMIFS(#REF!,#REF!,Extrato!$B120,#REF!,Extrato!O$3)</f>
        <v>#REF!</v>
      </c>
      <c r="P120" s="121">
        <f>SUMIF(BetFlow!B:B,B120,BetFlow!J:J)</f>
        <v>0</v>
      </c>
      <c r="Q120" s="121" t="e">
        <f>SUMIFS(#REF!,#REF!,Extrato!$B120,#REF!,Extrato!Q$3)</f>
        <v>#REF!</v>
      </c>
      <c r="R120" s="121" t="e">
        <f>SUMIFS(#REF!,#REF!,Extrato!$B120,#REF!,Extrato!R$3)</f>
        <v>#REF!</v>
      </c>
      <c r="S120" s="121" t="e">
        <f>SUMIFS(#REF!,#REF!,Extrato!$B120,#REF!,Extrato!S$3)</f>
        <v>#REF!</v>
      </c>
      <c r="T120" s="121" t="e">
        <f>SUMIFS(#REF!,#REF!,Extrato!$B120,#REF!,Extrato!T$3)</f>
        <v>#REF!</v>
      </c>
      <c r="U120" s="121" t="e">
        <f>SUMIFS(#REF!,#REF!,Extrato!$B120,#REF!,Extrato!U$3)</f>
        <v>#REF!</v>
      </c>
      <c r="V120" s="121" t="e">
        <f>SUMIFS(#REF!,#REF!,Extrato!$B120,#REF!,Extrato!V$3)</f>
        <v>#REF!</v>
      </c>
      <c r="W120" s="121" t="e">
        <f>SUMIFS(#REF!,#REF!,Extrato!$B120,#REF!,Extrato!W$3)</f>
        <v>#REF!</v>
      </c>
      <c r="X120" s="121" t="e">
        <f>SUMIFS(#REF!,#REF!,Extrato!$B120,#REF!,Extrato!X$3)</f>
        <v>#REF!</v>
      </c>
      <c r="Y120" s="121" t="e">
        <f>SUMIFS(#REF!,#REF!,Extrato!$B120,#REF!,Extrato!Y$3)</f>
        <v>#REF!</v>
      </c>
      <c r="Z120" s="121" t="e">
        <f>SUMIFS(#REF!,#REF!,Extrato!$B120,#REF!,Extrato!Z$3)</f>
        <v>#REF!</v>
      </c>
      <c r="AA120" s="121" t="e">
        <f>SUMIFS(#REF!,#REF!,Extrato!$B120,#REF!,Extrato!AA$3)</f>
        <v>#REF!</v>
      </c>
      <c r="AB120" s="121" t="e">
        <f>SUMIFS(#REF!,#REF!,Extrato!$B120,#REF!,Extrato!AB$3)</f>
        <v>#REF!</v>
      </c>
      <c r="AC120" s="121" t="e">
        <f>SUMIFS(#REF!,#REF!,Extrato!$B120,#REF!,Extrato!AC$3)</f>
        <v>#REF!</v>
      </c>
      <c r="AD120" s="121" t="e">
        <f>SUMIFS(#REF!,#REF!,Extrato!$B120,#REF!,Extrato!AD$3)</f>
        <v>#REF!</v>
      </c>
      <c r="AE120" s="121" t="e">
        <f>SUMIFS(#REF!,#REF!,Extrato!$B120,#REF!,Extrato!AE$3)</f>
        <v>#REF!</v>
      </c>
      <c r="AF120" s="121" t="e">
        <f>SUMIFS(#REF!,#REF!,Extrato!$B120,#REF!,Extrato!AF$3)</f>
        <v>#REF!</v>
      </c>
      <c r="AG120" s="121" t="e">
        <f>SUMIFS(#REF!,#REF!,Extrato!$B120,#REF!,Extrato!AG$3)</f>
        <v>#REF!</v>
      </c>
      <c r="AH120" s="121" t="e">
        <f>SUMIFS(#REF!,#REF!,Extrato!$B120,#REF!,Extrato!AH$3)</f>
        <v>#REF!</v>
      </c>
      <c r="AI120" s="121" t="e">
        <f>SUMIFS(#REF!,#REF!,Extrato!$B120,#REF!,Extrato!AI$3)</f>
        <v>#REF!</v>
      </c>
      <c r="AJ120" s="121">
        <v>0</v>
      </c>
      <c r="AK120" s="121"/>
      <c r="AL120" s="25" t="e">
        <f t="shared" si="3"/>
        <v>#REF!</v>
      </c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  <c r="BE120" s="122"/>
      <c r="BF120" s="122"/>
      <c r="BG120" s="122"/>
      <c r="BH120" s="122"/>
      <c r="BI120" s="122"/>
      <c r="BJ120" s="122"/>
      <c r="BK120" s="122"/>
      <c r="BL120" s="122"/>
      <c r="BM120" s="122"/>
      <c r="BN120" s="122"/>
      <c r="BO120" s="122"/>
      <c r="BP120" s="122"/>
    </row>
    <row r="121" spans="2:68" ht="15" customHeight="1">
      <c r="B121" s="12">
        <v>46111</v>
      </c>
      <c r="C121" s="121" t="e">
        <f t="shared" si="2"/>
        <v>#REF!</v>
      </c>
      <c r="D121" s="121" t="e">
        <f>SUMIFS(#REF!,#REF!,Extrato!$B121,#REF!,Extrato!D$3)</f>
        <v>#REF!</v>
      </c>
      <c r="E121" s="121" t="e">
        <f>SUMIFS(#REF!,#REF!,Extrato!$B121,#REF!,Extrato!E$3)</f>
        <v>#REF!</v>
      </c>
      <c r="F121" s="121" t="e">
        <f>SUMIFS(#REF!,#REF!,Extrato!$B121,#REF!,Extrato!F$3)</f>
        <v>#REF!</v>
      </c>
      <c r="G121" s="121" t="e">
        <f>SUMIFS(#REF!,#REF!,Extrato!$B121,#REF!,Extrato!G$3)</f>
        <v>#REF!</v>
      </c>
      <c r="H121" s="121" t="e">
        <f>SUMIFS(#REF!,#REF!,Extrato!$B121,#REF!,Extrato!H$3)</f>
        <v>#REF!</v>
      </c>
      <c r="I121" s="121" t="e">
        <f>SUMIFS(#REF!,#REF!,Extrato!$B121,#REF!,Extrato!I$3)</f>
        <v>#REF!</v>
      </c>
      <c r="J121" s="121" t="e">
        <f>SUMIFS(#REF!,#REF!,Extrato!$B121,#REF!,Extrato!J$3)</f>
        <v>#REF!</v>
      </c>
      <c r="K121" s="121" t="e">
        <f>SUMIFS(#REF!,#REF!,Extrato!$B121,#REF!,Extrato!K$3)</f>
        <v>#REF!</v>
      </c>
      <c r="L121" s="121" t="e">
        <f>SUMIFS(#REF!,#REF!,Extrato!$B121,#REF!,Extrato!L$3)</f>
        <v>#REF!</v>
      </c>
      <c r="M121" s="121" t="e">
        <f>SUMIFS(#REF!,#REF!,Extrato!$B121,#REF!,Extrato!M$3)</f>
        <v>#REF!</v>
      </c>
      <c r="N121" s="121" t="e">
        <f>SUMIFS(#REF!,#REF!,Extrato!$B121,#REF!,Extrato!N$3)</f>
        <v>#REF!</v>
      </c>
      <c r="O121" s="121" t="e">
        <f>SUMIFS(#REF!,#REF!,Extrato!$B121,#REF!,Extrato!O$3)</f>
        <v>#REF!</v>
      </c>
      <c r="P121" s="121">
        <f>SUMIF(BetFlow!B:B,B121,BetFlow!J:J)</f>
        <v>0</v>
      </c>
      <c r="Q121" s="121" t="e">
        <f>SUMIFS(#REF!,#REF!,Extrato!$B121,#REF!,Extrato!Q$3)</f>
        <v>#REF!</v>
      </c>
      <c r="R121" s="121" t="e">
        <f>SUMIFS(#REF!,#REF!,Extrato!$B121,#REF!,Extrato!R$3)</f>
        <v>#REF!</v>
      </c>
      <c r="S121" s="121" t="e">
        <f>SUMIFS(#REF!,#REF!,Extrato!$B121,#REF!,Extrato!S$3)</f>
        <v>#REF!</v>
      </c>
      <c r="T121" s="121" t="e">
        <f>SUMIFS(#REF!,#REF!,Extrato!$B121,#REF!,Extrato!T$3)</f>
        <v>#REF!</v>
      </c>
      <c r="U121" s="121" t="e">
        <f>SUMIFS(#REF!,#REF!,Extrato!$B121,#REF!,Extrato!U$3)</f>
        <v>#REF!</v>
      </c>
      <c r="V121" s="121" t="e">
        <f>SUMIFS(#REF!,#REF!,Extrato!$B121,#REF!,Extrato!V$3)</f>
        <v>#REF!</v>
      </c>
      <c r="W121" s="121" t="e">
        <f>SUMIFS(#REF!,#REF!,Extrato!$B121,#REF!,Extrato!W$3)</f>
        <v>#REF!</v>
      </c>
      <c r="X121" s="121" t="e">
        <f>SUMIFS(#REF!,#REF!,Extrato!$B121,#REF!,Extrato!X$3)</f>
        <v>#REF!</v>
      </c>
      <c r="Y121" s="121" t="e">
        <f>SUMIFS(#REF!,#REF!,Extrato!$B121,#REF!,Extrato!Y$3)</f>
        <v>#REF!</v>
      </c>
      <c r="Z121" s="121" t="e">
        <f>SUMIFS(#REF!,#REF!,Extrato!$B121,#REF!,Extrato!Z$3)</f>
        <v>#REF!</v>
      </c>
      <c r="AA121" s="121" t="e">
        <f>SUMIFS(#REF!,#REF!,Extrato!$B121,#REF!,Extrato!AA$3)</f>
        <v>#REF!</v>
      </c>
      <c r="AB121" s="121" t="e">
        <f>SUMIFS(#REF!,#REF!,Extrato!$B121,#REF!,Extrato!AB$3)</f>
        <v>#REF!</v>
      </c>
      <c r="AC121" s="121" t="e">
        <f>SUMIFS(#REF!,#REF!,Extrato!$B121,#REF!,Extrato!AC$3)</f>
        <v>#REF!</v>
      </c>
      <c r="AD121" s="121" t="e">
        <f>SUMIFS(#REF!,#REF!,Extrato!$B121,#REF!,Extrato!AD$3)</f>
        <v>#REF!</v>
      </c>
      <c r="AE121" s="121" t="e">
        <f>SUMIFS(#REF!,#REF!,Extrato!$B121,#REF!,Extrato!AE$3)</f>
        <v>#REF!</v>
      </c>
      <c r="AF121" s="121" t="e">
        <f>SUMIFS(#REF!,#REF!,Extrato!$B121,#REF!,Extrato!AF$3)</f>
        <v>#REF!</v>
      </c>
      <c r="AG121" s="121" t="e">
        <f>SUMIFS(#REF!,#REF!,Extrato!$B121,#REF!,Extrato!AG$3)</f>
        <v>#REF!</v>
      </c>
      <c r="AH121" s="121" t="e">
        <f>SUMIFS(#REF!,#REF!,Extrato!$B121,#REF!,Extrato!AH$3)</f>
        <v>#REF!</v>
      </c>
      <c r="AI121" s="121" t="e">
        <f>SUMIFS(#REF!,#REF!,Extrato!$B121,#REF!,Extrato!AI$3)</f>
        <v>#REF!</v>
      </c>
      <c r="AJ121" s="121">
        <v>0</v>
      </c>
      <c r="AK121" s="121"/>
      <c r="AL121" s="25" t="e">
        <f t="shared" si="3"/>
        <v>#REF!</v>
      </c>
      <c r="AM121" s="122"/>
      <c r="AN121" s="122"/>
      <c r="AO121" s="122"/>
      <c r="AP121" s="122"/>
      <c r="AQ121" s="122"/>
      <c r="AR121" s="122"/>
      <c r="AS121" s="122"/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</row>
    <row r="122" spans="2:68" ht="15" customHeight="1">
      <c r="B122" s="12">
        <v>46112</v>
      </c>
      <c r="C122" s="121" t="e">
        <f t="shared" si="2"/>
        <v>#REF!</v>
      </c>
      <c r="D122" s="121" t="e">
        <f>SUMIFS(#REF!,#REF!,Extrato!$B122,#REF!,Extrato!D$3)</f>
        <v>#REF!</v>
      </c>
      <c r="E122" s="121" t="e">
        <f>SUMIFS(#REF!,#REF!,Extrato!$B122,#REF!,Extrato!E$3)</f>
        <v>#REF!</v>
      </c>
      <c r="F122" s="121" t="e">
        <f>SUMIFS(#REF!,#REF!,Extrato!$B122,#REF!,Extrato!F$3)</f>
        <v>#REF!</v>
      </c>
      <c r="G122" s="121" t="e">
        <f>SUMIFS(#REF!,#REF!,Extrato!$B122,#REF!,Extrato!G$3)</f>
        <v>#REF!</v>
      </c>
      <c r="H122" s="121" t="e">
        <f>SUMIFS(#REF!,#REF!,Extrato!$B122,#REF!,Extrato!H$3)</f>
        <v>#REF!</v>
      </c>
      <c r="I122" s="121" t="e">
        <f>SUMIFS(#REF!,#REF!,Extrato!$B122,#REF!,Extrato!I$3)</f>
        <v>#REF!</v>
      </c>
      <c r="J122" s="121" t="e">
        <f>SUMIFS(#REF!,#REF!,Extrato!$B122,#REF!,Extrato!J$3)</f>
        <v>#REF!</v>
      </c>
      <c r="K122" s="121" t="e">
        <f>SUMIFS(#REF!,#REF!,Extrato!$B122,#REF!,Extrato!K$3)</f>
        <v>#REF!</v>
      </c>
      <c r="L122" s="121" t="e">
        <f>SUMIFS(#REF!,#REF!,Extrato!$B122,#REF!,Extrato!L$3)</f>
        <v>#REF!</v>
      </c>
      <c r="M122" s="121" t="e">
        <f>SUMIFS(#REF!,#REF!,Extrato!$B122,#REF!,Extrato!M$3)</f>
        <v>#REF!</v>
      </c>
      <c r="N122" s="121" t="e">
        <f>SUMIFS(#REF!,#REF!,Extrato!$B122,#REF!,Extrato!N$3)</f>
        <v>#REF!</v>
      </c>
      <c r="O122" s="121" t="e">
        <f>SUMIFS(#REF!,#REF!,Extrato!$B122,#REF!,Extrato!O$3)</f>
        <v>#REF!</v>
      </c>
      <c r="P122" s="121">
        <f>SUMIF(BetFlow!B:B,B122,BetFlow!J:J)</f>
        <v>0</v>
      </c>
      <c r="Q122" s="121" t="e">
        <f>SUMIFS(#REF!,#REF!,Extrato!$B122,#REF!,Extrato!Q$3)</f>
        <v>#REF!</v>
      </c>
      <c r="R122" s="121" t="e">
        <f>SUMIFS(#REF!,#REF!,Extrato!$B122,#REF!,Extrato!R$3)</f>
        <v>#REF!</v>
      </c>
      <c r="S122" s="121" t="e">
        <f>SUMIFS(#REF!,#REF!,Extrato!$B122,#REF!,Extrato!S$3)</f>
        <v>#REF!</v>
      </c>
      <c r="T122" s="121" t="e">
        <f>SUMIFS(#REF!,#REF!,Extrato!$B122,#REF!,Extrato!T$3)</f>
        <v>#REF!</v>
      </c>
      <c r="U122" s="121" t="e">
        <f>SUMIFS(#REF!,#REF!,Extrato!$B122,#REF!,Extrato!U$3)</f>
        <v>#REF!</v>
      </c>
      <c r="V122" s="121" t="e">
        <f>SUMIFS(#REF!,#REF!,Extrato!$B122,#REF!,Extrato!V$3)</f>
        <v>#REF!</v>
      </c>
      <c r="W122" s="121" t="e">
        <f>SUMIFS(#REF!,#REF!,Extrato!$B122,#REF!,Extrato!W$3)</f>
        <v>#REF!</v>
      </c>
      <c r="X122" s="121" t="e">
        <f>SUMIFS(#REF!,#REF!,Extrato!$B122,#REF!,Extrato!X$3)</f>
        <v>#REF!</v>
      </c>
      <c r="Y122" s="121" t="e">
        <f>SUMIFS(#REF!,#REF!,Extrato!$B122,#REF!,Extrato!Y$3)</f>
        <v>#REF!</v>
      </c>
      <c r="Z122" s="121" t="e">
        <f>SUMIFS(#REF!,#REF!,Extrato!$B122,#REF!,Extrato!Z$3)</f>
        <v>#REF!</v>
      </c>
      <c r="AA122" s="121" t="e">
        <f>SUMIFS(#REF!,#REF!,Extrato!$B122,#REF!,Extrato!AA$3)</f>
        <v>#REF!</v>
      </c>
      <c r="AB122" s="121" t="e">
        <f>SUMIFS(#REF!,#REF!,Extrato!$B122,#REF!,Extrato!AB$3)</f>
        <v>#REF!</v>
      </c>
      <c r="AC122" s="121" t="e">
        <f>SUMIFS(#REF!,#REF!,Extrato!$B122,#REF!,Extrato!AC$3)</f>
        <v>#REF!</v>
      </c>
      <c r="AD122" s="121" t="e">
        <f>SUMIFS(#REF!,#REF!,Extrato!$B122,#REF!,Extrato!AD$3)</f>
        <v>#REF!</v>
      </c>
      <c r="AE122" s="121" t="e">
        <f>SUMIFS(#REF!,#REF!,Extrato!$B122,#REF!,Extrato!AE$3)</f>
        <v>#REF!</v>
      </c>
      <c r="AF122" s="121" t="e">
        <f>SUMIFS(#REF!,#REF!,Extrato!$B122,#REF!,Extrato!AF$3)</f>
        <v>#REF!</v>
      </c>
      <c r="AG122" s="121" t="e">
        <f>SUMIFS(#REF!,#REF!,Extrato!$B122,#REF!,Extrato!AG$3)</f>
        <v>#REF!</v>
      </c>
      <c r="AH122" s="121" t="e">
        <f>SUMIFS(#REF!,#REF!,Extrato!$B122,#REF!,Extrato!AH$3)</f>
        <v>#REF!</v>
      </c>
      <c r="AI122" s="121" t="e">
        <f>SUMIFS(#REF!,#REF!,Extrato!$B122,#REF!,Extrato!AI$3)</f>
        <v>#REF!</v>
      </c>
      <c r="AJ122" s="121">
        <v>0</v>
      </c>
      <c r="AK122" s="121"/>
      <c r="AL122" s="25" t="e">
        <f t="shared" si="3"/>
        <v>#REF!</v>
      </c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</row>
    <row r="123" spans="2:68" ht="15" customHeight="1">
      <c r="B123" s="12">
        <v>46113</v>
      </c>
      <c r="C123" s="121" t="e">
        <f t="shared" si="2"/>
        <v>#REF!</v>
      </c>
      <c r="D123" s="121" t="e">
        <f>SUMIFS(#REF!,#REF!,Extrato!$B123,#REF!,Extrato!D$3)</f>
        <v>#REF!</v>
      </c>
      <c r="E123" s="121" t="e">
        <f>SUMIFS(#REF!,#REF!,Extrato!$B123,#REF!,Extrato!E$3)</f>
        <v>#REF!</v>
      </c>
      <c r="F123" s="121" t="e">
        <f>SUMIFS(#REF!,#REF!,Extrato!$B123,#REF!,Extrato!F$3)</f>
        <v>#REF!</v>
      </c>
      <c r="G123" s="121" t="e">
        <f>SUMIFS(#REF!,#REF!,Extrato!$B123,#REF!,Extrato!G$3)</f>
        <v>#REF!</v>
      </c>
      <c r="H123" s="121" t="e">
        <f>SUMIFS(#REF!,#REF!,Extrato!$B123,#REF!,Extrato!H$3)</f>
        <v>#REF!</v>
      </c>
      <c r="I123" s="121" t="e">
        <f>SUMIFS(#REF!,#REF!,Extrato!$B123,#REF!,Extrato!I$3)</f>
        <v>#REF!</v>
      </c>
      <c r="J123" s="121" t="e">
        <f>SUMIFS(#REF!,#REF!,Extrato!$B123,#REF!,Extrato!J$3)</f>
        <v>#REF!</v>
      </c>
      <c r="K123" s="121" t="e">
        <f>SUMIFS(#REF!,#REF!,Extrato!$B123,#REF!,Extrato!K$3)</f>
        <v>#REF!</v>
      </c>
      <c r="L123" s="121" t="e">
        <f>SUMIFS(#REF!,#REF!,Extrato!$B123,#REF!,Extrato!L$3)</f>
        <v>#REF!</v>
      </c>
      <c r="M123" s="121" t="e">
        <f>SUMIFS(#REF!,#REF!,Extrato!$B123,#REF!,Extrato!M$3)</f>
        <v>#REF!</v>
      </c>
      <c r="N123" s="121" t="e">
        <f>SUMIFS(#REF!,#REF!,Extrato!$B123,#REF!,Extrato!N$3)</f>
        <v>#REF!</v>
      </c>
      <c r="O123" s="121" t="e">
        <f>SUMIFS(#REF!,#REF!,Extrato!$B123,#REF!,Extrato!O$3)</f>
        <v>#REF!</v>
      </c>
      <c r="P123" s="121">
        <f>SUMIF(BetFlow!B:B,B123,BetFlow!J:J)</f>
        <v>0</v>
      </c>
      <c r="Q123" s="121" t="e">
        <f>SUMIFS(#REF!,#REF!,Extrato!$B123,#REF!,Extrato!Q$3)</f>
        <v>#REF!</v>
      </c>
      <c r="R123" s="121" t="e">
        <f>SUMIFS(#REF!,#REF!,Extrato!$B123,#REF!,Extrato!R$3)</f>
        <v>#REF!</v>
      </c>
      <c r="S123" s="121" t="e">
        <f>SUMIFS(#REF!,#REF!,Extrato!$B123,#REF!,Extrato!S$3)</f>
        <v>#REF!</v>
      </c>
      <c r="T123" s="121" t="e">
        <f>SUMIFS(#REF!,#REF!,Extrato!$B123,#REF!,Extrato!T$3)</f>
        <v>#REF!</v>
      </c>
      <c r="U123" s="121" t="e">
        <f>SUMIFS(#REF!,#REF!,Extrato!$B123,#REF!,Extrato!U$3)</f>
        <v>#REF!</v>
      </c>
      <c r="V123" s="121" t="e">
        <f>SUMIFS(#REF!,#REF!,Extrato!$B123,#REF!,Extrato!V$3)</f>
        <v>#REF!</v>
      </c>
      <c r="W123" s="121" t="e">
        <f>SUMIFS(#REF!,#REF!,Extrato!$B123,#REF!,Extrato!W$3)</f>
        <v>#REF!</v>
      </c>
      <c r="X123" s="121" t="e">
        <f>SUMIFS(#REF!,#REF!,Extrato!$B123,#REF!,Extrato!X$3)</f>
        <v>#REF!</v>
      </c>
      <c r="Y123" s="121" t="e">
        <f>SUMIFS(#REF!,#REF!,Extrato!$B123,#REF!,Extrato!Y$3)</f>
        <v>#REF!</v>
      </c>
      <c r="Z123" s="121" t="e">
        <f>SUMIFS(#REF!,#REF!,Extrato!$B123,#REF!,Extrato!Z$3)</f>
        <v>#REF!</v>
      </c>
      <c r="AA123" s="121" t="e">
        <f>SUMIFS(#REF!,#REF!,Extrato!$B123,#REF!,Extrato!AA$3)</f>
        <v>#REF!</v>
      </c>
      <c r="AB123" s="121" t="e">
        <f>SUMIFS(#REF!,#REF!,Extrato!$B123,#REF!,Extrato!AB$3)</f>
        <v>#REF!</v>
      </c>
      <c r="AC123" s="121" t="e">
        <f>SUMIFS(#REF!,#REF!,Extrato!$B123,#REF!,Extrato!AC$3)</f>
        <v>#REF!</v>
      </c>
      <c r="AD123" s="121" t="e">
        <f>SUMIFS(#REF!,#REF!,Extrato!$B123,#REF!,Extrato!AD$3)</f>
        <v>#REF!</v>
      </c>
      <c r="AE123" s="121" t="e">
        <f>SUMIFS(#REF!,#REF!,Extrato!$B123,#REF!,Extrato!AE$3)</f>
        <v>#REF!</v>
      </c>
      <c r="AF123" s="121" t="e">
        <f>SUMIFS(#REF!,#REF!,Extrato!$B123,#REF!,Extrato!AF$3)</f>
        <v>#REF!</v>
      </c>
      <c r="AG123" s="121" t="e">
        <f>SUMIFS(#REF!,#REF!,Extrato!$B123,#REF!,Extrato!AG$3)</f>
        <v>#REF!</v>
      </c>
      <c r="AH123" s="121" t="e">
        <f>SUMIFS(#REF!,#REF!,Extrato!$B123,#REF!,Extrato!AH$3)</f>
        <v>#REF!</v>
      </c>
      <c r="AI123" s="121" t="e">
        <f>SUMIFS(#REF!,#REF!,Extrato!$B123,#REF!,Extrato!AI$3)</f>
        <v>#REF!</v>
      </c>
      <c r="AJ123" s="121">
        <v>350</v>
      </c>
      <c r="AK123" s="121"/>
      <c r="AL123" s="25" t="e">
        <f t="shared" si="3"/>
        <v>#REF!</v>
      </c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2"/>
      <c r="BF123" s="122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</row>
    <row r="124" spans="2:68" ht="15" customHeight="1">
      <c r="B124" s="12">
        <v>46114</v>
      </c>
      <c r="C124" s="121" t="e">
        <f t="shared" si="2"/>
        <v>#REF!</v>
      </c>
      <c r="D124" s="121" t="e">
        <f>SUMIFS(#REF!,#REF!,Extrato!$B124,#REF!,Extrato!D$3)</f>
        <v>#REF!</v>
      </c>
      <c r="E124" s="121" t="e">
        <f>SUMIFS(#REF!,#REF!,Extrato!$B124,#REF!,Extrato!E$3)</f>
        <v>#REF!</v>
      </c>
      <c r="F124" s="121" t="e">
        <f>SUMIFS(#REF!,#REF!,Extrato!$B124,#REF!,Extrato!F$3)</f>
        <v>#REF!</v>
      </c>
      <c r="G124" s="121" t="e">
        <f>SUMIFS(#REF!,#REF!,Extrato!$B124,#REF!,Extrato!G$3)</f>
        <v>#REF!</v>
      </c>
      <c r="H124" s="121" t="e">
        <f>SUMIFS(#REF!,#REF!,Extrato!$B124,#REF!,Extrato!H$3)</f>
        <v>#REF!</v>
      </c>
      <c r="I124" s="121" t="e">
        <f>SUMIFS(#REF!,#REF!,Extrato!$B124,#REF!,Extrato!I$3)</f>
        <v>#REF!</v>
      </c>
      <c r="J124" s="121" t="e">
        <f>SUMIFS(#REF!,#REF!,Extrato!$B124,#REF!,Extrato!J$3)</f>
        <v>#REF!</v>
      </c>
      <c r="K124" s="121" t="e">
        <f>SUMIFS(#REF!,#REF!,Extrato!$B124,#REF!,Extrato!K$3)</f>
        <v>#REF!</v>
      </c>
      <c r="L124" s="121" t="e">
        <f>SUMIFS(#REF!,#REF!,Extrato!$B124,#REF!,Extrato!L$3)</f>
        <v>#REF!</v>
      </c>
      <c r="M124" s="121" t="e">
        <f>SUMIFS(#REF!,#REF!,Extrato!$B124,#REF!,Extrato!M$3)</f>
        <v>#REF!</v>
      </c>
      <c r="N124" s="121" t="e">
        <f>SUMIFS(#REF!,#REF!,Extrato!$B124,#REF!,Extrato!N$3)</f>
        <v>#REF!</v>
      </c>
      <c r="O124" s="121" t="e">
        <f>SUMIFS(#REF!,#REF!,Extrato!$B124,#REF!,Extrato!O$3)</f>
        <v>#REF!</v>
      </c>
      <c r="P124" s="121">
        <f>SUMIF(BetFlow!B:B,B124,BetFlow!J:J)</f>
        <v>0</v>
      </c>
      <c r="Q124" s="121" t="e">
        <f>SUMIFS(#REF!,#REF!,Extrato!$B124,#REF!,Extrato!Q$3)</f>
        <v>#REF!</v>
      </c>
      <c r="R124" s="121" t="e">
        <f>SUMIFS(#REF!,#REF!,Extrato!$B124,#REF!,Extrato!R$3)</f>
        <v>#REF!</v>
      </c>
      <c r="S124" s="121" t="e">
        <f>SUMIFS(#REF!,#REF!,Extrato!$B124,#REF!,Extrato!S$3)</f>
        <v>#REF!</v>
      </c>
      <c r="T124" s="121" t="e">
        <f>SUMIFS(#REF!,#REF!,Extrato!$B124,#REF!,Extrato!T$3)</f>
        <v>#REF!</v>
      </c>
      <c r="U124" s="121" t="e">
        <f>SUMIFS(#REF!,#REF!,Extrato!$B124,#REF!,Extrato!U$3)</f>
        <v>#REF!</v>
      </c>
      <c r="V124" s="121" t="e">
        <f>SUMIFS(#REF!,#REF!,Extrato!$B124,#REF!,Extrato!V$3)</f>
        <v>#REF!</v>
      </c>
      <c r="W124" s="121" t="e">
        <f>SUMIFS(#REF!,#REF!,Extrato!$B124,#REF!,Extrato!W$3)</f>
        <v>#REF!</v>
      </c>
      <c r="X124" s="121" t="e">
        <f>SUMIFS(#REF!,#REF!,Extrato!$B124,#REF!,Extrato!X$3)</f>
        <v>#REF!</v>
      </c>
      <c r="Y124" s="121" t="e">
        <f>SUMIFS(#REF!,#REF!,Extrato!$B124,#REF!,Extrato!Y$3)</f>
        <v>#REF!</v>
      </c>
      <c r="Z124" s="121" t="e">
        <f>SUMIFS(#REF!,#REF!,Extrato!$B124,#REF!,Extrato!Z$3)</f>
        <v>#REF!</v>
      </c>
      <c r="AA124" s="121" t="e">
        <f>SUMIFS(#REF!,#REF!,Extrato!$B124,#REF!,Extrato!AA$3)</f>
        <v>#REF!</v>
      </c>
      <c r="AB124" s="121" t="e">
        <f>SUMIFS(#REF!,#REF!,Extrato!$B124,#REF!,Extrato!AB$3)</f>
        <v>#REF!</v>
      </c>
      <c r="AC124" s="121" t="e">
        <f>SUMIFS(#REF!,#REF!,Extrato!$B124,#REF!,Extrato!AC$3)</f>
        <v>#REF!</v>
      </c>
      <c r="AD124" s="121" t="e">
        <f>SUMIFS(#REF!,#REF!,Extrato!$B124,#REF!,Extrato!AD$3)</f>
        <v>#REF!</v>
      </c>
      <c r="AE124" s="121" t="e">
        <f>SUMIFS(#REF!,#REF!,Extrato!$B124,#REF!,Extrato!AE$3)</f>
        <v>#REF!</v>
      </c>
      <c r="AF124" s="121" t="e">
        <f>SUMIFS(#REF!,#REF!,Extrato!$B124,#REF!,Extrato!AF$3)</f>
        <v>#REF!</v>
      </c>
      <c r="AG124" s="121" t="e">
        <f>SUMIFS(#REF!,#REF!,Extrato!$B124,#REF!,Extrato!AG$3)</f>
        <v>#REF!</v>
      </c>
      <c r="AH124" s="121" t="e">
        <f>SUMIFS(#REF!,#REF!,Extrato!$B124,#REF!,Extrato!AH$3)</f>
        <v>#REF!</v>
      </c>
      <c r="AI124" s="121" t="e">
        <f>SUMIFS(#REF!,#REF!,Extrato!$B124,#REF!,Extrato!AI$3)</f>
        <v>#REF!</v>
      </c>
      <c r="AJ124" s="121">
        <v>0</v>
      </c>
      <c r="AK124" s="121"/>
      <c r="AL124" s="25" t="e">
        <f t="shared" si="3"/>
        <v>#REF!</v>
      </c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22"/>
      <c r="BF124" s="122"/>
      <c r="BG124" s="122"/>
      <c r="BH124" s="122"/>
      <c r="BI124" s="122"/>
      <c r="BJ124" s="122"/>
      <c r="BK124" s="122"/>
      <c r="BL124" s="122"/>
      <c r="BM124" s="122"/>
      <c r="BN124" s="122"/>
      <c r="BO124" s="122"/>
      <c r="BP124" s="122"/>
    </row>
    <row r="125" spans="2:68" ht="15" customHeight="1">
      <c r="B125" s="12">
        <v>46115</v>
      </c>
      <c r="C125" s="121" t="e">
        <f t="shared" si="2"/>
        <v>#REF!</v>
      </c>
      <c r="D125" s="121" t="e">
        <f>SUMIFS(#REF!,#REF!,Extrato!$B125,#REF!,Extrato!D$3)</f>
        <v>#REF!</v>
      </c>
      <c r="E125" s="121" t="e">
        <f>SUMIFS(#REF!,#REF!,Extrato!$B125,#REF!,Extrato!E$3)</f>
        <v>#REF!</v>
      </c>
      <c r="F125" s="121" t="e">
        <f>SUMIFS(#REF!,#REF!,Extrato!$B125,#REF!,Extrato!F$3)</f>
        <v>#REF!</v>
      </c>
      <c r="G125" s="121" t="e">
        <f>SUMIFS(#REF!,#REF!,Extrato!$B125,#REF!,Extrato!G$3)</f>
        <v>#REF!</v>
      </c>
      <c r="H125" s="121" t="e">
        <f>SUMIFS(#REF!,#REF!,Extrato!$B125,#REF!,Extrato!H$3)</f>
        <v>#REF!</v>
      </c>
      <c r="I125" s="121" t="e">
        <f>SUMIFS(#REF!,#REF!,Extrato!$B125,#REF!,Extrato!I$3)</f>
        <v>#REF!</v>
      </c>
      <c r="J125" s="121" t="e">
        <f>SUMIFS(#REF!,#REF!,Extrato!$B125,#REF!,Extrato!J$3)</f>
        <v>#REF!</v>
      </c>
      <c r="K125" s="121" t="e">
        <f>SUMIFS(#REF!,#REF!,Extrato!$B125,#REF!,Extrato!K$3)</f>
        <v>#REF!</v>
      </c>
      <c r="L125" s="121" t="e">
        <f>SUMIFS(#REF!,#REF!,Extrato!$B125,#REF!,Extrato!L$3)</f>
        <v>#REF!</v>
      </c>
      <c r="M125" s="121" t="e">
        <f>SUMIFS(#REF!,#REF!,Extrato!$B125,#REF!,Extrato!M$3)</f>
        <v>#REF!</v>
      </c>
      <c r="N125" s="121" t="e">
        <f>SUMIFS(#REF!,#REF!,Extrato!$B125,#REF!,Extrato!N$3)</f>
        <v>#REF!</v>
      </c>
      <c r="O125" s="121" t="e">
        <f>SUMIFS(#REF!,#REF!,Extrato!$B125,#REF!,Extrato!O$3)</f>
        <v>#REF!</v>
      </c>
      <c r="P125" s="121">
        <f>SUMIF(BetFlow!B:B,B125,BetFlow!J:J)</f>
        <v>0</v>
      </c>
      <c r="Q125" s="121" t="e">
        <f>SUMIFS(#REF!,#REF!,Extrato!$B125,#REF!,Extrato!Q$3)</f>
        <v>#REF!</v>
      </c>
      <c r="R125" s="121" t="e">
        <f>SUMIFS(#REF!,#REF!,Extrato!$B125,#REF!,Extrato!R$3)</f>
        <v>#REF!</v>
      </c>
      <c r="S125" s="121" t="e">
        <f>SUMIFS(#REF!,#REF!,Extrato!$B125,#REF!,Extrato!S$3)</f>
        <v>#REF!</v>
      </c>
      <c r="T125" s="121" t="e">
        <f>SUMIFS(#REF!,#REF!,Extrato!$B125,#REF!,Extrato!T$3)</f>
        <v>#REF!</v>
      </c>
      <c r="U125" s="121" t="e">
        <f>SUMIFS(#REF!,#REF!,Extrato!$B125,#REF!,Extrato!U$3)</f>
        <v>#REF!</v>
      </c>
      <c r="V125" s="121" t="e">
        <f>SUMIFS(#REF!,#REF!,Extrato!$B125,#REF!,Extrato!V$3)</f>
        <v>#REF!</v>
      </c>
      <c r="W125" s="121" t="e">
        <f>SUMIFS(#REF!,#REF!,Extrato!$B125,#REF!,Extrato!W$3)</f>
        <v>#REF!</v>
      </c>
      <c r="X125" s="121" t="e">
        <f>SUMIFS(#REF!,#REF!,Extrato!$B125,#REF!,Extrato!X$3)</f>
        <v>#REF!</v>
      </c>
      <c r="Y125" s="121" t="e">
        <f>SUMIFS(#REF!,#REF!,Extrato!$B125,#REF!,Extrato!Y$3)</f>
        <v>#REF!</v>
      </c>
      <c r="Z125" s="121" t="e">
        <f>SUMIFS(#REF!,#REF!,Extrato!$B125,#REF!,Extrato!Z$3)</f>
        <v>#REF!</v>
      </c>
      <c r="AA125" s="121" t="e">
        <f>SUMIFS(#REF!,#REF!,Extrato!$B125,#REF!,Extrato!AA$3)</f>
        <v>#REF!</v>
      </c>
      <c r="AB125" s="121" t="e">
        <f>SUMIFS(#REF!,#REF!,Extrato!$B125,#REF!,Extrato!AB$3)</f>
        <v>#REF!</v>
      </c>
      <c r="AC125" s="121" t="e">
        <f>SUMIFS(#REF!,#REF!,Extrato!$B125,#REF!,Extrato!AC$3)</f>
        <v>#REF!</v>
      </c>
      <c r="AD125" s="121" t="e">
        <f>SUMIFS(#REF!,#REF!,Extrato!$B125,#REF!,Extrato!AD$3)</f>
        <v>#REF!</v>
      </c>
      <c r="AE125" s="121" t="e">
        <f>SUMIFS(#REF!,#REF!,Extrato!$B125,#REF!,Extrato!AE$3)</f>
        <v>#REF!</v>
      </c>
      <c r="AF125" s="121" t="e">
        <f>SUMIFS(#REF!,#REF!,Extrato!$B125,#REF!,Extrato!AF$3)</f>
        <v>#REF!</v>
      </c>
      <c r="AG125" s="121" t="e">
        <f>SUMIFS(#REF!,#REF!,Extrato!$B125,#REF!,Extrato!AG$3)</f>
        <v>#REF!</v>
      </c>
      <c r="AH125" s="121" t="e">
        <f>SUMIFS(#REF!,#REF!,Extrato!$B125,#REF!,Extrato!AH$3)</f>
        <v>#REF!</v>
      </c>
      <c r="AI125" s="121" t="e">
        <f>SUMIFS(#REF!,#REF!,Extrato!$B125,#REF!,Extrato!AI$3)</f>
        <v>#REF!</v>
      </c>
      <c r="AJ125" s="121">
        <v>0</v>
      </c>
      <c r="AK125" s="121"/>
      <c r="AL125" s="25" t="e">
        <f t="shared" si="3"/>
        <v>#REF!</v>
      </c>
      <c r="AM125" s="122"/>
      <c r="AN125" s="122"/>
      <c r="AO125" s="122"/>
      <c r="AP125" s="122"/>
      <c r="AQ125" s="122"/>
      <c r="AR125" s="122"/>
      <c r="AS125" s="122"/>
      <c r="AT125" s="122"/>
      <c r="AU125" s="122"/>
      <c r="AV125" s="122"/>
      <c r="AW125" s="122"/>
      <c r="AX125" s="122"/>
      <c r="AY125" s="122"/>
      <c r="AZ125" s="122"/>
      <c r="BA125" s="122"/>
      <c r="BB125" s="122"/>
      <c r="BC125" s="122"/>
      <c r="BD125" s="122"/>
      <c r="BE125" s="122"/>
      <c r="BF125" s="122"/>
      <c r="BG125" s="122"/>
      <c r="BH125" s="122"/>
      <c r="BI125" s="122"/>
      <c r="BJ125" s="122"/>
      <c r="BK125" s="122"/>
      <c r="BL125" s="122"/>
      <c r="BM125" s="122"/>
      <c r="BN125" s="122"/>
      <c r="BO125" s="122"/>
      <c r="BP125" s="122"/>
    </row>
    <row r="126" spans="2:68" ht="15" customHeight="1">
      <c r="B126" s="12">
        <v>46116</v>
      </c>
      <c r="C126" s="121" t="e">
        <f t="shared" si="2"/>
        <v>#REF!</v>
      </c>
      <c r="D126" s="121" t="e">
        <f>SUMIFS(#REF!,#REF!,Extrato!$B126,#REF!,Extrato!D$3)</f>
        <v>#REF!</v>
      </c>
      <c r="E126" s="121" t="e">
        <f>SUMIFS(#REF!,#REF!,Extrato!$B126,#REF!,Extrato!E$3)</f>
        <v>#REF!</v>
      </c>
      <c r="F126" s="121" t="e">
        <f>SUMIFS(#REF!,#REF!,Extrato!$B126,#REF!,Extrato!F$3)</f>
        <v>#REF!</v>
      </c>
      <c r="G126" s="121" t="e">
        <f>SUMIFS(#REF!,#REF!,Extrato!$B126,#REF!,Extrato!G$3)</f>
        <v>#REF!</v>
      </c>
      <c r="H126" s="121" t="e">
        <f>SUMIFS(#REF!,#REF!,Extrato!$B126,#REF!,Extrato!H$3)</f>
        <v>#REF!</v>
      </c>
      <c r="I126" s="121" t="e">
        <f>SUMIFS(#REF!,#REF!,Extrato!$B126,#REF!,Extrato!I$3)</f>
        <v>#REF!</v>
      </c>
      <c r="J126" s="121" t="e">
        <f>SUMIFS(#REF!,#REF!,Extrato!$B126,#REF!,Extrato!J$3)</f>
        <v>#REF!</v>
      </c>
      <c r="K126" s="121" t="e">
        <f>SUMIFS(#REF!,#REF!,Extrato!$B126,#REF!,Extrato!K$3)</f>
        <v>#REF!</v>
      </c>
      <c r="L126" s="121" t="e">
        <f>SUMIFS(#REF!,#REF!,Extrato!$B126,#REF!,Extrato!L$3)</f>
        <v>#REF!</v>
      </c>
      <c r="M126" s="121" t="e">
        <f>SUMIFS(#REF!,#REF!,Extrato!$B126,#REF!,Extrato!M$3)</f>
        <v>#REF!</v>
      </c>
      <c r="N126" s="121" t="e">
        <f>SUMIFS(#REF!,#REF!,Extrato!$B126,#REF!,Extrato!N$3)</f>
        <v>#REF!</v>
      </c>
      <c r="O126" s="121" t="e">
        <f>SUMIFS(#REF!,#REF!,Extrato!$B126,#REF!,Extrato!O$3)</f>
        <v>#REF!</v>
      </c>
      <c r="P126" s="121">
        <f>SUMIF(BetFlow!B:B,B126,BetFlow!J:J)</f>
        <v>0</v>
      </c>
      <c r="Q126" s="121" t="e">
        <f>SUMIFS(#REF!,#REF!,Extrato!$B126,#REF!,Extrato!Q$3)</f>
        <v>#REF!</v>
      </c>
      <c r="R126" s="121" t="e">
        <f>SUMIFS(#REF!,#REF!,Extrato!$B126,#REF!,Extrato!R$3)</f>
        <v>#REF!</v>
      </c>
      <c r="S126" s="121" t="e">
        <f>SUMIFS(#REF!,#REF!,Extrato!$B126,#REF!,Extrato!S$3)</f>
        <v>#REF!</v>
      </c>
      <c r="T126" s="121" t="e">
        <f>SUMIFS(#REF!,#REF!,Extrato!$B126,#REF!,Extrato!T$3)</f>
        <v>#REF!</v>
      </c>
      <c r="U126" s="121" t="e">
        <f>SUMIFS(#REF!,#REF!,Extrato!$B126,#REF!,Extrato!U$3)</f>
        <v>#REF!</v>
      </c>
      <c r="V126" s="121" t="e">
        <f>SUMIFS(#REF!,#REF!,Extrato!$B126,#REF!,Extrato!V$3)</f>
        <v>#REF!</v>
      </c>
      <c r="W126" s="121" t="e">
        <f>SUMIFS(#REF!,#REF!,Extrato!$B126,#REF!,Extrato!W$3)</f>
        <v>#REF!</v>
      </c>
      <c r="X126" s="121" t="e">
        <f>SUMIFS(#REF!,#REF!,Extrato!$B126,#REF!,Extrato!X$3)</f>
        <v>#REF!</v>
      </c>
      <c r="Y126" s="121" t="e">
        <f>SUMIFS(#REF!,#REF!,Extrato!$B126,#REF!,Extrato!Y$3)</f>
        <v>#REF!</v>
      </c>
      <c r="Z126" s="121" t="e">
        <f>SUMIFS(#REF!,#REF!,Extrato!$B126,#REF!,Extrato!Z$3)</f>
        <v>#REF!</v>
      </c>
      <c r="AA126" s="121" t="e">
        <f>SUMIFS(#REF!,#REF!,Extrato!$B126,#REF!,Extrato!AA$3)</f>
        <v>#REF!</v>
      </c>
      <c r="AB126" s="121" t="e">
        <f>SUMIFS(#REF!,#REF!,Extrato!$B126,#REF!,Extrato!AB$3)</f>
        <v>#REF!</v>
      </c>
      <c r="AC126" s="121" t="e">
        <f>SUMIFS(#REF!,#REF!,Extrato!$B126,#REF!,Extrato!AC$3)</f>
        <v>#REF!</v>
      </c>
      <c r="AD126" s="121" t="e">
        <f>SUMIFS(#REF!,#REF!,Extrato!$B126,#REF!,Extrato!AD$3)</f>
        <v>#REF!</v>
      </c>
      <c r="AE126" s="121" t="e">
        <f>SUMIFS(#REF!,#REF!,Extrato!$B126,#REF!,Extrato!AE$3)</f>
        <v>#REF!</v>
      </c>
      <c r="AF126" s="121" t="e">
        <f>SUMIFS(#REF!,#REF!,Extrato!$B126,#REF!,Extrato!AF$3)</f>
        <v>#REF!</v>
      </c>
      <c r="AG126" s="121" t="e">
        <f>SUMIFS(#REF!,#REF!,Extrato!$B126,#REF!,Extrato!AG$3)</f>
        <v>#REF!</v>
      </c>
      <c r="AH126" s="121" t="e">
        <f>SUMIFS(#REF!,#REF!,Extrato!$B126,#REF!,Extrato!AH$3)</f>
        <v>#REF!</v>
      </c>
      <c r="AI126" s="121" t="e">
        <f>SUMIFS(#REF!,#REF!,Extrato!$B126,#REF!,Extrato!AI$3)</f>
        <v>#REF!</v>
      </c>
      <c r="AJ126" s="121">
        <v>0</v>
      </c>
      <c r="AK126" s="121">
        <v>-0.01</v>
      </c>
      <c r="AL126" s="25" t="e">
        <f t="shared" si="3"/>
        <v>#REF!</v>
      </c>
      <c r="AM126" s="122"/>
      <c r="AN126" s="122"/>
      <c r="AO126" s="122"/>
      <c r="AP126" s="122"/>
      <c r="AQ126" s="122"/>
      <c r="AR126" s="122"/>
      <c r="AS126" s="122"/>
      <c r="AT126" s="122"/>
      <c r="AU126" s="122"/>
      <c r="AV126" s="122"/>
      <c r="AW126" s="122"/>
      <c r="AX126" s="122"/>
      <c r="AY126" s="122"/>
      <c r="AZ126" s="122"/>
      <c r="BA126" s="122"/>
      <c r="BB126" s="122"/>
      <c r="BC126" s="122"/>
      <c r="BD126" s="122"/>
      <c r="BE126" s="122"/>
      <c r="BF126" s="122"/>
      <c r="BG126" s="122"/>
      <c r="BH126" s="122"/>
      <c r="BI126" s="122"/>
      <c r="BJ126" s="122"/>
      <c r="BK126" s="122"/>
      <c r="BL126" s="122"/>
      <c r="BM126" s="122"/>
      <c r="BN126" s="122"/>
      <c r="BO126" s="122"/>
      <c r="BP126" s="122"/>
    </row>
    <row r="127" spans="2:68" ht="15" customHeight="1">
      <c r="B127" s="12">
        <v>46117</v>
      </c>
      <c r="C127" s="121" t="e">
        <f t="shared" si="2"/>
        <v>#REF!</v>
      </c>
      <c r="D127" s="121" t="e">
        <f>SUMIFS(#REF!,#REF!,Extrato!$B127,#REF!,Extrato!D$3)</f>
        <v>#REF!</v>
      </c>
      <c r="E127" s="121" t="e">
        <f>SUMIFS(#REF!,#REF!,Extrato!$B127,#REF!,Extrato!E$3)</f>
        <v>#REF!</v>
      </c>
      <c r="F127" s="121" t="e">
        <f>SUMIFS(#REF!,#REF!,Extrato!$B127,#REF!,Extrato!F$3)</f>
        <v>#REF!</v>
      </c>
      <c r="G127" s="121" t="e">
        <f>SUMIFS(#REF!,#REF!,Extrato!$B127,#REF!,Extrato!G$3)</f>
        <v>#REF!</v>
      </c>
      <c r="H127" s="121" t="e">
        <f>SUMIFS(#REF!,#REF!,Extrato!$B127,#REF!,Extrato!H$3)</f>
        <v>#REF!</v>
      </c>
      <c r="I127" s="121" t="e">
        <f>SUMIFS(#REF!,#REF!,Extrato!$B127,#REF!,Extrato!I$3)</f>
        <v>#REF!</v>
      </c>
      <c r="J127" s="121" t="e">
        <f>SUMIFS(#REF!,#REF!,Extrato!$B127,#REF!,Extrato!J$3)</f>
        <v>#REF!</v>
      </c>
      <c r="K127" s="121" t="e">
        <f>SUMIFS(#REF!,#REF!,Extrato!$B127,#REF!,Extrato!K$3)</f>
        <v>#REF!</v>
      </c>
      <c r="L127" s="121" t="e">
        <f>SUMIFS(#REF!,#REF!,Extrato!$B127,#REF!,Extrato!L$3)</f>
        <v>#REF!</v>
      </c>
      <c r="M127" s="121" t="e">
        <f>SUMIFS(#REF!,#REF!,Extrato!$B127,#REF!,Extrato!M$3)</f>
        <v>#REF!</v>
      </c>
      <c r="N127" s="121" t="e">
        <f>SUMIFS(#REF!,#REF!,Extrato!$B127,#REF!,Extrato!N$3)</f>
        <v>#REF!</v>
      </c>
      <c r="O127" s="121" t="e">
        <f>SUMIFS(#REF!,#REF!,Extrato!$B127,#REF!,Extrato!O$3)</f>
        <v>#REF!</v>
      </c>
      <c r="P127" s="121">
        <f>SUMIF(BetFlow!B:B,B127,BetFlow!J:J)</f>
        <v>0</v>
      </c>
      <c r="Q127" s="121" t="e">
        <f>SUMIFS(#REF!,#REF!,Extrato!$B127,#REF!,Extrato!Q$3)</f>
        <v>#REF!</v>
      </c>
      <c r="R127" s="121" t="e">
        <f>SUMIFS(#REF!,#REF!,Extrato!$B127,#REF!,Extrato!R$3)</f>
        <v>#REF!</v>
      </c>
      <c r="S127" s="121" t="e">
        <f>SUMIFS(#REF!,#REF!,Extrato!$B127,#REF!,Extrato!S$3)</f>
        <v>#REF!</v>
      </c>
      <c r="T127" s="121" t="e">
        <f>SUMIFS(#REF!,#REF!,Extrato!$B127,#REF!,Extrato!T$3)</f>
        <v>#REF!</v>
      </c>
      <c r="U127" s="121" t="e">
        <f>SUMIFS(#REF!,#REF!,Extrato!$B127,#REF!,Extrato!U$3)</f>
        <v>#REF!</v>
      </c>
      <c r="V127" s="121" t="e">
        <f>SUMIFS(#REF!,#REF!,Extrato!$B127,#REF!,Extrato!V$3)</f>
        <v>#REF!</v>
      </c>
      <c r="W127" s="121" t="e">
        <f>SUMIFS(#REF!,#REF!,Extrato!$B127,#REF!,Extrato!W$3)</f>
        <v>#REF!</v>
      </c>
      <c r="X127" s="121" t="e">
        <f>SUMIFS(#REF!,#REF!,Extrato!$B127,#REF!,Extrato!X$3)</f>
        <v>#REF!</v>
      </c>
      <c r="Y127" s="121" t="e">
        <f>SUMIFS(#REF!,#REF!,Extrato!$B127,#REF!,Extrato!Y$3)</f>
        <v>#REF!</v>
      </c>
      <c r="Z127" s="121" t="e">
        <f>SUMIFS(#REF!,#REF!,Extrato!$B127,#REF!,Extrato!Z$3)</f>
        <v>#REF!</v>
      </c>
      <c r="AA127" s="121" t="e">
        <f>SUMIFS(#REF!,#REF!,Extrato!$B127,#REF!,Extrato!AA$3)</f>
        <v>#REF!</v>
      </c>
      <c r="AB127" s="121" t="e">
        <f>SUMIFS(#REF!,#REF!,Extrato!$B127,#REF!,Extrato!AB$3)</f>
        <v>#REF!</v>
      </c>
      <c r="AC127" s="121" t="e">
        <f>SUMIFS(#REF!,#REF!,Extrato!$B127,#REF!,Extrato!AC$3)</f>
        <v>#REF!</v>
      </c>
      <c r="AD127" s="121" t="e">
        <f>SUMIFS(#REF!,#REF!,Extrato!$B127,#REF!,Extrato!AD$3)</f>
        <v>#REF!</v>
      </c>
      <c r="AE127" s="121" t="e">
        <f>SUMIFS(#REF!,#REF!,Extrato!$B127,#REF!,Extrato!AE$3)</f>
        <v>#REF!</v>
      </c>
      <c r="AF127" s="121" t="e">
        <f>SUMIFS(#REF!,#REF!,Extrato!$B127,#REF!,Extrato!AF$3)</f>
        <v>#REF!</v>
      </c>
      <c r="AG127" s="121" t="e">
        <f>SUMIFS(#REF!,#REF!,Extrato!$B127,#REF!,Extrato!AG$3)</f>
        <v>#REF!</v>
      </c>
      <c r="AH127" s="121" t="e">
        <f>SUMIFS(#REF!,#REF!,Extrato!$B127,#REF!,Extrato!AH$3)</f>
        <v>#REF!</v>
      </c>
      <c r="AI127" s="121" t="e">
        <f>SUMIFS(#REF!,#REF!,Extrato!$B127,#REF!,Extrato!AI$3)</f>
        <v>#REF!</v>
      </c>
      <c r="AJ127" s="121">
        <v>0</v>
      </c>
      <c r="AK127" s="121">
        <v>-0.01</v>
      </c>
      <c r="AL127" s="25" t="e">
        <f t="shared" si="3"/>
        <v>#REF!</v>
      </c>
      <c r="AM127" s="122"/>
      <c r="AN127" s="122"/>
      <c r="AO127" s="122"/>
      <c r="AP127" s="122"/>
      <c r="AQ127" s="122"/>
      <c r="AR127" s="122"/>
      <c r="AS127" s="122"/>
      <c r="AT127" s="122"/>
      <c r="AU127" s="122"/>
      <c r="AV127" s="122"/>
      <c r="AW127" s="122"/>
      <c r="AX127" s="122"/>
      <c r="AY127" s="122"/>
      <c r="AZ127" s="122"/>
      <c r="BA127" s="122"/>
      <c r="BB127" s="122"/>
      <c r="BC127" s="122"/>
      <c r="BD127" s="122"/>
      <c r="BE127" s="122"/>
      <c r="BF127" s="122"/>
      <c r="BG127" s="122"/>
      <c r="BH127" s="122"/>
      <c r="BI127" s="122"/>
      <c r="BJ127" s="122"/>
      <c r="BK127" s="122"/>
      <c r="BL127" s="122"/>
      <c r="BM127" s="122"/>
      <c r="BN127" s="122"/>
      <c r="BO127" s="122"/>
      <c r="BP127" s="122"/>
    </row>
    <row r="128" spans="2:68" ht="15" customHeight="1">
      <c r="B128" s="12">
        <v>46118</v>
      </c>
      <c r="C128" s="121" t="e">
        <f t="shared" si="2"/>
        <v>#REF!</v>
      </c>
      <c r="D128" s="121" t="e">
        <f>SUMIFS(#REF!,#REF!,Extrato!$B128,#REF!,Extrato!D$3)</f>
        <v>#REF!</v>
      </c>
      <c r="E128" s="121" t="e">
        <f>SUMIFS(#REF!,#REF!,Extrato!$B128,#REF!,Extrato!E$3)</f>
        <v>#REF!</v>
      </c>
      <c r="F128" s="121" t="e">
        <f>SUMIFS(#REF!,#REF!,Extrato!$B128,#REF!,Extrato!F$3)</f>
        <v>#REF!</v>
      </c>
      <c r="G128" s="121" t="e">
        <f>SUMIFS(#REF!,#REF!,Extrato!$B128,#REF!,Extrato!G$3)</f>
        <v>#REF!</v>
      </c>
      <c r="H128" s="121" t="e">
        <f>SUMIFS(#REF!,#REF!,Extrato!$B128,#REF!,Extrato!H$3)</f>
        <v>#REF!</v>
      </c>
      <c r="I128" s="121" t="e">
        <f>SUMIFS(#REF!,#REF!,Extrato!$B128,#REF!,Extrato!I$3)</f>
        <v>#REF!</v>
      </c>
      <c r="J128" s="121" t="e">
        <f>SUMIFS(#REF!,#REF!,Extrato!$B128,#REF!,Extrato!J$3)</f>
        <v>#REF!</v>
      </c>
      <c r="K128" s="121" t="e">
        <f>SUMIFS(#REF!,#REF!,Extrato!$B128,#REF!,Extrato!K$3)</f>
        <v>#REF!</v>
      </c>
      <c r="L128" s="121" t="e">
        <f>SUMIFS(#REF!,#REF!,Extrato!$B128,#REF!,Extrato!L$3)</f>
        <v>#REF!</v>
      </c>
      <c r="M128" s="121" t="e">
        <f>SUMIFS(#REF!,#REF!,Extrato!$B128,#REF!,Extrato!M$3)</f>
        <v>#REF!</v>
      </c>
      <c r="N128" s="121" t="e">
        <f>SUMIFS(#REF!,#REF!,Extrato!$B128,#REF!,Extrato!N$3)</f>
        <v>#REF!</v>
      </c>
      <c r="O128" s="121" t="e">
        <f>SUMIFS(#REF!,#REF!,Extrato!$B128,#REF!,Extrato!O$3)</f>
        <v>#REF!</v>
      </c>
      <c r="P128" s="121">
        <f>SUMIF(BetFlow!B:B,B128,BetFlow!J:J)</f>
        <v>0</v>
      </c>
      <c r="Q128" s="121" t="e">
        <f>SUMIFS(#REF!,#REF!,Extrato!$B128,#REF!,Extrato!Q$3)</f>
        <v>#REF!</v>
      </c>
      <c r="R128" s="121" t="e">
        <f>SUMIFS(#REF!,#REF!,Extrato!$B128,#REF!,Extrato!R$3)</f>
        <v>#REF!</v>
      </c>
      <c r="S128" s="121" t="e">
        <f>SUMIFS(#REF!,#REF!,Extrato!$B128,#REF!,Extrato!S$3)</f>
        <v>#REF!</v>
      </c>
      <c r="T128" s="121" t="e">
        <f>SUMIFS(#REF!,#REF!,Extrato!$B128,#REF!,Extrato!T$3)</f>
        <v>#REF!</v>
      </c>
      <c r="U128" s="121" t="e">
        <f>SUMIFS(#REF!,#REF!,Extrato!$B128,#REF!,Extrato!U$3)</f>
        <v>#REF!</v>
      </c>
      <c r="V128" s="121" t="e">
        <f>SUMIFS(#REF!,#REF!,Extrato!$B128,#REF!,Extrato!V$3)</f>
        <v>#REF!</v>
      </c>
      <c r="W128" s="121" t="e">
        <f>SUMIFS(#REF!,#REF!,Extrato!$B128,#REF!,Extrato!W$3)</f>
        <v>#REF!</v>
      </c>
      <c r="X128" s="121" t="e">
        <f>SUMIFS(#REF!,#REF!,Extrato!$B128,#REF!,Extrato!X$3)</f>
        <v>#REF!</v>
      </c>
      <c r="Y128" s="121" t="e">
        <f>SUMIFS(#REF!,#REF!,Extrato!$B128,#REF!,Extrato!Y$3)</f>
        <v>#REF!</v>
      </c>
      <c r="Z128" s="121" t="e">
        <f>SUMIFS(#REF!,#REF!,Extrato!$B128,#REF!,Extrato!Z$3)</f>
        <v>#REF!</v>
      </c>
      <c r="AA128" s="121" t="e">
        <f>SUMIFS(#REF!,#REF!,Extrato!$B128,#REF!,Extrato!AA$3)</f>
        <v>#REF!</v>
      </c>
      <c r="AB128" s="121" t="e">
        <f>SUMIFS(#REF!,#REF!,Extrato!$B128,#REF!,Extrato!AB$3)</f>
        <v>#REF!</v>
      </c>
      <c r="AC128" s="121" t="e">
        <f>SUMIFS(#REF!,#REF!,Extrato!$B128,#REF!,Extrato!AC$3)</f>
        <v>#REF!</v>
      </c>
      <c r="AD128" s="121" t="e">
        <f>SUMIFS(#REF!,#REF!,Extrato!$B128,#REF!,Extrato!AD$3)</f>
        <v>#REF!</v>
      </c>
      <c r="AE128" s="121" t="e">
        <f>SUMIFS(#REF!,#REF!,Extrato!$B128,#REF!,Extrato!AE$3)</f>
        <v>#REF!</v>
      </c>
      <c r="AF128" s="121" t="e">
        <f>SUMIFS(#REF!,#REF!,Extrato!$B128,#REF!,Extrato!AF$3)</f>
        <v>#REF!</v>
      </c>
      <c r="AG128" s="121" t="e">
        <f>SUMIFS(#REF!,#REF!,Extrato!$B128,#REF!,Extrato!AG$3)</f>
        <v>#REF!</v>
      </c>
      <c r="AH128" s="121" t="e">
        <f>SUMIFS(#REF!,#REF!,Extrato!$B128,#REF!,Extrato!AH$3)</f>
        <v>#REF!</v>
      </c>
      <c r="AI128" s="121" t="e">
        <f>SUMIFS(#REF!,#REF!,Extrato!$B128,#REF!,Extrato!AI$3)</f>
        <v>#REF!</v>
      </c>
      <c r="AJ128" s="121">
        <v>0</v>
      </c>
      <c r="AK128" s="121"/>
      <c r="AL128" s="25" t="e">
        <f t="shared" si="3"/>
        <v>#REF!</v>
      </c>
      <c r="AM128" s="122"/>
      <c r="AN128" s="122"/>
      <c r="AO128" s="122"/>
      <c r="AP128" s="122"/>
      <c r="AQ128" s="122"/>
      <c r="AR128" s="122"/>
      <c r="AS128" s="122"/>
      <c r="AT128" s="122"/>
      <c r="AU128" s="122"/>
      <c r="AV128" s="122"/>
      <c r="AW128" s="122"/>
      <c r="AX128" s="122"/>
      <c r="AY128" s="122"/>
      <c r="AZ128" s="122"/>
      <c r="BA128" s="122"/>
      <c r="BB128" s="122"/>
      <c r="BC128" s="122"/>
      <c r="BD128" s="122"/>
      <c r="BE128" s="122"/>
      <c r="BF128" s="122"/>
      <c r="BG128" s="122"/>
      <c r="BH128" s="122"/>
      <c r="BI128" s="122"/>
      <c r="BJ128" s="122"/>
      <c r="BK128" s="122"/>
      <c r="BL128" s="122"/>
      <c r="BM128" s="122"/>
      <c r="BN128" s="122"/>
      <c r="BO128" s="122"/>
      <c r="BP128" s="122"/>
    </row>
    <row r="129" spans="2:68" ht="15" customHeight="1">
      <c r="B129" s="12">
        <v>46119</v>
      </c>
      <c r="C129" s="121" t="e">
        <f t="shared" si="2"/>
        <v>#REF!</v>
      </c>
      <c r="D129" s="121" t="e">
        <f>SUMIFS(#REF!,#REF!,Extrato!$B129,#REF!,Extrato!D$3)</f>
        <v>#REF!</v>
      </c>
      <c r="E129" s="121" t="e">
        <f>SUMIFS(#REF!,#REF!,Extrato!$B129,#REF!,Extrato!E$3)</f>
        <v>#REF!</v>
      </c>
      <c r="F129" s="121" t="e">
        <f>SUMIFS(#REF!,#REF!,Extrato!$B129,#REF!,Extrato!F$3)</f>
        <v>#REF!</v>
      </c>
      <c r="G129" s="121" t="e">
        <f>SUMIFS(#REF!,#REF!,Extrato!$B129,#REF!,Extrato!G$3)</f>
        <v>#REF!</v>
      </c>
      <c r="H129" s="121" t="e">
        <f>SUMIFS(#REF!,#REF!,Extrato!$B129,#REF!,Extrato!H$3)</f>
        <v>#REF!</v>
      </c>
      <c r="I129" s="121" t="e">
        <f>SUMIFS(#REF!,#REF!,Extrato!$B129,#REF!,Extrato!I$3)</f>
        <v>#REF!</v>
      </c>
      <c r="J129" s="121" t="e">
        <f>SUMIFS(#REF!,#REF!,Extrato!$B129,#REF!,Extrato!J$3)</f>
        <v>#REF!</v>
      </c>
      <c r="K129" s="121" t="e">
        <f>SUMIFS(#REF!,#REF!,Extrato!$B129,#REF!,Extrato!K$3)</f>
        <v>#REF!</v>
      </c>
      <c r="L129" s="121" t="e">
        <f>SUMIFS(#REF!,#REF!,Extrato!$B129,#REF!,Extrato!L$3)</f>
        <v>#REF!</v>
      </c>
      <c r="M129" s="121" t="e">
        <f>SUMIFS(#REF!,#REF!,Extrato!$B129,#REF!,Extrato!M$3)</f>
        <v>#REF!</v>
      </c>
      <c r="N129" s="121" t="e">
        <f>SUMIFS(#REF!,#REF!,Extrato!$B129,#REF!,Extrato!N$3)</f>
        <v>#REF!</v>
      </c>
      <c r="O129" s="121" t="e">
        <f>SUMIFS(#REF!,#REF!,Extrato!$B129,#REF!,Extrato!O$3)</f>
        <v>#REF!</v>
      </c>
      <c r="P129" s="121">
        <f>SUMIF(BetFlow!B:B,B129,BetFlow!J:J)</f>
        <v>0</v>
      </c>
      <c r="Q129" s="121" t="e">
        <f>SUMIFS(#REF!,#REF!,Extrato!$B129,#REF!,Extrato!Q$3)</f>
        <v>#REF!</v>
      </c>
      <c r="R129" s="121" t="e">
        <f>SUMIFS(#REF!,#REF!,Extrato!$B129,#REF!,Extrato!R$3)</f>
        <v>#REF!</v>
      </c>
      <c r="S129" s="121" t="e">
        <f>SUMIFS(#REF!,#REF!,Extrato!$B129,#REF!,Extrato!S$3)</f>
        <v>#REF!</v>
      </c>
      <c r="T129" s="121" t="e">
        <f>SUMIFS(#REF!,#REF!,Extrato!$B129,#REF!,Extrato!T$3)</f>
        <v>#REF!</v>
      </c>
      <c r="U129" s="121" t="e">
        <f>SUMIFS(#REF!,#REF!,Extrato!$B129,#REF!,Extrato!U$3)</f>
        <v>#REF!</v>
      </c>
      <c r="V129" s="121" t="e">
        <f>SUMIFS(#REF!,#REF!,Extrato!$B129,#REF!,Extrato!V$3)</f>
        <v>#REF!</v>
      </c>
      <c r="W129" s="121" t="e">
        <f>SUMIFS(#REF!,#REF!,Extrato!$B129,#REF!,Extrato!W$3)</f>
        <v>#REF!</v>
      </c>
      <c r="X129" s="121" t="e">
        <f>SUMIFS(#REF!,#REF!,Extrato!$B129,#REF!,Extrato!X$3)</f>
        <v>#REF!</v>
      </c>
      <c r="Y129" s="121" t="e">
        <f>SUMIFS(#REF!,#REF!,Extrato!$B129,#REF!,Extrato!Y$3)</f>
        <v>#REF!</v>
      </c>
      <c r="Z129" s="121" t="e">
        <f>SUMIFS(#REF!,#REF!,Extrato!$B129,#REF!,Extrato!Z$3)</f>
        <v>#REF!</v>
      </c>
      <c r="AA129" s="121" t="e">
        <f>SUMIFS(#REF!,#REF!,Extrato!$B129,#REF!,Extrato!AA$3)</f>
        <v>#REF!</v>
      </c>
      <c r="AB129" s="121" t="e">
        <f>SUMIFS(#REF!,#REF!,Extrato!$B129,#REF!,Extrato!AB$3)</f>
        <v>#REF!</v>
      </c>
      <c r="AC129" s="121" t="e">
        <f>SUMIFS(#REF!,#REF!,Extrato!$B129,#REF!,Extrato!AC$3)</f>
        <v>#REF!</v>
      </c>
      <c r="AD129" s="121" t="e">
        <f>SUMIFS(#REF!,#REF!,Extrato!$B129,#REF!,Extrato!AD$3)</f>
        <v>#REF!</v>
      </c>
      <c r="AE129" s="121" t="e">
        <f>SUMIFS(#REF!,#REF!,Extrato!$B129,#REF!,Extrato!AE$3)</f>
        <v>#REF!</v>
      </c>
      <c r="AF129" s="121" t="e">
        <f>SUMIFS(#REF!,#REF!,Extrato!$B129,#REF!,Extrato!AF$3)</f>
        <v>#REF!</v>
      </c>
      <c r="AG129" s="121" t="e">
        <f>SUMIFS(#REF!,#REF!,Extrato!$B129,#REF!,Extrato!AG$3)</f>
        <v>#REF!</v>
      </c>
      <c r="AH129" s="121" t="e">
        <f>SUMIFS(#REF!,#REF!,Extrato!$B129,#REF!,Extrato!AH$3)</f>
        <v>#REF!</v>
      </c>
      <c r="AI129" s="121" t="e">
        <f>SUMIFS(#REF!,#REF!,Extrato!$B129,#REF!,Extrato!AI$3)</f>
        <v>#REF!</v>
      </c>
      <c r="AJ129" s="121">
        <v>0</v>
      </c>
      <c r="AK129" s="121"/>
      <c r="AL129" s="25" t="e">
        <f t="shared" si="3"/>
        <v>#REF!</v>
      </c>
      <c r="AM129" s="122"/>
      <c r="AN129" s="122"/>
      <c r="AO129" s="122"/>
      <c r="AP129" s="122"/>
      <c r="AQ129" s="122"/>
      <c r="AR129" s="122"/>
      <c r="AS129" s="122"/>
      <c r="AT129" s="122"/>
      <c r="AU129" s="122"/>
      <c r="AV129" s="122"/>
      <c r="AW129" s="122"/>
      <c r="AX129" s="122"/>
      <c r="AY129" s="122"/>
      <c r="AZ129" s="122"/>
      <c r="BA129" s="122"/>
      <c r="BB129" s="122"/>
      <c r="BC129" s="122"/>
      <c r="BD129" s="122"/>
      <c r="BE129" s="122"/>
      <c r="BF129" s="122"/>
      <c r="BG129" s="122"/>
      <c r="BH129" s="122"/>
      <c r="BI129" s="122"/>
      <c r="BJ129" s="122"/>
      <c r="BK129" s="122"/>
      <c r="BL129" s="122"/>
      <c r="BM129" s="122"/>
      <c r="BN129" s="122"/>
      <c r="BO129" s="122"/>
      <c r="BP129" s="122"/>
    </row>
    <row r="130" spans="2:68" ht="15" customHeight="1">
      <c r="B130" s="12">
        <v>46120</v>
      </c>
      <c r="C130" s="121" t="e">
        <f t="shared" si="2"/>
        <v>#REF!</v>
      </c>
      <c r="D130" s="121" t="e">
        <f>SUMIFS(#REF!,#REF!,Extrato!$B130,#REF!,Extrato!D$3)</f>
        <v>#REF!</v>
      </c>
      <c r="E130" s="121" t="e">
        <f>SUMIFS(#REF!,#REF!,Extrato!$B130,#REF!,Extrato!E$3)</f>
        <v>#REF!</v>
      </c>
      <c r="F130" s="121" t="e">
        <f>SUMIFS(#REF!,#REF!,Extrato!$B130,#REF!,Extrato!F$3)</f>
        <v>#REF!</v>
      </c>
      <c r="G130" s="121" t="e">
        <f>SUMIFS(#REF!,#REF!,Extrato!$B130,#REF!,Extrato!G$3)</f>
        <v>#REF!</v>
      </c>
      <c r="H130" s="121" t="e">
        <f>SUMIFS(#REF!,#REF!,Extrato!$B130,#REF!,Extrato!H$3)</f>
        <v>#REF!</v>
      </c>
      <c r="I130" s="121" t="e">
        <f>SUMIFS(#REF!,#REF!,Extrato!$B130,#REF!,Extrato!I$3)</f>
        <v>#REF!</v>
      </c>
      <c r="J130" s="121" t="e">
        <f>SUMIFS(#REF!,#REF!,Extrato!$B130,#REF!,Extrato!J$3)</f>
        <v>#REF!</v>
      </c>
      <c r="K130" s="121" t="e">
        <f>SUMIFS(#REF!,#REF!,Extrato!$B130,#REF!,Extrato!K$3)</f>
        <v>#REF!</v>
      </c>
      <c r="L130" s="121" t="e">
        <f>SUMIFS(#REF!,#REF!,Extrato!$B130,#REF!,Extrato!L$3)</f>
        <v>#REF!</v>
      </c>
      <c r="M130" s="121" t="e">
        <f>SUMIFS(#REF!,#REF!,Extrato!$B130,#REF!,Extrato!M$3)</f>
        <v>#REF!</v>
      </c>
      <c r="N130" s="121" t="e">
        <f>SUMIFS(#REF!,#REF!,Extrato!$B130,#REF!,Extrato!N$3)</f>
        <v>#REF!</v>
      </c>
      <c r="O130" s="121" t="e">
        <f>SUMIFS(#REF!,#REF!,Extrato!$B130,#REF!,Extrato!O$3)</f>
        <v>#REF!</v>
      </c>
      <c r="P130" s="121">
        <f>SUMIF(BetFlow!B:B,B130,BetFlow!J:J)</f>
        <v>0</v>
      </c>
      <c r="Q130" s="121" t="e">
        <f>SUMIFS(#REF!,#REF!,Extrato!$B130,#REF!,Extrato!Q$3)</f>
        <v>#REF!</v>
      </c>
      <c r="R130" s="121" t="e">
        <f>SUMIFS(#REF!,#REF!,Extrato!$B130,#REF!,Extrato!R$3)</f>
        <v>#REF!</v>
      </c>
      <c r="S130" s="121" t="e">
        <f>SUMIFS(#REF!,#REF!,Extrato!$B130,#REF!,Extrato!S$3)</f>
        <v>#REF!</v>
      </c>
      <c r="T130" s="121" t="e">
        <f>SUMIFS(#REF!,#REF!,Extrato!$B130,#REF!,Extrato!T$3)</f>
        <v>#REF!</v>
      </c>
      <c r="U130" s="121" t="e">
        <f>SUMIFS(#REF!,#REF!,Extrato!$B130,#REF!,Extrato!U$3)</f>
        <v>#REF!</v>
      </c>
      <c r="V130" s="121" t="e">
        <f>SUMIFS(#REF!,#REF!,Extrato!$B130,#REF!,Extrato!V$3)</f>
        <v>#REF!</v>
      </c>
      <c r="W130" s="121" t="e">
        <f>SUMIFS(#REF!,#REF!,Extrato!$B130,#REF!,Extrato!W$3)</f>
        <v>#REF!</v>
      </c>
      <c r="X130" s="121" t="e">
        <f>SUMIFS(#REF!,#REF!,Extrato!$B130,#REF!,Extrato!X$3)</f>
        <v>#REF!</v>
      </c>
      <c r="Y130" s="121" t="e">
        <f>SUMIFS(#REF!,#REF!,Extrato!$B130,#REF!,Extrato!Y$3)</f>
        <v>#REF!</v>
      </c>
      <c r="Z130" s="121" t="e">
        <f>SUMIFS(#REF!,#REF!,Extrato!$B130,#REF!,Extrato!Z$3)</f>
        <v>#REF!</v>
      </c>
      <c r="AA130" s="121" t="e">
        <f>SUMIFS(#REF!,#REF!,Extrato!$B130,#REF!,Extrato!AA$3)</f>
        <v>#REF!</v>
      </c>
      <c r="AB130" s="121" t="e">
        <f>SUMIFS(#REF!,#REF!,Extrato!$B130,#REF!,Extrato!AB$3)</f>
        <v>#REF!</v>
      </c>
      <c r="AC130" s="121" t="e">
        <f>SUMIFS(#REF!,#REF!,Extrato!$B130,#REF!,Extrato!AC$3)</f>
        <v>#REF!</v>
      </c>
      <c r="AD130" s="121" t="e">
        <f>SUMIFS(#REF!,#REF!,Extrato!$B130,#REF!,Extrato!AD$3)</f>
        <v>#REF!</v>
      </c>
      <c r="AE130" s="121" t="e">
        <f>SUMIFS(#REF!,#REF!,Extrato!$B130,#REF!,Extrato!AE$3)</f>
        <v>#REF!</v>
      </c>
      <c r="AF130" s="121" t="e">
        <f>SUMIFS(#REF!,#REF!,Extrato!$B130,#REF!,Extrato!AF$3)</f>
        <v>#REF!</v>
      </c>
      <c r="AG130" s="121" t="e">
        <f>SUMIFS(#REF!,#REF!,Extrato!$B130,#REF!,Extrato!AG$3)</f>
        <v>#REF!</v>
      </c>
      <c r="AH130" s="121" t="e">
        <f>SUMIFS(#REF!,#REF!,Extrato!$B130,#REF!,Extrato!AH$3)</f>
        <v>#REF!</v>
      </c>
      <c r="AI130" s="121" t="e">
        <f>SUMIFS(#REF!,#REF!,Extrato!$B130,#REF!,Extrato!AI$3)</f>
        <v>#REF!</v>
      </c>
      <c r="AJ130" s="121">
        <v>0</v>
      </c>
      <c r="AK130" s="121">
        <v>-0.01</v>
      </c>
      <c r="AL130" s="25" t="e">
        <f t="shared" si="3"/>
        <v>#REF!</v>
      </c>
      <c r="AM130" s="122"/>
      <c r="AN130" s="122"/>
      <c r="AO130" s="122"/>
      <c r="AP130" s="122"/>
      <c r="AQ130" s="122"/>
      <c r="AR130" s="122"/>
      <c r="AS130" s="122"/>
      <c r="AT130" s="122"/>
      <c r="AU130" s="122"/>
      <c r="AV130" s="122"/>
      <c r="AW130" s="122"/>
      <c r="AX130" s="122"/>
      <c r="AY130" s="122"/>
      <c r="AZ130" s="122"/>
      <c r="BA130" s="122"/>
      <c r="BB130" s="122"/>
      <c r="BC130" s="122"/>
      <c r="BD130" s="122"/>
      <c r="BE130" s="122"/>
      <c r="BF130" s="122"/>
      <c r="BG130" s="122"/>
      <c r="BH130" s="122"/>
      <c r="BI130" s="122"/>
      <c r="BJ130" s="122"/>
      <c r="BK130" s="122"/>
      <c r="BL130" s="122"/>
      <c r="BM130" s="122"/>
      <c r="BN130" s="122"/>
      <c r="BO130" s="122"/>
      <c r="BP130" s="122"/>
    </row>
    <row r="131" spans="2:68" ht="15" customHeight="1">
      <c r="B131" s="12">
        <v>46121</v>
      </c>
      <c r="C131" s="121" t="e">
        <f t="shared" si="2"/>
        <v>#REF!</v>
      </c>
      <c r="D131" s="121" t="e">
        <f>SUMIFS(#REF!,#REF!,Extrato!$B131,#REF!,Extrato!D$3)</f>
        <v>#REF!</v>
      </c>
      <c r="E131" s="121" t="e">
        <f>SUMIFS(#REF!,#REF!,Extrato!$B131,#REF!,Extrato!E$3)</f>
        <v>#REF!</v>
      </c>
      <c r="F131" s="121" t="e">
        <f>SUMIFS(#REF!,#REF!,Extrato!$B131,#REF!,Extrato!F$3)</f>
        <v>#REF!</v>
      </c>
      <c r="G131" s="121" t="e">
        <f>SUMIFS(#REF!,#REF!,Extrato!$B131,#REF!,Extrato!G$3)</f>
        <v>#REF!</v>
      </c>
      <c r="H131" s="121" t="e">
        <f>SUMIFS(#REF!,#REF!,Extrato!$B131,#REF!,Extrato!H$3)</f>
        <v>#REF!</v>
      </c>
      <c r="I131" s="121" t="e">
        <f>SUMIFS(#REF!,#REF!,Extrato!$B131,#REF!,Extrato!I$3)</f>
        <v>#REF!</v>
      </c>
      <c r="J131" s="121" t="e">
        <f>SUMIFS(#REF!,#REF!,Extrato!$B131,#REF!,Extrato!J$3)</f>
        <v>#REF!</v>
      </c>
      <c r="K131" s="121" t="e">
        <f>SUMIFS(#REF!,#REF!,Extrato!$B131,#REF!,Extrato!K$3)</f>
        <v>#REF!</v>
      </c>
      <c r="L131" s="121" t="e">
        <f>SUMIFS(#REF!,#REF!,Extrato!$B131,#REF!,Extrato!L$3)</f>
        <v>#REF!</v>
      </c>
      <c r="M131" s="121" t="e">
        <f>SUMIFS(#REF!,#REF!,Extrato!$B131,#REF!,Extrato!M$3)</f>
        <v>#REF!</v>
      </c>
      <c r="N131" s="121" t="e">
        <f>SUMIFS(#REF!,#REF!,Extrato!$B131,#REF!,Extrato!N$3)</f>
        <v>#REF!</v>
      </c>
      <c r="O131" s="121" t="e">
        <f>SUMIFS(#REF!,#REF!,Extrato!$B131,#REF!,Extrato!O$3)</f>
        <v>#REF!</v>
      </c>
      <c r="P131" s="121">
        <f>SUMIF(BetFlow!B:B,B131,BetFlow!J:J)</f>
        <v>0</v>
      </c>
      <c r="Q131" s="121" t="e">
        <f>SUMIFS(#REF!,#REF!,Extrato!$B131,#REF!,Extrato!Q$3)</f>
        <v>#REF!</v>
      </c>
      <c r="R131" s="121" t="e">
        <f>SUMIFS(#REF!,#REF!,Extrato!$B131,#REF!,Extrato!R$3)</f>
        <v>#REF!</v>
      </c>
      <c r="S131" s="121" t="e">
        <f>SUMIFS(#REF!,#REF!,Extrato!$B131,#REF!,Extrato!S$3)</f>
        <v>#REF!</v>
      </c>
      <c r="T131" s="121" t="e">
        <f>SUMIFS(#REF!,#REF!,Extrato!$B131,#REF!,Extrato!T$3)</f>
        <v>#REF!</v>
      </c>
      <c r="U131" s="121" t="e">
        <f>SUMIFS(#REF!,#REF!,Extrato!$B131,#REF!,Extrato!U$3)</f>
        <v>#REF!</v>
      </c>
      <c r="V131" s="121" t="e">
        <f>SUMIFS(#REF!,#REF!,Extrato!$B131,#REF!,Extrato!V$3)</f>
        <v>#REF!</v>
      </c>
      <c r="W131" s="121" t="e">
        <f>SUMIFS(#REF!,#REF!,Extrato!$B131,#REF!,Extrato!W$3)</f>
        <v>#REF!</v>
      </c>
      <c r="X131" s="121" t="e">
        <f>SUMIFS(#REF!,#REF!,Extrato!$B131,#REF!,Extrato!X$3)</f>
        <v>#REF!</v>
      </c>
      <c r="Y131" s="121" t="e">
        <f>SUMIFS(#REF!,#REF!,Extrato!$B131,#REF!,Extrato!Y$3)</f>
        <v>#REF!</v>
      </c>
      <c r="Z131" s="121" t="e">
        <f>SUMIFS(#REF!,#REF!,Extrato!$B131,#REF!,Extrato!Z$3)</f>
        <v>#REF!</v>
      </c>
      <c r="AA131" s="121" t="e">
        <f>SUMIFS(#REF!,#REF!,Extrato!$B131,#REF!,Extrato!AA$3)</f>
        <v>#REF!</v>
      </c>
      <c r="AB131" s="121" t="e">
        <f>SUMIFS(#REF!,#REF!,Extrato!$B131,#REF!,Extrato!AB$3)</f>
        <v>#REF!</v>
      </c>
      <c r="AC131" s="121" t="e">
        <f>SUMIFS(#REF!,#REF!,Extrato!$B131,#REF!,Extrato!AC$3)</f>
        <v>#REF!</v>
      </c>
      <c r="AD131" s="121" t="e">
        <f>SUMIFS(#REF!,#REF!,Extrato!$B131,#REF!,Extrato!AD$3)</f>
        <v>#REF!</v>
      </c>
      <c r="AE131" s="121" t="e">
        <f>SUMIFS(#REF!,#REF!,Extrato!$B131,#REF!,Extrato!AE$3)</f>
        <v>#REF!</v>
      </c>
      <c r="AF131" s="121" t="e">
        <f>SUMIFS(#REF!,#REF!,Extrato!$B131,#REF!,Extrato!AF$3)</f>
        <v>#REF!</v>
      </c>
      <c r="AG131" s="121" t="e">
        <f>SUMIFS(#REF!,#REF!,Extrato!$B131,#REF!,Extrato!AG$3)</f>
        <v>#REF!</v>
      </c>
      <c r="AH131" s="121" t="e">
        <f>SUMIFS(#REF!,#REF!,Extrato!$B131,#REF!,Extrato!AH$3)</f>
        <v>#REF!</v>
      </c>
      <c r="AI131" s="121" t="e">
        <f>SUMIFS(#REF!,#REF!,Extrato!$B131,#REF!,Extrato!AI$3)</f>
        <v>#REF!</v>
      </c>
      <c r="AJ131" s="121">
        <v>0</v>
      </c>
      <c r="AK131" s="121"/>
      <c r="AL131" s="25" t="e">
        <f t="shared" si="3"/>
        <v>#REF!</v>
      </c>
      <c r="AM131" s="122"/>
      <c r="AN131" s="122"/>
      <c r="AO131" s="122"/>
      <c r="AP131" s="122"/>
      <c r="AQ131" s="122"/>
      <c r="AR131" s="122"/>
      <c r="AS131" s="122"/>
      <c r="AT131" s="122"/>
      <c r="AU131" s="122"/>
      <c r="AV131" s="122"/>
      <c r="AW131" s="122"/>
      <c r="AX131" s="122"/>
      <c r="AY131" s="122"/>
      <c r="AZ131" s="122"/>
      <c r="BA131" s="122"/>
      <c r="BB131" s="122"/>
      <c r="BC131" s="122"/>
      <c r="BD131" s="122"/>
      <c r="BE131" s="122"/>
      <c r="BF131" s="122"/>
      <c r="BG131" s="122"/>
      <c r="BH131" s="122"/>
      <c r="BI131" s="122"/>
      <c r="BJ131" s="122"/>
      <c r="BK131" s="122"/>
      <c r="BL131" s="122"/>
      <c r="BM131" s="122"/>
      <c r="BN131" s="122"/>
      <c r="BO131" s="122"/>
      <c r="BP131" s="122"/>
    </row>
    <row r="132" spans="2:68" ht="15" customHeight="1">
      <c r="B132" s="12">
        <v>46122</v>
      </c>
      <c r="C132" s="121" t="e">
        <f t="shared" si="2"/>
        <v>#REF!</v>
      </c>
      <c r="D132" s="121" t="e">
        <f>SUMIFS(#REF!,#REF!,Extrato!$B132,#REF!,Extrato!D$3)</f>
        <v>#REF!</v>
      </c>
      <c r="E132" s="121" t="e">
        <f>SUMIFS(#REF!,#REF!,Extrato!$B132,#REF!,Extrato!E$3)</f>
        <v>#REF!</v>
      </c>
      <c r="F132" s="121" t="e">
        <f>SUMIFS(#REF!,#REF!,Extrato!$B132,#REF!,Extrato!F$3)</f>
        <v>#REF!</v>
      </c>
      <c r="G132" s="121" t="e">
        <f>SUMIFS(#REF!,#REF!,Extrato!$B132,#REF!,Extrato!G$3)</f>
        <v>#REF!</v>
      </c>
      <c r="H132" s="121" t="e">
        <f>SUMIFS(#REF!,#REF!,Extrato!$B132,#REF!,Extrato!H$3)</f>
        <v>#REF!</v>
      </c>
      <c r="I132" s="121" t="e">
        <f>SUMIFS(#REF!,#REF!,Extrato!$B132,#REF!,Extrato!I$3)</f>
        <v>#REF!</v>
      </c>
      <c r="J132" s="121" t="e">
        <f>SUMIFS(#REF!,#REF!,Extrato!$B132,#REF!,Extrato!J$3)</f>
        <v>#REF!</v>
      </c>
      <c r="K132" s="121" t="e">
        <f>SUMIFS(#REF!,#REF!,Extrato!$B132,#REF!,Extrato!K$3)</f>
        <v>#REF!</v>
      </c>
      <c r="L132" s="121" t="e">
        <f>SUMIFS(#REF!,#REF!,Extrato!$B132,#REF!,Extrato!L$3)</f>
        <v>#REF!</v>
      </c>
      <c r="M132" s="121" t="e">
        <f>SUMIFS(#REF!,#REF!,Extrato!$B132,#REF!,Extrato!M$3)</f>
        <v>#REF!</v>
      </c>
      <c r="N132" s="121" t="e">
        <f>SUMIFS(#REF!,#REF!,Extrato!$B132,#REF!,Extrato!N$3)</f>
        <v>#REF!</v>
      </c>
      <c r="O132" s="121" t="e">
        <f>SUMIFS(#REF!,#REF!,Extrato!$B132,#REF!,Extrato!O$3)</f>
        <v>#REF!</v>
      </c>
      <c r="P132" s="121">
        <f>SUMIF(BetFlow!B:B,B132,BetFlow!J:J)</f>
        <v>0</v>
      </c>
      <c r="Q132" s="121" t="e">
        <f>SUMIFS(#REF!,#REF!,Extrato!$B132,#REF!,Extrato!Q$3)</f>
        <v>#REF!</v>
      </c>
      <c r="R132" s="121" t="e">
        <f>SUMIFS(#REF!,#REF!,Extrato!$B132,#REF!,Extrato!R$3)</f>
        <v>#REF!</v>
      </c>
      <c r="S132" s="121" t="e">
        <f>SUMIFS(#REF!,#REF!,Extrato!$B132,#REF!,Extrato!S$3)</f>
        <v>#REF!</v>
      </c>
      <c r="T132" s="121" t="e">
        <f>SUMIFS(#REF!,#REF!,Extrato!$B132,#REF!,Extrato!T$3)</f>
        <v>#REF!</v>
      </c>
      <c r="U132" s="121" t="e">
        <f>SUMIFS(#REF!,#REF!,Extrato!$B132,#REF!,Extrato!U$3)</f>
        <v>#REF!</v>
      </c>
      <c r="V132" s="121" t="e">
        <f>SUMIFS(#REF!,#REF!,Extrato!$B132,#REF!,Extrato!V$3)</f>
        <v>#REF!</v>
      </c>
      <c r="W132" s="121" t="e">
        <f>SUMIFS(#REF!,#REF!,Extrato!$B132,#REF!,Extrato!W$3)</f>
        <v>#REF!</v>
      </c>
      <c r="X132" s="121" t="e">
        <f>SUMIFS(#REF!,#REF!,Extrato!$B132,#REF!,Extrato!X$3)</f>
        <v>#REF!</v>
      </c>
      <c r="Y132" s="121" t="e">
        <f>SUMIFS(#REF!,#REF!,Extrato!$B132,#REF!,Extrato!Y$3)</f>
        <v>#REF!</v>
      </c>
      <c r="Z132" s="121" t="e">
        <f>SUMIFS(#REF!,#REF!,Extrato!$B132,#REF!,Extrato!Z$3)</f>
        <v>#REF!</v>
      </c>
      <c r="AA132" s="121" t="e">
        <f>SUMIFS(#REF!,#REF!,Extrato!$B132,#REF!,Extrato!AA$3)</f>
        <v>#REF!</v>
      </c>
      <c r="AB132" s="121" t="e">
        <f>SUMIFS(#REF!,#REF!,Extrato!$B132,#REF!,Extrato!AB$3)</f>
        <v>#REF!</v>
      </c>
      <c r="AC132" s="121" t="e">
        <f>SUMIFS(#REF!,#REF!,Extrato!$B132,#REF!,Extrato!AC$3)</f>
        <v>#REF!</v>
      </c>
      <c r="AD132" s="121" t="e">
        <f>SUMIFS(#REF!,#REF!,Extrato!$B132,#REF!,Extrato!AD$3)</f>
        <v>#REF!</v>
      </c>
      <c r="AE132" s="121" t="e">
        <f>SUMIFS(#REF!,#REF!,Extrato!$B132,#REF!,Extrato!AE$3)</f>
        <v>#REF!</v>
      </c>
      <c r="AF132" s="121" t="e">
        <f>SUMIFS(#REF!,#REF!,Extrato!$B132,#REF!,Extrato!AF$3)</f>
        <v>#REF!</v>
      </c>
      <c r="AG132" s="121" t="e">
        <f>SUMIFS(#REF!,#REF!,Extrato!$B132,#REF!,Extrato!AG$3)</f>
        <v>#REF!</v>
      </c>
      <c r="AH132" s="121" t="e">
        <f>SUMIFS(#REF!,#REF!,Extrato!$B132,#REF!,Extrato!AH$3)</f>
        <v>#REF!</v>
      </c>
      <c r="AI132" s="121" t="e">
        <f>SUMIFS(#REF!,#REF!,Extrato!$B132,#REF!,Extrato!AI$3)</f>
        <v>#REF!</v>
      </c>
      <c r="AJ132" s="121">
        <v>0</v>
      </c>
      <c r="AK132" s="121">
        <v>-0.01</v>
      </c>
      <c r="AL132" s="25" t="e">
        <f t="shared" si="3"/>
        <v>#REF!</v>
      </c>
      <c r="AM132" s="122"/>
      <c r="AN132" s="122"/>
      <c r="AO132" s="122"/>
      <c r="AP132" s="122"/>
      <c r="AQ132" s="122"/>
      <c r="AR132" s="122"/>
      <c r="AS132" s="122"/>
      <c r="AT132" s="122"/>
      <c r="AU132" s="122"/>
      <c r="AV132" s="122"/>
      <c r="AW132" s="122"/>
      <c r="AX132" s="122"/>
      <c r="AY132" s="122"/>
      <c r="AZ132" s="122"/>
      <c r="BA132" s="122"/>
      <c r="BB132" s="122"/>
      <c r="BC132" s="122"/>
      <c r="BD132" s="122"/>
      <c r="BE132" s="122"/>
      <c r="BF132" s="122"/>
      <c r="BG132" s="122"/>
      <c r="BH132" s="122"/>
      <c r="BI132" s="122"/>
      <c r="BJ132" s="122"/>
      <c r="BK132" s="122"/>
      <c r="BL132" s="122"/>
      <c r="BM132" s="122"/>
      <c r="BN132" s="122"/>
      <c r="BO132" s="122"/>
      <c r="BP132" s="122"/>
    </row>
    <row r="133" spans="2:68" ht="15" customHeight="1">
      <c r="B133" s="12">
        <v>46123</v>
      </c>
      <c r="C133" s="121" t="e">
        <f t="shared" ref="C133:C196" si="4">AL132</f>
        <v>#REF!</v>
      </c>
      <c r="D133" s="121" t="e">
        <f>SUMIFS(#REF!,#REF!,Extrato!$B133,#REF!,Extrato!D$3)</f>
        <v>#REF!</v>
      </c>
      <c r="E133" s="121" t="e">
        <f>SUMIFS(#REF!,#REF!,Extrato!$B133,#REF!,Extrato!E$3)</f>
        <v>#REF!</v>
      </c>
      <c r="F133" s="121" t="e">
        <f>SUMIFS(#REF!,#REF!,Extrato!$B133,#REF!,Extrato!F$3)</f>
        <v>#REF!</v>
      </c>
      <c r="G133" s="121" t="e">
        <f>SUMIFS(#REF!,#REF!,Extrato!$B133,#REF!,Extrato!G$3)</f>
        <v>#REF!</v>
      </c>
      <c r="H133" s="121" t="e">
        <f>SUMIFS(#REF!,#REF!,Extrato!$B133,#REF!,Extrato!H$3)</f>
        <v>#REF!</v>
      </c>
      <c r="I133" s="121" t="e">
        <f>SUMIFS(#REF!,#REF!,Extrato!$B133,#REF!,Extrato!I$3)</f>
        <v>#REF!</v>
      </c>
      <c r="J133" s="121" t="e">
        <f>SUMIFS(#REF!,#REF!,Extrato!$B133,#REF!,Extrato!J$3)</f>
        <v>#REF!</v>
      </c>
      <c r="K133" s="121" t="e">
        <f>SUMIFS(#REF!,#REF!,Extrato!$B133,#REF!,Extrato!K$3)</f>
        <v>#REF!</v>
      </c>
      <c r="L133" s="121" t="e">
        <f>SUMIFS(#REF!,#REF!,Extrato!$B133,#REF!,Extrato!L$3)</f>
        <v>#REF!</v>
      </c>
      <c r="M133" s="121" t="e">
        <f>SUMIFS(#REF!,#REF!,Extrato!$B133,#REF!,Extrato!M$3)</f>
        <v>#REF!</v>
      </c>
      <c r="N133" s="121" t="e">
        <f>SUMIFS(#REF!,#REF!,Extrato!$B133,#REF!,Extrato!N$3)</f>
        <v>#REF!</v>
      </c>
      <c r="O133" s="121" t="e">
        <f>SUMIFS(#REF!,#REF!,Extrato!$B133,#REF!,Extrato!O$3)</f>
        <v>#REF!</v>
      </c>
      <c r="P133" s="121">
        <f>SUMIF(BetFlow!B:B,B133,BetFlow!J:J)</f>
        <v>0</v>
      </c>
      <c r="Q133" s="121" t="e">
        <f>SUMIFS(#REF!,#REF!,Extrato!$B133,#REF!,Extrato!Q$3)</f>
        <v>#REF!</v>
      </c>
      <c r="R133" s="121" t="e">
        <f>SUMIFS(#REF!,#REF!,Extrato!$B133,#REF!,Extrato!R$3)</f>
        <v>#REF!</v>
      </c>
      <c r="S133" s="121" t="e">
        <f>SUMIFS(#REF!,#REF!,Extrato!$B133,#REF!,Extrato!S$3)</f>
        <v>#REF!</v>
      </c>
      <c r="T133" s="121" t="e">
        <f>SUMIFS(#REF!,#REF!,Extrato!$B133,#REF!,Extrato!T$3)</f>
        <v>#REF!</v>
      </c>
      <c r="U133" s="121" t="e">
        <f>SUMIFS(#REF!,#REF!,Extrato!$B133,#REF!,Extrato!U$3)</f>
        <v>#REF!</v>
      </c>
      <c r="V133" s="121" t="e">
        <f>SUMIFS(#REF!,#REF!,Extrato!$B133,#REF!,Extrato!V$3)</f>
        <v>#REF!</v>
      </c>
      <c r="W133" s="121" t="e">
        <f>SUMIFS(#REF!,#REF!,Extrato!$B133,#REF!,Extrato!W$3)</f>
        <v>#REF!</v>
      </c>
      <c r="X133" s="121" t="e">
        <f>SUMIFS(#REF!,#REF!,Extrato!$B133,#REF!,Extrato!X$3)</f>
        <v>#REF!</v>
      </c>
      <c r="Y133" s="121" t="e">
        <f>SUMIFS(#REF!,#REF!,Extrato!$B133,#REF!,Extrato!Y$3)</f>
        <v>#REF!</v>
      </c>
      <c r="Z133" s="121" t="e">
        <f>SUMIFS(#REF!,#REF!,Extrato!$B133,#REF!,Extrato!Z$3)</f>
        <v>#REF!</v>
      </c>
      <c r="AA133" s="121" t="e">
        <f>SUMIFS(#REF!,#REF!,Extrato!$B133,#REF!,Extrato!AA$3)</f>
        <v>#REF!</v>
      </c>
      <c r="AB133" s="121" t="e">
        <f>SUMIFS(#REF!,#REF!,Extrato!$B133,#REF!,Extrato!AB$3)</f>
        <v>#REF!</v>
      </c>
      <c r="AC133" s="121" t="e">
        <f>SUMIFS(#REF!,#REF!,Extrato!$B133,#REF!,Extrato!AC$3)</f>
        <v>#REF!</v>
      </c>
      <c r="AD133" s="121" t="e">
        <f>SUMIFS(#REF!,#REF!,Extrato!$B133,#REF!,Extrato!AD$3)</f>
        <v>#REF!</v>
      </c>
      <c r="AE133" s="121" t="e">
        <f>SUMIFS(#REF!,#REF!,Extrato!$B133,#REF!,Extrato!AE$3)</f>
        <v>#REF!</v>
      </c>
      <c r="AF133" s="121" t="e">
        <f>SUMIFS(#REF!,#REF!,Extrato!$B133,#REF!,Extrato!AF$3)</f>
        <v>#REF!</v>
      </c>
      <c r="AG133" s="121" t="e">
        <f>SUMIFS(#REF!,#REF!,Extrato!$B133,#REF!,Extrato!AG$3)</f>
        <v>#REF!</v>
      </c>
      <c r="AH133" s="121" t="e">
        <f>SUMIFS(#REF!,#REF!,Extrato!$B133,#REF!,Extrato!AH$3)</f>
        <v>#REF!</v>
      </c>
      <c r="AI133" s="121" t="e">
        <f>SUMIFS(#REF!,#REF!,Extrato!$B133,#REF!,Extrato!AI$3)</f>
        <v>#REF!</v>
      </c>
      <c r="AJ133" s="121">
        <v>0</v>
      </c>
      <c r="AK133" s="121">
        <v>-0.01</v>
      </c>
      <c r="AL133" s="25" t="e">
        <f t="shared" ref="AL133:AL196" si="5">SUM(C133:AK133)</f>
        <v>#REF!</v>
      </c>
      <c r="AM133" s="122"/>
      <c r="AN133" s="122"/>
      <c r="AO133" s="122"/>
      <c r="AP133" s="122"/>
      <c r="AQ133" s="122"/>
      <c r="AR133" s="122"/>
      <c r="AS133" s="122"/>
      <c r="AT133" s="122"/>
      <c r="AU133" s="122"/>
      <c r="AV133" s="122"/>
      <c r="AW133" s="122"/>
      <c r="AX133" s="122"/>
      <c r="AY133" s="122"/>
      <c r="AZ133" s="122"/>
      <c r="BA133" s="122"/>
      <c r="BB133" s="122"/>
      <c r="BC133" s="122"/>
      <c r="BD133" s="122"/>
      <c r="BE133" s="122"/>
      <c r="BF133" s="122"/>
      <c r="BG133" s="122"/>
      <c r="BH133" s="122"/>
      <c r="BI133" s="122"/>
      <c r="BJ133" s="122"/>
      <c r="BK133" s="122"/>
      <c r="BL133" s="122"/>
      <c r="BM133" s="122"/>
      <c r="BN133" s="122"/>
      <c r="BO133" s="122"/>
      <c r="BP133" s="122"/>
    </row>
    <row r="134" spans="2:68" ht="15" customHeight="1">
      <c r="B134" s="12">
        <v>46124</v>
      </c>
      <c r="C134" s="121" t="e">
        <f t="shared" si="4"/>
        <v>#REF!</v>
      </c>
      <c r="D134" s="121" t="e">
        <f>SUMIFS(#REF!,#REF!,Extrato!$B134,#REF!,Extrato!D$3)</f>
        <v>#REF!</v>
      </c>
      <c r="E134" s="121" t="e">
        <f>SUMIFS(#REF!,#REF!,Extrato!$B134,#REF!,Extrato!E$3)</f>
        <v>#REF!</v>
      </c>
      <c r="F134" s="121" t="e">
        <f>SUMIFS(#REF!,#REF!,Extrato!$B134,#REF!,Extrato!F$3)</f>
        <v>#REF!</v>
      </c>
      <c r="G134" s="121" t="e">
        <f>SUMIFS(#REF!,#REF!,Extrato!$B134,#REF!,Extrato!G$3)</f>
        <v>#REF!</v>
      </c>
      <c r="H134" s="121" t="e">
        <f>SUMIFS(#REF!,#REF!,Extrato!$B134,#REF!,Extrato!H$3)</f>
        <v>#REF!</v>
      </c>
      <c r="I134" s="121" t="e">
        <f>SUMIFS(#REF!,#REF!,Extrato!$B134,#REF!,Extrato!I$3)</f>
        <v>#REF!</v>
      </c>
      <c r="J134" s="121" t="e">
        <f>SUMIFS(#REF!,#REF!,Extrato!$B134,#REF!,Extrato!J$3)</f>
        <v>#REF!</v>
      </c>
      <c r="K134" s="121" t="e">
        <f>SUMIFS(#REF!,#REF!,Extrato!$B134,#REF!,Extrato!K$3)</f>
        <v>#REF!</v>
      </c>
      <c r="L134" s="121" t="e">
        <f>SUMIFS(#REF!,#REF!,Extrato!$B134,#REF!,Extrato!L$3)</f>
        <v>#REF!</v>
      </c>
      <c r="M134" s="121" t="e">
        <f>SUMIFS(#REF!,#REF!,Extrato!$B134,#REF!,Extrato!M$3)</f>
        <v>#REF!</v>
      </c>
      <c r="N134" s="121" t="e">
        <f>SUMIFS(#REF!,#REF!,Extrato!$B134,#REF!,Extrato!N$3)</f>
        <v>#REF!</v>
      </c>
      <c r="O134" s="121" t="e">
        <f>SUMIFS(#REF!,#REF!,Extrato!$B134,#REF!,Extrato!O$3)</f>
        <v>#REF!</v>
      </c>
      <c r="P134" s="121">
        <f>SUMIF(BetFlow!B:B,B134,BetFlow!J:J)</f>
        <v>0</v>
      </c>
      <c r="Q134" s="121" t="e">
        <f>SUMIFS(#REF!,#REF!,Extrato!$B134,#REF!,Extrato!Q$3)</f>
        <v>#REF!</v>
      </c>
      <c r="R134" s="121" t="e">
        <f>SUMIFS(#REF!,#REF!,Extrato!$B134,#REF!,Extrato!R$3)</f>
        <v>#REF!</v>
      </c>
      <c r="S134" s="121" t="e">
        <f>SUMIFS(#REF!,#REF!,Extrato!$B134,#REF!,Extrato!S$3)</f>
        <v>#REF!</v>
      </c>
      <c r="T134" s="121" t="e">
        <f>SUMIFS(#REF!,#REF!,Extrato!$B134,#REF!,Extrato!T$3)</f>
        <v>#REF!</v>
      </c>
      <c r="U134" s="121" t="e">
        <f>SUMIFS(#REF!,#REF!,Extrato!$B134,#REF!,Extrato!U$3)</f>
        <v>#REF!</v>
      </c>
      <c r="V134" s="121" t="e">
        <f>SUMIFS(#REF!,#REF!,Extrato!$B134,#REF!,Extrato!V$3)</f>
        <v>#REF!</v>
      </c>
      <c r="W134" s="121" t="e">
        <f>SUMIFS(#REF!,#REF!,Extrato!$B134,#REF!,Extrato!W$3)</f>
        <v>#REF!</v>
      </c>
      <c r="X134" s="121" t="e">
        <f>SUMIFS(#REF!,#REF!,Extrato!$B134,#REF!,Extrato!X$3)</f>
        <v>#REF!</v>
      </c>
      <c r="Y134" s="121" t="e">
        <f>SUMIFS(#REF!,#REF!,Extrato!$B134,#REF!,Extrato!Y$3)</f>
        <v>#REF!</v>
      </c>
      <c r="Z134" s="121" t="e">
        <f>SUMIFS(#REF!,#REF!,Extrato!$B134,#REF!,Extrato!Z$3)</f>
        <v>#REF!</v>
      </c>
      <c r="AA134" s="121" t="e">
        <f>SUMIFS(#REF!,#REF!,Extrato!$B134,#REF!,Extrato!AA$3)</f>
        <v>#REF!</v>
      </c>
      <c r="AB134" s="121" t="e">
        <f>SUMIFS(#REF!,#REF!,Extrato!$B134,#REF!,Extrato!AB$3)</f>
        <v>#REF!</v>
      </c>
      <c r="AC134" s="121" t="e">
        <f>SUMIFS(#REF!,#REF!,Extrato!$B134,#REF!,Extrato!AC$3)</f>
        <v>#REF!</v>
      </c>
      <c r="AD134" s="121" t="e">
        <f>SUMIFS(#REF!,#REF!,Extrato!$B134,#REF!,Extrato!AD$3)</f>
        <v>#REF!</v>
      </c>
      <c r="AE134" s="121" t="e">
        <f>SUMIFS(#REF!,#REF!,Extrato!$B134,#REF!,Extrato!AE$3)</f>
        <v>#REF!</v>
      </c>
      <c r="AF134" s="121" t="e">
        <f>SUMIFS(#REF!,#REF!,Extrato!$B134,#REF!,Extrato!AF$3)</f>
        <v>#REF!</v>
      </c>
      <c r="AG134" s="121" t="e">
        <f>SUMIFS(#REF!,#REF!,Extrato!$B134,#REF!,Extrato!AG$3)</f>
        <v>#REF!</v>
      </c>
      <c r="AH134" s="121" t="e">
        <f>SUMIFS(#REF!,#REF!,Extrato!$B134,#REF!,Extrato!AH$3)</f>
        <v>#REF!</v>
      </c>
      <c r="AI134" s="121" t="e">
        <f>SUMIFS(#REF!,#REF!,Extrato!$B134,#REF!,Extrato!AI$3)</f>
        <v>#REF!</v>
      </c>
      <c r="AJ134" s="121">
        <v>0</v>
      </c>
      <c r="AK134" s="121">
        <v>0.01</v>
      </c>
      <c r="AL134" s="25" t="e">
        <f t="shared" si="5"/>
        <v>#REF!</v>
      </c>
      <c r="AM134" s="122"/>
      <c r="AN134" s="122"/>
      <c r="AO134" s="122"/>
      <c r="AP134" s="122"/>
      <c r="AQ134" s="122"/>
      <c r="AR134" s="122"/>
      <c r="AS134" s="122"/>
      <c r="AT134" s="122"/>
      <c r="AU134" s="122"/>
      <c r="AV134" s="122"/>
      <c r="AW134" s="122"/>
      <c r="AX134" s="122"/>
      <c r="AY134" s="122"/>
      <c r="AZ134" s="122"/>
      <c r="BA134" s="122"/>
      <c r="BB134" s="122"/>
      <c r="BC134" s="122"/>
      <c r="BD134" s="122"/>
      <c r="BE134" s="122"/>
      <c r="BF134" s="122"/>
      <c r="BG134" s="122"/>
      <c r="BH134" s="122"/>
      <c r="BI134" s="122"/>
      <c r="BJ134" s="122"/>
      <c r="BK134" s="122"/>
      <c r="BL134" s="122"/>
      <c r="BM134" s="122"/>
      <c r="BN134" s="122"/>
      <c r="BO134" s="122"/>
      <c r="BP134" s="122"/>
    </row>
    <row r="135" spans="2:68" ht="15" customHeight="1">
      <c r="B135" s="12">
        <v>46125</v>
      </c>
      <c r="C135" s="121" t="e">
        <f t="shared" si="4"/>
        <v>#REF!</v>
      </c>
      <c r="D135" s="121" t="e">
        <f>SUMIFS(#REF!,#REF!,Extrato!$B135,#REF!,Extrato!D$3)</f>
        <v>#REF!</v>
      </c>
      <c r="E135" s="121" t="e">
        <f>SUMIFS(#REF!,#REF!,Extrato!$B135,#REF!,Extrato!E$3)</f>
        <v>#REF!</v>
      </c>
      <c r="F135" s="121" t="e">
        <f>SUMIFS(#REF!,#REF!,Extrato!$B135,#REF!,Extrato!F$3)</f>
        <v>#REF!</v>
      </c>
      <c r="G135" s="121" t="e">
        <f>SUMIFS(#REF!,#REF!,Extrato!$B135,#REF!,Extrato!G$3)</f>
        <v>#REF!</v>
      </c>
      <c r="H135" s="121" t="e">
        <f>SUMIFS(#REF!,#REF!,Extrato!$B135,#REF!,Extrato!H$3)</f>
        <v>#REF!</v>
      </c>
      <c r="I135" s="121" t="e">
        <f>SUMIFS(#REF!,#REF!,Extrato!$B135,#REF!,Extrato!I$3)</f>
        <v>#REF!</v>
      </c>
      <c r="J135" s="121" t="e">
        <f>SUMIFS(#REF!,#REF!,Extrato!$B135,#REF!,Extrato!J$3)</f>
        <v>#REF!</v>
      </c>
      <c r="K135" s="121" t="e">
        <f>SUMIFS(#REF!,#REF!,Extrato!$B135,#REF!,Extrato!K$3)</f>
        <v>#REF!</v>
      </c>
      <c r="L135" s="121" t="e">
        <f>SUMIFS(#REF!,#REF!,Extrato!$B135,#REF!,Extrato!L$3)</f>
        <v>#REF!</v>
      </c>
      <c r="M135" s="121" t="e">
        <f>SUMIFS(#REF!,#REF!,Extrato!$B135,#REF!,Extrato!M$3)</f>
        <v>#REF!</v>
      </c>
      <c r="N135" s="121" t="e">
        <f>SUMIFS(#REF!,#REF!,Extrato!$B135,#REF!,Extrato!N$3)</f>
        <v>#REF!</v>
      </c>
      <c r="O135" s="121" t="e">
        <f>SUMIFS(#REF!,#REF!,Extrato!$B135,#REF!,Extrato!O$3)</f>
        <v>#REF!</v>
      </c>
      <c r="P135" s="121">
        <f>SUMIF(BetFlow!B:B,B135,BetFlow!J:J)</f>
        <v>0</v>
      </c>
      <c r="Q135" s="121" t="e">
        <f>SUMIFS(#REF!,#REF!,Extrato!$B135,#REF!,Extrato!Q$3)</f>
        <v>#REF!</v>
      </c>
      <c r="R135" s="121" t="e">
        <f>SUMIFS(#REF!,#REF!,Extrato!$B135,#REF!,Extrato!R$3)</f>
        <v>#REF!</v>
      </c>
      <c r="S135" s="121" t="e">
        <f>SUMIFS(#REF!,#REF!,Extrato!$B135,#REF!,Extrato!S$3)</f>
        <v>#REF!</v>
      </c>
      <c r="T135" s="121" t="e">
        <f>SUMIFS(#REF!,#REF!,Extrato!$B135,#REF!,Extrato!T$3)</f>
        <v>#REF!</v>
      </c>
      <c r="U135" s="121" t="e">
        <f>SUMIFS(#REF!,#REF!,Extrato!$B135,#REF!,Extrato!U$3)</f>
        <v>#REF!</v>
      </c>
      <c r="V135" s="121" t="e">
        <f>SUMIFS(#REF!,#REF!,Extrato!$B135,#REF!,Extrato!V$3)</f>
        <v>#REF!</v>
      </c>
      <c r="W135" s="121" t="e">
        <f>SUMIFS(#REF!,#REF!,Extrato!$B135,#REF!,Extrato!W$3)</f>
        <v>#REF!</v>
      </c>
      <c r="X135" s="121" t="e">
        <f>SUMIFS(#REF!,#REF!,Extrato!$B135,#REF!,Extrato!X$3)</f>
        <v>#REF!</v>
      </c>
      <c r="Y135" s="121" t="e">
        <f>SUMIFS(#REF!,#REF!,Extrato!$B135,#REF!,Extrato!Y$3)</f>
        <v>#REF!</v>
      </c>
      <c r="Z135" s="121" t="e">
        <f>SUMIFS(#REF!,#REF!,Extrato!$B135,#REF!,Extrato!Z$3)</f>
        <v>#REF!</v>
      </c>
      <c r="AA135" s="121" t="e">
        <f>SUMIFS(#REF!,#REF!,Extrato!$B135,#REF!,Extrato!AA$3)</f>
        <v>#REF!</v>
      </c>
      <c r="AB135" s="121" t="e">
        <f>SUMIFS(#REF!,#REF!,Extrato!$B135,#REF!,Extrato!AB$3)</f>
        <v>#REF!</v>
      </c>
      <c r="AC135" s="121" t="e">
        <f>SUMIFS(#REF!,#REF!,Extrato!$B135,#REF!,Extrato!AC$3)</f>
        <v>#REF!</v>
      </c>
      <c r="AD135" s="121" t="e">
        <f>SUMIFS(#REF!,#REF!,Extrato!$B135,#REF!,Extrato!AD$3)</f>
        <v>#REF!</v>
      </c>
      <c r="AE135" s="121" t="e">
        <f>SUMIFS(#REF!,#REF!,Extrato!$B135,#REF!,Extrato!AE$3)</f>
        <v>#REF!</v>
      </c>
      <c r="AF135" s="121" t="e">
        <f>SUMIFS(#REF!,#REF!,Extrato!$B135,#REF!,Extrato!AF$3)</f>
        <v>#REF!</v>
      </c>
      <c r="AG135" s="121" t="e">
        <f>SUMIFS(#REF!,#REF!,Extrato!$B135,#REF!,Extrato!AG$3)</f>
        <v>#REF!</v>
      </c>
      <c r="AH135" s="121" t="e">
        <f>SUMIFS(#REF!,#REF!,Extrato!$B135,#REF!,Extrato!AH$3)</f>
        <v>#REF!</v>
      </c>
      <c r="AI135" s="121" t="e">
        <f>SUMIFS(#REF!,#REF!,Extrato!$B135,#REF!,Extrato!AI$3)</f>
        <v>#REF!</v>
      </c>
      <c r="AJ135" s="121">
        <v>0</v>
      </c>
      <c r="AK135" s="121"/>
      <c r="AL135" s="25" t="e">
        <f t="shared" si="5"/>
        <v>#REF!</v>
      </c>
      <c r="AM135" s="122"/>
      <c r="AN135" s="122"/>
      <c r="AO135" s="122"/>
      <c r="AP135" s="122"/>
      <c r="AQ135" s="122"/>
      <c r="AR135" s="122"/>
      <c r="AS135" s="122"/>
      <c r="AT135" s="122"/>
      <c r="AU135" s="122"/>
      <c r="AV135" s="122"/>
      <c r="AW135" s="122"/>
      <c r="AX135" s="122"/>
      <c r="AY135" s="122"/>
      <c r="AZ135" s="122"/>
      <c r="BA135" s="122"/>
      <c r="BB135" s="122"/>
      <c r="BC135" s="122"/>
      <c r="BD135" s="122"/>
      <c r="BE135" s="122"/>
      <c r="BF135" s="122"/>
      <c r="BG135" s="122"/>
      <c r="BH135" s="122"/>
      <c r="BI135" s="122"/>
      <c r="BJ135" s="122"/>
      <c r="BK135" s="122"/>
      <c r="BL135" s="122"/>
      <c r="BM135" s="122"/>
      <c r="BN135" s="122"/>
      <c r="BO135" s="122"/>
      <c r="BP135" s="122"/>
    </row>
    <row r="136" spans="2:68" ht="15" customHeight="1">
      <c r="B136" s="12">
        <v>46126</v>
      </c>
      <c r="C136" s="121" t="e">
        <f t="shared" si="4"/>
        <v>#REF!</v>
      </c>
      <c r="D136" s="121" t="e">
        <f>SUMIFS(#REF!,#REF!,Extrato!$B136,#REF!,Extrato!D$3)</f>
        <v>#REF!</v>
      </c>
      <c r="E136" s="121" t="e">
        <f>SUMIFS(#REF!,#REF!,Extrato!$B136,#REF!,Extrato!E$3)</f>
        <v>#REF!</v>
      </c>
      <c r="F136" s="121" t="e">
        <f>SUMIFS(#REF!,#REF!,Extrato!$B136,#REF!,Extrato!F$3)</f>
        <v>#REF!</v>
      </c>
      <c r="G136" s="121" t="e">
        <f>SUMIFS(#REF!,#REF!,Extrato!$B136,#REF!,Extrato!G$3)</f>
        <v>#REF!</v>
      </c>
      <c r="H136" s="121" t="e">
        <f>SUMIFS(#REF!,#REF!,Extrato!$B136,#REF!,Extrato!H$3)</f>
        <v>#REF!</v>
      </c>
      <c r="I136" s="121" t="e">
        <f>SUMIFS(#REF!,#REF!,Extrato!$B136,#REF!,Extrato!I$3)</f>
        <v>#REF!</v>
      </c>
      <c r="J136" s="121" t="e">
        <f>SUMIFS(#REF!,#REF!,Extrato!$B136,#REF!,Extrato!J$3)</f>
        <v>#REF!</v>
      </c>
      <c r="K136" s="121" t="e">
        <f>SUMIFS(#REF!,#REF!,Extrato!$B136,#REF!,Extrato!K$3)</f>
        <v>#REF!</v>
      </c>
      <c r="L136" s="121" t="e">
        <f>SUMIFS(#REF!,#REF!,Extrato!$B136,#REF!,Extrato!L$3)</f>
        <v>#REF!</v>
      </c>
      <c r="M136" s="121" t="e">
        <f>SUMIFS(#REF!,#REF!,Extrato!$B136,#REF!,Extrato!M$3)</f>
        <v>#REF!</v>
      </c>
      <c r="N136" s="121" t="e">
        <f>SUMIFS(#REF!,#REF!,Extrato!$B136,#REF!,Extrato!N$3)</f>
        <v>#REF!</v>
      </c>
      <c r="O136" s="121" t="e">
        <f>SUMIFS(#REF!,#REF!,Extrato!$B136,#REF!,Extrato!O$3)</f>
        <v>#REF!</v>
      </c>
      <c r="P136" s="121">
        <f>SUMIF(BetFlow!B:B,B136,BetFlow!J:J)</f>
        <v>0</v>
      </c>
      <c r="Q136" s="121" t="e">
        <f>SUMIFS(#REF!,#REF!,Extrato!$B136,#REF!,Extrato!Q$3)</f>
        <v>#REF!</v>
      </c>
      <c r="R136" s="121" t="e">
        <f>SUMIFS(#REF!,#REF!,Extrato!$B136,#REF!,Extrato!R$3)</f>
        <v>#REF!</v>
      </c>
      <c r="S136" s="121" t="e">
        <f>SUMIFS(#REF!,#REF!,Extrato!$B136,#REF!,Extrato!S$3)</f>
        <v>#REF!</v>
      </c>
      <c r="T136" s="121" t="e">
        <f>SUMIFS(#REF!,#REF!,Extrato!$B136,#REF!,Extrato!T$3)</f>
        <v>#REF!</v>
      </c>
      <c r="U136" s="121" t="e">
        <f>SUMIFS(#REF!,#REF!,Extrato!$B136,#REF!,Extrato!U$3)</f>
        <v>#REF!</v>
      </c>
      <c r="V136" s="121" t="e">
        <f>SUMIFS(#REF!,#REF!,Extrato!$B136,#REF!,Extrato!V$3)</f>
        <v>#REF!</v>
      </c>
      <c r="W136" s="121" t="e">
        <f>SUMIFS(#REF!,#REF!,Extrato!$B136,#REF!,Extrato!W$3)</f>
        <v>#REF!</v>
      </c>
      <c r="X136" s="121" t="e">
        <f>SUMIFS(#REF!,#REF!,Extrato!$B136,#REF!,Extrato!X$3)</f>
        <v>#REF!</v>
      </c>
      <c r="Y136" s="121" t="e">
        <f>SUMIFS(#REF!,#REF!,Extrato!$B136,#REF!,Extrato!Y$3)</f>
        <v>#REF!</v>
      </c>
      <c r="Z136" s="121" t="e">
        <f>SUMIFS(#REF!,#REF!,Extrato!$B136,#REF!,Extrato!Z$3)</f>
        <v>#REF!</v>
      </c>
      <c r="AA136" s="121" t="e">
        <f>SUMIFS(#REF!,#REF!,Extrato!$B136,#REF!,Extrato!AA$3)</f>
        <v>#REF!</v>
      </c>
      <c r="AB136" s="121" t="e">
        <f>SUMIFS(#REF!,#REF!,Extrato!$B136,#REF!,Extrato!AB$3)</f>
        <v>#REF!</v>
      </c>
      <c r="AC136" s="121" t="e">
        <f>SUMIFS(#REF!,#REF!,Extrato!$B136,#REF!,Extrato!AC$3)</f>
        <v>#REF!</v>
      </c>
      <c r="AD136" s="121" t="e">
        <f>SUMIFS(#REF!,#REF!,Extrato!$B136,#REF!,Extrato!AD$3)</f>
        <v>#REF!</v>
      </c>
      <c r="AE136" s="121" t="e">
        <f>SUMIFS(#REF!,#REF!,Extrato!$B136,#REF!,Extrato!AE$3)</f>
        <v>#REF!</v>
      </c>
      <c r="AF136" s="121" t="e">
        <f>SUMIFS(#REF!,#REF!,Extrato!$B136,#REF!,Extrato!AF$3)</f>
        <v>#REF!</v>
      </c>
      <c r="AG136" s="121" t="e">
        <f>SUMIFS(#REF!,#REF!,Extrato!$B136,#REF!,Extrato!AG$3)</f>
        <v>#REF!</v>
      </c>
      <c r="AH136" s="121" t="e">
        <f>SUMIFS(#REF!,#REF!,Extrato!$B136,#REF!,Extrato!AH$3)</f>
        <v>#REF!</v>
      </c>
      <c r="AI136" s="121" t="e">
        <f>SUMIFS(#REF!,#REF!,Extrato!$B136,#REF!,Extrato!AI$3)</f>
        <v>#REF!</v>
      </c>
      <c r="AJ136" s="121">
        <v>0</v>
      </c>
      <c r="AK136" s="121">
        <v>-0.01</v>
      </c>
      <c r="AL136" s="25" t="e">
        <f t="shared" si="5"/>
        <v>#REF!</v>
      </c>
      <c r="AM136" s="122"/>
      <c r="AN136" s="122"/>
      <c r="AO136" s="122"/>
      <c r="AP136" s="122"/>
      <c r="AQ136" s="122"/>
      <c r="AR136" s="122"/>
      <c r="AS136" s="122"/>
      <c r="AT136" s="122"/>
      <c r="AU136" s="122"/>
      <c r="AV136" s="122"/>
      <c r="AW136" s="122"/>
      <c r="AX136" s="122"/>
      <c r="AY136" s="122"/>
      <c r="AZ136" s="122"/>
      <c r="BA136" s="122"/>
      <c r="BB136" s="122"/>
      <c r="BC136" s="122"/>
      <c r="BD136" s="122"/>
      <c r="BE136" s="122"/>
      <c r="BF136" s="122"/>
      <c r="BG136" s="122"/>
      <c r="BH136" s="122"/>
      <c r="BI136" s="122"/>
      <c r="BJ136" s="122"/>
      <c r="BK136" s="122"/>
      <c r="BL136" s="122"/>
      <c r="BM136" s="122"/>
      <c r="BN136" s="122"/>
      <c r="BO136" s="122"/>
      <c r="BP136" s="122"/>
    </row>
    <row r="137" spans="2:68" ht="15" customHeight="1">
      <c r="B137" s="12">
        <v>46127</v>
      </c>
      <c r="C137" s="121" t="e">
        <f t="shared" si="4"/>
        <v>#REF!</v>
      </c>
      <c r="D137" s="121" t="e">
        <f>SUMIFS(#REF!,#REF!,Extrato!$B137,#REF!,Extrato!D$3)</f>
        <v>#REF!</v>
      </c>
      <c r="E137" s="121" t="e">
        <f>SUMIFS(#REF!,#REF!,Extrato!$B137,#REF!,Extrato!E$3)</f>
        <v>#REF!</v>
      </c>
      <c r="F137" s="121" t="e">
        <f>SUMIFS(#REF!,#REF!,Extrato!$B137,#REF!,Extrato!F$3)</f>
        <v>#REF!</v>
      </c>
      <c r="G137" s="121" t="e">
        <f>SUMIFS(#REF!,#REF!,Extrato!$B137,#REF!,Extrato!G$3)</f>
        <v>#REF!</v>
      </c>
      <c r="H137" s="121" t="e">
        <f>SUMIFS(#REF!,#REF!,Extrato!$B137,#REF!,Extrato!H$3)</f>
        <v>#REF!</v>
      </c>
      <c r="I137" s="121" t="e">
        <f>SUMIFS(#REF!,#REF!,Extrato!$B137,#REF!,Extrato!I$3)</f>
        <v>#REF!</v>
      </c>
      <c r="J137" s="121" t="e">
        <f>SUMIFS(#REF!,#REF!,Extrato!$B137,#REF!,Extrato!J$3)</f>
        <v>#REF!</v>
      </c>
      <c r="K137" s="121" t="e">
        <f>SUMIFS(#REF!,#REF!,Extrato!$B137,#REF!,Extrato!K$3)</f>
        <v>#REF!</v>
      </c>
      <c r="L137" s="121" t="e">
        <f>SUMIFS(#REF!,#REF!,Extrato!$B137,#REF!,Extrato!L$3)</f>
        <v>#REF!</v>
      </c>
      <c r="M137" s="121" t="e">
        <f>SUMIFS(#REF!,#REF!,Extrato!$B137,#REF!,Extrato!M$3)</f>
        <v>#REF!</v>
      </c>
      <c r="N137" s="121" t="e">
        <f>SUMIFS(#REF!,#REF!,Extrato!$B137,#REF!,Extrato!N$3)</f>
        <v>#REF!</v>
      </c>
      <c r="O137" s="121" t="e">
        <f>SUMIFS(#REF!,#REF!,Extrato!$B137,#REF!,Extrato!O$3)</f>
        <v>#REF!</v>
      </c>
      <c r="P137" s="121">
        <f>SUMIF(BetFlow!B:B,B137,BetFlow!J:J)</f>
        <v>0</v>
      </c>
      <c r="Q137" s="121" t="e">
        <f>SUMIFS(#REF!,#REF!,Extrato!$B137,#REF!,Extrato!Q$3)</f>
        <v>#REF!</v>
      </c>
      <c r="R137" s="121" t="e">
        <f>SUMIFS(#REF!,#REF!,Extrato!$B137,#REF!,Extrato!R$3)</f>
        <v>#REF!</v>
      </c>
      <c r="S137" s="121" t="e">
        <f>SUMIFS(#REF!,#REF!,Extrato!$B137,#REF!,Extrato!S$3)</f>
        <v>#REF!</v>
      </c>
      <c r="T137" s="121" t="e">
        <f>SUMIFS(#REF!,#REF!,Extrato!$B137,#REF!,Extrato!T$3)</f>
        <v>#REF!</v>
      </c>
      <c r="U137" s="121" t="e">
        <f>SUMIFS(#REF!,#REF!,Extrato!$B137,#REF!,Extrato!U$3)</f>
        <v>#REF!</v>
      </c>
      <c r="V137" s="121" t="e">
        <f>SUMIFS(#REF!,#REF!,Extrato!$B137,#REF!,Extrato!V$3)</f>
        <v>#REF!</v>
      </c>
      <c r="W137" s="121" t="e">
        <f>SUMIFS(#REF!,#REF!,Extrato!$B137,#REF!,Extrato!W$3)</f>
        <v>#REF!</v>
      </c>
      <c r="X137" s="121" t="e">
        <f>SUMIFS(#REF!,#REF!,Extrato!$B137,#REF!,Extrato!X$3)</f>
        <v>#REF!</v>
      </c>
      <c r="Y137" s="121" t="e">
        <f>SUMIFS(#REF!,#REF!,Extrato!$B137,#REF!,Extrato!Y$3)</f>
        <v>#REF!</v>
      </c>
      <c r="Z137" s="121" t="e">
        <f>SUMIFS(#REF!,#REF!,Extrato!$B137,#REF!,Extrato!Z$3)</f>
        <v>#REF!</v>
      </c>
      <c r="AA137" s="121" t="e">
        <f>SUMIFS(#REF!,#REF!,Extrato!$B137,#REF!,Extrato!AA$3)</f>
        <v>#REF!</v>
      </c>
      <c r="AB137" s="121" t="e">
        <f>SUMIFS(#REF!,#REF!,Extrato!$B137,#REF!,Extrato!AB$3)</f>
        <v>#REF!</v>
      </c>
      <c r="AC137" s="121" t="e">
        <f>SUMIFS(#REF!,#REF!,Extrato!$B137,#REF!,Extrato!AC$3)</f>
        <v>#REF!</v>
      </c>
      <c r="AD137" s="121" t="e">
        <f>SUMIFS(#REF!,#REF!,Extrato!$B137,#REF!,Extrato!AD$3)</f>
        <v>#REF!</v>
      </c>
      <c r="AE137" s="121" t="e">
        <f>SUMIFS(#REF!,#REF!,Extrato!$B137,#REF!,Extrato!AE$3)</f>
        <v>#REF!</v>
      </c>
      <c r="AF137" s="121" t="e">
        <f>SUMIFS(#REF!,#REF!,Extrato!$B137,#REF!,Extrato!AF$3)</f>
        <v>#REF!</v>
      </c>
      <c r="AG137" s="121" t="e">
        <f>SUMIFS(#REF!,#REF!,Extrato!$B137,#REF!,Extrato!AG$3)</f>
        <v>#REF!</v>
      </c>
      <c r="AH137" s="121" t="e">
        <f>SUMIFS(#REF!,#REF!,Extrato!$B137,#REF!,Extrato!AH$3)</f>
        <v>#REF!</v>
      </c>
      <c r="AI137" s="121" t="e">
        <f>SUMIFS(#REF!,#REF!,Extrato!$B137,#REF!,Extrato!AI$3)</f>
        <v>#REF!</v>
      </c>
      <c r="AJ137" s="121">
        <v>0</v>
      </c>
      <c r="AK137" s="121">
        <v>0.01</v>
      </c>
      <c r="AL137" s="25" t="e">
        <f t="shared" si="5"/>
        <v>#REF!</v>
      </c>
      <c r="AM137" s="122"/>
      <c r="AN137" s="122"/>
      <c r="AO137" s="122"/>
      <c r="AP137" s="122"/>
      <c r="AQ137" s="122"/>
      <c r="AR137" s="122"/>
      <c r="AS137" s="122"/>
      <c r="AT137" s="122"/>
      <c r="AU137" s="122"/>
      <c r="AV137" s="122"/>
      <c r="AW137" s="122"/>
      <c r="AX137" s="122"/>
      <c r="AY137" s="122"/>
      <c r="AZ137" s="122"/>
      <c r="BA137" s="122"/>
      <c r="BB137" s="122"/>
      <c r="BC137" s="122"/>
      <c r="BD137" s="122"/>
      <c r="BE137" s="122"/>
      <c r="BF137" s="122"/>
      <c r="BG137" s="122"/>
      <c r="BH137" s="122"/>
      <c r="BI137" s="122"/>
      <c r="BJ137" s="122"/>
      <c r="BK137" s="122"/>
      <c r="BL137" s="122"/>
      <c r="BM137" s="122"/>
      <c r="BN137" s="122"/>
      <c r="BO137" s="122"/>
      <c r="BP137" s="122"/>
    </row>
    <row r="138" spans="2:68" ht="15" customHeight="1">
      <c r="B138" s="12">
        <v>46128</v>
      </c>
      <c r="C138" s="121" t="e">
        <f t="shared" si="4"/>
        <v>#REF!</v>
      </c>
      <c r="D138" s="121" t="e">
        <f>SUMIFS(#REF!,#REF!,Extrato!$B138,#REF!,Extrato!D$3)</f>
        <v>#REF!</v>
      </c>
      <c r="E138" s="121" t="e">
        <f>SUMIFS(#REF!,#REF!,Extrato!$B138,#REF!,Extrato!E$3)</f>
        <v>#REF!</v>
      </c>
      <c r="F138" s="121" t="e">
        <f>SUMIFS(#REF!,#REF!,Extrato!$B138,#REF!,Extrato!F$3)</f>
        <v>#REF!</v>
      </c>
      <c r="G138" s="121" t="e">
        <f>SUMIFS(#REF!,#REF!,Extrato!$B138,#REF!,Extrato!G$3)</f>
        <v>#REF!</v>
      </c>
      <c r="H138" s="121" t="e">
        <f>SUMIFS(#REF!,#REF!,Extrato!$B138,#REF!,Extrato!H$3)</f>
        <v>#REF!</v>
      </c>
      <c r="I138" s="121" t="e">
        <f>SUMIFS(#REF!,#REF!,Extrato!$B138,#REF!,Extrato!I$3)</f>
        <v>#REF!</v>
      </c>
      <c r="J138" s="121" t="e">
        <f>SUMIFS(#REF!,#REF!,Extrato!$B138,#REF!,Extrato!J$3)</f>
        <v>#REF!</v>
      </c>
      <c r="K138" s="121" t="e">
        <f>SUMIFS(#REF!,#REF!,Extrato!$B138,#REF!,Extrato!K$3)</f>
        <v>#REF!</v>
      </c>
      <c r="L138" s="121" t="e">
        <f>SUMIFS(#REF!,#REF!,Extrato!$B138,#REF!,Extrato!L$3)</f>
        <v>#REF!</v>
      </c>
      <c r="M138" s="121" t="e">
        <f>SUMIFS(#REF!,#REF!,Extrato!$B138,#REF!,Extrato!M$3)</f>
        <v>#REF!</v>
      </c>
      <c r="N138" s="121" t="e">
        <f>SUMIFS(#REF!,#REF!,Extrato!$B138,#REF!,Extrato!N$3)</f>
        <v>#REF!</v>
      </c>
      <c r="O138" s="121" t="e">
        <f>SUMIFS(#REF!,#REF!,Extrato!$B138,#REF!,Extrato!O$3)</f>
        <v>#REF!</v>
      </c>
      <c r="P138" s="121">
        <f>SUMIF(BetFlow!B:B,B138,BetFlow!J:J)</f>
        <v>0</v>
      </c>
      <c r="Q138" s="121" t="e">
        <f>SUMIFS(#REF!,#REF!,Extrato!$B138,#REF!,Extrato!Q$3)</f>
        <v>#REF!</v>
      </c>
      <c r="R138" s="121" t="e">
        <f>SUMIFS(#REF!,#REF!,Extrato!$B138,#REF!,Extrato!R$3)</f>
        <v>#REF!</v>
      </c>
      <c r="S138" s="121" t="e">
        <f>SUMIFS(#REF!,#REF!,Extrato!$B138,#REF!,Extrato!S$3)</f>
        <v>#REF!</v>
      </c>
      <c r="T138" s="121" t="e">
        <f>SUMIFS(#REF!,#REF!,Extrato!$B138,#REF!,Extrato!T$3)</f>
        <v>#REF!</v>
      </c>
      <c r="U138" s="121" t="e">
        <f>SUMIFS(#REF!,#REF!,Extrato!$B138,#REF!,Extrato!U$3)</f>
        <v>#REF!</v>
      </c>
      <c r="V138" s="121" t="e">
        <f>SUMIFS(#REF!,#REF!,Extrato!$B138,#REF!,Extrato!V$3)</f>
        <v>#REF!</v>
      </c>
      <c r="W138" s="121" t="e">
        <f>SUMIFS(#REF!,#REF!,Extrato!$B138,#REF!,Extrato!W$3)</f>
        <v>#REF!</v>
      </c>
      <c r="X138" s="121" t="e">
        <f>SUMIFS(#REF!,#REF!,Extrato!$B138,#REF!,Extrato!X$3)</f>
        <v>#REF!</v>
      </c>
      <c r="Y138" s="121" t="e">
        <f>SUMIFS(#REF!,#REF!,Extrato!$B138,#REF!,Extrato!Y$3)</f>
        <v>#REF!</v>
      </c>
      <c r="Z138" s="121" t="e">
        <f>SUMIFS(#REF!,#REF!,Extrato!$B138,#REF!,Extrato!Z$3)</f>
        <v>#REF!</v>
      </c>
      <c r="AA138" s="121" t="e">
        <f>SUMIFS(#REF!,#REF!,Extrato!$B138,#REF!,Extrato!AA$3)</f>
        <v>#REF!</v>
      </c>
      <c r="AB138" s="121" t="e">
        <f>SUMIFS(#REF!,#REF!,Extrato!$B138,#REF!,Extrato!AB$3)</f>
        <v>#REF!</v>
      </c>
      <c r="AC138" s="121" t="e">
        <f>SUMIFS(#REF!,#REF!,Extrato!$B138,#REF!,Extrato!AC$3)</f>
        <v>#REF!</v>
      </c>
      <c r="AD138" s="121" t="e">
        <f>SUMIFS(#REF!,#REF!,Extrato!$B138,#REF!,Extrato!AD$3)</f>
        <v>#REF!</v>
      </c>
      <c r="AE138" s="121" t="e">
        <f>SUMIFS(#REF!,#REF!,Extrato!$B138,#REF!,Extrato!AE$3)</f>
        <v>#REF!</v>
      </c>
      <c r="AF138" s="121" t="e">
        <f>SUMIFS(#REF!,#REF!,Extrato!$B138,#REF!,Extrato!AF$3)</f>
        <v>#REF!</v>
      </c>
      <c r="AG138" s="121" t="e">
        <f>SUMIFS(#REF!,#REF!,Extrato!$B138,#REF!,Extrato!AG$3)</f>
        <v>#REF!</v>
      </c>
      <c r="AH138" s="121" t="e">
        <f>SUMIFS(#REF!,#REF!,Extrato!$B138,#REF!,Extrato!AH$3)</f>
        <v>#REF!</v>
      </c>
      <c r="AI138" s="121" t="e">
        <f>SUMIFS(#REF!,#REF!,Extrato!$B138,#REF!,Extrato!AI$3)</f>
        <v>#REF!</v>
      </c>
      <c r="AJ138" s="121">
        <v>0</v>
      </c>
      <c r="AK138" s="121"/>
      <c r="AL138" s="25" t="e">
        <f t="shared" si="5"/>
        <v>#REF!</v>
      </c>
      <c r="AM138" s="122"/>
      <c r="AN138" s="122"/>
      <c r="AO138" s="122"/>
      <c r="AP138" s="122"/>
      <c r="AQ138" s="122"/>
      <c r="AR138" s="122"/>
      <c r="AS138" s="122"/>
      <c r="AT138" s="122"/>
      <c r="AU138" s="122"/>
      <c r="AV138" s="122"/>
      <c r="AW138" s="122"/>
      <c r="AX138" s="122"/>
      <c r="AY138" s="122"/>
      <c r="AZ138" s="122"/>
      <c r="BA138" s="122"/>
      <c r="BB138" s="122"/>
      <c r="BC138" s="122"/>
      <c r="BD138" s="122"/>
      <c r="BE138" s="122"/>
      <c r="BF138" s="122"/>
      <c r="BG138" s="122"/>
      <c r="BH138" s="122"/>
      <c r="BI138" s="122"/>
      <c r="BJ138" s="122"/>
      <c r="BK138" s="122"/>
      <c r="BL138" s="122"/>
      <c r="BM138" s="122"/>
      <c r="BN138" s="122"/>
      <c r="BO138" s="122"/>
      <c r="BP138" s="122"/>
    </row>
    <row r="139" spans="2:68" ht="15" customHeight="1">
      <c r="B139" s="12">
        <v>46129</v>
      </c>
      <c r="C139" s="121" t="e">
        <f t="shared" si="4"/>
        <v>#REF!</v>
      </c>
      <c r="D139" s="121" t="e">
        <f>SUMIFS(#REF!,#REF!,Extrato!$B139,#REF!,Extrato!D$3)</f>
        <v>#REF!</v>
      </c>
      <c r="E139" s="121" t="e">
        <f>SUMIFS(#REF!,#REF!,Extrato!$B139,#REF!,Extrato!E$3)</f>
        <v>#REF!</v>
      </c>
      <c r="F139" s="121" t="e">
        <f>SUMIFS(#REF!,#REF!,Extrato!$B139,#REF!,Extrato!F$3)</f>
        <v>#REF!</v>
      </c>
      <c r="G139" s="121" t="e">
        <f>SUMIFS(#REF!,#REF!,Extrato!$B139,#REF!,Extrato!G$3)</f>
        <v>#REF!</v>
      </c>
      <c r="H139" s="121" t="e">
        <f>SUMIFS(#REF!,#REF!,Extrato!$B139,#REF!,Extrato!H$3)</f>
        <v>#REF!</v>
      </c>
      <c r="I139" s="121" t="e">
        <f>SUMIFS(#REF!,#REF!,Extrato!$B139,#REF!,Extrato!I$3)</f>
        <v>#REF!</v>
      </c>
      <c r="J139" s="121" t="e">
        <f>SUMIFS(#REF!,#REF!,Extrato!$B139,#REF!,Extrato!J$3)</f>
        <v>#REF!</v>
      </c>
      <c r="K139" s="121" t="e">
        <f>SUMIFS(#REF!,#REF!,Extrato!$B139,#REF!,Extrato!K$3)</f>
        <v>#REF!</v>
      </c>
      <c r="L139" s="121" t="e">
        <f>SUMIFS(#REF!,#REF!,Extrato!$B139,#REF!,Extrato!L$3)</f>
        <v>#REF!</v>
      </c>
      <c r="M139" s="121" t="e">
        <f>SUMIFS(#REF!,#REF!,Extrato!$B139,#REF!,Extrato!M$3)</f>
        <v>#REF!</v>
      </c>
      <c r="N139" s="121" t="e">
        <f>SUMIFS(#REF!,#REF!,Extrato!$B139,#REF!,Extrato!N$3)</f>
        <v>#REF!</v>
      </c>
      <c r="O139" s="121" t="e">
        <f>SUMIFS(#REF!,#REF!,Extrato!$B139,#REF!,Extrato!O$3)</f>
        <v>#REF!</v>
      </c>
      <c r="P139" s="121">
        <f>SUMIF(BetFlow!B:B,B139,BetFlow!J:J)</f>
        <v>0</v>
      </c>
      <c r="Q139" s="121" t="e">
        <f>SUMIFS(#REF!,#REF!,Extrato!$B139,#REF!,Extrato!Q$3)</f>
        <v>#REF!</v>
      </c>
      <c r="R139" s="121" t="e">
        <f>SUMIFS(#REF!,#REF!,Extrato!$B139,#REF!,Extrato!R$3)</f>
        <v>#REF!</v>
      </c>
      <c r="S139" s="121" t="e">
        <f>SUMIFS(#REF!,#REF!,Extrato!$B139,#REF!,Extrato!S$3)</f>
        <v>#REF!</v>
      </c>
      <c r="T139" s="121" t="e">
        <f>SUMIFS(#REF!,#REF!,Extrato!$B139,#REF!,Extrato!T$3)</f>
        <v>#REF!</v>
      </c>
      <c r="U139" s="121" t="e">
        <f>SUMIFS(#REF!,#REF!,Extrato!$B139,#REF!,Extrato!U$3)</f>
        <v>#REF!</v>
      </c>
      <c r="V139" s="121" t="e">
        <f>SUMIFS(#REF!,#REF!,Extrato!$B139,#REF!,Extrato!V$3)</f>
        <v>#REF!</v>
      </c>
      <c r="W139" s="121" t="e">
        <f>SUMIFS(#REF!,#REF!,Extrato!$B139,#REF!,Extrato!W$3)</f>
        <v>#REF!</v>
      </c>
      <c r="X139" s="121" t="e">
        <f>SUMIFS(#REF!,#REF!,Extrato!$B139,#REF!,Extrato!X$3)</f>
        <v>#REF!</v>
      </c>
      <c r="Y139" s="121" t="e">
        <f>SUMIFS(#REF!,#REF!,Extrato!$B139,#REF!,Extrato!Y$3)</f>
        <v>#REF!</v>
      </c>
      <c r="Z139" s="121" t="e">
        <f>SUMIFS(#REF!,#REF!,Extrato!$B139,#REF!,Extrato!Z$3)</f>
        <v>#REF!</v>
      </c>
      <c r="AA139" s="121" t="e">
        <f>SUMIFS(#REF!,#REF!,Extrato!$B139,#REF!,Extrato!AA$3)</f>
        <v>#REF!</v>
      </c>
      <c r="AB139" s="121" t="e">
        <f>SUMIFS(#REF!,#REF!,Extrato!$B139,#REF!,Extrato!AB$3)</f>
        <v>#REF!</v>
      </c>
      <c r="AC139" s="121" t="e">
        <f>SUMIFS(#REF!,#REF!,Extrato!$B139,#REF!,Extrato!AC$3)</f>
        <v>#REF!</v>
      </c>
      <c r="AD139" s="121" t="e">
        <f>SUMIFS(#REF!,#REF!,Extrato!$B139,#REF!,Extrato!AD$3)</f>
        <v>#REF!</v>
      </c>
      <c r="AE139" s="121" t="e">
        <f>SUMIFS(#REF!,#REF!,Extrato!$B139,#REF!,Extrato!AE$3)</f>
        <v>#REF!</v>
      </c>
      <c r="AF139" s="121" t="e">
        <f>SUMIFS(#REF!,#REF!,Extrato!$B139,#REF!,Extrato!AF$3)</f>
        <v>#REF!</v>
      </c>
      <c r="AG139" s="121" t="e">
        <f>SUMIFS(#REF!,#REF!,Extrato!$B139,#REF!,Extrato!AG$3)</f>
        <v>#REF!</v>
      </c>
      <c r="AH139" s="121" t="e">
        <f>SUMIFS(#REF!,#REF!,Extrato!$B139,#REF!,Extrato!AH$3)</f>
        <v>#REF!</v>
      </c>
      <c r="AI139" s="121" t="e">
        <f>SUMIFS(#REF!,#REF!,Extrato!$B139,#REF!,Extrato!AI$3)</f>
        <v>#REF!</v>
      </c>
      <c r="AJ139" s="121">
        <v>0</v>
      </c>
      <c r="AK139" s="121">
        <v>-0.01</v>
      </c>
      <c r="AL139" s="25" t="e">
        <f t="shared" si="5"/>
        <v>#REF!</v>
      </c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  <c r="BP139" s="122"/>
    </row>
    <row r="140" spans="2:68" ht="15" customHeight="1">
      <c r="B140" s="12">
        <v>46130</v>
      </c>
      <c r="C140" s="121" t="e">
        <f t="shared" si="4"/>
        <v>#REF!</v>
      </c>
      <c r="D140" s="121" t="e">
        <f>SUMIFS(#REF!,#REF!,Extrato!$B140,#REF!,Extrato!D$3)</f>
        <v>#REF!</v>
      </c>
      <c r="E140" s="121" t="e">
        <f>SUMIFS(#REF!,#REF!,Extrato!$B140,#REF!,Extrato!E$3)</f>
        <v>#REF!</v>
      </c>
      <c r="F140" s="121" t="e">
        <f>SUMIFS(#REF!,#REF!,Extrato!$B140,#REF!,Extrato!F$3)</f>
        <v>#REF!</v>
      </c>
      <c r="G140" s="121" t="e">
        <f>SUMIFS(#REF!,#REF!,Extrato!$B140,#REF!,Extrato!G$3)</f>
        <v>#REF!</v>
      </c>
      <c r="H140" s="121" t="e">
        <f>SUMIFS(#REF!,#REF!,Extrato!$B140,#REF!,Extrato!H$3)</f>
        <v>#REF!</v>
      </c>
      <c r="I140" s="121" t="e">
        <f>SUMIFS(#REF!,#REF!,Extrato!$B140,#REF!,Extrato!I$3)</f>
        <v>#REF!</v>
      </c>
      <c r="J140" s="121" t="e">
        <f>SUMIFS(#REF!,#REF!,Extrato!$B140,#REF!,Extrato!J$3)</f>
        <v>#REF!</v>
      </c>
      <c r="K140" s="121" t="e">
        <f>SUMIFS(#REF!,#REF!,Extrato!$B140,#REF!,Extrato!K$3)</f>
        <v>#REF!</v>
      </c>
      <c r="L140" s="121" t="e">
        <f>SUMIFS(#REF!,#REF!,Extrato!$B140,#REF!,Extrato!L$3)</f>
        <v>#REF!</v>
      </c>
      <c r="M140" s="121" t="e">
        <f>SUMIFS(#REF!,#REF!,Extrato!$B140,#REF!,Extrato!M$3)</f>
        <v>#REF!</v>
      </c>
      <c r="N140" s="121" t="e">
        <f>SUMIFS(#REF!,#REF!,Extrato!$B140,#REF!,Extrato!N$3)</f>
        <v>#REF!</v>
      </c>
      <c r="O140" s="121" t="e">
        <f>SUMIFS(#REF!,#REF!,Extrato!$B140,#REF!,Extrato!O$3)</f>
        <v>#REF!</v>
      </c>
      <c r="P140" s="121">
        <f>SUMIF(BetFlow!B:B,B140,BetFlow!J:J)</f>
        <v>0</v>
      </c>
      <c r="Q140" s="121" t="e">
        <f>SUMIFS(#REF!,#REF!,Extrato!$B140,#REF!,Extrato!Q$3)</f>
        <v>#REF!</v>
      </c>
      <c r="R140" s="121" t="e">
        <f>SUMIFS(#REF!,#REF!,Extrato!$B140,#REF!,Extrato!R$3)</f>
        <v>#REF!</v>
      </c>
      <c r="S140" s="121" t="e">
        <f>SUMIFS(#REF!,#REF!,Extrato!$B140,#REF!,Extrato!S$3)</f>
        <v>#REF!</v>
      </c>
      <c r="T140" s="121" t="e">
        <f>SUMIFS(#REF!,#REF!,Extrato!$B140,#REF!,Extrato!T$3)</f>
        <v>#REF!</v>
      </c>
      <c r="U140" s="121" t="e">
        <f>SUMIFS(#REF!,#REF!,Extrato!$B140,#REF!,Extrato!U$3)</f>
        <v>#REF!</v>
      </c>
      <c r="V140" s="121" t="e">
        <f>SUMIFS(#REF!,#REF!,Extrato!$B140,#REF!,Extrato!V$3)</f>
        <v>#REF!</v>
      </c>
      <c r="W140" s="121" t="e">
        <f>SUMIFS(#REF!,#REF!,Extrato!$B140,#REF!,Extrato!W$3)</f>
        <v>#REF!</v>
      </c>
      <c r="X140" s="121" t="e">
        <f>SUMIFS(#REF!,#REF!,Extrato!$B140,#REF!,Extrato!X$3)</f>
        <v>#REF!</v>
      </c>
      <c r="Y140" s="121" t="e">
        <f>SUMIFS(#REF!,#REF!,Extrato!$B140,#REF!,Extrato!Y$3)</f>
        <v>#REF!</v>
      </c>
      <c r="Z140" s="121" t="e">
        <f>SUMIFS(#REF!,#REF!,Extrato!$B140,#REF!,Extrato!Z$3)</f>
        <v>#REF!</v>
      </c>
      <c r="AA140" s="121" t="e">
        <f>SUMIFS(#REF!,#REF!,Extrato!$B140,#REF!,Extrato!AA$3)</f>
        <v>#REF!</v>
      </c>
      <c r="AB140" s="121" t="e">
        <f>SUMIFS(#REF!,#REF!,Extrato!$B140,#REF!,Extrato!AB$3)</f>
        <v>#REF!</v>
      </c>
      <c r="AC140" s="121" t="e">
        <f>SUMIFS(#REF!,#REF!,Extrato!$B140,#REF!,Extrato!AC$3)</f>
        <v>#REF!</v>
      </c>
      <c r="AD140" s="121" t="e">
        <f>SUMIFS(#REF!,#REF!,Extrato!$B140,#REF!,Extrato!AD$3)</f>
        <v>#REF!</v>
      </c>
      <c r="AE140" s="121" t="e">
        <f>SUMIFS(#REF!,#REF!,Extrato!$B140,#REF!,Extrato!AE$3)</f>
        <v>#REF!</v>
      </c>
      <c r="AF140" s="121" t="e">
        <f>SUMIFS(#REF!,#REF!,Extrato!$B140,#REF!,Extrato!AF$3)</f>
        <v>#REF!</v>
      </c>
      <c r="AG140" s="121" t="e">
        <f>SUMIFS(#REF!,#REF!,Extrato!$B140,#REF!,Extrato!AG$3)</f>
        <v>#REF!</v>
      </c>
      <c r="AH140" s="121" t="e">
        <f>SUMIFS(#REF!,#REF!,Extrato!$B140,#REF!,Extrato!AH$3)</f>
        <v>#REF!</v>
      </c>
      <c r="AI140" s="121" t="e">
        <f>SUMIFS(#REF!,#REF!,Extrato!$B140,#REF!,Extrato!AI$3)</f>
        <v>#REF!</v>
      </c>
      <c r="AJ140" s="121">
        <v>0</v>
      </c>
      <c r="AK140" s="121"/>
      <c r="AL140" s="25" t="e">
        <f t="shared" si="5"/>
        <v>#REF!</v>
      </c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  <c r="BP140" s="122"/>
    </row>
    <row r="141" spans="2:68" ht="15" customHeight="1">
      <c r="B141" s="12">
        <v>46131</v>
      </c>
      <c r="C141" s="121" t="e">
        <f t="shared" si="4"/>
        <v>#REF!</v>
      </c>
      <c r="D141" s="121" t="e">
        <f>SUMIFS(#REF!,#REF!,Extrato!$B141,#REF!,Extrato!D$3)</f>
        <v>#REF!</v>
      </c>
      <c r="E141" s="121" t="e">
        <f>SUMIFS(#REF!,#REF!,Extrato!$B141,#REF!,Extrato!E$3)</f>
        <v>#REF!</v>
      </c>
      <c r="F141" s="121" t="e">
        <f>SUMIFS(#REF!,#REF!,Extrato!$B141,#REF!,Extrato!F$3)</f>
        <v>#REF!</v>
      </c>
      <c r="G141" s="121" t="e">
        <f>SUMIFS(#REF!,#REF!,Extrato!$B141,#REF!,Extrato!G$3)</f>
        <v>#REF!</v>
      </c>
      <c r="H141" s="121" t="e">
        <f>SUMIFS(#REF!,#REF!,Extrato!$B141,#REF!,Extrato!H$3)</f>
        <v>#REF!</v>
      </c>
      <c r="I141" s="121" t="e">
        <f>SUMIFS(#REF!,#REF!,Extrato!$B141,#REF!,Extrato!I$3)</f>
        <v>#REF!</v>
      </c>
      <c r="J141" s="121" t="e">
        <f>SUMIFS(#REF!,#REF!,Extrato!$B141,#REF!,Extrato!J$3)</f>
        <v>#REF!</v>
      </c>
      <c r="K141" s="121" t="e">
        <f>SUMIFS(#REF!,#REF!,Extrato!$B141,#REF!,Extrato!K$3)</f>
        <v>#REF!</v>
      </c>
      <c r="L141" s="121" t="e">
        <f>SUMIFS(#REF!,#REF!,Extrato!$B141,#REF!,Extrato!L$3)</f>
        <v>#REF!</v>
      </c>
      <c r="M141" s="121" t="e">
        <f>SUMIFS(#REF!,#REF!,Extrato!$B141,#REF!,Extrato!M$3)</f>
        <v>#REF!</v>
      </c>
      <c r="N141" s="121" t="e">
        <f>SUMIFS(#REF!,#REF!,Extrato!$B141,#REF!,Extrato!N$3)</f>
        <v>#REF!</v>
      </c>
      <c r="O141" s="121" t="e">
        <f>SUMIFS(#REF!,#REF!,Extrato!$B141,#REF!,Extrato!O$3)</f>
        <v>#REF!</v>
      </c>
      <c r="P141" s="121">
        <f>SUMIF(BetFlow!B:B,B141,BetFlow!J:J)</f>
        <v>0</v>
      </c>
      <c r="Q141" s="121" t="e">
        <f>SUMIFS(#REF!,#REF!,Extrato!$B141,#REF!,Extrato!Q$3)</f>
        <v>#REF!</v>
      </c>
      <c r="R141" s="121" t="e">
        <f>SUMIFS(#REF!,#REF!,Extrato!$B141,#REF!,Extrato!R$3)</f>
        <v>#REF!</v>
      </c>
      <c r="S141" s="121" t="e">
        <f>SUMIFS(#REF!,#REF!,Extrato!$B141,#REF!,Extrato!S$3)</f>
        <v>#REF!</v>
      </c>
      <c r="T141" s="121" t="e">
        <f>SUMIFS(#REF!,#REF!,Extrato!$B141,#REF!,Extrato!T$3)</f>
        <v>#REF!</v>
      </c>
      <c r="U141" s="121" t="e">
        <f>SUMIFS(#REF!,#REF!,Extrato!$B141,#REF!,Extrato!U$3)</f>
        <v>#REF!</v>
      </c>
      <c r="V141" s="121" t="e">
        <f>SUMIFS(#REF!,#REF!,Extrato!$B141,#REF!,Extrato!V$3)</f>
        <v>#REF!</v>
      </c>
      <c r="W141" s="121" t="e">
        <f>SUMIFS(#REF!,#REF!,Extrato!$B141,#REF!,Extrato!W$3)</f>
        <v>#REF!</v>
      </c>
      <c r="X141" s="121" t="e">
        <f>SUMIFS(#REF!,#REF!,Extrato!$B141,#REF!,Extrato!X$3)</f>
        <v>#REF!</v>
      </c>
      <c r="Y141" s="121" t="e">
        <f>SUMIFS(#REF!,#REF!,Extrato!$B141,#REF!,Extrato!Y$3)</f>
        <v>#REF!</v>
      </c>
      <c r="Z141" s="121" t="e">
        <f>SUMIFS(#REF!,#REF!,Extrato!$B141,#REF!,Extrato!Z$3)</f>
        <v>#REF!</v>
      </c>
      <c r="AA141" s="121" t="e">
        <f>SUMIFS(#REF!,#REF!,Extrato!$B141,#REF!,Extrato!AA$3)</f>
        <v>#REF!</v>
      </c>
      <c r="AB141" s="121" t="e">
        <f>SUMIFS(#REF!,#REF!,Extrato!$B141,#REF!,Extrato!AB$3)</f>
        <v>#REF!</v>
      </c>
      <c r="AC141" s="121" t="e">
        <f>SUMIFS(#REF!,#REF!,Extrato!$B141,#REF!,Extrato!AC$3)</f>
        <v>#REF!</v>
      </c>
      <c r="AD141" s="121" t="e">
        <f>SUMIFS(#REF!,#REF!,Extrato!$B141,#REF!,Extrato!AD$3)</f>
        <v>#REF!</v>
      </c>
      <c r="AE141" s="121" t="e">
        <f>SUMIFS(#REF!,#REF!,Extrato!$B141,#REF!,Extrato!AE$3)</f>
        <v>#REF!</v>
      </c>
      <c r="AF141" s="121" t="e">
        <f>SUMIFS(#REF!,#REF!,Extrato!$B141,#REF!,Extrato!AF$3)</f>
        <v>#REF!</v>
      </c>
      <c r="AG141" s="121" t="e">
        <f>SUMIFS(#REF!,#REF!,Extrato!$B141,#REF!,Extrato!AG$3)</f>
        <v>#REF!</v>
      </c>
      <c r="AH141" s="121" t="e">
        <f>SUMIFS(#REF!,#REF!,Extrato!$B141,#REF!,Extrato!AH$3)</f>
        <v>#REF!</v>
      </c>
      <c r="AI141" s="121" t="e">
        <f>SUMIFS(#REF!,#REF!,Extrato!$B141,#REF!,Extrato!AI$3)</f>
        <v>#REF!</v>
      </c>
      <c r="AJ141" s="121">
        <v>0</v>
      </c>
      <c r="AK141" s="121"/>
      <c r="AL141" s="25" t="e">
        <f t="shared" si="5"/>
        <v>#REF!</v>
      </c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  <c r="BP141" s="122"/>
    </row>
    <row r="142" spans="2:68" ht="15" customHeight="1">
      <c r="B142" s="12">
        <v>46132</v>
      </c>
      <c r="C142" s="121" t="e">
        <f t="shared" si="4"/>
        <v>#REF!</v>
      </c>
      <c r="D142" s="121" t="e">
        <f>SUMIFS(#REF!,#REF!,Extrato!$B142,#REF!,Extrato!D$3)</f>
        <v>#REF!</v>
      </c>
      <c r="E142" s="121" t="e">
        <f>SUMIFS(#REF!,#REF!,Extrato!$B142,#REF!,Extrato!E$3)</f>
        <v>#REF!</v>
      </c>
      <c r="F142" s="121" t="e">
        <f>SUMIFS(#REF!,#REF!,Extrato!$B142,#REF!,Extrato!F$3)</f>
        <v>#REF!</v>
      </c>
      <c r="G142" s="121" t="e">
        <f>SUMIFS(#REF!,#REF!,Extrato!$B142,#REF!,Extrato!G$3)</f>
        <v>#REF!</v>
      </c>
      <c r="H142" s="121" t="e">
        <f>SUMIFS(#REF!,#REF!,Extrato!$B142,#REF!,Extrato!H$3)</f>
        <v>#REF!</v>
      </c>
      <c r="I142" s="121" t="e">
        <f>SUMIFS(#REF!,#REF!,Extrato!$B142,#REF!,Extrato!I$3)</f>
        <v>#REF!</v>
      </c>
      <c r="J142" s="121" t="e">
        <f>SUMIFS(#REF!,#REF!,Extrato!$B142,#REF!,Extrato!J$3)</f>
        <v>#REF!</v>
      </c>
      <c r="K142" s="121" t="e">
        <f>SUMIFS(#REF!,#REF!,Extrato!$B142,#REF!,Extrato!K$3)</f>
        <v>#REF!</v>
      </c>
      <c r="L142" s="121" t="e">
        <f>SUMIFS(#REF!,#REF!,Extrato!$B142,#REF!,Extrato!L$3)</f>
        <v>#REF!</v>
      </c>
      <c r="M142" s="121" t="e">
        <f>SUMIFS(#REF!,#REF!,Extrato!$B142,#REF!,Extrato!M$3)</f>
        <v>#REF!</v>
      </c>
      <c r="N142" s="121" t="e">
        <f>SUMIFS(#REF!,#REF!,Extrato!$B142,#REF!,Extrato!N$3)</f>
        <v>#REF!</v>
      </c>
      <c r="O142" s="121" t="e">
        <f>SUMIFS(#REF!,#REF!,Extrato!$B142,#REF!,Extrato!O$3)</f>
        <v>#REF!</v>
      </c>
      <c r="P142" s="121">
        <f>SUMIF(BetFlow!B:B,B142,BetFlow!J:J)</f>
        <v>0</v>
      </c>
      <c r="Q142" s="121" t="e">
        <f>SUMIFS(#REF!,#REF!,Extrato!$B142,#REF!,Extrato!Q$3)</f>
        <v>#REF!</v>
      </c>
      <c r="R142" s="121" t="e">
        <f>SUMIFS(#REF!,#REF!,Extrato!$B142,#REF!,Extrato!R$3)</f>
        <v>#REF!</v>
      </c>
      <c r="S142" s="121" t="e">
        <f>SUMIFS(#REF!,#REF!,Extrato!$B142,#REF!,Extrato!S$3)</f>
        <v>#REF!</v>
      </c>
      <c r="T142" s="121" t="e">
        <f>SUMIFS(#REF!,#REF!,Extrato!$B142,#REF!,Extrato!T$3)</f>
        <v>#REF!</v>
      </c>
      <c r="U142" s="121" t="e">
        <f>SUMIFS(#REF!,#REF!,Extrato!$B142,#REF!,Extrato!U$3)</f>
        <v>#REF!</v>
      </c>
      <c r="V142" s="121" t="e">
        <f>SUMIFS(#REF!,#REF!,Extrato!$B142,#REF!,Extrato!V$3)</f>
        <v>#REF!</v>
      </c>
      <c r="W142" s="121" t="e">
        <f>SUMIFS(#REF!,#REF!,Extrato!$B142,#REF!,Extrato!W$3)</f>
        <v>#REF!</v>
      </c>
      <c r="X142" s="121" t="e">
        <f>SUMIFS(#REF!,#REF!,Extrato!$B142,#REF!,Extrato!X$3)</f>
        <v>#REF!</v>
      </c>
      <c r="Y142" s="121" t="e">
        <f>SUMIFS(#REF!,#REF!,Extrato!$B142,#REF!,Extrato!Y$3)</f>
        <v>#REF!</v>
      </c>
      <c r="Z142" s="121" t="e">
        <f>SUMIFS(#REF!,#REF!,Extrato!$B142,#REF!,Extrato!Z$3)</f>
        <v>#REF!</v>
      </c>
      <c r="AA142" s="121" t="e">
        <f>SUMIFS(#REF!,#REF!,Extrato!$B142,#REF!,Extrato!AA$3)</f>
        <v>#REF!</v>
      </c>
      <c r="AB142" s="121" t="e">
        <f>SUMIFS(#REF!,#REF!,Extrato!$B142,#REF!,Extrato!AB$3)</f>
        <v>#REF!</v>
      </c>
      <c r="AC142" s="121" t="e">
        <f>SUMIFS(#REF!,#REF!,Extrato!$B142,#REF!,Extrato!AC$3)</f>
        <v>#REF!</v>
      </c>
      <c r="AD142" s="121" t="e">
        <f>SUMIFS(#REF!,#REF!,Extrato!$B142,#REF!,Extrato!AD$3)</f>
        <v>#REF!</v>
      </c>
      <c r="AE142" s="121" t="e">
        <f>SUMIFS(#REF!,#REF!,Extrato!$B142,#REF!,Extrato!AE$3)</f>
        <v>#REF!</v>
      </c>
      <c r="AF142" s="121" t="e">
        <f>SUMIFS(#REF!,#REF!,Extrato!$B142,#REF!,Extrato!AF$3)</f>
        <v>#REF!</v>
      </c>
      <c r="AG142" s="121" t="e">
        <f>SUMIFS(#REF!,#REF!,Extrato!$B142,#REF!,Extrato!AG$3)</f>
        <v>#REF!</v>
      </c>
      <c r="AH142" s="121" t="e">
        <f>SUMIFS(#REF!,#REF!,Extrato!$B142,#REF!,Extrato!AH$3)</f>
        <v>#REF!</v>
      </c>
      <c r="AI142" s="121" t="e">
        <f>SUMIFS(#REF!,#REF!,Extrato!$B142,#REF!,Extrato!AI$3)</f>
        <v>#REF!</v>
      </c>
      <c r="AJ142" s="121">
        <v>0</v>
      </c>
      <c r="AK142" s="121"/>
      <c r="AL142" s="25" t="e">
        <f t="shared" si="5"/>
        <v>#REF!</v>
      </c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  <c r="BP142" s="122"/>
    </row>
    <row r="143" spans="2:68" ht="15" customHeight="1">
      <c r="B143" s="12">
        <v>46133</v>
      </c>
      <c r="C143" s="121" t="e">
        <f t="shared" si="4"/>
        <v>#REF!</v>
      </c>
      <c r="D143" s="121" t="e">
        <f>SUMIFS(#REF!,#REF!,Extrato!$B143,#REF!,Extrato!D$3)</f>
        <v>#REF!</v>
      </c>
      <c r="E143" s="121" t="e">
        <f>SUMIFS(#REF!,#REF!,Extrato!$B143,#REF!,Extrato!E$3)</f>
        <v>#REF!</v>
      </c>
      <c r="F143" s="121" t="e">
        <f>SUMIFS(#REF!,#REF!,Extrato!$B143,#REF!,Extrato!F$3)</f>
        <v>#REF!</v>
      </c>
      <c r="G143" s="121" t="e">
        <f>SUMIFS(#REF!,#REF!,Extrato!$B143,#REF!,Extrato!G$3)</f>
        <v>#REF!</v>
      </c>
      <c r="H143" s="121" t="e">
        <f>SUMIFS(#REF!,#REF!,Extrato!$B143,#REF!,Extrato!H$3)</f>
        <v>#REF!</v>
      </c>
      <c r="I143" s="121" t="e">
        <f>SUMIFS(#REF!,#REF!,Extrato!$B143,#REF!,Extrato!I$3)</f>
        <v>#REF!</v>
      </c>
      <c r="J143" s="121" t="e">
        <f>SUMIFS(#REF!,#REF!,Extrato!$B143,#REF!,Extrato!J$3)</f>
        <v>#REF!</v>
      </c>
      <c r="K143" s="121" t="e">
        <f>SUMIFS(#REF!,#REF!,Extrato!$B143,#REF!,Extrato!K$3)</f>
        <v>#REF!</v>
      </c>
      <c r="L143" s="121" t="e">
        <f>SUMIFS(#REF!,#REF!,Extrato!$B143,#REF!,Extrato!L$3)</f>
        <v>#REF!</v>
      </c>
      <c r="M143" s="121" t="e">
        <f>SUMIFS(#REF!,#REF!,Extrato!$B143,#REF!,Extrato!M$3)</f>
        <v>#REF!</v>
      </c>
      <c r="N143" s="121" t="e">
        <f>SUMIFS(#REF!,#REF!,Extrato!$B143,#REF!,Extrato!N$3)</f>
        <v>#REF!</v>
      </c>
      <c r="O143" s="121" t="e">
        <f>SUMIFS(#REF!,#REF!,Extrato!$B143,#REF!,Extrato!O$3)</f>
        <v>#REF!</v>
      </c>
      <c r="P143" s="121">
        <f>SUMIF(BetFlow!B:B,B143,BetFlow!J:J)</f>
        <v>0</v>
      </c>
      <c r="Q143" s="121" t="e">
        <f>SUMIFS(#REF!,#REF!,Extrato!$B143,#REF!,Extrato!Q$3)</f>
        <v>#REF!</v>
      </c>
      <c r="R143" s="121" t="e">
        <f>SUMIFS(#REF!,#REF!,Extrato!$B143,#REF!,Extrato!R$3)</f>
        <v>#REF!</v>
      </c>
      <c r="S143" s="121" t="e">
        <f>SUMIFS(#REF!,#REF!,Extrato!$B143,#REF!,Extrato!S$3)</f>
        <v>#REF!</v>
      </c>
      <c r="T143" s="121" t="e">
        <f>SUMIFS(#REF!,#REF!,Extrato!$B143,#REF!,Extrato!T$3)</f>
        <v>#REF!</v>
      </c>
      <c r="U143" s="121" t="e">
        <f>SUMIFS(#REF!,#REF!,Extrato!$B143,#REF!,Extrato!U$3)</f>
        <v>#REF!</v>
      </c>
      <c r="V143" s="121" t="e">
        <f>SUMIFS(#REF!,#REF!,Extrato!$B143,#REF!,Extrato!V$3)</f>
        <v>#REF!</v>
      </c>
      <c r="W143" s="121" t="e">
        <f>SUMIFS(#REF!,#REF!,Extrato!$B143,#REF!,Extrato!W$3)</f>
        <v>#REF!</v>
      </c>
      <c r="X143" s="121" t="e">
        <f>SUMIFS(#REF!,#REF!,Extrato!$B143,#REF!,Extrato!X$3)</f>
        <v>#REF!</v>
      </c>
      <c r="Y143" s="121" t="e">
        <f>SUMIFS(#REF!,#REF!,Extrato!$B143,#REF!,Extrato!Y$3)</f>
        <v>#REF!</v>
      </c>
      <c r="Z143" s="121" t="e">
        <f>SUMIFS(#REF!,#REF!,Extrato!$B143,#REF!,Extrato!Z$3)</f>
        <v>#REF!</v>
      </c>
      <c r="AA143" s="121" t="e">
        <f>SUMIFS(#REF!,#REF!,Extrato!$B143,#REF!,Extrato!AA$3)</f>
        <v>#REF!</v>
      </c>
      <c r="AB143" s="121" t="e">
        <f>SUMIFS(#REF!,#REF!,Extrato!$B143,#REF!,Extrato!AB$3)</f>
        <v>#REF!</v>
      </c>
      <c r="AC143" s="121" t="e">
        <f>SUMIFS(#REF!,#REF!,Extrato!$B143,#REF!,Extrato!AC$3)</f>
        <v>#REF!</v>
      </c>
      <c r="AD143" s="121" t="e">
        <f>SUMIFS(#REF!,#REF!,Extrato!$B143,#REF!,Extrato!AD$3)</f>
        <v>#REF!</v>
      </c>
      <c r="AE143" s="121" t="e">
        <f>SUMIFS(#REF!,#REF!,Extrato!$B143,#REF!,Extrato!AE$3)</f>
        <v>#REF!</v>
      </c>
      <c r="AF143" s="121" t="e">
        <f>SUMIFS(#REF!,#REF!,Extrato!$B143,#REF!,Extrato!AF$3)</f>
        <v>#REF!</v>
      </c>
      <c r="AG143" s="121" t="e">
        <f>SUMIFS(#REF!,#REF!,Extrato!$B143,#REF!,Extrato!AG$3)</f>
        <v>#REF!</v>
      </c>
      <c r="AH143" s="121" t="e">
        <f>SUMIFS(#REF!,#REF!,Extrato!$B143,#REF!,Extrato!AH$3)</f>
        <v>#REF!</v>
      </c>
      <c r="AI143" s="121" t="e">
        <f>SUMIFS(#REF!,#REF!,Extrato!$B143,#REF!,Extrato!AI$3)</f>
        <v>#REF!</v>
      </c>
      <c r="AJ143" s="121">
        <v>0</v>
      </c>
      <c r="AK143" s="121">
        <v>-0.01</v>
      </c>
      <c r="AL143" s="25" t="e">
        <f t="shared" si="5"/>
        <v>#REF!</v>
      </c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  <c r="BP143" s="122"/>
    </row>
    <row r="144" spans="2:68" ht="15" customHeight="1">
      <c r="B144" s="12">
        <v>46134</v>
      </c>
      <c r="C144" s="121" t="e">
        <f t="shared" si="4"/>
        <v>#REF!</v>
      </c>
      <c r="D144" s="121" t="e">
        <f>SUMIFS(#REF!,#REF!,Extrato!$B144,#REF!,Extrato!D$3)</f>
        <v>#REF!</v>
      </c>
      <c r="E144" s="121" t="e">
        <f>SUMIFS(#REF!,#REF!,Extrato!$B144,#REF!,Extrato!E$3)</f>
        <v>#REF!</v>
      </c>
      <c r="F144" s="121" t="e">
        <f>SUMIFS(#REF!,#REF!,Extrato!$B144,#REF!,Extrato!F$3)</f>
        <v>#REF!</v>
      </c>
      <c r="G144" s="121" t="e">
        <f>SUMIFS(#REF!,#REF!,Extrato!$B144,#REF!,Extrato!G$3)</f>
        <v>#REF!</v>
      </c>
      <c r="H144" s="121" t="e">
        <f>SUMIFS(#REF!,#REF!,Extrato!$B144,#REF!,Extrato!H$3)</f>
        <v>#REF!</v>
      </c>
      <c r="I144" s="121" t="e">
        <f>SUMIFS(#REF!,#REF!,Extrato!$B144,#REF!,Extrato!I$3)</f>
        <v>#REF!</v>
      </c>
      <c r="J144" s="121" t="e">
        <f>SUMIFS(#REF!,#REF!,Extrato!$B144,#REF!,Extrato!J$3)</f>
        <v>#REF!</v>
      </c>
      <c r="K144" s="121" t="e">
        <f>SUMIFS(#REF!,#REF!,Extrato!$B144,#REF!,Extrato!K$3)</f>
        <v>#REF!</v>
      </c>
      <c r="L144" s="121" t="e">
        <f>SUMIFS(#REF!,#REF!,Extrato!$B144,#REF!,Extrato!L$3)</f>
        <v>#REF!</v>
      </c>
      <c r="M144" s="121" t="e">
        <f>SUMIFS(#REF!,#REF!,Extrato!$B144,#REF!,Extrato!M$3)</f>
        <v>#REF!</v>
      </c>
      <c r="N144" s="121" t="e">
        <f>SUMIFS(#REF!,#REF!,Extrato!$B144,#REF!,Extrato!N$3)</f>
        <v>#REF!</v>
      </c>
      <c r="O144" s="121" t="e">
        <f>SUMIFS(#REF!,#REF!,Extrato!$B144,#REF!,Extrato!O$3)</f>
        <v>#REF!</v>
      </c>
      <c r="P144" s="121">
        <f>SUMIF(BetFlow!B:B,B144,BetFlow!J:J)</f>
        <v>0</v>
      </c>
      <c r="Q144" s="121" t="e">
        <f>SUMIFS(#REF!,#REF!,Extrato!$B144,#REF!,Extrato!Q$3)</f>
        <v>#REF!</v>
      </c>
      <c r="R144" s="121" t="e">
        <f>SUMIFS(#REF!,#REF!,Extrato!$B144,#REF!,Extrato!R$3)</f>
        <v>#REF!</v>
      </c>
      <c r="S144" s="121" t="e">
        <f>SUMIFS(#REF!,#REF!,Extrato!$B144,#REF!,Extrato!S$3)</f>
        <v>#REF!</v>
      </c>
      <c r="T144" s="121" t="e">
        <f>SUMIFS(#REF!,#REF!,Extrato!$B144,#REF!,Extrato!T$3)</f>
        <v>#REF!</v>
      </c>
      <c r="U144" s="121" t="e">
        <f>SUMIFS(#REF!,#REF!,Extrato!$B144,#REF!,Extrato!U$3)</f>
        <v>#REF!</v>
      </c>
      <c r="V144" s="121" t="e">
        <f>SUMIFS(#REF!,#REF!,Extrato!$B144,#REF!,Extrato!V$3)</f>
        <v>#REF!</v>
      </c>
      <c r="W144" s="121" t="e">
        <f>SUMIFS(#REF!,#REF!,Extrato!$B144,#REF!,Extrato!W$3)</f>
        <v>#REF!</v>
      </c>
      <c r="X144" s="121" t="e">
        <f>SUMIFS(#REF!,#REF!,Extrato!$B144,#REF!,Extrato!X$3)</f>
        <v>#REF!</v>
      </c>
      <c r="Y144" s="121" t="e">
        <f>SUMIFS(#REF!,#REF!,Extrato!$B144,#REF!,Extrato!Y$3)</f>
        <v>#REF!</v>
      </c>
      <c r="Z144" s="121" t="e">
        <f>SUMIFS(#REF!,#REF!,Extrato!$B144,#REF!,Extrato!Z$3)</f>
        <v>#REF!</v>
      </c>
      <c r="AA144" s="121" t="e">
        <f>SUMIFS(#REF!,#REF!,Extrato!$B144,#REF!,Extrato!AA$3)</f>
        <v>#REF!</v>
      </c>
      <c r="AB144" s="121" t="e">
        <f>SUMIFS(#REF!,#REF!,Extrato!$B144,#REF!,Extrato!AB$3)</f>
        <v>#REF!</v>
      </c>
      <c r="AC144" s="121" t="e">
        <f>SUMIFS(#REF!,#REF!,Extrato!$B144,#REF!,Extrato!AC$3)</f>
        <v>#REF!</v>
      </c>
      <c r="AD144" s="121" t="e">
        <f>SUMIFS(#REF!,#REF!,Extrato!$B144,#REF!,Extrato!AD$3)</f>
        <v>#REF!</v>
      </c>
      <c r="AE144" s="121" t="e">
        <f>SUMIFS(#REF!,#REF!,Extrato!$B144,#REF!,Extrato!AE$3)</f>
        <v>#REF!</v>
      </c>
      <c r="AF144" s="121" t="e">
        <f>SUMIFS(#REF!,#REF!,Extrato!$B144,#REF!,Extrato!AF$3)</f>
        <v>#REF!</v>
      </c>
      <c r="AG144" s="121" t="e">
        <f>SUMIFS(#REF!,#REF!,Extrato!$B144,#REF!,Extrato!AG$3)</f>
        <v>#REF!</v>
      </c>
      <c r="AH144" s="121" t="e">
        <f>SUMIFS(#REF!,#REF!,Extrato!$B144,#REF!,Extrato!AH$3)</f>
        <v>#REF!</v>
      </c>
      <c r="AI144" s="121" t="e">
        <f>SUMIFS(#REF!,#REF!,Extrato!$B144,#REF!,Extrato!AI$3)</f>
        <v>#REF!</v>
      </c>
      <c r="AJ144" s="121">
        <v>0</v>
      </c>
      <c r="AK144" s="121"/>
      <c r="AL144" s="25" t="e">
        <f t="shared" si="5"/>
        <v>#REF!</v>
      </c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  <c r="BP144" s="122"/>
    </row>
    <row r="145" spans="2:68" ht="15" customHeight="1">
      <c r="B145" s="12">
        <v>46135</v>
      </c>
      <c r="C145" s="121" t="e">
        <f t="shared" si="4"/>
        <v>#REF!</v>
      </c>
      <c r="D145" s="121" t="e">
        <f>SUMIFS(#REF!,#REF!,Extrato!$B145,#REF!,Extrato!D$3)</f>
        <v>#REF!</v>
      </c>
      <c r="E145" s="121" t="e">
        <f>SUMIFS(#REF!,#REF!,Extrato!$B145,#REF!,Extrato!E$3)</f>
        <v>#REF!</v>
      </c>
      <c r="F145" s="121" t="e">
        <f>SUMIFS(#REF!,#REF!,Extrato!$B145,#REF!,Extrato!F$3)</f>
        <v>#REF!</v>
      </c>
      <c r="G145" s="121" t="e">
        <f>SUMIFS(#REF!,#REF!,Extrato!$B145,#REF!,Extrato!G$3)</f>
        <v>#REF!</v>
      </c>
      <c r="H145" s="121" t="e">
        <f>SUMIFS(#REF!,#REF!,Extrato!$B145,#REF!,Extrato!H$3)</f>
        <v>#REF!</v>
      </c>
      <c r="I145" s="121" t="e">
        <f>SUMIFS(#REF!,#REF!,Extrato!$B145,#REF!,Extrato!I$3)</f>
        <v>#REF!</v>
      </c>
      <c r="J145" s="121" t="e">
        <f>SUMIFS(#REF!,#REF!,Extrato!$B145,#REF!,Extrato!J$3)</f>
        <v>#REF!</v>
      </c>
      <c r="K145" s="121" t="e">
        <f>SUMIFS(#REF!,#REF!,Extrato!$B145,#REF!,Extrato!K$3)</f>
        <v>#REF!</v>
      </c>
      <c r="L145" s="121" t="e">
        <f>SUMIFS(#REF!,#REF!,Extrato!$B145,#REF!,Extrato!L$3)</f>
        <v>#REF!</v>
      </c>
      <c r="M145" s="121" t="e">
        <f>SUMIFS(#REF!,#REF!,Extrato!$B145,#REF!,Extrato!M$3)</f>
        <v>#REF!</v>
      </c>
      <c r="N145" s="121" t="e">
        <f>SUMIFS(#REF!,#REF!,Extrato!$B145,#REF!,Extrato!N$3)</f>
        <v>#REF!</v>
      </c>
      <c r="O145" s="121" t="e">
        <f>SUMIFS(#REF!,#REF!,Extrato!$B145,#REF!,Extrato!O$3)</f>
        <v>#REF!</v>
      </c>
      <c r="P145" s="121">
        <f>SUMIF(BetFlow!B:B,B145,BetFlow!J:J)</f>
        <v>0</v>
      </c>
      <c r="Q145" s="121" t="e">
        <f>SUMIFS(#REF!,#REF!,Extrato!$B145,#REF!,Extrato!Q$3)</f>
        <v>#REF!</v>
      </c>
      <c r="R145" s="121" t="e">
        <f>SUMIFS(#REF!,#REF!,Extrato!$B145,#REF!,Extrato!R$3)</f>
        <v>#REF!</v>
      </c>
      <c r="S145" s="121" t="e">
        <f>SUMIFS(#REF!,#REF!,Extrato!$B145,#REF!,Extrato!S$3)</f>
        <v>#REF!</v>
      </c>
      <c r="T145" s="121" t="e">
        <f>SUMIFS(#REF!,#REF!,Extrato!$B145,#REF!,Extrato!T$3)</f>
        <v>#REF!</v>
      </c>
      <c r="U145" s="121" t="e">
        <f>SUMIFS(#REF!,#REF!,Extrato!$B145,#REF!,Extrato!U$3)</f>
        <v>#REF!</v>
      </c>
      <c r="V145" s="121" t="e">
        <f>SUMIFS(#REF!,#REF!,Extrato!$B145,#REF!,Extrato!V$3)</f>
        <v>#REF!</v>
      </c>
      <c r="W145" s="121" t="e">
        <f>SUMIFS(#REF!,#REF!,Extrato!$B145,#REF!,Extrato!W$3)</f>
        <v>#REF!</v>
      </c>
      <c r="X145" s="121" t="e">
        <f>SUMIFS(#REF!,#REF!,Extrato!$B145,#REF!,Extrato!X$3)</f>
        <v>#REF!</v>
      </c>
      <c r="Y145" s="121" t="e">
        <f>SUMIFS(#REF!,#REF!,Extrato!$B145,#REF!,Extrato!Y$3)</f>
        <v>#REF!</v>
      </c>
      <c r="Z145" s="121" t="e">
        <f>SUMIFS(#REF!,#REF!,Extrato!$B145,#REF!,Extrato!Z$3)</f>
        <v>#REF!</v>
      </c>
      <c r="AA145" s="121" t="e">
        <f>SUMIFS(#REF!,#REF!,Extrato!$B145,#REF!,Extrato!AA$3)</f>
        <v>#REF!</v>
      </c>
      <c r="AB145" s="121" t="e">
        <f>SUMIFS(#REF!,#REF!,Extrato!$B145,#REF!,Extrato!AB$3)</f>
        <v>#REF!</v>
      </c>
      <c r="AC145" s="121" t="e">
        <f>SUMIFS(#REF!,#REF!,Extrato!$B145,#REF!,Extrato!AC$3)</f>
        <v>#REF!</v>
      </c>
      <c r="AD145" s="121" t="e">
        <f>SUMIFS(#REF!,#REF!,Extrato!$B145,#REF!,Extrato!AD$3)</f>
        <v>#REF!</v>
      </c>
      <c r="AE145" s="121" t="e">
        <f>SUMIFS(#REF!,#REF!,Extrato!$B145,#REF!,Extrato!AE$3)</f>
        <v>#REF!</v>
      </c>
      <c r="AF145" s="121" t="e">
        <f>SUMIFS(#REF!,#REF!,Extrato!$B145,#REF!,Extrato!AF$3)</f>
        <v>#REF!</v>
      </c>
      <c r="AG145" s="121" t="e">
        <f>SUMIFS(#REF!,#REF!,Extrato!$B145,#REF!,Extrato!AG$3)</f>
        <v>#REF!</v>
      </c>
      <c r="AH145" s="121" t="e">
        <f>SUMIFS(#REF!,#REF!,Extrato!$B145,#REF!,Extrato!AH$3)</f>
        <v>#REF!</v>
      </c>
      <c r="AI145" s="121" t="e">
        <f>SUMIFS(#REF!,#REF!,Extrato!$B145,#REF!,Extrato!AI$3)</f>
        <v>#REF!</v>
      </c>
      <c r="AJ145" s="121">
        <v>0</v>
      </c>
      <c r="AK145" s="121">
        <v>0.02</v>
      </c>
      <c r="AL145" s="25" t="e">
        <f t="shared" si="5"/>
        <v>#REF!</v>
      </c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  <c r="BP145" s="122"/>
    </row>
    <row r="146" spans="2:68" ht="15" customHeight="1">
      <c r="B146" s="12">
        <v>46136</v>
      </c>
      <c r="C146" s="121" t="e">
        <f t="shared" si="4"/>
        <v>#REF!</v>
      </c>
      <c r="D146" s="121" t="e">
        <f>SUMIFS(#REF!,#REF!,Extrato!$B146,#REF!,Extrato!D$3)</f>
        <v>#REF!</v>
      </c>
      <c r="E146" s="121" t="e">
        <f>SUMIFS(#REF!,#REF!,Extrato!$B146,#REF!,Extrato!E$3)</f>
        <v>#REF!</v>
      </c>
      <c r="F146" s="121" t="e">
        <f>SUMIFS(#REF!,#REF!,Extrato!$B146,#REF!,Extrato!F$3)</f>
        <v>#REF!</v>
      </c>
      <c r="G146" s="121" t="e">
        <f>SUMIFS(#REF!,#REF!,Extrato!$B146,#REF!,Extrato!G$3)</f>
        <v>#REF!</v>
      </c>
      <c r="H146" s="121" t="e">
        <f>SUMIFS(#REF!,#REF!,Extrato!$B146,#REF!,Extrato!H$3)</f>
        <v>#REF!</v>
      </c>
      <c r="I146" s="121" t="e">
        <f>SUMIFS(#REF!,#REF!,Extrato!$B146,#REF!,Extrato!I$3)</f>
        <v>#REF!</v>
      </c>
      <c r="J146" s="121" t="e">
        <f>SUMIFS(#REF!,#REF!,Extrato!$B146,#REF!,Extrato!J$3)</f>
        <v>#REF!</v>
      </c>
      <c r="K146" s="121" t="e">
        <f>SUMIFS(#REF!,#REF!,Extrato!$B146,#REF!,Extrato!K$3)</f>
        <v>#REF!</v>
      </c>
      <c r="L146" s="121" t="e">
        <f>SUMIFS(#REF!,#REF!,Extrato!$B146,#REF!,Extrato!L$3)</f>
        <v>#REF!</v>
      </c>
      <c r="M146" s="121" t="e">
        <f>SUMIFS(#REF!,#REF!,Extrato!$B146,#REF!,Extrato!M$3)</f>
        <v>#REF!</v>
      </c>
      <c r="N146" s="121" t="e">
        <f>SUMIFS(#REF!,#REF!,Extrato!$B146,#REF!,Extrato!N$3)</f>
        <v>#REF!</v>
      </c>
      <c r="O146" s="121" t="e">
        <f>SUMIFS(#REF!,#REF!,Extrato!$B146,#REF!,Extrato!O$3)</f>
        <v>#REF!</v>
      </c>
      <c r="P146" s="121">
        <f>SUMIF(BetFlow!B:B,B146,BetFlow!J:J)</f>
        <v>0</v>
      </c>
      <c r="Q146" s="121" t="e">
        <f>SUMIFS(#REF!,#REF!,Extrato!$B146,#REF!,Extrato!Q$3)</f>
        <v>#REF!</v>
      </c>
      <c r="R146" s="121" t="e">
        <f>SUMIFS(#REF!,#REF!,Extrato!$B146,#REF!,Extrato!R$3)</f>
        <v>#REF!</v>
      </c>
      <c r="S146" s="121" t="e">
        <f>SUMIFS(#REF!,#REF!,Extrato!$B146,#REF!,Extrato!S$3)</f>
        <v>#REF!</v>
      </c>
      <c r="T146" s="121" t="e">
        <f>SUMIFS(#REF!,#REF!,Extrato!$B146,#REF!,Extrato!T$3)</f>
        <v>#REF!</v>
      </c>
      <c r="U146" s="121" t="e">
        <f>SUMIFS(#REF!,#REF!,Extrato!$B146,#REF!,Extrato!U$3)</f>
        <v>#REF!</v>
      </c>
      <c r="V146" s="121" t="e">
        <f>SUMIFS(#REF!,#REF!,Extrato!$B146,#REF!,Extrato!V$3)</f>
        <v>#REF!</v>
      </c>
      <c r="W146" s="121" t="e">
        <f>SUMIFS(#REF!,#REF!,Extrato!$B146,#REF!,Extrato!W$3)</f>
        <v>#REF!</v>
      </c>
      <c r="X146" s="121" t="e">
        <f>SUMIFS(#REF!,#REF!,Extrato!$B146,#REF!,Extrato!X$3)</f>
        <v>#REF!</v>
      </c>
      <c r="Y146" s="121" t="e">
        <f>SUMIFS(#REF!,#REF!,Extrato!$B146,#REF!,Extrato!Y$3)</f>
        <v>#REF!</v>
      </c>
      <c r="Z146" s="121" t="e">
        <f>SUMIFS(#REF!,#REF!,Extrato!$B146,#REF!,Extrato!Z$3)</f>
        <v>#REF!</v>
      </c>
      <c r="AA146" s="121" t="e">
        <f>SUMIFS(#REF!,#REF!,Extrato!$B146,#REF!,Extrato!AA$3)</f>
        <v>#REF!</v>
      </c>
      <c r="AB146" s="121" t="e">
        <f>SUMIFS(#REF!,#REF!,Extrato!$B146,#REF!,Extrato!AB$3)</f>
        <v>#REF!</v>
      </c>
      <c r="AC146" s="121" t="e">
        <f>SUMIFS(#REF!,#REF!,Extrato!$B146,#REF!,Extrato!AC$3)</f>
        <v>#REF!</v>
      </c>
      <c r="AD146" s="121" t="e">
        <f>SUMIFS(#REF!,#REF!,Extrato!$B146,#REF!,Extrato!AD$3)</f>
        <v>#REF!</v>
      </c>
      <c r="AE146" s="121" t="e">
        <f>SUMIFS(#REF!,#REF!,Extrato!$B146,#REF!,Extrato!AE$3)</f>
        <v>#REF!</v>
      </c>
      <c r="AF146" s="121" t="e">
        <f>SUMIFS(#REF!,#REF!,Extrato!$B146,#REF!,Extrato!AF$3)</f>
        <v>#REF!</v>
      </c>
      <c r="AG146" s="121" t="e">
        <f>SUMIFS(#REF!,#REF!,Extrato!$B146,#REF!,Extrato!AG$3)</f>
        <v>#REF!</v>
      </c>
      <c r="AH146" s="121" t="e">
        <f>SUMIFS(#REF!,#REF!,Extrato!$B146,#REF!,Extrato!AH$3)</f>
        <v>#REF!</v>
      </c>
      <c r="AI146" s="121" t="e">
        <f>SUMIFS(#REF!,#REF!,Extrato!$B146,#REF!,Extrato!AI$3)</f>
        <v>#REF!</v>
      </c>
      <c r="AJ146" s="121">
        <v>0</v>
      </c>
      <c r="AK146" s="121"/>
      <c r="AL146" s="25" t="e">
        <f t="shared" si="5"/>
        <v>#REF!</v>
      </c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  <c r="BP146" s="122"/>
    </row>
    <row r="147" spans="2:68" ht="15" customHeight="1">
      <c r="B147" s="12">
        <v>46137</v>
      </c>
      <c r="C147" s="121" t="e">
        <f t="shared" si="4"/>
        <v>#REF!</v>
      </c>
      <c r="D147" s="121" t="e">
        <f>SUMIFS(#REF!,#REF!,Extrato!$B147,#REF!,Extrato!D$3)</f>
        <v>#REF!</v>
      </c>
      <c r="E147" s="121" t="e">
        <f>SUMIFS(#REF!,#REF!,Extrato!$B147,#REF!,Extrato!E$3)</f>
        <v>#REF!</v>
      </c>
      <c r="F147" s="121" t="e">
        <f>SUMIFS(#REF!,#REF!,Extrato!$B147,#REF!,Extrato!F$3)</f>
        <v>#REF!</v>
      </c>
      <c r="G147" s="121" t="e">
        <f>SUMIFS(#REF!,#REF!,Extrato!$B147,#REF!,Extrato!G$3)</f>
        <v>#REF!</v>
      </c>
      <c r="H147" s="121" t="e">
        <f>SUMIFS(#REF!,#REF!,Extrato!$B147,#REF!,Extrato!H$3)</f>
        <v>#REF!</v>
      </c>
      <c r="I147" s="121" t="e">
        <f>SUMIFS(#REF!,#REF!,Extrato!$B147,#REF!,Extrato!I$3)</f>
        <v>#REF!</v>
      </c>
      <c r="J147" s="121" t="e">
        <f>SUMIFS(#REF!,#REF!,Extrato!$B147,#REF!,Extrato!J$3)</f>
        <v>#REF!</v>
      </c>
      <c r="K147" s="121" t="e">
        <f>SUMIFS(#REF!,#REF!,Extrato!$B147,#REF!,Extrato!K$3)</f>
        <v>#REF!</v>
      </c>
      <c r="L147" s="121" t="e">
        <f>SUMIFS(#REF!,#REF!,Extrato!$B147,#REF!,Extrato!L$3)</f>
        <v>#REF!</v>
      </c>
      <c r="M147" s="121" t="e">
        <f>SUMIFS(#REF!,#REF!,Extrato!$B147,#REF!,Extrato!M$3)</f>
        <v>#REF!</v>
      </c>
      <c r="N147" s="121" t="e">
        <f>SUMIFS(#REF!,#REF!,Extrato!$B147,#REF!,Extrato!N$3)</f>
        <v>#REF!</v>
      </c>
      <c r="O147" s="121" t="e">
        <f>SUMIFS(#REF!,#REF!,Extrato!$B147,#REF!,Extrato!O$3)</f>
        <v>#REF!</v>
      </c>
      <c r="P147" s="121">
        <f>SUMIF(BetFlow!B:B,B147,BetFlow!J:J)</f>
        <v>0</v>
      </c>
      <c r="Q147" s="121" t="e">
        <f>SUMIFS(#REF!,#REF!,Extrato!$B147,#REF!,Extrato!Q$3)</f>
        <v>#REF!</v>
      </c>
      <c r="R147" s="121" t="e">
        <f>SUMIFS(#REF!,#REF!,Extrato!$B147,#REF!,Extrato!R$3)</f>
        <v>#REF!</v>
      </c>
      <c r="S147" s="121" t="e">
        <f>SUMIFS(#REF!,#REF!,Extrato!$B147,#REF!,Extrato!S$3)</f>
        <v>#REF!</v>
      </c>
      <c r="T147" s="121" t="e">
        <f>SUMIFS(#REF!,#REF!,Extrato!$B147,#REF!,Extrato!T$3)</f>
        <v>#REF!</v>
      </c>
      <c r="U147" s="121" t="e">
        <f>SUMIFS(#REF!,#REF!,Extrato!$B147,#REF!,Extrato!U$3)</f>
        <v>#REF!</v>
      </c>
      <c r="V147" s="121" t="e">
        <f>SUMIFS(#REF!,#REF!,Extrato!$B147,#REF!,Extrato!V$3)</f>
        <v>#REF!</v>
      </c>
      <c r="W147" s="121" t="e">
        <f>SUMIFS(#REF!,#REF!,Extrato!$B147,#REF!,Extrato!W$3)</f>
        <v>#REF!</v>
      </c>
      <c r="X147" s="121" t="e">
        <f>SUMIFS(#REF!,#REF!,Extrato!$B147,#REF!,Extrato!X$3)</f>
        <v>#REF!</v>
      </c>
      <c r="Y147" s="121" t="e">
        <f>SUMIFS(#REF!,#REF!,Extrato!$B147,#REF!,Extrato!Y$3)</f>
        <v>#REF!</v>
      </c>
      <c r="Z147" s="121" t="e">
        <f>SUMIFS(#REF!,#REF!,Extrato!$B147,#REF!,Extrato!Z$3)</f>
        <v>#REF!</v>
      </c>
      <c r="AA147" s="121" t="e">
        <f>SUMIFS(#REF!,#REF!,Extrato!$B147,#REF!,Extrato!AA$3)</f>
        <v>#REF!</v>
      </c>
      <c r="AB147" s="121" t="e">
        <f>SUMIFS(#REF!,#REF!,Extrato!$B147,#REF!,Extrato!AB$3)</f>
        <v>#REF!</v>
      </c>
      <c r="AC147" s="121" t="e">
        <f>SUMIFS(#REF!,#REF!,Extrato!$B147,#REF!,Extrato!AC$3)</f>
        <v>#REF!</v>
      </c>
      <c r="AD147" s="121" t="e">
        <f>SUMIFS(#REF!,#REF!,Extrato!$B147,#REF!,Extrato!AD$3)</f>
        <v>#REF!</v>
      </c>
      <c r="AE147" s="121" t="e">
        <f>SUMIFS(#REF!,#REF!,Extrato!$B147,#REF!,Extrato!AE$3)</f>
        <v>#REF!</v>
      </c>
      <c r="AF147" s="121" t="e">
        <f>SUMIFS(#REF!,#REF!,Extrato!$B147,#REF!,Extrato!AF$3)</f>
        <v>#REF!</v>
      </c>
      <c r="AG147" s="121" t="e">
        <f>SUMIFS(#REF!,#REF!,Extrato!$B147,#REF!,Extrato!AG$3)</f>
        <v>#REF!</v>
      </c>
      <c r="AH147" s="121" t="e">
        <f>SUMIFS(#REF!,#REF!,Extrato!$B147,#REF!,Extrato!AH$3)</f>
        <v>#REF!</v>
      </c>
      <c r="AI147" s="121" t="e">
        <f>SUMIFS(#REF!,#REF!,Extrato!$B147,#REF!,Extrato!AI$3)</f>
        <v>#REF!</v>
      </c>
      <c r="AJ147" s="121">
        <v>0</v>
      </c>
      <c r="AK147" s="121"/>
      <c r="AL147" s="25" t="e">
        <f t="shared" si="5"/>
        <v>#REF!</v>
      </c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  <c r="BP147" s="122"/>
    </row>
    <row r="148" spans="2:68" ht="15" customHeight="1">
      <c r="B148" s="12">
        <v>46138</v>
      </c>
      <c r="C148" s="121" t="e">
        <f t="shared" si="4"/>
        <v>#REF!</v>
      </c>
      <c r="D148" s="121" t="e">
        <f>SUMIFS(#REF!,#REF!,Extrato!$B148,#REF!,Extrato!D$3)</f>
        <v>#REF!</v>
      </c>
      <c r="E148" s="121" t="e">
        <f>SUMIFS(#REF!,#REF!,Extrato!$B148,#REF!,Extrato!E$3)</f>
        <v>#REF!</v>
      </c>
      <c r="F148" s="121" t="e">
        <f>SUMIFS(#REF!,#REF!,Extrato!$B148,#REF!,Extrato!F$3)</f>
        <v>#REF!</v>
      </c>
      <c r="G148" s="121" t="e">
        <f>SUMIFS(#REF!,#REF!,Extrato!$B148,#REF!,Extrato!G$3)</f>
        <v>#REF!</v>
      </c>
      <c r="H148" s="121" t="e">
        <f>SUMIFS(#REF!,#REF!,Extrato!$B148,#REF!,Extrato!H$3)</f>
        <v>#REF!</v>
      </c>
      <c r="I148" s="121" t="e">
        <f>SUMIFS(#REF!,#REF!,Extrato!$B148,#REF!,Extrato!I$3)</f>
        <v>#REF!</v>
      </c>
      <c r="J148" s="121" t="e">
        <f>SUMIFS(#REF!,#REF!,Extrato!$B148,#REF!,Extrato!J$3)</f>
        <v>#REF!</v>
      </c>
      <c r="K148" s="121" t="e">
        <f>SUMIFS(#REF!,#REF!,Extrato!$B148,#REF!,Extrato!K$3)</f>
        <v>#REF!</v>
      </c>
      <c r="L148" s="121" t="e">
        <f>SUMIFS(#REF!,#REF!,Extrato!$B148,#REF!,Extrato!L$3)</f>
        <v>#REF!</v>
      </c>
      <c r="M148" s="121" t="e">
        <f>SUMIFS(#REF!,#REF!,Extrato!$B148,#REF!,Extrato!M$3)</f>
        <v>#REF!</v>
      </c>
      <c r="N148" s="121" t="e">
        <f>SUMIFS(#REF!,#REF!,Extrato!$B148,#REF!,Extrato!N$3)</f>
        <v>#REF!</v>
      </c>
      <c r="O148" s="121" t="e">
        <f>SUMIFS(#REF!,#REF!,Extrato!$B148,#REF!,Extrato!O$3)</f>
        <v>#REF!</v>
      </c>
      <c r="P148" s="121">
        <f>SUMIF(BetFlow!B:B,B148,BetFlow!J:J)</f>
        <v>0</v>
      </c>
      <c r="Q148" s="121" t="e">
        <f>SUMIFS(#REF!,#REF!,Extrato!$B148,#REF!,Extrato!Q$3)</f>
        <v>#REF!</v>
      </c>
      <c r="R148" s="121" t="e">
        <f>SUMIFS(#REF!,#REF!,Extrato!$B148,#REF!,Extrato!R$3)</f>
        <v>#REF!</v>
      </c>
      <c r="S148" s="121" t="e">
        <f>SUMIFS(#REF!,#REF!,Extrato!$B148,#REF!,Extrato!S$3)</f>
        <v>#REF!</v>
      </c>
      <c r="T148" s="121" t="e">
        <f>SUMIFS(#REF!,#REF!,Extrato!$B148,#REF!,Extrato!T$3)</f>
        <v>#REF!</v>
      </c>
      <c r="U148" s="121" t="e">
        <f>SUMIFS(#REF!,#REF!,Extrato!$B148,#REF!,Extrato!U$3)</f>
        <v>#REF!</v>
      </c>
      <c r="V148" s="121" t="e">
        <f>SUMIFS(#REF!,#REF!,Extrato!$B148,#REF!,Extrato!V$3)</f>
        <v>#REF!</v>
      </c>
      <c r="W148" s="121" t="e">
        <f>SUMIFS(#REF!,#REF!,Extrato!$B148,#REF!,Extrato!W$3)</f>
        <v>#REF!</v>
      </c>
      <c r="X148" s="121" t="e">
        <f>SUMIFS(#REF!,#REF!,Extrato!$B148,#REF!,Extrato!X$3)</f>
        <v>#REF!</v>
      </c>
      <c r="Y148" s="121" t="e">
        <f>SUMIFS(#REF!,#REF!,Extrato!$B148,#REF!,Extrato!Y$3)</f>
        <v>#REF!</v>
      </c>
      <c r="Z148" s="121" t="e">
        <f>SUMIFS(#REF!,#REF!,Extrato!$B148,#REF!,Extrato!Z$3)</f>
        <v>#REF!</v>
      </c>
      <c r="AA148" s="121" t="e">
        <f>SUMIFS(#REF!,#REF!,Extrato!$B148,#REF!,Extrato!AA$3)</f>
        <v>#REF!</v>
      </c>
      <c r="AB148" s="121" t="e">
        <f>SUMIFS(#REF!,#REF!,Extrato!$B148,#REF!,Extrato!AB$3)</f>
        <v>#REF!</v>
      </c>
      <c r="AC148" s="121" t="e">
        <f>SUMIFS(#REF!,#REF!,Extrato!$B148,#REF!,Extrato!AC$3)</f>
        <v>#REF!</v>
      </c>
      <c r="AD148" s="121" t="e">
        <f>SUMIFS(#REF!,#REF!,Extrato!$B148,#REF!,Extrato!AD$3)</f>
        <v>#REF!</v>
      </c>
      <c r="AE148" s="121" t="e">
        <f>SUMIFS(#REF!,#REF!,Extrato!$B148,#REF!,Extrato!AE$3)</f>
        <v>#REF!</v>
      </c>
      <c r="AF148" s="121" t="e">
        <f>SUMIFS(#REF!,#REF!,Extrato!$B148,#REF!,Extrato!AF$3)</f>
        <v>#REF!</v>
      </c>
      <c r="AG148" s="121" t="e">
        <f>SUMIFS(#REF!,#REF!,Extrato!$B148,#REF!,Extrato!AG$3)</f>
        <v>#REF!</v>
      </c>
      <c r="AH148" s="121" t="e">
        <f>SUMIFS(#REF!,#REF!,Extrato!$B148,#REF!,Extrato!AH$3)</f>
        <v>#REF!</v>
      </c>
      <c r="AI148" s="121" t="e">
        <f>SUMIFS(#REF!,#REF!,Extrato!$B148,#REF!,Extrato!AI$3)</f>
        <v>#REF!</v>
      </c>
      <c r="AJ148" s="121">
        <v>0</v>
      </c>
      <c r="AK148" s="121">
        <v>0.01</v>
      </c>
      <c r="AL148" s="25" t="e">
        <f t="shared" si="5"/>
        <v>#REF!</v>
      </c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  <c r="BP148" s="122"/>
    </row>
    <row r="149" spans="2:68" ht="15" customHeight="1">
      <c r="B149" s="12">
        <v>46139</v>
      </c>
      <c r="C149" s="121" t="e">
        <f t="shared" si="4"/>
        <v>#REF!</v>
      </c>
      <c r="D149" s="121" t="e">
        <f>SUMIFS(#REF!,#REF!,Extrato!$B149,#REF!,Extrato!D$3)</f>
        <v>#REF!</v>
      </c>
      <c r="E149" s="121" t="e">
        <f>SUMIFS(#REF!,#REF!,Extrato!$B149,#REF!,Extrato!E$3)</f>
        <v>#REF!</v>
      </c>
      <c r="F149" s="121" t="e">
        <f>SUMIFS(#REF!,#REF!,Extrato!$B149,#REF!,Extrato!F$3)</f>
        <v>#REF!</v>
      </c>
      <c r="G149" s="121" t="e">
        <f>SUMIFS(#REF!,#REF!,Extrato!$B149,#REF!,Extrato!G$3)</f>
        <v>#REF!</v>
      </c>
      <c r="H149" s="121" t="e">
        <f>SUMIFS(#REF!,#REF!,Extrato!$B149,#REF!,Extrato!H$3)</f>
        <v>#REF!</v>
      </c>
      <c r="I149" s="121" t="e">
        <f>SUMIFS(#REF!,#REF!,Extrato!$B149,#REF!,Extrato!I$3)</f>
        <v>#REF!</v>
      </c>
      <c r="J149" s="121" t="e">
        <f>SUMIFS(#REF!,#REF!,Extrato!$B149,#REF!,Extrato!J$3)</f>
        <v>#REF!</v>
      </c>
      <c r="K149" s="121" t="e">
        <f>SUMIFS(#REF!,#REF!,Extrato!$B149,#REF!,Extrato!K$3)</f>
        <v>#REF!</v>
      </c>
      <c r="L149" s="121" t="e">
        <f>SUMIFS(#REF!,#REF!,Extrato!$B149,#REF!,Extrato!L$3)</f>
        <v>#REF!</v>
      </c>
      <c r="M149" s="121" t="e">
        <f>SUMIFS(#REF!,#REF!,Extrato!$B149,#REF!,Extrato!M$3)</f>
        <v>#REF!</v>
      </c>
      <c r="N149" s="121" t="e">
        <f>SUMIFS(#REF!,#REF!,Extrato!$B149,#REF!,Extrato!N$3)</f>
        <v>#REF!</v>
      </c>
      <c r="O149" s="121" t="e">
        <f>SUMIFS(#REF!,#REF!,Extrato!$B149,#REF!,Extrato!O$3)</f>
        <v>#REF!</v>
      </c>
      <c r="P149" s="121">
        <f>SUMIF(BetFlow!B:B,B149,BetFlow!J:J)</f>
        <v>0</v>
      </c>
      <c r="Q149" s="121" t="e">
        <f>SUMIFS(#REF!,#REF!,Extrato!$B149,#REF!,Extrato!Q$3)</f>
        <v>#REF!</v>
      </c>
      <c r="R149" s="121" t="e">
        <f>SUMIFS(#REF!,#REF!,Extrato!$B149,#REF!,Extrato!R$3)</f>
        <v>#REF!</v>
      </c>
      <c r="S149" s="121" t="e">
        <f>SUMIFS(#REF!,#REF!,Extrato!$B149,#REF!,Extrato!S$3)</f>
        <v>#REF!</v>
      </c>
      <c r="T149" s="121" t="e">
        <f>SUMIFS(#REF!,#REF!,Extrato!$B149,#REF!,Extrato!T$3)</f>
        <v>#REF!</v>
      </c>
      <c r="U149" s="121" t="e">
        <f>SUMIFS(#REF!,#REF!,Extrato!$B149,#REF!,Extrato!U$3)</f>
        <v>#REF!</v>
      </c>
      <c r="V149" s="121" t="e">
        <f>SUMIFS(#REF!,#REF!,Extrato!$B149,#REF!,Extrato!V$3)</f>
        <v>#REF!</v>
      </c>
      <c r="W149" s="121" t="e">
        <f>SUMIFS(#REF!,#REF!,Extrato!$B149,#REF!,Extrato!W$3)</f>
        <v>#REF!</v>
      </c>
      <c r="X149" s="121" t="e">
        <f>SUMIFS(#REF!,#REF!,Extrato!$B149,#REF!,Extrato!X$3)</f>
        <v>#REF!</v>
      </c>
      <c r="Y149" s="121" t="e">
        <f>SUMIFS(#REF!,#REF!,Extrato!$B149,#REF!,Extrato!Y$3)</f>
        <v>#REF!</v>
      </c>
      <c r="Z149" s="121" t="e">
        <f>SUMIFS(#REF!,#REF!,Extrato!$B149,#REF!,Extrato!Z$3)</f>
        <v>#REF!</v>
      </c>
      <c r="AA149" s="121" t="e">
        <f>SUMIFS(#REF!,#REF!,Extrato!$B149,#REF!,Extrato!AA$3)</f>
        <v>#REF!</v>
      </c>
      <c r="AB149" s="121" t="e">
        <f>SUMIFS(#REF!,#REF!,Extrato!$B149,#REF!,Extrato!AB$3)</f>
        <v>#REF!</v>
      </c>
      <c r="AC149" s="121" t="e">
        <f>SUMIFS(#REF!,#REF!,Extrato!$B149,#REF!,Extrato!AC$3)</f>
        <v>#REF!</v>
      </c>
      <c r="AD149" s="121" t="e">
        <f>SUMIFS(#REF!,#REF!,Extrato!$B149,#REF!,Extrato!AD$3)</f>
        <v>#REF!</v>
      </c>
      <c r="AE149" s="121" t="e">
        <f>SUMIFS(#REF!,#REF!,Extrato!$B149,#REF!,Extrato!AE$3)</f>
        <v>#REF!</v>
      </c>
      <c r="AF149" s="121" t="e">
        <f>SUMIFS(#REF!,#REF!,Extrato!$B149,#REF!,Extrato!AF$3)</f>
        <v>#REF!</v>
      </c>
      <c r="AG149" s="121" t="e">
        <f>SUMIFS(#REF!,#REF!,Extrato!$B149,#REF!,Extrato!AG$3)</f>
        <v>#REF!</v>
      </c>
      <c r="AH149" s="121" t="e">
        <f>SUMIFS(#REF!,#REF!,Extrato!$B149,#REF!,Extrato!AH$3)</f>
        <v>#REF!</v>
      </c>
      <c r="AI149" s="121" t="e">
        <f>SUMIFS(#REF!,#REF!,Extrato!$B149,#REF!,Extrato!AI$3)</f>
        <v>#REF!</v>
      </c>
      <c r="AJ149" s="121">
        <v>0</v>
      </c>
      <c r="AK149" s="121">
        <v>0.01</v>
      </c>
      <c r="AL149" s="25" t="e">
        <f t="shared" si="5"/>
        <v>#REF!</v>
      </c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  <c r="BP149" s="122"/>
    </row>
    <row r="150" spans="2:68" ht="15" customHeight="1">
      <c r="B150" s="12">
        <v>46140</v>
      </c>
      <c r="C150" s="121" t="e">
        <f t="shared" si="4"/>
        <v>#REF!</v>
      </c>
      <c r="D150" s="121" t="e">
        <f>SUMIFS(#REF!,#REF!,Extrato!$B150,#REF!,Extrato!D$3)</f>
        <v>#REF!</v>
      </c>
      <c r="E150" s="121" t="e">
        <f>SUMIFS(#REF!,#REF!,Extrato!$B150,#REF!,Extrato!E$3)</f>
        <v>#REF!</v>
      </c>
      <c r="F150" s="121" t="e">
        <f>SUMIFS(#REF!,#REF!,Extrato!$B150,#REF!,Extrato!F$3)</f>
        <v>#REF!</v>
      </c>
      <c r="G150" s="121" t="e">
        <f>SUMIFS(#REF!,#REF!,Extrato!$B150,#REF!,Extrato!G$3)</f>
        <v>#REF!</v>
      </c>
      <c r="H150" s="121" t="e">
        <f>SUMIFS(#REF!,#REF!,Extrato!$B150,#REF!,Extrato!H$3)</f>
        <v>#REF!</v>
      </c>
      <c r="I150" s="121" t="e">
        <f>SUMIFS(#REF!,#REF!,Extrato!$B150,#REF!,Extrato!I$3)</f>
        <v>#REF!</v>
      </c>
      <c r="J150" s="121" t="e">
        <f>SUMIFS(#REF!,#REF!,Extrato!$B150,#REF!,Extrato!J$3)</f>
        <v>#REF!</v>
      </c>
      <c r="K150" s="121" t="e">
        <f>SUMIFS(#REF!,#REF!,Extrato!$B150,#REF!,Extrato!K$3)</f>
        <v>#REF!</v>
      </c>
      <c r="L150" s="121" t="e">
        <f>SUMIFS(#REF!,#REF!,Extrato!$B150,#REF!,Extrato!L$3)</f>
        <v>#REF!</v>
      </c>
      <c r="M150" s="121" t="e">
        <f>SUMIFS(#REF!,#REF!,Extrato!$B150,#REF!,Extrato!M$3)</f>
        <v>#REF!</v>
      </c>
      <c r="N150" s="121" t="e">
        <f>SUMIFS(#REF!,#REF!,Extrato!$B150,#REF!,Extrato!N$3)</f>
        <v>#REF!</v>
      </c>
      <c r="O150" s="121" t="e">
        <f>SUMIFS(#REF!,#REF!,Extrato!$B150,#REF!,Extrato!O$3)</f>
        <v>#REF!</v>
      </c>
      <c r="P150" s="121">
        <f>SUMIF(BetFlow!B:B,B150,BetFlow!J:J)</f>
        <v>-13.26</v>
      </c>
      <c r="Q150" s="121" t="e">
        <f>SUMIFS(#REF!,#REF!,Extrato!$B150,#REF!,Extrato!Q$3)</f>
        <v>#REF!</v>
      </c>
      <c r="R150" s="121" t="e">
        <f>SUMIFS(#REF!,#REF!,Extrato!$B150,#REF!,Extrato!R$3)</f>
        <v>#REF!</v>
      </c>
      <c r="S150" s="121" t="e">
        <f>SUMIFS(#REF!,#REF!,Extrato!$B150,#REF!,Extrato!S$3)</f>
        <v>#REF!</v>
      </c>
      <c r="T150" s="121" t="e">
        <f>SUMIFS(#REF!,#REF!,Extrato!$B150,#REF!,Extrato!T$3)</f>
        <v>#REF!</v>
      </c>
      <c r="U150" s="121" t="e">
        <f>SUMIFS(#REF!,#REF!,Extrato!$B150,#REF!,Extrato!U$3)</f>
        <v>#REF!</v>
      </c>
      <c r="V150" s="121" t="e">
        <f>SUMIFS(#REF!,#REF!,Extrato!$B150,#REF!,Extrato!V$3)</f>
        <v>#REF!</v>
      </c>
      <c r="W150" s="121" t="e">
        <f>SUMIFS(#REF!,#REF!,Extrato!$B150,#REF!,Extrato!W$3)</f>
        <v>#REF!</v>
      </c>
      <c r="X150" s="121" t="e">
        <f>SUMIFS(#REF!,#REF!,Extrato!$B150,#REF!,Extrato!X$3)</f>
        <v>#REF!</v>
      </c>
      <c r="Y150" s="121" t="e">
        <f>SUMIFS(#REF!,#REF!,Extrato!$B150,#REF!,Extrato!Y$3)</f>
        <v>#REF!</v>
      </c>
      <c r="Z150" s="121" t="e">
        <f>SUMIFS(#REF!,#REF!,Extrato!$B150,#REF!,Extrato!Z$3)</f>
        <v>#REF!</v>
      </c>
      <c r="AA150" s="121" t="e">
        <f>SUMIFS(#REF!,#REF!,Extrato!$B150,#REF!,Extrato!AA$3)</f>
        <v>#REF!</v>
      </c>
      <c r="AB150" s="121" t="e">
        <f>SUMIFS(#REF!,#REF!,Extrato!$B150,#REF!,Extrato!AB$3)</f>
        <v>#REF!</v>
      </c>
      <c r="AC150" s="121" t="e">
        <f>SUMIFS(#REF!,#REF!,Extrato!$B150,#REF!,Extrato!AC$3)</f>
        <v>#REF!</v>
      </c>
      <c r="AD150" s="121" t="e">
        <f>SUMIFS(#REF!,#REF!,Extrato!$B150,#REF!,Extrato!AD$3)</f>
        <v>#REF!</v>
      </c>
      <c r="AE150" s="121" t="e">
        <f>SUMIFS(#REF!,#REF!,Extrato!$B150,#REF!,Extrato!AE$3)</f>
        <v>#REF!</v>
      </c>
      <c r="AF150" s="121" t="e">
        <f>SUMIFS(#REF!,#REF!,Extrato!$B150,#REF!,Extrato!AF$3)</f>
        <v>#REF!</v>
      </c>
      <c r="AG150" s="121" t="e">
        <f>SUMIFS(#REF!,#REF!,Extrato!$B150,#REF!,Extrato!AG$3)</f>
        <v>#REF!</v>
      </c>
      <c r="AH150" s="121" t="e">
        <f>SUMIFS(#REF!,#REF!,Extrato!$B150,#REF!,Extrato!AH$3)</f>
        <v>#REF!</v>
      </c>
      <c r="AI150" s="121" t="e">
        <f>SUMIFS(#REF!,#REF!,Extrato!$B150,#REF!,Extrato!AI$3)</f>
        <v>#REF!</v>
      </c>
      <c r="AJ150" s="121">
        <v>0</v>
      </c>
      <c r="AK150" s="121">
        <v>0.01</v>
      </c>
      <c r="AL150" s="25" t="e">
        <f t="shared" si="5"/>
        <v>#REF!</v>
      </c>
      <c r="AM150" s="122"/>
      <c r="AN150" s="121">
        <v>1000</v>
      </c>
      <c r="AO150" s="121">
        <f>SUMIF(BetFlow!B:B,Extrato!B150,BetFlow!M:M)</f>
        <v>14.260230000000002</v>
      </c>
      <c r="AP150" s="121"/>
      <c r="AQ150" s="121"/>
      <c r="AR150" s="121"/>
      <c r="AS150" s="121"/>
      <c r="AT150" s="121"/>
      <c r="AU150" s="121"/>
      <c r="AV150" s="121"/>
      <c r="AW150" s="121"/>
      <c r="AX150" s="121"/>
      <c r="AY150" s="121"/>
      <c r="AZ150" s="121"/>
      <c r="BA150" s="121"/>
      <c r="BB150" s="121"/>
      <c r="BC150" s="121">
        <v>0</v>
      </c>
      <c r="BD150" s="121">
        <v>-0.05</v>
      </c>
      <c r="BE150" s="25">
        <f t="shared" ref="BE150:BE181" si="6">SUM(AN150:BD150)</f>
        <v>1014.21023</v>
      </c>
      <c r="BF150" s="122"/>
      <c r="BG150" s="121"/>
      <c r="BH150" s="121"/>
      <c r="BI150" s="121"/>
      <c r="BJ150" s="121"/>
      <c r="BK150" s="121"/>
      <c r="BL150" s="121"/>
      <c r="BM150" s="121"/>
      <c r="BN150" s="121"/>
      <c r="BO150" s="121"/>
      <c r="BP150" s="121"/>
    </row>
    <row r="151" spans="2:68" ht="15" customHeight="1">
      <c r="B151" s="12">
        <v>46141</v>
      </c>
      <c r="C151" s="121" t="e">
        <f t="shared" si="4"/>
        <v>#REF!</v>
      </c>
      <c r="D151" s="121" t="e">
        <f>SUMIFS(#REF!,#REF!,Extrato!$B151,#REF!,Extrato!D$3)</f>
        <v>#REF!</v>
      </c>
      <c r="E151" s="121" t="e">
        <f>SUMIFS(#REF!,#REF!,Extrato!$B151,#REF!,Extrato!E$3)</f>
        <v>#REF!</v>
      </c>
      <c r="F151" s="121" t="e">
        <f>SUMIFS(#REF!,#REF!,Extrato!$B151,#REF!,Extrato!F$3)</f>
        <v>#REF!</v>
      </c>
      <c r="G151" s="121" t="e">
        <f>SUMIFS(#REF!,#REF!,Extrato!$B151,#REF!,Extrato!G$3)</f>
        <v>#REF!</v>
      </c>
      <c r="H151" s="121" t="e">
        <f>SUMIFS(#REF!,#REF!,Extrato!$B151,#REF!,Extrato!H$3)</f>
        <v>#REF!</v>
      </c>
      <c r="I151" s="121" t="e">
        <f>SUMIFS(#REF!,#REF!,Extrato!$B151,#REF!,Extrato!I$3)</f>
        <v>#REF!</v>
      </c>
      <c r="J151" s="121" t="e">
        <f>SUMIFS(#REF!,#REF!,Extrato!$B151,#REF!,Extrato!J$3)</f>
        <v>#REF!</v>
      </c>
      <c r="K151" s="121" t="e">
        <f>SUMIFS(#REF!,#REF!,Extrato!$B151,#REF!,Extrato!K$3)</f>
        <v>#REF!</v>
      </c>
      <c r="L151" s="121" t="e">
        <f>SUMIFS(#REF!,#REF!,Extrato!$B151,#REF!,Extrato!L$3)</f>
        <v>#REF!</v>
      </c>
      <c r="M151" s="121" t="e">
        <f>SUMIFS(#REF!,#REF!,Extrato!$B151,#REF!,Extrato!M$3)</f>
        <v>#REF!</v>
      </c>
      <c r="N151" s="121" t="e">
        <f>SUMIFS(#REF!,#REF!,Extrato!$B151,#REF!,Extrato!N$3)</f>
        <v>#REF!</v>
      </c>
      <c r="O151" s="121" t="e">
        <f>SUMIFS(#REF!,#REF!,Extrato!$B151,#REF!,Extrato!O$3)</f>
        <v>#REF!</v>
      </c>
      <c r="P151" s="121">
        <f>SUMIF(BetFlow!B:B,B151,BetFlow!J:J)</f>
        <v>21.328399999999998</v>
      </c>
      <c r="Q151" s="121" t="e">
        <f>SUMIFS(#REF!,#REF!,Extrato!$B151,#REF!,Extrato!Q$3)</f>
        <v>#REF!</v>
      </c>
      <c r="R151" s="121" t="e">
        <f>SUMIFS(#REF!,#REF!,Extrato!$B151,#REF!,Extrato!R$3)</f>
        <v>#REF!</v>
      </c>
      <c r="S151" s="121" t="e">
        <f>SUMIFS(#REF!,#REF!,Extrato!$B151,#REF!,Extrato!S$3)</f>
        <v>#REF!</v>
      </c>
      <c r="T151" s="121" t="e">
        <f>SUMIFS(#REF!,#REF!,Extrato!$B151,#REF!,Extrato!T$3)</f>
        <v>#REF!</v>
      </c>
      <c r="U151" s="121" t="e">
        <f>SUMIFS(#REF!,#REF!,Extrato!$B151,#REF!,Extrato!U$3)</f>
        <v>#REF!</v>
      </c>
      <c r="V151" s="121" t="e">
        <f>SUMIFS(#REF!,#REF!,Extrato!$B151,#REF!,Extrato!V$3)</f>
        <v>#REF!</v>
      </c>
      <c r="W151" s="121" t="e">
        <f>SUMIFS(#REF!,#REF!,Extrato!$B151,#REF!,Extrato!W$3)</f>
        <v>#REF!</v>
      </c>
      <c r="X151" s="121" t="e">
        <f>SUMIFS(#REF!,#REF!,Extrato!$B151,#REF!,Extrato!X$3)</f>
        <v>#REF!</v>
      </c>
      <c r="Y151" s="121" t="e">
        <f>SUMIFS(#REF!,#REF!,Extrato!$B151,#REF!,Extrato!Y$3)</f>
        <v>#REF!</v>
      </c>
      <c r="Z151" s="121" t="e">
        <f>SUMIFS(#REF!,#REF!,Extrato!$B151,#REF!,Extrato!Z$3)</f>
        <v>#REF!</v>
      </c>
      <c r="AA151" s="121" t="e">
        <f>SUMIFS(#REF!,#REF!,Extrato!$B151,#REF!,Extrato!AA$3)</f>
        <v>#REF!</v>
      </c>
      <c r="AB151" s="121" t="e">
        <f>SUMIFS(#REF!,#REF!,Extrato!$B151,#REF!,Extrato!AB$3)</f>
        <v>#REF!</v>
      </c>
      <c r="AC151" s="121" t="e">
        <f>SUMIFS(#REF!,#REF!,Extrato!$B151,#REF!,Extrato!AC$3)</f>
        <v>#REF!</v>
      </c>
      <c r="AD151" s="121" t="e">
        <f>SUMIFS(#REF!,#REF!,Extrato!$B151,#REF!,Extrato!AD$3)</f>
        <v>#REF!</v>
      </c>
      <c r="AE151" s="121" t="e">
        <f>SUMIFS(#REF!,#REF!,Extrato!$B151,#REF!,Extrato!AE$3)</f>
        <v>#REF!</v>
      </c>
      <c r="AF151" s="121" t="e">
        <f>SUMIFS(#REF!,#REF!,Extrato!$B151,#REF!,Extrato!AF$3)</f>
        <v>#REF!</v>
      </c>
      <c r="AG151" s="121" t="e">
        <f>SUMIFS(#REF!,#REF!,Extrato!$B151,#REF!,Extrato!AG$3)</f>
        <v>#REF!</v>
      </c>
      <c r="AH151" s="121" t="e">
        <f>SUMIFS(#REF!,#REF!,Extrato!$B151,#REF!,Extrato!AH$3)</f>
        <v>#REF!</v>
      </c>
      <c r="AI151" s="121" t="e">
        <f>SUMIFS(#REF!,#REF!,Extrato!$B151,#REF!,Extrato!AI$3)</f>
        <v>#REF!</v>
      </c>
      <c r="AJ151" s="121">
        <v>0</v>
      </c>
      <c r="AK151" s="121">
        <v>0.01</v>
      </c>
      <c r="AL151" s="25" t="e">
        <f t="shared" si="5"/>
        <v>#REF!</v>
      </c>
      <c r="AM151" s="122"/>
      <c r="AN151" s="121">
        <f t="shared" ref="AN151:AN182" si="7">BE150</f>
        <v>1014.21023</v>
      </c>
      <c r="AO151" s="121">
        <f>SUMIF(BetFlow!B:B,Extrato!B151,BetFlow!M:M)</f>
        <v>-20.29</v>
      </c>
      <c r="AP151" s="121"/>
      <c r="AQ151" s="121"/>
      <c r="AR151" s="121"/>
      <c r="AS151" s="121"/>
      <c r="AT151" s="121"/>
      <c r="AU151" s="121"/>
      <c r="AV151" s="121"/>
      <c r="AW151" s="121"/>
      <c r="AX151" s="121"/>
      <c r="AY151" s="121"/>
      <c r="AZ151" s="121"/>
      <c r="BA151" s="121"/>
      <c r="BB151" s="121"/>
      <c r="BC151" s="121">
        <v>0</v>
      </c>
      <c r="BD151" s="121">
        <v>0</v>
      </c>
      <c r="BE151" s="25">
        <f t="shared" si="6"/>
        <v>993.92023000000006</v>
      </c>
      <c r="BF151" s="122"/>
      <c r="BG151" s="121"/>
      <c r="BH151" s="121"/>
      <c r="BI151" s="121"/>
      <c r="BJ151" s="121"/>
      <c r="BK151" s="121"/>
      <c r="BL151" s="121"/>
      <c r="BM151" s="121"/>
      <c r="BN151" s="121"/>
      <c r="BO151" s="121"/>
      <c r="BP151" s="121"/>
    </row>
    <row r="152" spans="2:68" ht="15" customHeight="1">
      <c r="B152" s="12">
        <v>46142</v>
      </c>
      <c r="C152" s="121" t="e">
        <f t="shared" si="4"/>
        <v>#REF!</v>
      </c>
      <c r="D152" s="121" t="e">
        <f>SUMIFS(#REF!,#REF!,Extrato!$B152,#REF!,Extrato!D$3)</f>
        <v>#REF!</v>
      </c>
      <c r="E152" s="121" t="e">
        <f>SUMIFS(#REF!,#REF!,Extrato!$B152,#REF!,Extrato!E$3)</f>
        <v>#REF!</v>
      </c>
      <c r="F152" s="121" t="e">
        <f>SUMIFS(#REF!,#REF!,Extrato!$B152,#REF!,Extrato!F$3)</f>
        <v>#REF!</v>
      </c>
      <c r="G152" s="121" t="e">
        <f>SUMIFS(#REF!,#REF!,Extrato!$B152,#REF!,Extrato!G$3)</f>
        <v>#REF!</v>
      </c>
      <c r="H152" s="121" t="e">
        <f>SUMIFS(#REF!,#REF!,Extrato!$B152,#REF!,Extrato!H$3)</f>
        <v>#REF!</v>
      </c>
      <c r="I152" s="121" t="e">
        <f>SUMIFS(#REF!,#REF!,Extrato!$B152,#REF!,Extrato!I$3)</f>
        <v>#REF!</v>
      </c>
      <c r="J152" s="121" t="e">
        <f>SUMIFS(#REF!,#REF!,Extrato!$B152,#REF!,Extrato!J$3)</f>
        <v>#REF!</v>
      </c>
      <c r="K152" s="121" t="e">
        <f>SUMIFS(#REF!,#REF!,Extrato!$B152,#REF!,Extrato!K$3)</f>
        <v>#REF!</v>
      </c>
      <c r="L152" s="121" t="e">
        <f>SUMIFS(#REF!,#REF!,Extrato!$B152,#REF!,Extrato!L$3)</f>
        <v>#REF!</v>
      </c>
      <c r="M152" s="121" t="e">
        <f>SUMIFS(#REF!,#REF!,Extrato!$B152,#REF!,Extrato!M$3)</f>
        <v>#REF!</v>
      </c>
      <c r="N152" s="121" t="e">
        <f>SUMIFS(#REF!,#REF!,Extrato!$B152,#REF!,Extrato!N$3)</f>
        <v>#REF!</v>
      </c>
      <c r="O152" s="121" t="e">
        <f>SUMIFS(#REF!,#REF!,Extrato!$B152,#REF!,Extrato!O$3)</f>
        <v>#REF!</v>
      </c>
      <c r="P152" s="121">
        <f>SUMIF(BetFlow!B:B,B152,BetFlow!J:J)</f>
        <v>-19.944799999999997</v>
      </c>
      <c r="Q152" s="121" t="e">
        <f>SUMIFS(#REF!,#REF!,Extrato!$B152,#REF!,Extrato!Q$3)</f>
        <v>#REF!</v>
      </c>
      <c r="R152" s="121" t="e">
        <f>SUMIFS(#REF!,#REF!,Extrato!$B152,#REF!,Extrato!R$3)</f>
        <v>#REF!</v>
      </c>
      <c r="S152" s="121" t="e">
        <f>SUMIFS(#REF!,#REF!,Extrato!$B152,#REF!,Extrato!S$3)</f>
        <v>#REF!</v>
      </c>
      <c r="T152" s="121" t="e">
        <f>SUMIFS(#REF!,#REF!,Extrato!$B152,#REF!,Extrato!T$3)</f>
        <v>#REF!</v>
      </c>
      <c r="U152" s="121" t="e">
        <f>SUMIFS(#REF!,#REF!,Extrato!$B152,#REF!,Extrato!U$3)</f>
        <v>#REF!</v>
      </c>
      <c r="V152" s="121" t="e">
        <f>SUMIFS(#REF!,#REF!,Extrato!$B152,#REF!,Extrato!V$3)</f>
        <v>#REF!</v>
      </c>
      <c r="W152" s="121" t="e">
        <f>SUMIFS(#REF!,#REF!,Extrato!$B152,#REF!,Extrato!W$3)</f>
        <v>#REF!</v>
      </c>
      <c r="X152" s="121" t="e">
        <f>SUMIFS(#REF!,#REF!,Extrato!$B152,#REF!,Extrato!X$3)</f>
        <v>#REF!</v>
      </c>
      <c r="Y152" s="121" t="e">
        <f>SUMIFS(#REF!,#REF!,Extrato!$B152,#REF!,Extrato!Y$3)</f>
        <v>#REF!</v>
      </c>
      <c r="Z152" s="121" t="e">
        <f>SUMIFS(#REF!,#REF!,Extrato!$B152,#REF!,Extrato!Z$3)</f>
        <v>#REF!</v>
      </c>
      <c r="AA152" s="121" t="e">
        <f>SUMIFS(#REF!,#REF!,Extrato!$B152,#REF!,Extrato!AA$3)</f>
        <v>#REF!</v>
      </c>
      <c r="AB152" s="121" t="e">
        <f>SUMIFS(#REF!,#REF!,Extrato!$B152,#REF!,Extrato!AB$3)</f>
        <v>#REF!</v>
      </c>
      <c r="AC152" s="121" t="e">
        <f>SUMIFS(#REF!,#REF!,Extrato!$B152,#REF!,Extrato!AC$3)</f>
        <v>#REF!</v>
      </c>
      <c r="AD152" s="121" t="e">
        <f>SUMIFS(#REF!,#REF!,Extrato!$B152,#REF!,Extrato!AD$3)</f>
        <v>#REF!</v>
      </c>
      <c r="AE152" s="121" t="e">
        <f>SUMIFS(#REF!,#REF!,Extrato!$B152,#REF!,Extrato!AE$3)</f>
        <v>#REF!</v>
      </c>
      <c r="AF152" s="121" t="e">
        <f>SUMIFS(#REF!,#REF!,Extrato!$B152,#REF!,Extrato!AF$3)</f>
        <v>#REF!</v>
      </c>
      <c r="AG152" s="121" t="e">
        <f>SUMIFS(#REF!,#REF!,Extrato!$B152,#REF!,Extrato!AG$3)</f>
        <v>#REF!</v>
      </c>
      <c r="AH152" s="121" t="e">
        <f>SUMIFS(#REF!,#REF!,Extrato!$B152,#REF!,Extrato!AH$3)</f>
        <v>#REF!</v>
      </c>
      <c r="AI152" s="121" t="e">
        <f>SUMIFS(#REF!,#REF!,Extrato!$B152,#REF!,Extrato!AI$3)</f>
        <v>#REF!</v>
      </c>
      <c r="AJ152" s="121">
        <v>630</v>
      </c>
      <c r="AK152" s="121">
        <v>-0.02</v>
      </c>
      <c r="AL152" s="25" t="e">
        <f t="shared" si="5"/>
        <v>#REF!</v>
      </c>
      <c r="AM152" s="122"/>
      <c r="AN152" s="121">
        <f t="shared" si="7"/>
        <v>993.92023000000006</v>
      </c>
      <c r="AO152" s="121">
        <f>SUMIF(BetFlow!B:B,Extrato!B152,BetFlow!M:M)</f>
        <v>24.810108</v>
      </c>
      <c r="AP152" s="121"/>
      <c r="AQ152" s="121"/>
      <c r="AR152" s="121"/>
      <c r="AS152" s="121"/>
      <c r="AT152" s="121"/>
      <c r="AU152" s="121"/>
      <c r="AV152" s="121"/>
      <c r="AW152" s="121"/>
      <c r="AX152" s="121"/>
      <c r="AY152" s="121"/>
      <c r="AZ152" s="121"/>
      <c r="BA152" s="121"/>
      <c r="BB152" s="121"/>
      <c r="BC152" s="121">
        <v>0</v>
      </c>
      <c r="BD152" s="121">
        <v>0</v>
      </c>
      <c r="BE152" s="25">
        <f t="shared" si="6"/>
        <v>1018.7303380000001</v>
      </c>
      <c r="BF152" s="122"/>
      <c r="BG152" s="121"/>
      <c r="BH152" s="121"/>
      <c r="BI152" s="121"/>
      <c r="BJ152" s="121"/>
      <c r="BK152" s="121"/>
      <c r="BL152" s="121"/>
      <c r="BM152" s="121"/>
      <c r="BN152" s="121"/>
      <c r="BO152" s="121"/>
      <c r="BP152" s="121"/>
    </row>
    <row r="153" spans="2:68" ht="15" customHeight="1">
      <c r="B153" s="12">
        <v>46143</v>
      </c>
      <c r="C153" s="121" t="e">
        <f t="shared" si="4"/>
        <v>#REF!</v>
      </c>
      <c r="D153" s="121" t="e">
        <f>SUMIFS(#REF!,#REF!,Extrato!$B153,#REF!,Extrato!D$3)</f>
        <v>#REF!</v>
      </c>
      <c r="E153" s="121" t="e">
        <f>SUMIFS(#REF!,#REF!,Extrato!$B153,#REF!,Extrato!E$3)</f>
        <v>#REF!</v>
      </c>
      <c r="F153" s="121" t="e">
        <f>SUMIFS(#REF!,#REF!,Extrato!$B153,#REF!,Extrato!F$3)</f>
        <v>#REF!</v>
      </c>
      <c r="G153" s="121" t="e">
        <f>SUMIFS(#REF!,#REF!,Extrato!$B153,#REF!,Extrato!G$3)</f>
        <v>#REF!</v>
      </c>
      <c r="H153" s="121" t="e">
        <f>SUMIFS(#REF!,#REF!,Extrato!$B153,#REF!,Extrato!H$3)</f>
        <v>#REF!</v>
      </c>
      <c r="I153" s="121" t="e">
        <f>SUMIFS(#REF!,#REF!,Extrato!$B153,#REF!,Extrato!I$3)</f>
        <v>#REF!</v>
      </c>
      <c r="J153" s="121" t="e">
        <f>SUMIFS(#REF!,#REF!,Extrato!$B153,#REF!,Extrato!J$3)</f>
        <v>#REF!</v>
      </c>
      <c r="K153" s="121" t="e">
        <f>SUMIFS(#REF!,#REF!,Extrato!$B153,#REF!,Extrato!K$3)</f>
        <v>#REF!</v>
      </c>
      <c r="L153" s="121" t="e">
        <f>SUMIFS(#REF!,#REF!,Extrato!$B153,#REF!,Extrato!L$3)</f>
        <v>#REF!</v>
      </c>
      <c r="M153" s="121" t="e">
        <f>SUMIFS(#REF!,#REF!,Extrato!$B153,#REF!,Extrato!M$3)</f>
        <v>#REF!</v>
      </c>
      <c r="N153" s="121" t="e">
        <f>SUMIFS(#REF!,#REF!,Extrato!$B153,#REF!,Extrato!N$3)</f>
        <v>#REF!</v>
      </c>
      <c r="O153" s="121" t="e">
        <f>SUMIFS(#REF!,#REF!,Extrato!$B153,#REF!,Extrato!O$3)</f>
        <v>#REF!</v>
      </c>
      <c r="P153" s="121">
        <f>SUMIF(BetFlow!B:B,B153,BetFlow!J:J)</f>
        <v>1.4301999999999992</v>
      </c>
      <c r="Q153" s="121" t="e">
        <f>SUMIFS(#REF!,#REF!,Extrato!$B153,#REF!,Extrato!Q$3)</f>
        <v>#REF!</v>
      </c>
      <c r="R153" s="121" t="e">
        <f>SUMIFS(#REF!,#REF!,Extrato!$B153,#REF!,Extrato!R$3)</f>
        <v>#REF!</v>
      </c>
      <c r="S153" s="121" t="e">
        <f>SUMIFS(#REF!,#REF!,Extrato!$B153,#REF!,Extrato!S$3)</f>
        <v>#REF!</v>
      </c>
      <c r="T153" s="121" t="e">
        <f>SUMIFS(#REF!,#REF!,Extrato!$B153,#REF!,Extrato!T$3)</f>
        <v>#REF!</v>
      </c>
      <c r="U153" s="121" t="e">
        <f>SUMIFS(#REF!,#REF!,Extrato!$B153,#REF!,Extrato!U$3)</f>
        <v>#REF!</v>
      </c>
      <c r="V153" s="121" t="e">
        <f>SUMIFS(#REF!,#REF!,Extrato!$B153,#REF!,Extrato!V$3)</f>
        <v>#REF!</v>
      </c>
      <c r="W153" s="121" t="e">
        <f>SUMIFS(#REF!,#REF!,Extrato!$B153,#REF!,Extrato!W$3)</f>
        <v>#REF!</v>
      </c>
      <c r="X153" s="121" t="e">
        <f>SUMIFS(#REF!,#REF!,Extrato!$B153,#REF!,Extrato!X$3)</f>
        <v>#REF!</v>
      </c>
      <c r="Y153" s="121" t="e">
        <f>SUMIFS(#REF!,#REF!,Extrato!$B153,#REF!,Extrato!Y$3)</f>
        <v>#REF!</v>
      </c>
      <c r="Z153" s="121" t="e">
        <f>SUMIFS(#REF!,#REF!,Extrato!$B153,#REF!,Extrato!Z$3)</f>
        <v>#REF!</v>
      </c>
      <c r="AA153" s="121" t="e">
        <f>SUMIFS(#REF!,#REF!,Extrato!$B153,#REF!,Extrato!AA$3)</f>
        <v>#REF!</v>
      </c>
      <c r="AB153" s="121" t="e">
        <f>SUMIFS(#REF!,#REF!,Extrato!$B153,#REF!,Extrato!AB$3)</f>
        <v>#REF!</v>
      </c>
      <c r="AC153" s="121" t="e">
        <f>SUMIFS(#REF!,#REF!,Extrato!$B153,#REF!,Extrato!AC$3)</f>
        <v>#REF!</v>
      </c>
      <c r="AD153" s="121" t="e">
        <f>SUMIFS(#REF!,#REF!,Extrato!$B153,#REF!,Extrato!AD$3)</f>
        <v>#REF!</v>
      </c>
      <c r="AE153" s="121" t="e">
        <f>SUMIFS(#REF!,#REF!,Extrato!$B153,#REF!,Extrato!AE$3)</f>
        <v>#REF!</v>
      </c>
      <c r="AF153" s="121" t="e">
        <f>SUMIFS(#REF!,#REF!,Extrato!$B153,#REF!,Extrato!AF$3)</f>
        <v>#REF!</v>
      </c>
      <c r="AG153" s="121" t="e">
        <f>SUMIFS(#REF!,#REF!,Extrato!$B153,#REF!,Extrato!AG$3)</f>
        <v>#REF!</v>
      </c>
      <c r="AH153" s="121" t="e">
        <f>SUMIFS(#REF!,#REF!,Extrato!$B153,#REF!,Extrato!AH$3)</f>
        <v>#REF!</v>
      </c>
      <c r="AI153" s="121" t="e">
        <f>SUMIFS(#REF!,#REF!,Extrato!$B153,#REF!,Extrato!AI$3)</f>
        <v>#REF!</v>
      </c>
      <c r="AJ153" s="121">
        <v>0</v>
      </c>
      <c r="AK153" s="121">
        <v>0</v>
      </c>
      <c r="AL153" s="25" t="e">
        <f t="shared" si="5"/>
        <v>#REF!</v>
      </c>
      <c r="AM153" s="122"/>
      <c r="AN153" s="121">
        <f t="shared" si="7"/>
        <v>1018.7303380000001</v>
      </c>
      <c r="AO153" s="121">
        <f>SUMIF(BetFlow!B:B,Extrato!B153,BetFlow!M:M)</f>
        <v>8.2466128000000083</v>
      </c>
      <c r="AP153" s="121"/>
      <c r="AQ153" s="121"/>
      <c r="AR153" s="121"/>
      <c r="AS153" s="121"/>
      <c r="AT153" s="121"/>
      <c r="AU153" s="121"/>
      <c r="AV153" s="121"/>
      <c r="AW153" s="121"/>
      <c r="AX153" s="121"/>
      <c r="AY153" s="121"/>
      <c r="AZ153" s="121"/>
      <c r="BA153" s="121"/>
      <c r="BB153" s="121"/>
      <c r="BC153" s="121">
        <v>0</v>
      </c>
      <c r="BD153" s="121">
        <v>-0.01</v>
      </c>
      <c r="BE153" s="25">
        <f t="shared" si="6"/>
        <v>1026.9669508000002</v>
      </c>
      <c r="BF153" s="122"/>
      <c r="BG153" s="121"/>
      <c r="BH153" s="121"/>
      <c r="BI153" s="121"/>
      <c r="BJ153" s="121"/>
      <c r="BK153" s="121"/>
      <c r="BL153" s="121"/>
      <c r="BM153" s="121"/>
      <c r="BN153" s="121"/>
      <c r="BO153" s="121"/>
      <c r="BP153" s="121"/>
    </row>
    <row r="154" spans="2:68" ht="15" customHeight="1">
      <c r="B154" s="12">
        <v>46144</v>
      </c>
      <c r="C154" s="121" t="e">
        <f t="shared" si="4"/>
        <v>#REF!</v>
      </c>
      <c r="D154" s="121" t="e">
        <f>SUMIFS(#REF!,#REF!,Extrato!$B154,#REF!,Extrato!D$3)</f>
        <v>#REF!</v>
      </c>
      <c r="E154" s="121" t="e">
        <f>SUMIFS(#REF!,#REF!,Extrato!$B154,#REF!,Extrato!E$3)</f>
        <v>#REF!</v>
      </c>
      <c r="F154" s="121" t="e">
        <f>SUMIFS(#REF!,#REF!,Extrato!$B154,#REF!,Extrato!F$3)</f>
        <v>#REF!</v>
      </c>
      <c r="G154" s="121" t="e">
        <f>SUMIFS(#REF!,#REF!,Extrato!$B154,#REF!,Extrato!G$3)</f>
        <v>#REF!</v>
      </c>
      <c r="H154" s="121" t="e">
        <f>SUMIFS(#REF!,#REF!,Extrato!$B154,#REF!,Extrato!H$3)</f>
        <v>#REF!</v>
      </c>
      <c r="I154" s="121" t="e">
        <f>SUMIFS(#REF!,#REF!,Extrato!$B154,#REF!,Extrato!I$3)</f>
        <v>#REF!</v>
      </c>
      <c r="J154" s="121" t="e">
        <f>SUMIFS(#REF!,#REF!,Extrato!$B154,#REF!,Extrato!J$3)</f>
        <v>#REF!</v>
      </c>
      <c r="K154" s="121" t="e">
        <f>SUMIFS(#REF!,#REF!,Extrato!$B154,#REF!,Extrato!K$3)</f>
        <v>#REF!</v>
      </c>
      <c r="L154" s="121" t="e">
        <f>SUMIFS(#REF!,#REF!,Extrato!$B154,#REF!,Extrato!L$3)</f>
        <v>#REF!</v>
      </c>
      <c r="M154" s="121" t="e">
        <f>SUMIFS(#REF!,#REF!,Extrato!$B154,#REF!,Extrato!M$3)</f>
        <v>#REF!</v>
      </c>
      <c r="N154" s="121" t="e">
        <f>SUMIFS(#REF!,#REF!,Extrato!$B154,#REF!,Extrato!N$3)</f>
        <v>#REF!</v>
      </c>
      <c r="O154" s="121" t="e">
        <f>SUMIFS(#REF!,#REF!,Extrato!$B154,#REF!,Extrato!O$3)</f>
        <v>#REF!</v>
      </c>
      <c r="P154" s="121">
        <f>SUMIF(BetFlow!B:B,B154,BetFlow!J:J)</f>
        <v>530.72630000000004</v>
      </c>
      <c r="Q154" s="121" t="e">
        <f>SUMIFS(#REF!,#REF!,Extrato!$B154,#REF!,Extrato!Q$3)</f>
        <v>#REF!</v>
      </c>
      <c r="R154" s="121" t="e">
        <f>SUMIFS(#REF!,#REF!,Extrato!$B154,#REF!,Extrato!R$3)</f>
        <v>#REF!</v>
      </c>
      <c r="S154" s="121" t="e">
        <f>SUMIFS(#REF!,#REF!,Extrato!$B154,#REF!,Extrato!S$3)</f>
        <v>#REF!</v>
      </c>
      <c r="T154" s="121" t="e">
        <f>SUMIFS(#REF!,#REF!,Extrato!$B154,#REF!,Extrato!T$3)</f>
        <v>#REF!</v>
      </c>
      <c r="U154" s="121" t="e">
        <f>SUMIFS(#REF!,#REF!,Extrato!$B154,#REF!,Extrato!U$3)</f>
        <v>#REF!</v>
      </c>
      <c r="V154" s="121" t="e">
        <f>SUMIFS(#REF!,#REF!,Extrato!$B154,#REF!,Extrato!V$3)</f>
        <v>#REF!</v>
      </c>
      <c r="W154" s="121" t="e">
        <f>SUMIFS(#REF!,#REF!,Extrato!$B154,#REF!,Extrato!W$3)</f>
        <v>#REF!</v>
      </c>
      <c r="X154" s="121" t="e">
        <f>SUMIFS(#REF!,#REF!,Extrato!$B154,#REF!,Extrato!X$3)</f>
        <v>#REF!</v>
      </c>
      <c r="Y154" s="121" t="e">
        <f>SUMIFS(#REF!,#REF!,Extrato!$B154,#REF!,Extrato!Y$3)</f>
        <v>#REF!</v>
      </c>
      <c r="Z154" s="121" t="e">
        <f>SUMIFS(#REF!,#REF!,Extrato!$B154,#REF!,Extrato!Z$3)</f>
        <v>#REF!</v>
      </c>
      <c r="AA154" s="121" t="e">
        <f>SUMIFS(#REF!,#REF!,Extrato!$B154,#REF!,Extrato!AA$3)</f>
        <v>#REF!</v>
      </c>
      <c r="AB154" s="121" t="e">
        <f>SUMIFS(#REF!,#REF!,Extrato!$B154,#REF!,Extrato!AB$3)</f>
        <v>#REF!</v>
      </c>
      <c r="AC154" s="121" t="e">
        <f>SUMIFS(#REF!,#REF!,Extrato!$B154,#REF!,Extrato!AC$3)</f>
        <v>#REF!</v>
      </c>
      <c r="AD154" s="121" t="e">
        <f>SUMIFS(#REF!,#REF!,Extrato!$B154,#REF!,Extrato!AD$3)</f>
        <v>#REF!</v>
      </c>
      <c r="AE154" s="121" t="e">
        <f>SUMIFS(#REF!,#REF!,Extrato!$B154,#REF!,Extrato!AE$3)</f>
        <v>#REF!</v>
      </c>
      <c r="AF154" s="121" t="e">
        <f>SUMIFS(#REF!,#REF!,Extrato!$B154,#REF!,Extrato!AF$3)</f>
        <v>#REF!</v>
      </c>
      <c r="AG154" s="121" t="e">
        <f>SUMIFS(#REF!,#REF!,Extrato!$B154,#REF!,Extrato!AG$3)</f>
        <v>#REF!</v>
      </c>
      <c r="AH154" s="121" t="e">
        <f>SUMIFS(#REF!,#REF!,Extrato!$B154,#REF!,Extrato!AH$3)</f>
        <v>#REF!</v>
      </c>
      <c r="AI154" s="121" t="e">
        <f>SUMIFS(#REF!,#REF!,Extrato!$B154,#REF!,Extrato!AI$3)</f>
        <v>#REF!</v>
      </c>
      <c r="AJ154" s="121">
        <v>0</v>
      </c>
      <c r="AK154" s="121">
        <v>-0.02</v>
      </c>
      <c r="AL154" s="25" t="e">
        <f t="shared" si="5"/>
        <v>#REF!</v>
      </c>
      <c r="AM154" s="122"/>
      <c r="AN154" s="121">
        <f t="shared" si="7"/>
        <v>1026.9669508000002</v>
      </c>
      <c r="AO154" s="121">
        <f>SUMIF(BetFlow!B:B,Extrato!B154,BetFlow!M:M)</f>
        <v>-495.80295579280005</v>
      </c>
      <c r="AP154" s="121"/>
      <c r="AQ154" s="121"/>
      <c r="AR154" s="121"/>
      <c r="AS154" s="121"/>
      <c r="AT154" s="121"/>
      <c r="AU154" s="121"/>
      <c r="AV154" s="121"/>
      <c r="AW154" s="121"/>
      <c r="AX154" s="121"/>
      <c r="AY154" s="121"/>
      <c r="AZ154" s="121"/>
      <c r="BA154" s="121"/>
      <c r="BB154" s="121"/>
      <c r="BC154" s="121">
        <v>50</v>
      </c>
      <c r="BD154" s="121">
        <v>0.01</v>
      </c>
      <c r="BE154" s="25">
        <f t="shared" si="6"/>
        <v>581.17399500720012</v>
      </c>
      <c r="BF154" s="122"/>
      <c r="BG154" s="121"/>
      <c r="BH154" s="121"/>
      <c r="BI154" s="121"/>
      <c r="BJ154" s="121"/>
      <c r="BK154" s="121"/>
      <c r="BL154" s="121"/>
      <c r="BM154" s="121"/>
      <c r="BN154" s="121"/>
      <c r="BO154" s="121"/>
      <c r="BP154" s="121"/>
    </row>
    <row r="155" spans="2:68" ht="15" customHeight="1">
      <c r="B155" s="12">
        <v>46145</v>
      </c>
      <c r="C155" s="121" t="e">
        <f t="shared" si="4"/>
        <v>#REF!</v>
      </c>
      <c r="D155" s="121" t="e">
        <f>SUMIFS(#REF!,#REF!,Extrato!$B155,#REF!,Extrato!D$3)</f>
        <v>#REF!</v>
      </c>
      <c r="E155" s="121" t="e">
        <f>SUMIFS(#REF!,#REF!,Extrato!$B155,#REF!,Extrato!E$3)</f>
        <v>#REF!</v>
      </c>
      <c r="F155" s="121" t="e">
        <f>SUMIFS(#REF!,#REF!,Extrato!$B155,#REF!,Extrato!F$3)</f>
        <v>#REF!</v>
      </c>
      <c r="G155" s="121" t="e">
        <f>SUMIFS(#REF!,#REF!,Extrato!$B155,#REF!,Extrato!G$3)</f>
        <v>#REF!</v>
      </c>
      <c r="H155" s="121" t="e">
        <f>SUMIFS(#REF!,#REF!,Extrato!$B155,#REF!,Extrato!H$3)</f>
        <v>#REF!</v>
      </c>
      <c r="I155" s="121" t="e">
        <f>SUMIFS(#REF!,#REF!,Extrato!$B155,#REF!,Extrato!I$3)</f>
        <v>#REF!</v>
      </c>
      <c r="J155" s="121" t="e">
        <f>SUMIFS(#REF!,#REF!,Extrato!$B155,#REF!,Extrato!J$3)</f>
        <v>#REF!</v>
      </c>
      <c r="K155" s="121" t="e">
        <f>SUMIFS(#REF!,#REF!,Extrato!$B155,#REF!,Extrato!K$3)</f>
        <v>#REF!</v>
      </c>
      <c r="L155" s="121" t="e">
        <f>SUMIFS(#REF!,#REF!,Extrato!$B155,#REF!,Extrato!L$3)</f>
        <v>#REF!</v>
      </c>
      <c r="M155" s="121" t="e">
        <f>SUMIFS(#REF!,#REF!,Extrato!$B155,#REF!,Extrato!M$3)</f>
        <v>#REF!</v>
      </c>
      <c r="N155" s="121" t="e">
        <f>SUMIFS(#REF!,#REF!,Extrato!$B155,#REF!,Extrato!N$3)</f>
        <v>#REF!</v>
      </c>
      <c r="O155" s="121" t="e">
        <f>SUMIFS(#REF!,#REF!,Extrato!$B155,#REF!,Extrato!O$3)</f>
        <v>#REF!</v>
      </c>
      <c r="P155" s="121">
        <f>SUMIF(BetFlow!B:B,B155,BetFlow!J:J)</f>
        <v>-82.76149999999997</v>
      </c>
      <c r="Q155" s="121" t="e">
        <f>SUMIFS(#REF!,#REF!,Extrato!$B155,#REF!,Extrato!Q$3)</f>
        <v>#REF!</v>
      </c>
      <c r="R155" s="121" t="e">
        <f>SUMIFS(#REF!,#REF!,Extrato!$B155,#REF!,Extrato!R$3)</f>
        <v>#REF!</v>
      </c>
      <c r="S155" s="121" t="e">
        <f>SUMIFS(#REF!,#REF!,Extrato!$B155,#REF!,Extrato!S$3)</f>
        <v>#REF!</v>
      </c>
      <c r="T155" s="121" t="e">
        <f>SUMIFS(#REF!,#REF!,Extrato!$B155,#REF!,Extrato!T$3)</f>
        <v>#REF!</v>
      </c>
      <c r="U155" s="121" t="e">
        <f>SUMIFS(#REF!,#REF!,Extrato!$B155,#REF!,Extrato!U$3)</f>
        <v>#REF!</v>
      </c>
      <c r="V155" s="121" t="e">
        <f>SUMIFS(#REF!,#REF!,Extrato!$B155,#REF!,Extrato!V$3)</f>
        <v>#REF!</v>
      </c>
      <c r="W155" s="121" t="e">
        <f>SUMIFS(#REF!,#REF!,Extrato!$B155,#REF!,Extrato!W$3)</f>
        <v>#REF!</v>
      </c>
      <c r="X155" s="121" t="e">
        <f>SUMIFS(#REF!,#REF!,Extrato!$B155,#REF!,Extrato!X$3)</f>
        <v>#REF!</v>
      </c>
      <c r="Y155" s="121" t="e">
        <f>SUMIFS(#REF!,#REF!,Extrato!$B155,#REF!,Extrato!Y$3)</f>
        <v>#REF!</v>
      </c>
      <c r="Z155" s="121" t="e">
        <f>SUMIFS(#REF!,#REF!,Extrato!$B155,#REF!,Extrato!Z$3)</f>
        <v>#REF!</v>
      </c>
      <c r="AA155" s="121" t="e">
        <f>SUMIFS(#REF!,#REF!,Extrato!$B155,#REF!,Extrato!AA$3)</f>
        <v>#REF!</v>
      </c>
      <c r="AB155" s="121" t="e">
        <f>SUMIFS(#REF!,#REF!,Extrato!$B155,#REF!,Extrato!AB$3)</f>
        <v>#REF!</v>
      </c>
      <c r="AC155" s="121" t="e">
        <f>SUMIFS(#REF!,#REF!,Extrato!$B155,#REF!,Extrato!AC$3)</f>
        <v>#REF!</v>
      </c>
      <c r="AD155" s="121" t="e">
        <f>SUMIFS(#REF!,#REF!,Extrato!$B155,#REF!,Extrato!AD$3)</f>
        <v>#REF!</v>
      </c>
      <c r="AE155" s="121" t="e">
        <f>SUMIFS(#REF!,#REF!,Extrato!$B155,#REF!,Extrato!AE$3)</f>
        <v>#REF!</v>
      </c>
      <c r="AF155" s="121" t="e">
        <f>SUMIFS(#REF!,#REF!,Extrato!$B155,#REF!,Extrato!AF$3)</f>
        <v>#REF!</v>
      </c>
      <c r="AG155" s="121" t="e">
        <f>SUMIFS(#REF!,#REF!,Extrato!$B155,#REF!,Extrato!AG$3)</f>
        <v>#REF!</v>
      </c>
      <c r="AH155" s="121" t="e">
        <f>SUMIFS(#REF!,#REF!,Extrato!$B155,#REF!,Extrato!AH$3)</f>
        <v>#REF!</v>
      </c>
      <c r="AI155" s="121" t="e">
        <f>SUMIFS(#REF!,#REF!,Extrato!$B155,#REF!,Extrato!AI$3)</f>
        <v>#REF!</v>
      </c>
      <c r="AJ155" s="121">
        <v>0</v>
      </c>
      <c r="AK155" s="121">
        <v>0.01</v>
      </c>
      <c r="AL155" s="25" t="e">
        <f t="shared" si="5"/>
        <v>#REF!</v>
      </c>
      <c r="AM155" s="122"/>
      <c r="AN155" s="121">
        <f t="shared" si="7"/>
        <v>581.17399500720012</v>
      </c>
      <c r="AO155" s="121">
        <f>SUMIF(BetFlow!B:B,Extrato!B155,BetFlow!M:M)</f>
        <v>108.445626992</v>
      </c>
      <c r="AP155" s="121"/>
      <c r="AQ155" s="121"/>
      <c r="AR155" s="121"/>
      <c r="AS155" s="121"/>
      <c r="AT155" s="121"/>
      <c r="AU155" s="121"/>
      <c r="AV155" s="121"/>
      <c r="AW155" s="121"/>
      <c r="AX155" s="121"/>
      <c r="AY155" s="121"/>
      <c r="AZ155" s="121"/>
      <c r="BA155" s="121"/>
      <c r="BB155" s="121"/>
      <c r="BC155" s="121">
        <v>0</v>
      </c>
      <c r="BD155" s="121">
        <v>0</v>
      </c>
      <c r="BE155" s="25">
        <f t="shared" si="6"/>
        <v>689.61962199920015</v>
      </c>
      <c r="BF155" s="122"/>
      <c r="BG155" s="121"/>
      <c r="BH155" s="121"/>
      <c r="BI155" s="121"/>
      <c r="BJ155" s="121"/>
      <c r="BK155" s="121"/>
      <c r="BL155" s="121"/>
      <c r="BM155" s="121"/>
      <c r="BN155" s="121"/>
      <c r="BO155" s="121"/>
      <c r="BP155" s="121"/>
    </row>
    <row r="156" spans="2:68" ht="15" customHeight="1">
      <c r="B156" s="12">
        <v>46146</v>
      </c>
      <c r="C156" s="121" t="e">
        <f t="shared" si="4"/>
        <v>#REF!</v>
      </c>
      <c r="D156" s="121" t="e">
        <f>SUMIFS(#REF!,#REF!,Extrato!$B156,#REF!,Extrato!D$3)</f>
        <v>#REF!</v>
      </c>
      <c r="E156" s="121" t="e">
        <f>SUMIFS(#REF!,#REF!,Extrato!$B156,#REF!,Extrato!E$3)</f>
        <v>#REF!</v>
      </c>
      <c r="F156" s="121" t="e">
        <f>SUMIFS(#REF!,#REF!,Extrato!$B156,#REF!,Extrato!F$3)</f>
        <v>#REF!</v>
      </c>
      <c r="G156" s="121" t="e">
        <f>SUMIFS(#REF!,#REF!,Extrato!$B156,#REF!,Extrato!G$3)</f>
        <v>#REF!</v>
      </c>
      <c r="H156" s="121" t="e">
        <f>SUMIFS(#REF!,#REF!,Extrato!$B156,#REF!,Extrato!H$3)</f>
        <v>#REF!</v>
      </c>
      <c r="I156" s="121" t="e">
        <f>SUMIFS(#REF!,#REF!,Extrato!$B156,#REF!,Extrato!I$3)</f>
        <v>#REF!</v>
      </c>
      <c r="J156" s="121" t="e">
        <f>SUMIFS(#REF!,#REF!,Extrato!$B156,#REF!,Extrato!J$3)</f>
        <v>#REF!</v>
      </c>
      <c r="K156" s="121" t="e">
        <f>SUMIFS(#REF!,#REF!,Extrato!$B156,#REF!,Extrato!K$3)</f>
        <v>#REF!</v>
      </c>
      <c r="L156" s="121" t="e">
        <f>SUMIFS(#REF!,#REF!,Extrato!$B156,#REF!,Extrato!L$3)</f>
        <v>#REF!</v>
      </c>
      <c r="M156" s="121" t="e">
        <f>SUMIFS(#REF!,#REF!,Extrato!$B156,#REF!,Extrato!M$3)</f>
        <v>#REF!</v>
      </c>
      <c r="N156" s="121" t="e">
        <f>SUMIFS(#REF!,#REF!,Extrato!$B156,#REF!,Extrato!N$3)</f>
        <v>#REF!</v>
      </c>
      <c r="O156" s="121" t="e">
        <f>SUMIFS(#REF!,#REF!,Extrato!$B156,#REF!,Extrato!O$3)</f>
        <v>#REF!</v>
      </c>
      <c r="P156" s="121">
        <f>SUMIF(BetFlow!B:B,B156,BetFlow!J:J)</f>
        <v>-25.305</v>
      </c>
      <c r="Q156" s="121" t="e">
        <f>SUMIFS(#REF!,#REF!,Extrato!$B156,#REF!,Extrato!Q$3)</f>
        <v>#REF!</v>
      </c>
      <c r="R156" s="121" t="e">
        <f>SUMIFS(#REF!,#REF!,Extrato!$B156,#REF!,Extrato!R$3)</f>
        <v>#REF!</v>
      </c>
      <c r="S156" s="121" t="e">
        <f>SUMIFS(#REF!,#REF!,Extrato!$B156,#REF!,Extrato!S$3)</f>
        <v>#REF!</v>
      </c>
      <c r="T156" s="121" t="e">
        <f>SUMIFS(#REF!,#REF!,Extrato!$B156,#REF!,Extrato!T$3)</f>
        <v>#REF!</v>
      </c>
      <c r="U156" s="121" t="e">
        <f>SUMIFS(#REF!,#REF!,Extrato!$B156,#REF!,Extrato!U$3)</f>
        <v>#REF!</v>
      </c>
      <c r="V156" s="121" t="e">
        <f>SUMIFS(#REF!,#REF!,Extrato!$B156,#REF!,Extrato!V$3)</f>
        <v>#REF!</v>
      </c>
      <c r="W156" s="121" t="e">
        <f>SUMIFS(#REF!,#REF!,Extrato!$B156,#REF!,Extrato!W$3)</f>
        <v>#REF!</v>
      </c>
      <c r="X156" s="121" t="e">
        <f>SUMIFS(#REF!,#REF!,Extrato!$B156,#REF!,Extrato!X$3)</f>
        <v>#REF!</v>
      </c>
      <c r="Y156" s="121" t="e">
        <f>SUMIFS(#REF!,#REF!,Extrato!$B156,#REF!,Extrato!Y$3)</f>
        <v>#REF!</v>
      </c>
      <c r="Z156" s="121" t="e">
        <f>SUMIFS(#REF!,#REF!,Extrato!$B156,#REF!,Extrato!Z$3)</f>
        <v>#REF!</v>
      </c>
      <c r="AA156" s="121" t="e">
        <f>SUMIFS(#REF!,#REF!,Extrato!$B156,#REF!,Extrato!AA$3)</f>
        <v>#REF!</v>
      </c>
      <c r="AB156" s="121" t="e">
        <f>SUMIFS(#REF!,#REF!,Extrato!$B156,#REF!,Extrato!AB$3)</f>
        <v>#REF!</v>
      </c>
      <c r="AC156" s="121" t="e">
        <f>SUMIFS(#REF!,#REF!,Extrato!$B156,#REF!,Extrato!AC$3)</f>
        <v>#REF!</v>
      </c>
      <c r="AD156" s="121" t="e">
        <f>SUMIFS(#REF!,#REF!,Extrato!$B156,#REF!,Extrato!AD$3)</f>
        <v>#REF!</v>
      </c>
      <c r="AE156" s="121" t="e">
        <f>SUMIFS(#REF!,#REF!,Extrato!$B156,#REF!,Extrato!AE$3)</f>
        <v>#REF!</v>
      </c>
      <c r="AF156" s="121" t="e">
        <f>SUMIFS(#REF!,#REF!,Extrato!$B156,#REF!,Extrato!AF$3)</f>
        <v>#REF!</v>
      </c>
      <c r="AG156" s="121" t="e">
        <f>SUMIFS(#REF!,#REF!,Extrato!$B156,#REF!,Extrato!AG$3)</f>
        <v>#REF!</v>
      </c>
      <c r="AH156" s="121" t="e">
        <f>SUMIFS(#REF!,#REF!,Extrato!$B156,#REF!,Extrato!AH$3)</f>
        <v>#REF!</v>
      </c>
      <c r="AI156" s="121" t="e">
        <f>SUMIFS(#REF!,#REF!,Extrato!$B156,#REF!,Extrato!AI$3)</f>
        <v>#REF!</v>
      </c>
      <c r="AJ156" s="121">
        <v>0</v>
      </c>
      <c r="AK156" s="121">
        <v>0</v>
      </c>
      <c r="AL156" s="25" t="e">
        <f t="shared" si="5"/>
        <v>#REF!</v>
      </c>
      <c r="AM156" s="122"/>
      <c r="AN156" s="121">
        <f t="shared" si="7"/>
        <v>689.61962199920015</v>
      </c>
      <c r="AO156" s="121">
        <f>SUMIF(BetFlow!B:B,Extrato!B156,BetFlow!M:M)</f>
        <v>2.1098196447999999</v>
      </c>
      <c r="AP156" s="121"/>
      <c r="AQ156" s="121"/>
      <c r="AR156" s="121"/>
      <c r="AS156" s="121"/>
      <c r="AT156" s="121"/>
      <c r="AU156" s="121"/>
      <c r="AV156" s="121"/>
      <c r="AW156" s="121"/>
      <c r="AX156" s="121"/>
      <c r="AY156" s="121"/>
      <c r="AZ156" s="121"/>
      <c r="BA156" s="121"/>
      <c r="BB156" s="121"/>
      <c r="BC156" s="121">
        <v>0</v>
      </c>
      <c r="BD156" s="121">
        <v>0</v>
      </c>
      <c r="BE156" s="25">
        <f t="shared" si="6"/>
        <v>691.72944164400019</v>
      </c>
      <c r="BF156" s="122"/>
      <c r="BG156" s="121"/>
      <c r="BH156" s="121"/>
      <c r="BI156" s="121"/>
      <c r="BJ156" s="121"/>
      <c r="BK156" s="121"/>
      <c r="BL156" s="121"/>
      <c r="BM156" s="121"/>
      <c r="BN156" s="121"/>
      <c r="BO156" s="121"/>
      <c r="BP156" s="121"/>
    </row>
    <row r="157" spans="2:68" ht="15" customHeight="1">
      <c r="B157" s="12">
        <v>46147</v>
      </c>
      <c r="C157" s="121" t="e">
        <f t="shared" si="4"/>
        <v>#REF!</v>
      </c>
      <c r="D157" s="121" t="e">
        <f>SUMIFS(#REF!,#REF!,Extrato!$B157,#REF!,Extrato!D$3)</f>
        <v>#REF!</v>
      </c>
      <c r="E157" s="121" t="e">
        <f>SUMIFS(#REF!,#REF!,Extrato!$B157,#REF!,Extrato!E$3)</f>
        <v>#REF!</v>
      </c>
      <c r="F157" s="121" t="e">
        <f>SUMIFS(#REF!,#REF!,Extrato!$B157,#REF!,Extrato!F$3)</f>
        <v>#REF!</v>
      </c>
      <c r="G157" s="121" t="e">
        <f>SUMIFS(#REF!,#REF!,Extrato!$B157,#REF!,Extrato!G$3)</f>
        <v>#REF!</v>
      </c>
      <c r="H157" s="121" t="e">
        <f>SUMIFS(#REF!,#REF!,Extrato!$B157,#REF!,Extrato!H$3)</f>
        <v>#REF!</v>
      </c>
      <c r="I157" s="121" t="e">
        <f>SUMIFS(#REF!,#REF!,Extrato!$B157,#REF!,Extrato!I$3)</f>
        <v>#REF!</v>
      </c>
      <c r="J157" s="121" t="e">
        <f>SUMIFS(#REF!,#REF!,Extrato!$B157,#REF!,Extrato!J$3)</f>
        <v>#REF!</v>
      </c>
      <c r="K157" s="121" t="e">
        <f>SUMIFS(#REF!,#REF!,Extrato!$B157,#REF!,Extrato!K$3)</f>
        <v>#REF!</v>
      </c>
      <c r="L157" s="121" t="e">
        <f>SUMIFS(#REF!,#REF!,Extrato!$B157,#REF!,Extrato!L$3)</f>
        <v>#REF!</v>
      </c>
      <c r="M157" s="121" t="e">
        <f>SUMIFS(#REF!,#REF!,Extrato!$B157,#REF!,Extrato!M$3)</f>
        <v>#REF!</v>
      </c>
      <c r="N157" s="121" t="e">
        <f>SUMIFS(#REF!,#REF!,Extrato!$B157,#REF!,Extrato!N$3)</f>
        <v>#REF!</v>
      </c>
      <c r="O157" s="121" t="e">
        <f>SUMIFS(#REF!,#REF!,Extrato!$B157,#REF!,Extrato!O$3)</f>
        <v>#REF!</v>
      </c>
      <c r="P157" s="121">
        <f>SUMIF(BetFlow!B:B,B157,BetFlow!J:J)</f>
        <v>-39.90100000000001</v>
      </c>
      <c r="Q157" s="121" t="e">
        <f>SUMIFS(#REF!,#REF!,Extrato!$B157,#REF!,Extrato!Q$3)</f>
        <v>#REF!</v>
      </c>
      <c r="R157" s="121" t="e">
        <f>SUMIFS(#REF!,#REF!,Extrato!$B157,#REF!,Extrato!R$3)</f>
        <v>#REF!</v>
      </c>
      <c r="S157" s="121" t="e">
        <f>SUMIFS(#REF!,#REF!,Extrato!$B157,#REF!,Extrato!S$3)</f>
        <v>#REF!</v>
      </c>
      <c r="T157" s="121" t="e">
        <f>SUMIFS(#REF!,#REF!,Extrato!$B157,#REF!,Extrato!T$3)</f>
        <v>#REF!</v>
      </c>
      <c r="U157" s="121" t="e">
        <f>SUMIFS(#REF!,#REF!,Extrato!$B157,#REF!,Extrato!U$3)</f>
        <v>#REF!</v>
      </c>
      <c r="V157" s="121" t="e">
        <f>SUMIFS(#REF!,#REF!,Extrato!$B157,#REF!,Extrato!V$3)</f>
        <v>#REF!</v>
      </c>
      <c r="W157" s="121" t="e">
        <f>SUMIFS(#REF!,#REF!,Extrato!$B157,#REF!,Extrato!W$3)</f>
        <v>#REF!</v>
      </c>
      <c r="X157" s="121" t="e">
        <f>SUMIFS(#REF!,#REF!,Extrato!$B157,#REF!,Extrato!X$3)</f>
        <v>#REF!</v>
      </c>
      <c r="Y157" s="121" t="e">
        <f>SUMIFS(#REF!,#REF!,Extrato!$B157,#REF!,Extrato!Y$3)</f>
        <v>#REF!</v>
      </c>
      <c r="Z157" s="121" t="e">
        <f>SUMIFS(#REF!,#REF!,Extrato!$B157,#REF!,Extrato!Z$3)</f>
        <v>#REF!</v>
      </c>
      <c r="AA157" s="121" t="e">
        <f>SUMIFS(#REF!,#REF!,Extrato!$B157,#REF!,Extrato!AA$3)</f>
        <v>#REF!</v>
      </c>
      <c r="AB157" s="121" t="e">
        <f>SUMIFS(#REF!,#REF!,Extrato!$B157,#REF!,Extrato!AB$3)</f>
        <v>#REF!</v>
      </c>
      <c r="AC157" s="121" t="e">
        <f>SUMIFS(#REF!,#REF!,Extrato!$B157,#REF!,Extrato!AC$3)</f>
        <v>#REF!</v>
      </c>
      <c r="AD157" s="121" t="e">
        <f>SUMIFS(#REF!,#REF!,Extrato!$B157,#REF!,Extrato!AD$3)</f>
        <v>#REF!</v>
      </c>
      <c r="AE157" s="121" t="e">
        <f>SUMIFS(#REF!,#REF!,Extrato!$B157,#REF!,Extrato!AE$3)</f>
        <v>#REF!</v>
      </c>
      <c r="AF157" s="121" t="e">
        <f>SUMIFS(#REF!,#REF!,Extrato!$B157,#REF!,Extrato!AF$3)</f>
        <v>#REF!</v>
      </c>
      <c r="AG157" s="121" t="e">
        <f>SUMIFS(#REF!,#REF!,Extrato!$B157,#REF!,Extrato!AG$3)</f>
        <v>#REF!</v>
      </c>
      <c r="AH157" s="121" t="e">
        <f>SUMIFS(#REF!,#REF!,Extrato!$B157,#REF!,Extrato!AH$3)</f>
        <v>#REF!</v>
      </c>
      <c r="AI157" s="121" t="e">
        <f>SUMIFS(#REF!,#REF!,Extrato!$B157,#REF!,Extrato!AI$3)</f>
        <v>#REF!</v>
      </c>
      <c r="AJ157" s="121">
        <v>0</v>
      </c>
      <c r="AK157" s="121">
        <v>0</v>
      </c>
      <c r="AL157" s="25" t="e">
        <f t="shared" si="5"/>
        <v>#REF!</v>
      </c>
      <c r="AM157" s="122"/>
      <c r="AN157" s="121">
        <f t="shared" si="7"/>
        <v>691.72944164400019</v>
      </c>
      <c r="AO157" s="121">
        <f>SUMIF(BetFlow!B:B,Extrato!B157,BetFlow!M:M)</f>
        <v>51.815646799999982</v>
      </c>
      <c r="AP157" s="121"/>
      <c r="AQ157" s="121"/>
      <c r="AR157" s="121"/>
      <c r="AS157" s="121"/>
      <c r="AT157" s="121"/>
      <c r="AU157" s="121"/>
      <c r="AV157" s="121"/>
      <c r="AW157" s="121"/>
      <c r="AX157" s="121"/>
      <c r="AY157" s="121"/>
      <c r="AZ157" s="121"/>
      <c r="BA157" s="121"/>
      <c r="BB157" s="121"/>
      <c r="BC157" s="121">
        <v>0</v>
      </c>
      <c r="BD157" s="121">
        <v>0</v>
      </c>
      <c r="BE157" s="25">
        <f t="shared" si="6"/>
        <v>743.54508844400016</v>
      </c>
      <c r="BF157" s="122"/>
      <c r="BG157" s="121"/>
      <c r="BH157" s="121"/>
      <c r="BI157" s="121"/>
      <c r="BJ157" s="121"/>
      <c r="BK157" s="121"/>
      <c r="BL157" s="121"/>
      <c r="BM157" s="121"/>
      <c r="BN157" s="121"/>
      <c r="BO157" s="121"/>
      <c r="BP157" s="121"/>
    </row>
    <row r="158" spans="2:68" ht="15" customHeight="1">
      <c r="B158" s="12">
        <v>46148</v>
      </c>
      <c r="C158" s="121" t="e">
        <f t="shared" si="4"/>
        <v>#REF!</v>
      </c>
      <c r="D158" s="121" t="e">
        <f>SUMIFS(#REF!,#REF!,Extrato!$B158,#REF!,Extrato!D$3)</f>
        <v>#REF!</v>
      </c>
      <c r="E158" s="121" t="e">
        <f>SUMIFS(#REF!,#REF!,Extrato!$B158,#REF!,Extrato!E$3)</f>
        <v>#REF!</v>
      </c>
      <c r="F158" s="121" t="e">
        <f>SUMIFS(#REF!,#REF!,Extrato!$B158,#REF!,Extrato!F$3)</f>
        <v>#REF!</v>
      </c>
      <c r="G158" s="121" t="e">
        <f>SUMIFS(#REF!,#REF!,Extrato!$B158,#REF!,Extrato!G$3)</f>
        <v>#REF!</v>
      </c>
      <c r="H158" s="121" t="e">
        <f>SUMIFS(#REF!,#REF!,Extrato!$B158,#REF!,Extrato!H$3)</f>
        <v>#REF!</v>
      </c>
      <c r="I158" s="121" t="e">
        <f>SUMIFS(#REF!,#REF!,Extrato!$B158,#REF!,Extrato!I$3)</f>
        <v>#REF!</v>
      </c>
      <c r="J158" s="121" t="e">
        <f>SUMIFS(#REF!,#REF!,Extrato!$B158,#REF!,Extrato!J$3)</f>
        <v>#REF!</v>
      </c>
      <c r="K158" s="121" t="e">
        <f>SUMIFS(#REF!,#REF!,Extrato!$B158,#REF!,Extrato!K$3)</f>
        <v>#REF!</v>
      </c>
      <c r="L158" s="121" t="e">
        <f>SUMIFS(#REF!,#REF!,Extrato!$B158,#REF!,Extrato!L$3)</f>
        <v>#REF!</v>
      </c>
      <c r="M158" s="121" t="e">
        <f>SUMIFS(#REF!,#REF!,Extrato!$B158,#REF!,Extrato!M$3)</f>
        <v>#REF!</v>
      </c>
      <c r="N158" s="121" t="e">
        <f>SUMIFS(#REF!,#REF!,Extrato!$B158,#REF!,Extrato!N$3)</f>
        <v>#REF!</v>
      </c>
      <c r="O158" s="121" t="e">
        <f>SUMIFS(#REF!,#REF!,Extrato!$B158,#REF!,Extrato!O$3)</f>
        <v>#REF!</v>
      </c>
      <c r="P158" s="121">
        <f>SUMIF(BetFlow!B:B,B158,BetFlow!J:J)</f>
        <v>-120.0586</v>
      </c>
      <c r="Q158" s="121" t="e">
        <f>SUMIFS(#REF!,#REF!,Extrato!$B158,#REF!,Extrato!Q$3)</f>
        <v>#REF!</v>
      </c>
      <c r="R158" s="121" t="e">
        <f>SUMIFS(#REF!,#REF!,Extrato!$B158,#REF!,Extrato!R$3)</f>
        <v>#REF!</v>
      </c>
      <c r="S158" s="121" t="e">
        <f>SUMIFS(#REF!,#REF!,Extrato!$B158,#REF!,Extrato!S$3)</f>
        <v>#REF!</v>
      </c>
      <c r="T158" s="121" t="e">
        <f>SUMIFS(#REF!,#REF!,Extrato!$B158,#REF!,Extrato!T$3)</f>
        <v>#REF!</v>
      </c>
      <c r="U158" s="121" t="e">
        <f>SUMIFS(#REF!,#REF!,Extrato!$B158,#REF!,Extrato!U$3)</f>
        <v>#REF!</v>
      </c>
      <c r="V158" s="121" t="e">
        <f>SUMIFS(#REF!,#REF!,Extrato!$B158,#REF!,Extrato!V$3)</f>
        <v>#REF!</v>
      </c>
      <c r="W158" s="121" t="e">
        <f>SUMIFS(#REF!,#REF!,Extrato!$B158,#REF!,Extrato!W$3)</f>
        <v>#REF!</v>
      </c>
      <c r="X158" s="121" t="e">
        <f>SUMIFS(#REF!,#REF!,Extrato!$B158,#REF!,Extrato!X$3)</f>
        <v>#REF!</v>
      </c>
      <c r="Y158" s="121" t="e">
        <f>SUMIFS(#REF!,#REF!,Extrato!$B158,#REF!,Extrato!Y$3)</f>
        <v>#REF!</v>
      </c>
      <c r="Z158" s="121" t="e">
        <f>SUMIFS(#REF!,#REF!,Extrato!$B158,#REF!,Extrato!Z$3)</f>
        <v>#REF!</v>
      </c>
      <c r="AA158" s="121" t="e">
        <f>SUMIFS(#REF!,#REF!,Extrato!$B158,#REF!,Extrato!AA$3)</f>
        <v>#REF!</v>
      </c>
      <c r="AB158" s="121" t="e">
        <f>SUMIFS(#REF!,#REF!,Extrato!$B158,#REF!,Extrato!AB$3)</f>
        <v>#REF!</v>
      </c>
      <c r="AC158" s="121" t="e">
        <f>SUMIFS(#REF!,#REF!,Extrato!$B158,#REF!,Extrato!AC$3)</f>
        <v>#REF!</v>
      </c>
      <c r="AD158" s="121" t="e">
        <f>SUMIFS(#REF!,#REF!,Extrato!$B158,#REF!,Extrato!AD$3)</f>
        <v>#REF!</v>
      </c>
      <c r="AE158" s="121" t="e">
        <f>SUMIFS(#REF!,#REF!,Extrato!$B158,#REF!,Extrato!AE$3)</f>
        <v>#REF!</v>
      </c>
      <c r="AF158" s="121" t="e">
        <f>SUMIFS(#REF!,#REF!,Extrato!$B158,#REF!,Extrato!AF$3)</f>
        <v>#REF!</v>
      </c>
      <c r="AG158" s="121" t="e">
        <f>SUMIFS(#REF!,#REF!,Extrato!$B158,#REF!,Extrato!AG$3)</f>
        <v>#REF!</v>
      </c>
      <c r="AH158" s="121" t="e">
        <f>SUMIFS(#REF!,#REF!,Extrato!$B158,#REF!,Extrato!AH$3)</f>
        <v>#REF!</v>
      </c>
      <c r="AI158" s="121" t="e">
        <f>SUMIFS(#REF!,#REF!,Extrato!$B158,#REF!,Extrato!AI$3)</f>
        <v>#REF!</v>
      </c>
      <c r="AJ158" s="121">
        <v>0</v>
      </c>
      <c r="AK158" s="121">
        <v>0</v>
      </c>
      <c r="AL158" s="25" t="e">
        <f t="shared" si="5"/>
        <v>#REF!</v>
      </c>
      <c r="AM158" s="122"/>
      <c r="AN158" s="121">
        <f t="shared" si="7"/>
        <v>743.54508844400016</v>
      </c>
      <c r="AO158" s="121">
        <f>SUMIF(BetFlow!B:B,Extrato!B158,BetFlow!M:M)</f>
        <v>132.44980790080001</v>
      </c>
      <c r="AP158" s="121"/>
      <c r="AQ158" s="121"/>
      <c r="AR158" s="121"/>
      <c r="AS158" s="121"/>
      <c r="AT158" s="121"/>
      <c r="AU158" s="121"/>
      <c r="AV158" s="121"/>
      <c r="AW158" s="121"/>
      <c r="AX158" s="121"/>
      <c r="AY158" s="121"/>
      <c r="AZ158" s="121"/>
      <c r="BA158" s="121"/>
      <c r="BB158" s="121"/>
      <c r="BC158" s="121">
        <v>0</v>
      </c>
      <c r="BD158" s="121">
        <v>0.03</v>
      </c>
      <c r="BE158" s="25">
        <f t="shared" si="6"/>
        <v>876.02489634480014</v>
      </c>
      <c r="BF158" s="122"/>
      <c r="BG158" s="121"/>
      <c r="BH158" s="121"/>
      <c r="BI158" s="121"/>
      <c r="BJ158" s="121"/>
      <c r="BK158" s="121"/>
      <c r="BL158" s="121"/>
      <c r="BM158" s="121"/>
      <c r="BN158" s="121"/>
      <c r="BO158" s="121"/>
      <c r="BP158" s="121"/>
    </row>
    <row r="159" spans="2:68" ht="15" customHeight="1">
      <c r="B159" s="12">
        <v>46149</v>
      </c>
      <c r="C159" s="121" t="e">
        <f t="shared" si="4"/>
        <v>#REF!</v>
      </c>
      <c r="D159" s="121" t="e">
        <f>SUMIFS(#REF!,#REF!,Extrato!$B159,#REF!,Extrato!D$3)</f>
        <v>#REF!</v>
      </c>
      <c r="E159" s="121" t="e">
        <f>SUMIFS(#REF!,#REF!,Extrato!$B159,#REF!,Extrato!E$3)</f>
        <v>#REF!</v>
      </c>
      <c r="F159" s="121" t="e">
        <f>SUMIFS(#REF!,#REF!,Extrato!$B159,#REF!,Extrato!F$3)</f>
        <v>#REF!</v>
      </c>
      <c r="G159" s="121" t="e">
        <f>SUMIFS(#REF!,#REF!,Extrato!$B159,#REF!,Extrato!G$3)</f>
        <v>#REF!</v>
      </c>
      <c r="H159" s="121" t="e">
        <f>SUMIFS(#REF!,#REF!,Extrato!$B159,#REF!,Extrato!H$3)</f>
        <v>#REF!</v>
      </c>
      <c r="I159" s="121" t="e">
        <f>SUMIFS(#REF!,#REF!,Extrato!$B159,#REF!,Extrato!I$3)</f>
        <v>#REF!</v>
      </c>
      <c r="J159" s="121" t="e">
        <f>SUMIFS(#REF!,#REF!,Extrato!$B159,#REF!,Extrato!J$3)</f>
        <v>#REF!</v>
      </c>
      <c r="K159" s="121" t="e">
        <f>SUMIFS(#REF!,#REF!,Extrato!$B159,#REF!,Extrato!K$3)</f>
        <v>#REF!</v>
      </c>
      <c r="L159" s="121" t="e">
        <f>SUMIFS(#REF!,#REF!,Extrato!$B159,#REF!,Extrato!L$3)</f>
        <v>#REF!</v>
      </c>
      <c r="M159" s="121" t="e">
        <f>SUMIFS(#REF!,#REF!,Extrato!$B159,#REF!,Extrato!M$3)</f>
        <v>#REF!</v>
      </c>
      <c r="N159" s="121" t="e">
        <f>SUMIFS(#REF!,#REF!,Extrato!$B159,#REF!,Extrato!N$3)</f>
        <v>#REF!</v>
      </c>
      <c r="O159" s="121" t="e">
        <f>SUMIFS(#REF!,#REF!,Extrato!$B159,#REF!,Extrato!O$3)</f>
        <v>#REF!</v>
      </c>
      <c r="P159" s="121">
        <f>SUMIF(BetFlow!B:B,B159,BetFlow!J:J)</f>
        <v>-55.155999999999999</v>
      </c>
      <c r="Q159" s="121" t="e">
        <f>SUMIFS(#REF!,#REF!,Extrato!$B159,#REF!,Extrato!Q$3)</f>
        <v>#REF!</v>
      </c>
      <c r="R159" s="121" t="e">
        <f>SUMIFS(#REF!,#REF!,Extrato!$B159,#REF!,Extrato!R$3)</f>
        <v>#REF!</v>
      </c>
      <c r="S159" s="121" t="e">
        <f>SUMIFS(#REF!,#REF!,Extrato!$B159,#REF!,Extrato!S$3)</f>
        <v>#REF!</v>
      </c>
      <c r="T159" s="121" t="e">
        <f>SUMIFS(#REF!,#REF!,Extrato!$B159,#REF!,Extrato!T$3)</f>
        <v>#REF!</v>
      </c>
      <c r="U159" s="121" t="e">
        <f>SUMIFS(#REF!,#REF!,Extrato!$B159,#REF!,Extrato!U$3)</f>
        <v>#REF!</v>
      </c>
      <c r="V159" s="121" t="e">
        <f>SUMIFS(#REF!,#REF!,Extrato!$B159,#REF!,Extrato!V$3)</f>
        <v>#REF!</v>
      </c>
      <c r="W159" s="121" t="e">
        <f>SUMIFS(#REF!,#REF!,Extrato!$B159,#REF!,Extrato!W$3)</f>
        <v>#REF!</v>
      </c>
      <c r="X159" s="121" t="e">
        <f>SUMIFS(#REF!,#REF!,Extrato!$B159,#REF!,Extrato!X$3)</f>
        <v>#REF!</v>
      </c>
      <c r="Y159" s="121" t="e">
        <f>SUMIFS(#REF!,#REF!,Extrato!$B159,#REF!,Extrato!Y$3)</f>
        <v>#REF!</v>
      </c>
      <c r="Z159" s="121" t="e">
        <f>SUMIFS(#REF!,#REF!,Extrato!$B159,#REF!,Extrato!Z$3)</f>
        <v>#REF!</v>
      </c>
      <c r="AA159" s="121" t="e">
        <f>SUMIFS(#REF!,#REF!,Extrato!$B159,#REF!,Extrato!AA$3)</f>
        <v>#REF!</v>
      </c>
      <c r="AB159" s="121" t="e">
        <f>SUMIFS(#REF!,#REF!,Extrato!$B159,#REF!,Extrato!AB$3)</f>
        <v>#REF!</v>
      </c>
      <c r="AC159" s="121" t="e">
        <f>SUMIFS(#REF!,#REF!,Extrato!$B159,#REF!,Extrato!AC$3)</f>
        <v>#REF!</v>
      </c>
      <c r="AD159" s="121" t="e">
        <f>SUMIFS(#REF!,#REF!,Extrato!$B159,#REF!,Extrato!AD$3)</f>
        <v>#REF!</v>
      </c>
      <c r="AE159" s="121" t="e">
        <f>SUMIFS(#REF!,#REF!,Extrato!$B159,#REF!,Extrato!AE$3)</f>
        <v>#REF!</v>
      </c>
      <c r="AF159" s="121" t="e">
        <f>SUMIFS(#REF!,#REF!,Extrato!$B159,#REF!,Extrato!AF$3)</f>
        <v>#REF!</v>
      </c>
      <c r="AG159" s="121" t="e">
        <f>SUMIFS(#REF!,#REF!,Extrato!$B159,#REF!,Extrato!AG$3)</f>
        <v>#REF!</v>
      </c>
      <c r="AH159" s="121" t="e">
        <f>SUMIFS(#REF!,#REF!,Extrato!$B159,#REF!,Extrato!AH$3)</f>
        <v>#REF!</v>
      </c>
      <c r="AI159" s="121" t="e">
        <f>SUMIFS(#REF!,#REF!,Extrato!$B159,#REF!,Extrato!AI$3)</f>
        <v>#REF!</v>
      </c>
      <c r="AJ159" s="121">
        <v>0</v>
      </c>
      <c r="AK159" s="121">
        <v>-0.01</v>
      </c>
      <c r="AL159" s="25" t="e">
        <f t="shared" si="5"/>
        <v>#REF!</v>
      </c>
      <c r="AM159" s="122"/>
      <c r="AN159" s="121">
        <f t="shared" si="7"/>
        <v>876.02489634480014</v>
      </c>
      <c r="AO159" s="121">
        <f>SUMIF(BetFlow!B:B,Extrato!B159,BetFlow!M:M)</f>
        <v>66.872431673600005</v>
      </c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>
        <v>0</v>
      </c>
      <c r="BD159" s="121">
        <v>-0.01</v>
      </c>
      <c r="BE159" s="25">
        <f t="shared" si="6"/>
        <v>942.88732801840013</v>
      </c>
      <c r="BF159" s="122"/>
      <c r="BG159" s="121"/>
      <c r="BH159" s="121"/>
      <c r="BI159" s="121"/>
      <c r="BJ159" s="121"/>
      <c r="BK159" s="121"/>
      <c r="BL159" s="121"/>
      <c r="BM159" s="121"/>
      <c r="BN159" s="121"/>
      <c r="BO159" s="121"/>
      <c r="BP159" s="121"/>
    </row>
    <row r="160" spans="2:68" ht="15" customHeight="1">
      <c r="B160" s="12">
        <v>46150</v>
      </c>
      <c r="C160" s="121" t="e">
        <f t="shared" si="4"/>
        <v>#REF!</v>
      </c>
      <c r="D160" s="121" t="e">
        <f>SUMIFS(#REF!,#REF!,Extrato!$B160,#REF!,Extrato!D$3)</f>
        <v>#REF!</v>
      </c>
      <c r="E160" s="121" t="e">
        <f>SUMIFS(#REF!,#REF!,Extrato!$B160,#REF!,Extrato!E$3)</f>
        <v>#REF!</v>
      </c>
      <c r="F160" s="121" t="e">
        <f>SUMIFS(#REF!,#REF!,Extrato!$B160,#REF!,Extrato!F$3)</f>
        <v>#REF!</v>
      </c>
      <c r="G160" s="121" t="e">
        <f>SUMIFS(#REF!,#REF!,Extrato!$B160,#REF!,Extrato!G$3)</f>
        <v>#REF!</v>
      </c>
      <c r="H160" s="121" t="e">
        <f>SUMIFS(#REF!,#REF!,Extrato!$B160,#REF!,Extrato!H$3)</f>
        <v>#REF!</v>
      </c>
      <c r="I160" s="121" t="e">
        <f>SUMIFS(#REF!,#REF!,Extrato!$B160,#REF!,Extrato!I$3)</f>
        <v>#REF!</v>
      </c>
      <c r="J160" s="121" t="e">
        <f>SUMIFS(#REF!,#REF!,Extrato!$B160,#REF!,Extrato!J$3)</f>
        <v>#REF!</v>
      </c>
      <c r="K160" s="121" t="e">
        <f>SUMIFS(#REF!,#REF!,Extrato!$B160,#REF!,Extrato!K$3)</f>
        <v>#REF!</v>
      </c>
      <c r="L160" s="121" t="e">
        <f>SUMIFS(#REF!,#REF!,Extrato!$B160,#REF!,Extrato!L$3)</f>
        <v>#REF!</v>
      </c>
      <c r="M160" s="121" t="e">
        <f>SUMIFS(#REF!,#REF!,Extrato!$B160,#REF!,Extrato!M$3)</f>
        <v>#REF!</v>
      </c>
      <c r="N160" s="121" t="e">
        <f>SUMIFS(#REF!,#REF!,Extrato!$B160,#REF!,Extrato!N$3)</f>
        <v>#REF!</v>
      </c>
      <c r="O160" s="121" t="e">
        <f>SUMIFS(#REF!,#REF!,Extrato!$B160,#REF!,Extrato!O$3)</f>
        <v>#REF!</v>
      </c>
      <c r="P160" s="121">
        <f>SUMIF(BetFlow!B:B,B160,BetFlow!J:J)</f>
        <v>-99.767999999999986</v>
      </c>
      <c r="Q160" s="121" t="e">
        <f>SUMIFS(#REF!,#REF!,Extrato!$B160,#REF!,Extrato!Q$3)</f>
        <v>#REF!</v>
      </c>
      <c r="R160" s="121" t="e">
        <f>SUMIFS(#REF!,#REF!,Extrato!$B160,#REF!,Extrato!R$3)</f>
        <v>#REF!</v>
      </c>
      <c r="S160" s="121" t="e">
        <f>SUMIFS(#REF!,#REF!,Extrato!$B160,#REF!,Extrato!S$3)</f>
        <v>#REF!</v>
      </c>
      <c r="T160" s="121" t="e">
        <f>SUMIFS(#REF!,#REF!,Extrato!$B160,#REF!,Extrato!T$3)</f>
        <v>#REF!</v>
      </c>
      <c r="U160" s="121" t="e">
        <f>SUMIFS(#REF!,#REF!,Extrato!$B160,#REF!,Extrato!U$3)</f>
        <v>#REF!</v>
      </c>
      <c r="V160" s="121" t="e">
        <f>SUMIFS(#REF!,#REF!,Extrato!$B160,#REF!,Extrato!V$3)</f>
        <v>#REF!</v>
      </c>
      <c r="W160" s="121" t="e">
        <f>SUMIFS(#REF!,#REF!,Extrato!$B160,#REF!,Extrato!W$3)</f>
        <v>#REF!</v>
      </c>
      <c r="X160" s="121" t="e">
        <f>SUMIFS(#REF!,#REF!,Extrato!$B160,#REF!,Extrato!X$3)</f>
        <v>#REF!</v>
      </c>
      <c r="Y160" s="121" t="e">
        <f>SUMIFS(#REF!,#REF!,Extrato!$B160,#REF!,Extrato!Y$3)</f>
        <v>#REF!</v>
      </c>
      <c r="Z160" s="121" t="e">
        <f>SUMIFS(#REF!,#REF!,Extrato!$B160,#REF!,Extrato!Z$3)</f>
        <v>#REF!</v>
      </c>
      <c r="AA160" s="121" t="e">
        <f>SUMIFS(#REF!,#REF!,Extrato!$B160,#REF!,Extrato!AA$3)</f>
        <v>#REF!</v>
      </c>
      <c r="AB160" s="121" t="e">
        <f>SUMIFS(#REF!,#REF!,Extrato!$B160,#REF!,Extrato!AB$3)</f>
        <v>#REF!</v>
      </c>
      <c r="AC160" s="121" t="e">
        <f>SUMIFS(#REF!,#REF!,Extrato!$B160,#REF!,Extrato!AC$3)</f>
        <v>#REF!</v>
      </c>
      <c r="AD160" s="121" t="e">
        <f>SUMIFS(#REF!,#REF!,Extrato!$B160,#REF!,Extrato!AD$3)</f>
        <v>#REF!</v>
      </c>
      <c r="AE160" s="121" t="e">
        <f>SUMIFS(#REF!,#REF!,Extrato!$B160,#REF!,Extrato!AE$3)</f>
        <v>#REF!</v>
      </c>
      <c r="AF160" s="121" t="e">
        <f>SUMIFS(#REF!,#REF!,Extrato!$B160,#REF!,Extrato!AF$3)</f>
        <v>#REF!</v>
      </c>
      <c r="AG160" s="121" t="e">
        <f>SUMIFS(#REF!,#REF!,Extrato!$B160,#REF!,Extrato!AG$3)</f>
        <v>#REF!</v>
      </c>
      <c r="AH160" s="121" t="e">
        <f>SUMIFS(#REF!,#REF!,Extrato!$B160,#REF!,Extrato!AH$3)</f>
        <v>#REF!</v>
      </c>
      <c r="AI160" s="121" t="e">
        <f>SUMIFS(#REF!,#REF!,Extrato!$B160,#REF!,Extrato!AI$3)</f>
        <v>#REF!</v>
      </c>
      <c r="AJ160" s="121">
        <v>0</v>
      </c>
      <c r="AK160" s="121">
        <v>-0.01</v>
      </c>
      <c r="AL160" s="25" t="e">
        <f t="shared" si="5"/>
        <v>#REF!</v>
      </c>
      <c r="AM160" s="122"/>
      <c r="AN160" s="121">
        <f t="shared" si="7"/>
        <v>942.88732801840013</v>
      </c>
      <c r="AO160" s="121">
        <f>SUMIF(BetFlow!B:B,Extrato!B160,BetFlow!M:M)</f>
        <v>129.73038895439998</v>
      </c>
      <c r="AP160" s="121"/>
      <c r="AQ160" s="121"/>
      <c r="AR160" s="121"/>
      <c r="AS160" s="121"/>
      <c r="AT160" s="121"/>
      <c r="AU160" s="121"/>
      <c r="AV160" s="121"/>
      <c r="AW160" s="121"/>
      <c r="AX160" s="121"/>
      <c r="AY160" s="121"/>
      <c r="AZ160" s="121"/>
      <c r="BA160" s="121"/>
      <c r="BB160" s="121"/>
      <c r="BC160" s="121">
        <v>0</v>
      </c>
      <c r="BD160" s="121">
        <v>0</v>
      </c>
      <c r="BE160" s="25">
        <f t="shared" si="6"/>
        <v>1072.6177169728001</v>
      </c>
      <c r="BF160" s="122"/>
      <c r="BG160" s="121"/>
      <c r="BH160" s="121"/>
      <c r="BI160" s="121"/>
      <c r="BJ160" s="121"/>
      <c r="BK160" s="121"/>
      <c r="BL160" s="121"/>
      <c r="BM160" s="121"/>
      <c r="BN160" s="121"/>
      <c r="BO160" s="121"/>
      <c r="BP160" s="121"/>
    </row>
    <row r="161" spans="2:68" ht="15" customHeight="1">
      <c r="B161" s="12">
        <v>46151</v>
      </c>
      <c r="C161" s="121" t="e">
        <f t="shared" si="4"/>
        <v>#REF!</v>
      </c>
      <c r="D161" s="121" t="e">
        <f>SUMIFS(#REF!,#REF!,Extrato!$B161,#REF!,Extrato!D$3)</f>
        <v>#REF!</v>
      </c>
      <c r="E161" s="121" t="e">
        <f>SUMIFS(#REF!,#REF!,Extrato!$B161,#REF!,Extrato!E$3)</f>
        <v>#REF!</v>
      </c>
      <c r="F161" s="121" t="e">
        <f>SUMIFS(#REF!,#REF!,Extrato!$B161,#REF!,Extrato!F$3)</f>
        <v>#REF!</v>
      </c>
      <c r="G161" s="121" t="e">
        <f>SUMIFS(#REF!,#REF!,Extrato!$B161,#REF!,Extrato!G$3)</f>
        <v>#REF!</v>
      </c>
      <c r="H161" s="121" t="e">
        <f>SUMIFS(#REF!,#REF!,Extrato!$B161,#REF!,Extrato!H$3)</f>
        <v>#REF!</v>
      </c>
      <c r="I161" s="121" t="e">
        <f>SUMIFS(#REF!,#REF!,Extrato!$B161,#REF!,Extrato!I$3)</f>
        <v>#REF!</v>
      </c>
      <c r="J161" s="121" t="e">
        <f>SUMIFS(#REF!,#REF!,Extrato!$B161,#REF!,Extrato!J$3)</f>
        <v>#REF!</v>
      </c>
      <c r="K161" s="121" t="e">
        <f>SUMIFS(#REF!,#REF!,Extrato!$B161,#REF!,Extrato!K$3)</f>
        <v>#REF!</v>
      </c>
      <c r="L161" s="121" t="e">
        <f>SUMIFS(#REF!,#REF!,Extrato!$B161,#REF!,Extrato!L$3)</f>
        <v>#REF!</v>
      </c>
      <c r="M161" s="121" t="e">
        <f>SUMIFS(#REF!,#REF!,Extrato!$B161,#REF!,Extrato!M$3)</f>
        <v>#REF!</v>
      </c>
      <c r="N161" s="121" t="e">
        <f>SUMIFS(#REF!,#REF!,Extrato!$B161,#REF!,Extrato!N$3)</f>
        <v>#REF!</v>
      </c>
      <c r="O161" s="121" t="e">
        <f>SUMIFS(#REF!,#REF!,Extrato!$B161,#REF!,Extrato!O$3)</f>
        <v>#REF!</v>
      </c>
      <c r="P161" s="121">
        <f>SUMIF(BetFlow!B:B,B161,BetFlow!J:J)</f>
        <v>9.8780000000000001</v>
      </c>
      <c r="Q161" s="121" t="e">
        <f>SUMIFS(#REF!,#REF!,Extrato!$B161,#REF!,Extrato!Q$3)</f>
        <v>#REF!</v>
      </c>
      <c r="R161" s="121" t="e">
        <f>SUMIFS(#REF!,#REF!,Extrato!$B161,#REF!,Extrato!R$3)</f>
        <v>#REF!</v>
      </c>
      <c r="S161" s="121" t="e">
        <f>SUMIFS(#REF!,#REF!,Extrato!$B161,#REF!,Extrato!S$3)</f>
        <v>#REF!</v>
      </c>
      <c r="T161" s="121" t="e">
        <f>SUMIFS(#REF!,#REF!,Extrato!$B161,#REF!,Extrato!T$3)</f>
        <v>#REF!</v>
      </c>
      <c r="U161" s="121" t="e">
        <f>SUMIFS(#REF!,#REF!,Extrato!$B161,#REF!,Extrato!U$3)</f>
        <v>#REF!</v>
      </c>
      <c r="V161" s="121" t="e">
        <f>SUMIFS(#REF!,#REF!,Extrato!$B161,#REF!,Extrato!V$3)</f>
        <v>#REF!</v>
      </c>
      <c r="W161" s="121" t="e">
        <f>SUMIFS(#REF!,#REF!,Extrato!$B161,#REF!,Extrato!W$3)</f>
        <v>#REF!</v>
      </c>
      <c r="X161" s="121" t="e">
        <f>SUMIFS(#REF!,#REF!,Extrato!$B161,#REF!,Extrato!X$3)</f>
        <v>#REF!</v>
      </c>
      <c r="Y161" s="121" t="e">
        <f>SUMIFS(#REF!,#REF!,Extrato!$B161,#REF!,Extrato!Y$3)</f>
        <v>#REF!</v>
      </c>
      <c r="Z161" s="121" t="e">
        <f>SUMIFS(#REF!,#REF!,Extrato!$B161,#REF!,Extrato!Z$3)</f>
        <v>#REF!</v>
      </c>
      <c r="AA161" s="121" t="e">
        <f>SUMIFS(#REF!,#REF!,Extrato!$B161,#REF!,Extrato!AA$3)</f>
        <v>#REF!</v>
      </c>
      <c r="AB161" s="121" t="e">
        <f>SUMIFS(#REF!,#REF!,Extrato!$B161,#REF!,Extrato!AB$3)</f>
        <v>#REF!</v>
      </c>
      <c r="AC161" s="121" t="e">
        <f>SUMIFS(#REF!,#REF!,Extrato!$B161,#REF!,Extrato!AC$3)</f>
        <v>#REF!</v>
      </c>
      <c r="AD161" s="121" t="e">
        <f>SUMIFS(#REF!,#REF!,Extrato!$B161,#REF!,Extrato!AD$3)</f>
        <v>#REF!</v>
      </c>
      <c r="AE161" s="121" t="e">
        <f>SUMIFS(#REF!,#REF!,Extrato!$B161,#REF!,Extrato!AE$3)</f>
        <v>#REF!</v>
      </c>
      <c r="AF161" s="121" t="e">
        <f>SUMIFS(#REF!,#REF!,Extrato!$B161,#REF!,Extrato!AF$3)</f>
        <v>#REF!</v>
      </c>
      <c r="AG161" s="121" t="e">
        <f>SUMIFS(#REF!,#REF!,Extrato!$B161,#REF!,Extrato!AG$3)</f>
        <v>#REF!</v>
      </c>
      <c r="AH161" s="121" t="e">
        <f>SUMIFS(#REF!,#REF!,Extrato!$B161,#REF!,Extrato!AH$3)</f>
        <v>#REF!</v>
      </c>
      <c r="AI161" s="121" t="e">
        <f>SUMIFS(#REF!,#REF!,Extrato!$B161,#REF!,Extrato!AI$3)</f>
        <v>#REF!</v>
      </c>
      <c r="AJ161" s="121">
        <v>0</v>
      </c>
      <c r="AK161" s="121">
        <v>0.64</v>
      </c>
      <c r="AL161" s="25" t="e">
        <f t="shared" si="5"/>
        <v>#REF!</v>
      </c>
      <c r="AM161" s="122"/>
      <c r="AN161" s="121">
        <f t="shared" si="7"/>
        <v>1072.6177169728001</v>
      </c>
      <c r="AO161" s="121">
        <f>SUMIF(BetFlow!B:B,Extrato!B161,BetFlow!M:M)</f>
        <v>-0.92334176639999654</v>
      </c>
      <c r="AP161" s="121"/>
      <c r="AQ161" s="121"/>
      <c r="AR161" s="121"/>
      <c r="AS161" s="121"/>
      <c r="AT161" s="121"/>
      <c r="AU161" s="121"/>
      <c r="AV161" s="121"/>
      <c r="AW161" s="121"/>
      <c r="AX161" s="121"/>
      <c r="AY161" s="121"/>
      <c r="AZ161" s="121"/>
      <c r="BA161" s="121"/>
      <c r="BB161" s="121"/>
      <c r="BC161" s="121">
        <v>0</v>
      </c>
      <c r="BD161" s="121">
        <v>0.01</v>
      </c>
      <c r="BE161" s="25">
        <f t="shared" si="6"/>
        <v>1071.7043752064001</v>
      </c>
      <c r="BF161" s="122"/>
      <c r="BG161" s="121"/>
      <c r="BH161" s="121"/>
      <c r="BI161" s="121"/>
      <c r="BJ161" s="121"/>
      <c r="BK161" s="121"/>
      <c r="BL161" s="121"/>
      <c r="BM161" s="121"/>
      <c r="BN161" s="121"/>
      <c r="BO161" s="121"/>
      <c r="BP161" s="121"/>
    </row>
    <row r="162" spans="2:68" ht="15" customHeight="1">
      <c r="B162" s="12">
        <v>46152</v>
      </c>
      <c r="C162" s="121" t="e">
        <f t="shared" si="4"/>
        <v>#REF!</v>
      </c>
      <c r="D162" s="121" t="e">
        <f>SUMIFS(#REF!,#REF!,Extrato!$B162,#REF!,Extrato!D$3)</f>
        <v>#REF!</v>
      </c>
      <c r="E162" s="121" t="e">
        <f>SUMIFS(#REF!,#REF!,Extrato!$B162,#REF!,Extrato!E$3)</f>
        <v>#REF!</v>
      </c>
      <c r="F162" s="121" t="e">
        <f>SUMIFS(#REF!,#REF!,Extrato!$B162,#REF!,Extrato!F$3)</f>
        <v>#REF!</v>
      </c>
      <c r="G162" s="121" t="e">
        <f>SUMIFS(#REF!,#REF!,Extrato!$B162,#REF!,Extrato!G$3)</f>
        <v>#REF!</v>
      </c>
      <c r="H162" s="121" t="e">
        <f>SUMIFS(#REF!,#REF!,Extrato!$B162,#REF!,Extrato!H$3)</f>
        <v>#REF!</v>
      </c>
      <c r="I162" s="121" t="e">
        <f>SUMIFS(#REF!,#REF!,Extrato!$B162,#REF!,Extrato!I$3)</f>
        <v>#REF!</v>
      </c>
      <c r="J162" s="121" t="e">
        <f>SUMIFS(#REF!,#REF!,Extrato!$B162,#REF!,Extrato!J$3)</f>
        <v>#REF!</v>
      </c>
      <c r="K162" s="121" t="e">
        <f>SUMIFS(#REF!,#REF!,Extrato!$B162,#REF!,Extrato!K$3)</f>
        <v>#REF!</v>
      </c>
      <c r="L162" s="121" t="e">
        <f>SUMIFS(#REF!,#REF!,Extrato!$B162,#REF!,Extrato!L$3)</f>
        <v>#REF!</v>
      </c>
      <c r="M162" s="121" t="e">
        <f>SUMIFS(#REF!,#REF!,Extrato!$B162,#REF!,Extrato!M$3)</f>
        <v>#REF!</v>
      </c>
      <c r="N162" s="121" t="e">
        <f>SUMIFS(#REF!,#REF!,Extrato!$B162,#REF!,Extrato!N$3)</f>
        <v>#REF!</v>
      </c>
      <c r="O162" s="121" t="e">
        <f>SUMIFS(#REF!,#REF!,Extrato!$B162,#REF!,Extrato!O$3)</f>
        <v>#REF!</v>
      </c>
      <c r="P162" s="121">
        <f>SUMIF(BetFlow!B:B,B162,BetFlow!J:J)</f>
        <v>88.642300000000006</v>
      </c>
      <c r="Q162" s="121" t="e">
        <f>SUMIFS(#REF!,#REF!,Extrato!$B162,#REF!,Extrato!Q$3)</f>
        <v>#REF!</v>
      </c>
      <c r="R162" s="121" t="e">
        <f>SUMIFS(#REF!,#REF!,Extrato!$B162,#REF!,Extrato!R$3)</f>
        <v>#REF!</v>
      </c>
      <c r="S162" s="121" t="e">
        <f>SUMIFS(#REF!,#REF!,Extrato!$B162,#REF!,Extrato!S$3)</f>
        <v>#REF!</v>
      </c>
      <c r="T162" s="121" t="e">
        <f>SUMIFS(#REF!,#REF!,Extrato!$B162,#REF!,Extrato!T$3)</f>
        <v>#REF!</v>
      </c>
      <c r="U162" s="121" t="e">
        <f>SUMIFS(#REF!,#REF!,Extrato!$B162,#REF!,Extrato!U$3)</f>
        <v>#REF!</v>
      </c>
      <c r="V162" s="121" t="e">
        <f>SUMIFS(#REF!,#REF!,Extrato!$B162,#REF!,Extrato!V$3)</f>
        <v>#REF!</v>
      </c>
      <c r="W162" s="121" t="e">
        <f>SUMIFS(#REF!,#REF!,Extrato!$B162,#REF!,Extrato!W$3)</f>
        <v>#REF!</v>
      </c>
      <c r="X162" s="121" t="e">
        <f>SUMIFS(#REF!,#REF!,Extrato!$B162,#REF!,Extrato!X$3)</f>
        <v>#REF!</v>
      </c>
      <c r="Y162" s="121" t="e">
        <f>SUMIFS(#REF!,#REF!,Extrato!$B162,#REF!,Extrato!Y$3)</f>
        <v>#REF!</v>
      </c>
      <c r="Z162" s="121" t="e">
        <f>SUMIFS(#REF!,#REF!,Extrato!$B162,#REF!,Extrato!Z$3)</f>
        <v>#REF!</v>
      </c>
      <c r="AA162" s="121" t="e">
        <f>SUMIFS(#REF!,#REF!,Extrato!$B162,#REF!,Extrato!AA$3)</f>
        <v>#REF!</v>
      </c>
      <c r="AB162" s="121" t="e">
        <f>SUMIFS(#REF!,#REF!,Extrato!$B162,#REF!,Extrato!AB$3)</f>
        <v>#REF!</v>
      </c>
      <c r="AC162" s="121" t="e">
        <f>SUMIFS(#REF!,#REF!,Extrato!$B162,#REF!,Extrato!AC$3)</f>
        <v>#REF!</v>
      </c>
      <c r="AD162" s="121" t="e">
        <f>SUMIFS(#REF!,#REF!,Extrato!$B162,#REF!,Extrato!AD$3)</f>
        <v>#REF!</v>
      </c>
      <c r="AE162" s="121" t="e">
        <f>SUMIFS(#REF!,#REF!,Extrato!$B162,#REF!,Extrato!AE$3)</f>
        <v>#REF!</v>
      </c>
      <c r="AF162" s="121" t="e">
        <f>SUMIFS(#REF!,#REF!,Extrato!$B162,#REF!,Extrato!AF$3)</f>
        <v>#REF!</v>
      </c>
      <c r="AG162" s="121" t="e">
        <f>SUMIFS(#REF!,#REF!,Extrato!$B162,#REF!,Extrato!AG$3)</f>
        <v>#REF!</v>
      </c>
      <c r="AH162" s="121" t="e">
        <f>SUMIFS(#REF!,#REF!,Extrato!$B162,#REF!,Extrato!AH$3)</f>
        <v>#REF!</v>
      </c>
      <c r="AI162" s="121" t="e">
        <f>SUMIFS(#REF!,#REF!,Extrato!$B162,#REF!,Extrato!AI$3)</f>
        <v>#REF!</v>
      </c>
      <c r="AJ162" s="121">
        <v>0</v>
      </c>
      <c r="AK162" s="121">
        <v>-0.62</v>
      </c>
      <c r="AL162" s="25" t="e">
        <f t="shared" si="5"/>
        <v>#REF!</v>
      </c>
      <c r="AM162" s="122"/>
      <c r="AN162" s="121">
        <f t="shared" si="7"/>
        <v>1071.7043752064001</v>
      </c>
      <c r="AO162" s="121">
        <f>SUMIF(BetFlow!B:B,Extrato!B162,BetFlow!M:M)</f>
        <v>-63.102366852399996</v>
      </c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>
        <v>0</v>
      </c>
      <c r="BD162" s="121">
        <v>0</v>
      </c>
      <c r="BE162" s="25">
        <f t="shared" si="6"/>
        <v>1008.6020083540001</v>
      </c>
      <c r="BF162" s="122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</row>
    <row r="163" spans="2:68" ht="15" customHeight="1">
      <c r="B163" s="12">
        <v>46153</v>
      </c>
      <c r="C163" s="121" t="e">
        <f t="shared" si="4"/>
        <v>#REF!</v>
      </c>
      <c r="D163" s="121" t="e">
        <f>SUMIFS(#REF!,#REF!,Extrato!$B163,#REF!,Extrato!D$3)</f>
        <v>#REF!</v>
      </c>
      <c r="E163" s="121" t="e">
        <f>SUMIFS(#REF!,#REF!,Extrato!$B163,#REF!,Extrato!E$3)</f>
        <v>#REF!</v>
      </c>
      <c r="F163" s="121" t="e">
        <f>SUMIFS(#REF!,#REF!,Extrato!$B163,#REF!,Extrato!F$3)</f>
        <v>#REF!</v>
      </c>
      <c r="G163" s="121" t="e">
        <f>SUMIFS(#REF!,#REF!,Extrato!$B163,#REF!,Extrato!G$3)</f>
        <v>#REF!</v>
      </c>
      <c r="H163" s="121" t="e">
        <f>SUMIFS(#REF!,#REF!,Extrato!$B163,#REF!,Extrato!H$3)</f>
        <v>#REF!</v>
      </c>
      <c r="I163" s="121" t="e">
        <f>SUMIFS(#REF!,#REF!,Extrato!$B163,#REF!,Extrato!I$3)</f>
        <v>#REF!</v>
      </c>
      <c r="J163" s="121" t="e">
        <f>SUMIFS(#REF!,#REF!,Extrato!$B163,#REF!,Extrato!J$3)</f>
        <v>#REF!</v>
      </c>
      <c r="K163" s="121" t="e">
        <f>SUMIFS(#REF!,#REF!,Extrato!$B163,#REF!,Extrato!K$3)</f>
        <v>#REF!</v>
      </c>
      <c r="L163" s="121" t="e">
        <f>SUMIFS(#REF!,#REF!,Extrato!$B163,#REF!,Extrato!L$3)</f>
        <v>#REF!</v>
      </c>
      <c r="M163" s="121" t="e">
        <f>SUMIFS(#REF!,#REF!,Extrato!$B163,#REF!,Extrato!M$3)</f>
        <v>#REF!</v>
      </c>
      <c r="N163" s="121" t="e">
        <f>SUMIFS(#REF!,#REF!,Extrato!$B163,#REF!,Extrato!N$3)</f>
        <v>#REF!</v>
      </c>
      <c r="O163" s="121" t="e">
        <f>SUMIFS(#REF!,#REF!,Extrato!$B163,#REF!,Extrato!O$3)</f>
        <v>#REF!</v>
      </c>
      <c r="P163" s="121">
        <f>SUMIF(BetFlow!B:B,B163,BetFlow!J:J)</f>
        <v>36.135999999999996</v>
      </c>
      <c r="Q163" s="121" t="e">
        <f>SUMIFS(#REF!,#REF!,Extrato!$B163,#REF!,Extrato!Q$3)</f>
        <v>#REF!</v>
      </c>
      <c r="R163" s="121" t="e">
        <f>SUMIFS(#REF!,#REF!,Extrato!$B163,#REF!,Extrato!R$3)</f>
        <v>#REF!</v>
      </c>
      <c r="S163" s="121" t="e">
        <f>SUMIFS(#REF!,#REF!,Extrato!$B163,#REF!,Extrato!S$3)</f>
        <v>#REF!</v>
      </c>
      <c r="T163" s="121" t="e">
        <f>SUMIFS(#REF!,#REF!,Extrato!$B163,#REF!,Extrato!T$3)</f>
        <v>#REF!</v>
      </c>
      <c r="U163" s="121" t="e">
        <f>SUMIFS(#REF!,#REF!,Extrato!$B163,#REF!,Extrato!U$3)</f>
        <v>#REF!</v>
      </c>
      <c r="V163" s="121" t="e">
        <f>SUMIFS(#REF!,#REF!,Extrato!$B163,#REF!,Extrato!V$3)</f>
        <v>#REF!</v>
      </c>
      <c r="W163" s="121" t="e">
        <f>SUMIFS(#REF!,#REF!,Extrato!$B163,#REF!,Extrato!W$3)</f>
        <v>#REF!</v>
      </c>
      <c r="X163" s="121" t="e">
        <f>SUMIFS(#REF!,#REF!,Extrato!$B163,#REF!,Extrato!X$3)</f>
        <v>#REF!</v>
      </c>
      <c r="Y163" s="121" t="e">
        <f>SUMIFS(#REF!,#REF!,Extrato!$B163,#REF!,Extrato!Y$3)</f>
        <v>#REF!</v>
      </c>
      <c r="Z163" s="121" t="e">
        <f>SUMIFS(#REF!,#REF!,Extrato!$B163,#REF!,Extrato!Z$3)</f>
        <v>#REF!</v>
      </c>
      <c r="AA163" s="121" t="e">
        <f>SUMIFS(#REF!,#REF!,Extrato!$B163,#REF!,Extrato!AA$3)</f>
        <v>#REF!</v>
      </c>
      <c r="AB163" s="121" t="e">
        <f>SUMIFS(#REF!,#REF!,Extrato!$B163,#REF!,Extrato!AB$3)</f>
        <v>#REF!</v>
      </c>
      <c r="AC163" s="121" t="e">
        <f>SUMIFS(#REF!,#REF!,Extrato!$B163,#REF!,Extrato!AC$3)</f>
        <v>#REF!</v>
      </c>
      <c r="AD163" s="121" t="e">
        <f>SUMIFS(#REF!,#REF!,Extrato!$B163,#REF!,Extrato!AD$3)</f>
        <v>#REF!</v>
      </c>
      <c r="AE163" s="121" t="e">
        <f>SUMIFS(#REF!,#REF!,Extrato!$B163,#REF!,Extrato!AE$3)</f>
        <v>#REF!</v>
      </c>
      <c r="AF163" s="121" t="e">
        <f>SUMIFS(#REF!,#REF!,Extrato!$B163,#REF!,Extrato!AF$3)</f>
        <v>#REF!</v>
      </c>
      <c r="AG163" s="121" t="e">
        <f>SUMIFS(#REF!,#REF!,Extrato!$B163,#REF!,Extrato!AG$3)</f>
        <v>#REF!</v>
      </c>
      <c r="AH163" s="121" t="e">
        <f>SUMIFS(#REF!,#REF!,Extrato!$B163,#REF!,Extrato!AH$3)</f>
        <v>#REF!</v>
      </c>
      <c r="AI163" s="121" t="e">
        <f>SUMIFS(#REF!,#REF!,Extrato!$B163,#REF!,Extrato!AI$3)</f>
        <v>#REF!</v>
      </c>
      <c r="AJ163" s="121">
        <v>0</v>
      </c>
      <c r="AK163" s="121">
        <v>-0.01</v>
      </c>
      <c r="AL163" s="25" t="e">
        <f t="shared" si="5"/>
        <v>#REF!</v>
      </c>
      <c r="AM163" s="122"/>
      <c r="AN163" s="121">
        <f t="shared" si="7"/>
        <v>1008.6020083540001</v>
      </c>
      <c r="AO163" s="121">
        <f>SUMIF(BetFlow!B:B,Extrato!B163,BetFlow!M:M)</f>
        <v>-30.438102712399992</v>
      </c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>
        <v>0</v>
      </c>
      <c r="BD163" s="121">
        <v>0</v>
      </c>
      <c r="BE163" s="25">
        <f t="shared" si="6"/>
        <v>978.16390564160008</v>
      </c>
      <c r="BF163" s="122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</row>
    <row r="164" spans="2:68" ht="15" customHeight="1">
      <c r="B164" s="12">
        <v>46154</v>
      </c>
      <c r="C164" s="121" t="e">
        <f t="shared" si="4"/>
        <v>#REF!</v>
      </c>
      <c r="D164" s="121" t="e">
        <f>SUMIFS(#REF!,#REF!,Extrato!$B164,#REF!,Extrato!D$3)</f>
        <v>#REF!</v>
      </c>
      <c r="E164" s="121" t="e">
        <f>SUMIFS(#REF!,#REF!,Extrato!$B164,#REF!,Extrato!E$3)</f>
        <v>#REF!</v>
      </c>
      <c r="F164" s="121" t="e">
        <f>SUMIFS(#REF!,#REF!,Extrato!$B164,#REF!,Extrato!F$3)</f>
        <v>#REF!</v>
      </c>
      <c r="G164" s="121" t="e">
        <f>SUMIFS(#REF!,#REF!,Extrato!$B164,#REF!,Extrato!G$3)</f>
        <v>#REF!</v>
      </c>
      <c r="H164" s="121" t="e">
        <f>SUMIFS(#REF!,#REF!,Extrato!$B164,#REF!,Extrato!H$3)</f>
        <v>#REF!</v>
      </c>
      <c r="I164" s="121" t="e">
        <f>SUMIFS(#REF!,#REF!,Extrato!$B164,#REF!,Extrato!I$3)</f>
        <v>#REF!</v>
      </c>
      <c r="J164" s="121" t="e">
        <f>SUMIFS(#REF!,#REF!,Extrato!$B164,#REF!,Extrato!J$3)</f>
        <v>#REF!</v>
      </c>
      <c r="K164" s="121" t="e">
        <f>SUMIFS(#REF!,#REF!,Extrato!$B164,#REF!,Extrato!K$3)</f>
        <v>#REF!</v>
      </c>
      <c r="L164" s="121" t="e">
        <f>SUMIFS(#REF!,#REF!,Extrato!$B164,#REF!,Extrato!L$3)</f>
        <v>#REF!</v>
      </c>
      <c r="M164" s="121" t="e">
        <f>SUMIFS(#REF!,#REF!,Extrato!$B164,#REF!,Extrato!M$3)</f>
        <v>#REF!</v>
      </c>
      <c r="N164" s="121" t="e">
        <f>SUMIFS(#REF!,#REF!,Extrato!$B164,#REF!,Extrato!N$3)</f>
        <v>#REF!</v>
      </c>
      <c r="O164" s="121" t="e">
        <f>SUMIFS(#REF!,#REF!,Extrato!$B164,#REF!,Extrato!O$3)</f>
        <v>#REF!</v>
      </c>
      <c r="P164" s="121">
        <f>SUMIF(BetFlow!B:B,B164,BetFlow!J:J)</f>
        <v>62.505399999999995</v>
      </c>
      <c r="Q164" s="121" t="e">
        <f>SUMIFS(#REF!,#REF!,Extrato!$B164,#REF!,Extrato!Q$3)</f>
        <v>#REF!</v>
      </c>
      <c r="R164" s="121" t="e">
        <f>SUMIFS(#REF!,#REF!,Extrato!$B164,#REF!,Extrato!R$3)</f>
        <v>#REF!</v>
      </c>
      <c r="S164" s="121" t="e">
        <f>SUMIFS(#REF!,#REF!,Extrato!$B164,#REF!,Extrato!S$3)</f>
        <v>#REF!</v>
      </c>
      <c r="T164" s="121" t="e">
        <f>SUMIFS(#REF!,#REF!,Extrato!$B164,#REF!,Extrato!T$3)</f>
        <v>#REF!</v>
      </c>
      <c r="U164" s="121" t="e">
        <f>SUMIFS(#REF!,#REF!,Extrato!$B164,#REF!,Extrato!U$3)</f>
        <v>#REF!</v>
      </c>
      <c r="V164" s="121" t="e">
        <f>SUMIFS(#REF!,#REF!,Extrato!$B164,#REF!,Extrato!V$3)</f>
        <v>#REF!</v>
      </c>
      <c r="W164" s="121" t="e">
        <f>SUMIFS(#REF!,#REF!,Extrato!$B164,#REF!,Extrato!W$3)</f>
        <v>#REF!</v>
      </c>
      <c r="X164" s="121" t="e">
        <f>SUMIFS(#REF!,#REF!,Extrato!$B164,#REF!,Extrato!X$3)</f>
        <v>#REF!</v>
      </c>
      <c r="Y164" s="121" t="e">
        <f>SUMIFS(#REF!,#REF!,Extrato!$B164,#REF!,Extrato!Y$3)</f>
        <v>#REF!</v>
      </c>
      <c r="Z164" s="121" t="e">
        <f>SUMIFS(#REF!,#REF!,Extrato!$B164,#REF!,Extrato!Z$3)</f>
        <v>#REF!</v>
      </c>
      <c r="AA164" s="121" t="e">
        <f>SUMIFS(#REF!,#REF!,Extrato!$B164,#REF!,Extrato!AA$3)</f>
        <v>#REF!</v>
      </c>
      <c r="AB164" s="121" t="e">
        <f>SUMIFS(#REF!,#REF!,Extrato!$B164,#REF!,Extrato!AB$3)</f>
        <v>#REF!</v>
      </c>
      <c r="AC164" s="121" t="e">
        <f>SUMIFS(#REF!,#REF!,Extrato!$B164,#REF!,Extrato!AC$3)</f>
        <v>#REF!</v>
      </c>
      <c r="AD164" s="121" t="e">
        <f>SUMIFS(#REF!,#REF!,Extrato!$B164,#REF!,Extrato!AD$3)</f>
        <v>#REF!</v>
      </c>
      <c r="AE164" s="121" t="e">
        <f>SUMIFS(#REF!,#REF!,Extrato!$B164,#REF!,Extrato!AE$3)</f>
        <v>#REF!</v>
      </c>
      <c r="AF164" s="121" t="e">
        <f>SUMIFS(#REF!,#REF!,Extrato!$B164,#REF!,Extrato!AF$3)</f>
        <v>#REF!</v>
      </c>
      <c r="AG164" s="121" t="e">
        <f>SUMIFS(#REF!,#REF!,Extrato!$B164,#REF!,Extrato!AG$3)</f>
        <v>#REF!</v>
      </c>
      <c r="AH164" s="121" t="e">
        <f>SUMIFS(#REF!,#REF!,Extrato!$B164,#REF!,Extrato!AH$3)</f>
        <v>#REF!</v>
      </c>
      <c r="AI164" s="121" t="e">
        <f>SUMIFS(#REF!,#REF!,Extrato!$B164,#REF!,Extrato!AI$3)</f>
        <v>#REF!</v>
      </c>
      <c r="AJ164" s="121">
        <v>0</v>
      </c>
      <c r="AK164" s="121">
        <v>0.01</v>
      </c>
      <c r="AL164" s="25" t="e">
        <f t="shared" si="5"/>
        <v>#REF!</v>
      </c>
      <c r="AM164" s="122"/>
      <c r="AN164" s="121">
        <f t="shared" si="7"/>
        <v>978.16390564160008</v>
      </c>
      <c r="AO164" s="121">
        <f>SUMIF(BetFlow!B:B,Extrato!B164,BetFlow!M:M)</f>
        <v>-48.712618320000004</v>
      </c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>
        <v>950</v>
      </c>
      <c r="BD164" s="121">
        <v>0.02</v>
      </c>
      <c r="BE164" s="25">
        <f t="shared" si="6"/>
        <v>1879.4712873215999</v>
      </c>
      <c r="BF164" s="122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</row>
    <row r="165" spans="2:68" ht="15" customHeight="1">
      <c r="B165" s="12">
        <v>46155</v>
      </c>
      <c r="C165" s="121" t="e">
        <f t="shared" si="4"/>
        <v>#REF!</v>
      </c>
      <c r="D165" s="121" t="e">
        <f>SUMIFS(#REF!,#REF!,Extrato!$B165,#REF!,Extrato!D$3)</f>
        <v>#REF!</v>
      </c>
      <c r="E165" s="121" t="e">
        <f>SUMIFS(#REF!,#REF!,Extrato!$B165,#REF!,Extrato!E$3)</f>
        <v>#REF!</v>
      </c>
      <c r="F165" s="121" t="e">
        <f>SUMIFS(#REF!,#REF!,Extrato!$B165,#REF!,Extrato!F$3)</f>
        <v>#REF!</v>
      </c>
      <c r="G165" s="121" t="e">
        <f>SUMIFS(#REF!,#REF!,Extrato!$B165,#REF!,Extrato!G$3)</f>
        <v>#REF!</v>
      </c>
      <c r="H165" s="121" t="e">
        <f>SUMIFS(#REF!,#REF!,Extrato!$B165,#REF!,Extrato!H$3)</f>
        <v>#REF!</v>
      </c>
      <c r="I165" s="121" t="e">
        <f>SUMIFS(#REF!,#REF!,Extrato!$B165,#REF!,Extrato!I$3)</f>
        <v>#REF!</v>
      </c>
      <c r="J165" s="121" t="e">
        <f>SUMIFS(#REF!,#REF!,Extrato!$B165,#REF!,Extrato!J$3)</f>
        <v>#REF!</v>
      </c>
      <c r="K165" s="121" t="e">
        <f>SUMIFS(#REF!,#REF!,Extrato!$B165,#REF!,Extrato!K$3)</f>
        <v>#REF!</v>
      </c>
      <c r="L165" s="121" t="e">
        <f>SUMIFS(#REF!,#REF!,Extrato!$B165,#REF!,Extrato!L$3)</f>
        <v>#REF!</v>
      </c>
      <c r="M165" s="121" t="e">
        <f>SUMIFS(#REF!,#REF!,Extrato!$B165,#REF!,Extrato!M$3)</f>
        <v>#REF!</v>
      </c>
      <c r="N165" s="121" t="e">
        <f>SUMIFS(#REF!,#REF!,Extrato!$B165,#REF!,Extrato!N$3)</f>
        <v>#REF!</v>
      </c>
      <c r="O165" s="121" t="e">
        <f>SUMIFS(#REF!,#REF!,Extrato!$B165,#REF!,Extrato!O$3)</f>
        <v>#REF!</v>
      </c>
      <c r="P165" s="121">
        <f>SUMIF(BetFlow!B:B,B165,BetFlow!J:J)</f>
        <v>109.3447</v>
      </c>
      <c r="Q165" s="121" t="e">
        <f>SUMIFS(#REF!,#REF!,Extrato!$B165,#REF!,Extrato!Q$3)</f>
        <v>#REF!</v>
      </c>
      <c r="R165" s="121" t="e">
        <f>SUMIFS(#REF!,#REF!,Extrato!$B165,#REF!,Extrato!R$3)</f>
        <v>#REF!</v>
      </c>
      <c r="S165" s="121" t="e">
        <f>SUMIFS(#REF!,#REF!,Extrato!$B165,#REF!,Extrato!S$3)</f>
        <v>#REF!</v>
      </c>
      <c r="T165" s="121" t="e">
        <f>SUMIFS(#REF!,#REF!,Extrato!$B165,#REF!,Extrato!T$3)</f>
        <v>#REF!</v>
      </c>
      <c r="U165" s="121" t="e">
        <f>SUMIFS(#REF!,#REF!,Extrato!$B165,#REF!,Extrato!U$3)</f>
        <v>#REF!</v>
      </c>
      <c r="V165" s="121" t="e">
        <f>SUMIFS(#REF!,#REF!,Extrato!$B165,#REF!,Extrato!V$3)</f>
        <v>#REF!</v>
      </c>
      <c r="W165" s="121" t="e">
        <f>SUMIFS(#REF!,#REF!,Extrato!$B165,#REF!,Extrato!W$3)</f>
        <v>#REF!</v>
      </c>
      <c r="X165" s="121" t="e">
        <f>SUMIFS(#REF!,#REF!,Extrato!$B165,#REF!,Extrato!X$3)</f>
        <v>#REF!</v>
      </c>
      <c r="Y165" s="121" t="e">
        <f>SUMIFS(#REF!,#REF!,Extrato!$B165,#REF!,Extrato!Y$3)</f>
        <v>#REF!</v>
      </c>
      <c r="Z165" s="121" t="e">
        <f>SUMIFS(#REF!,#REF!,Extrato!$B165,#REF!,Extrato!Z$3)</f>
        <v>#REF!</v>
      </c>
      <c r="AA165" s="121" t="e">
        <f>SUMIFS(#REF!,#REF!,Extrato!$B165,#REF!,Extrato!AA$3)</f>
        <v>#REF!</v>
      </c>
      <c r="AB165" s="121" t="e">
        <f>SUMIFS(#REF!,#REF!,Extrato!$B165,#REF!,Extrato!AB$3)</f>
        <v>#REF!</v>
      </c>
      <c r="AC165" s="121" t="e">
        <f>SUMIFS(#REF!,#REF!,Extrato!$B165,#REF!,Extrato!AC$3)</f>
        <v>#REF!</v>
      </c>
      <c r="AD165" s="121" t="e">
        <f>SUMIFS(#REF!,#REF!,Extrato!$B165,#REF!,Extrato!AD$3)</f>
        <v>#REF!</v>
      </c>
      <c r="AE165" s="121" t="e">
        <f>SUMIFS(#REF!,#REF!,Extrato!$B165,#REF!,Extrato!AE$3)</f>
        <v>#REF!</v>
      </c>
      <c r="AF165" s="121" t="e">
        <f>SUMIFS(#REF!,#REF!,Extrato!$B165,#REF!,Extrato!AF$3)</f>
        <v>#REF!</v>
      </c>
      <c r="AG165" s="121" t="e">
        <f>SUMIFS(#REF!,#REF!,Extrato!$B165,#REF!,Extrato!AG$3)</f>
        <v>#REF!</v>
      </c>
      <c r="AH165" s="121" t="e">
        <f>SUMIFS(#REF!,#REF!,Extrato!$B165,#REF!,Extrato!AH$3)</f>
        <v>#REF!</v>
      </c>
      <c r="AI165" s="121" t="e">
        <f>SUMIFS(#REF!,#REF!,Extrato!$B165,#REF!,Extrato!AI$3)</f>
        <v>#REF!</v>
      </c>
      <c r="AJ165" s="121">
        <v>0</v>
      </c>
      <c r="AK165" s="121">
        <v>0.02</v>
      </c>
      <c r="AL165" s="25" t="e">
        <f t="shared" si="5"/>
        <v>#REF!</v>
      </c>
      <c r="AM165" s="122"/>
      <c r="AN165" s="121">
        <f t="shared" si="7"/>
        <v>1879.4712873215999</v>
      </c>
      <c r="AO165" s="121">
        <f>SUMIF(BetFlow!B:B,Extrato!B165,BetFlow!M:M)</f>
        <v>-95.767627599999997</v>
      </c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>
        <v>0.02</v>
      </c>
      <c r="BD165" s="121">
        <v>-0.02</v>
      </c>
      <c r="BE165" s="25">
        <f t="shared" si="6"/>
        <v>1783.7036597215999</v>
      </c>
      <c r="BF165" s="122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</row>
    <row r="166" spans="2:68" ht="15" customHeight="1">
      <c r="B166" s="12">
        <v>46156</v>
      </c>
      <c r="C166" s="121" t="e">
        <f t="shared" si="4"/>
        <v>#REF!</v>
      </c>
      <c r="D166" s="121" t="e">
        <f>SUMIFS(#REF!,#REF!,Extrato!$B166,#REF!,Extrato!D$3)</f>
        <v>#REF!</v>
      </c>
      <c r="E166" s="121" t="e">
        <f>SUMIFS(#REF!,#REF!,Extrato!$B166,#REF!,Extrato!E$3)</f>
        <v>#REF!</v>
      </c>
      <c r="F166" s="121" t="e">
        <f>SUMIFS(#REF!,#REF!,Extrato!$B166,#REF!,Extrato!F$3)</f>
        <v>#REF!</v>
      </c>
      <c r="G166" s="121" t="e">
        <f>SUMIFS(#REF!,#REF!,Extrato!$B166,#REF!,Extrato!G$3)</f>
        <v>#REF!</v>
      </c>
      <c r="H166" s="121" t="e">
        <f>SUMIFS(#REF!,#REF!,Extrato!$B166,#REF!,Extrato!H$3)</f>
        <v>#REF!</v>
      </c>
      <c r="I166" s="121" t="e">
        <f>SUMIFS(#REF!,#REF!,Extrato!$B166,#REF!,Extrato!I$3)</f>
        <v>#REF!</v>
      </c>
      <c r="J166" s="121" t="e">
        <f>SUMIFS(#REF!,#REF!,Extrato!$B166,#REF!,Extrato!J$3)</f>
        <v>#REF!</v>
      </c>
      <c r="K166" s="121" t="e">
        <f>SUMIFS(#REF!,#REF!,Extrato!$B166,#REF!,Extrato!K$3)</f>
        <v>#REF!</v>
      </c>
      <c r="L166" s="121" t="e">
        <f>SUMIFS(#REF!,#REF!,Extrato!$B166,#REF!,Extrato!L$3)</f>
        <v>#REF!</v>
      </c>
      <c r="M166" s="121" t="e">
        <f>SUMIFS(#REF!,#REF!,Extrato!$B166,#REF!,Extrato!M$3)</f>
        <v>#REF!</v>
      </c>
      <c r="N166" s="121" t="e">
        <f>SUMIFS(#REF!,#REF!,Extrato!$B166,#REF!,Extrato!N$3)</f>
        <v>#REF!</v>
      </c>
      <c r="O166" s="121" t="e">
        <f>SUMIFS(#REF!,#REF!,Extrato!$B166,#REF!,Extrato!O$3)</f>
        <v>#REF!</v>
      </c>
      <c r="P166" s="121">
        <f>SUMIF(BetFlow!B:B,B166,BetFlow!J:J)</f>
        <v>36.234399999999994</v>
      </c>
      <c r="Q166" s="121" t="e">
        <f>SUMIFS(#REF!,#REF!,Extrato!$B166,#REF!,Extrato!Q$3)</f>
        <v>#REF!</v>
      </c>
      <c r="R166" s="121" t="e">
        <f>SUMIFS(#REF!,#REF!,Extrato!$B166,#REF!,Extrato!R$3)</f>
        <v>#REF!</v>
      </c>
      <c r="S166" s="121" t="e">
        <f>SUMIFS(#REF!,#REF!,Extrato!$B166,#REF!,Extrato!S$3)</f>
        <v>#REF!</v>
      </c>
      <c r="T166" s="121" t="e">
        <f>SUMIFS(#REF!,#REF!,Extrato!$B166,#REF!,Extrato!T$3)</f>
        <v>#REF!</v>
      </c>
      <c r="U166" s="121" t="e">
        <f>SUMIFS(#REF!,#REF!,Extrato!$B166,#REF!,Extrato!U$3)</f>
        <v>#REF!</v>
      </c>
      <c r="V166" s="121" t="e">
        <f>SUMIFS(#REF!,#REF!,Extrato!$B166,#REF!,Extrato!V$3)</f>
        <v>#REF!</v>
      </c>
      <c r="W166" s="121" t="e">
        <f>SUMIFS(#REF!,#REF!,Extrato!$B166,#REF!,Extrato!W$3)</f>
        <v>#REF!</v>
      </c>
      <c r="X166" s="121" t="e">
        <f>SUMIFS(#REF!,#REF!,Extrato!$B166,#REF!,Extrato!X$3)</f>
        <v>#REF!</v>
      </c>
      <c r="Y166" s="121" t="e">
        <f>SUMIFS(#REF!,#REF!,Extrato!$B166,#REF!,Extrato!Y$3)</f>
        <v>#REF!</v>
      </c>
      <c r="Z166" s="121" t="e">
        <f>SUMIFS(#REF!,#REF!,Extrato!$B166,#REF!,Extrato!Z$3)</f>
        <v>#REF!</v>
      </c>
      <c r="AA166" s="121" t="e">
        <f>SUMIFS(#REF!,#REF!,Extrato!$B166,#REF!,Extrato!AA$3)</f>
        <v>#REF!</v>
      </c>
      <c r="AB166" s="121" t="e">
        <f>SUMIFS(#REF!,#REF!,Extrato!$B166,#REF!,Extrato!AB$3)</f>
        <v>#REF!</v>
      </c>
      <c r="AC166" s="121" t="e">
        <f>SUMIFS(#REF!,#REF!,Extrato!$B166,#REF!,Extrato!AC$3)</f>
        <v>#REF!</v>
      </c>
      <c r="AD166" s="121" t="e">
        <f>SUMIFS(#REF!,#REF!,Extrato!$B166,#REF!,Extrato!AD$3)</f>
        <v>#REF!</v>
      </c>
      <c r="AE166" s="121" t="e">
        <f>SUMIFS(#REF!,#REF!,Extrato!$B166,#REF!,Extrato!AE$3)</f>
        <v>#REF!</v>
      </c>
      <c r="AF166" s="121" t="e">
        <f>SUMIFS(#REF!,#REF!,Extrato!$B166,#REF!,Extrato!AF$3)</f>
        <v>#REF!</v>
      </c>
      <c r="AG166" s="121" t="e">
        <f>SUMIFS(#REF!,#REF!,Extrato!$B166,#REF!,Extrato!AG$3)</f>
        <v>#REF!</v>
      </c>
      <c r="AH166" s="121" t="e">
        <f>SUMIFS(#REF!,#REF!,Extrato!$B166,#REF!,Extrato!AH$3)</f>
        <v>#REF!</v>
      </c>
      <c r="AI166" s="121" t="e">
        <f>SUMIFS(#REF!,#REF!,Extrato!$B166,#REF!,Extrato!AI$3)</f>
        <v>#REF!</v>
      </c>
      <c r="AJ166" s="121">
        <v>0</v>
      </c>
      <c r="AK166" s="121">
        <v>0.02</v>
      </c>
      <c r="AL166" s="25" t="e">
        <f t="shared" si="5"/>
        <v>#REF!</v>
      </c>
      <c r="AM166" s="122"/>
      <c r="AN166" s="121">
        <f t="shared" si="7"/>
        <v>1783.7036597215999</v>
      </c>
      <c r="AO166" s="121">
        <f>SUMIF(BetFlow!B:B,Extrato!B166,BetFlow!M:M)</f>
        <v>-31.410780799999998</v>
      </c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>
        <v>0</v>
      </c>
      <c r="BD166" s="121">
        <v>0</v>
      </c>
      <c r="BE166" s="25">
        <f t="shared" si="6"/>
        <v>1752.2928789215998</v>
      </c>
      <c r="BF166" s="122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</row>
    <row r="167" spans="2:68" ht="15" customHeight="1">
      <c r="B167" s="12">
        <v>46157</v>
      </c>
      <c r="C167" s="121" t="e">
        <f t="shared" si="4"/>
        <v>#REF!</v>
      </c>
      <c r="D167" s="121" t="e">
        <f>SUMIFS(#REF!,#REF!,Extrato!$B167,#REF!,Extrato!D$3)</f>
        <v>#REF!</v>
      </c>
      <c r="E167" s="121" t="e">
        <f>SUMIFS(#REF!,#REF!,Extrato!$B167,#REF!,Extrato!E$3)</f>
        <v>#REF!</v>
      </c>
      <c r="F167" s="121" t="e">
        <f>SUMIFS(#REF!,#REF!,Extrato!$B167,#REF!,Extrato!F$3)</f>
        <v>#REF!</v>
      </c>
      <c r="G167" s="121" t="e">
        <f>SUMIFS(#REF!,#REF!,Extrato!$B167,#REF!,Extrato!G$3)</f>
        <v>#REF!</v>
      </c>
      <c r="H167" s="121" t="e">
        <f>SUMIFS(#REF!,#REF!,Extrato!$B167,#REF!,Extrato!H$3)</f>
        <v>#REF!</v>
      </c>
      <c r="I167" s="121" t="e">
        <f>SUMIFS(#REF!,#REF!,Extrato!$B167,#REF!,Extrato!I$3)</f>
        <v>#REF!</v>
      </c>
      <c r="J167" s="121" t="e">
        <f>SUMIFS(#REF!,#REF!,Extrato!$B167,#REF!,Extrato!J$3)</f>
        <v>#REF!</v>
      </c>
      <c r="K167" s="121" t="e">
        <f>SUMIFS(#REF!,#REF!,Extrato!$B167,#REF!,Extrato!K$3)</f>
        <v>#REF!</v>
      </c>
      <c r="L167" s="121" t="e">
        <f>SUMIFS(#REF!,#REF!,Extrato!$B167,#REF!,Extrato!L$3)</f>
        <v>#REF!</v>
      </c>
      <c r="M167" s="121" t="e">
        <f>SUMIFS(#REF!,#REF!,Extrato!$B167,#REF!,Extrato!M$3)</f>
        <v>#REF!</v>
      </c>
      <c r="N167" s="121" t="e">
        <f>SUMIFS(#REF!,#REF!,Extrato!$B167,#REF!,Extrato!N$3)</f>
        <v>#REF!</v>
      </c>
      <c r="O167" s="121" t="e">
        <f>SUMIFS(#REF!,#REF!,Extrato!$B167,#REF!,Extrato!O$3)</f>
        <v>#REF!</v>
      </c>
      <c r="P167" s="121">
        <f>SUMIF(BetFlow!B:B,B167,BetFlow!J:J)</f>
        <v>13.645000000000003</v>
      </c>
      <c r="Q167" s="121" t="e">
        <f>SUMIFS(#REF!,#REF!,Extrato!$B167,#REF!,Extrato!Q$3)</f>
        <v>#REF!</v>
      </c>
      <c r="R167" s="121" t="e">
        <f>SUMIFS(#REF!,#REF!,Extrato!$B167,#REF!,Extrato!R$3)</f>
        <v>#REF!</v>
      </c>
      <c r="S167" s="121" t="e">
        <f>SUMIFS(#REF!,#REF!,Extrato!$B167,#REF!,Extrato!S$3)</f>
        <v>#REF!</v>
      </c>
      <c r="T167" s="121" t="e">
        <f>SUMIFS(#REF!,#REF!,Extrato!$B167,#REF!,Extrato!T$3)</f>
        <v>#REF!</v>
      </c>
      <c r="U167" s="121" t="e">
        <f>SUMIFS(#REF!,#REF!,Extrato!$B167,#REF!,Extrato!U$3)</f>
        <v>#REF!</v>
      </c>
      <c r="V167" s="121" t="e">
        <f>SUMIFS(#REF!,#REF!,Extrato!$B167,#REF!,Extrato!V$3)</f>
        <v>#REF!</v>
      </c>
      <c r="W167" s="121" t="e">
        <f>SUMIFS(#REF!,#REF!,Extrato!$B167,#REF!,Extrato!W$3)</f>
        <v>#REF!</v>
      </c>
      <c r="X167" s="121" t="e">
        <f>SUMIFS(#REF!,#REF!,Extrato!$B167,#REF!,Extrato!X$3)</f>
        <v>#REF!</v>
      </c>
      <c r="Y167" s="121" t="e">
        <f>SUMIFS(#REF!,#REF!,Extrato!$B167,#REF!,Extrato!Y$3)</f>
        <v>#REF!</v>
      </c>
      <c r="Z167" s="121" t="e">
        <f>SUMIFS(#REF!,#REF!,Extrato!$B167,#REF!,Extrato!Z$3)</f>
        <v>#REF!</v>
      </c>
      <c r="AA167" s="121" t="e">
        <f>SUMIFS(#REF!,#REF!,Extrato!$B167,#REF!,Extrato!AA$3)</f>
        <v>#REF!</v>
      </c>
      <c r="AB167" s="121" t="e">
        <f>SUMIFS(#REF!,#REF!,Extrato!$B167,#REF!,Extrato!AB$3)</f>
        <v>#REF!</v>
      </c>
      <c r="AC167" s="121" t="e">
        <f>SUMIFS(#REF!,#REF!,Extrato!$B167,#REF!,Extrato!AC$3)</f>
        <v>#REF!</v>
      </c>
      <c r="AD167" s="121" t="e">
        <f>SUMIFS(#REF!,#REF!,Extrato!$B167,#REF!,Extrato!AD$3)</f>
        <v>#REF!</v>
      </c>
      <c r="AE167" s="121" t="e">
        <f>SUMIFS(#REF!,#REF!,Extrato!$B167,#REF!,Extrato!AE$3)</f>
        <v>#REF!</v>
      </c>
      <c r="AF167" s="121" t="e">
        <f>SUMIFS(#REF!,#REF!,Extrato!$B167,#REF!,Extrato!AF$3)</f>
        <v>#REF!</v>
      </c>
      <c r="AG167" s="121" t="e">
        <f>SUMIFS(#REF!,#REF!,Extrato!$B167,#REF!,Extrato!AG$3)</f>
        <v>#REF!</v>
      </c>
      <c r="AH167" s="121" t="e">
        <f>SUMIFS(#REF!,#REF!,Extrato!$B167,#REF!,Extrato!AH$3)</f>
        <v>#REF!</v>
      </c>
      <c r="AI167" s="121" t="e">
        <f>SUMIFS(#REF!,#REF!,Extrato!$B167,#REF!,Extrato!AI$3)</f>
        <v>#REF!</v>
      </c>
      <c r="AJ167" s="121">
        <v>0</v>
      </c>
      <c r="AK167" s="121">
        <v>0.01</v>
      </c>
      <c r="AL167" s="25" t="e">
        <f t="shared" si="5"/>
        <v>#REF!</v>
      </c>
      <c r="AM167" s="122"/>
      <c r="AN167" s="121">
        <f t="shared" si="7"/>
        <v>1752.2928789215998</v>
      </c>
      <c r="AO167" s="121">
        <f>SUMIF(BetFlow!B:B,Extrato!B167,BetFlow!M:M)</f>
        <v>-7.5178480000000008</v>
      </c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>
        <v>0</v>
      </c>
      <c r="BD167" s="121">
        <v>-0.01</v>
      </c>
      <c r="BE167" s="25">
        <f t="shared" si="6"/>
        <v>1744.7650309215999</v>
      </c>
      <c r="BF167" s="122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</row>
    <row r="168" spans="2:68" ht="15" customHeight="1">
      <c r="B168" s="12">
        <v>46158</v>
      </c>
      <c r="C168" s="121" t="e">
        <f t="shared" si="4"/>
        <v>#REF!</v>
      </c>
      <c r="D168" s="121" t="e">
        <f>SUMIFS(#REF!,#REF!,Extrato!$B168,#REF!,Extrato!D$3)</f>
        <v>#REF!</v>
      </c>
      <c r="E168" s="121" t="e">
        <f>SUMIFS(#REF!,#REF!,Extrato!$B168,#REF!,Extrato!E$3)</f>
        <v>#REF!</v>
      </c>
      <c r="F168" s="121" t="e">
        <f>SUMIFS(#REF!,#REF!,Extrato!$B168,#REF!,Extrato!F$3)</f>
        <v>#REF!</v>
      </c>
      <c r="G168" s="121" t="e">
        <f>SUMIFS(#REF!,#REF!,Extrato!$B168,#REF!,Extrato!G$3)</f>
        <v>#REF!</v>
      </c>
      <c r="H168" s="121" t="e">
        <f>SUMIFS(#REF!,#REF!,Extrato!$B168,#REF!,Extrato!H$3)</f>
        <v>#REF!</v>
      </c>
      <c r="I168" s="121" t="e">
        <f>SUMIFS(#REF!,#REF!,Extrato!$B168,#REF!,Extrato!I$3)</f>
        <v>#REF!</v>
      </c>
      <c r="J168" s="121" t="e">
        <f>SUMIFS(#REF!,#REF!,Extrato!$B168,#REF!,Extrato!J$3)</f>
        <v>#REF!</v>
      </c>
      <c r="K168" s="121" t="e">
        <f>SUMIFS(#REF!,#REF!,Extrato!$B168,#REF!,Extrato!K$3)</f>
        <v>#REF!</v>
      </c>
      <c r="L168" s="121" t="e">
        <f>SUMIFS(#REF!,#REF!,Extrato!$B168,#REF!,Extrato!L$3)</f>
        <v>#REF!</v>
      </c>
      <c r="M168" s="121" t="e">
        <f>SUMIFS(#REF!,#REF!,Extrato!$B168,#REF!,Extrato!M$3)</f>
        <v>#REF!</v>
      </c>
      <c r="N168" s="121" t="e">
        <f>SUMIFS(#REF!,#REF!,Extrato!$B168,#REF!,Extrato!N$3)</f>
        <v>#REF!</v>
      </c>
      <c r="O168" s="121" t="e">
        <f>SUMIFS(#REF!,#REF!,Extrato!$B168,#REF!,Extrato!O$3)</f>
        <v>#REF!</v>
      </c>
      <c r="P168" s="121">
        <f>SUMIF(BetFlow!B:B,B168,BetFlow!J:J)</f>
        <v>208.12859999999992</v>
      </c>
      <c r="Q168" s="121" t="e">
        <f>SUMIFS(#REF!,#REF!,Extrato!$B168,#REF!,Extrato!Q$3)</f>
        <v>#REF!</v>
      </c>
      <c r="R168" s="121" t="e">
        <f>SUMIFS(#REF!,#REF!,Extrato!$B168,#REF!,Extrato!R$3)</f>
        <v>#REF!</v>
      </c>
      <c r="S168" s="121" t="e">
        <f>SUMIFS(#REF!,#REF!,Extrato!$B168,#REF!,Extrato!S$3)</f>
        <v>#REF!</v>
      </c>
      <c r="T168" s="121" t="e">
        <f>SUMIFS(#REF!,#REF!,Extrato!$B168,#REF!,Extrato!T$3)</f>
        <v>#REF!</v>
      </c>
      <c r="U168" s="121" t="e">
        <f>SUMIFS(#REF!,#REF!,Extrato!$B168,#REF!,Extrato!U$3)</f>
        <v>#REF!</v>
      </c>
      <c r="V168" s="121" t="e">
        <f>SUMIFS(#REF!,#REF!,Extrato!$B168,#REF!,Extrato!V$3)</f>
        <v>#REF!</v>
      </c>
      <c r="W168" s="121" t="e">
        <f>SUMIFS(#REF!,#REF!,Extrato!$B168,#REF!,Extrato!W$3)</f>
        <v>#REF!</v>
      </c>
      <c r="X168" s="121" t="e">
        <f>SUMIFS(#REF!,#REF!,Extrato!$B168,#REF!,Extrato!X$3)</f>
        <v>#REF!</v>
      </c>
      <c r="Y168" s="121" t="e">
        <f>SUMIFS(#REF!,#REF!,Extrato!$B168,#REF!,Extrato!Y$3)</f>
        <v>#REF!</v>
      </c>
      <c r="Z168" s="121" t="e">
        <f>SUMIFS(#REF!,#REF!,Extrato!$B168,#REF!,Extrato!Z$3)</f>
        <v>#REF!</v>
      </c>
      <c r="AA168" s="121" t="e">
        <f>SUMIFS(#REF!,#REF!,Extrato!$B168,#REF!,Extrato!AA$3)</f>
        <v>#REF!</v>
      </c>
      <c r="AB168" s="121" t="e">
        <f>SUMIFS(#REF!,#REF!,Extrato!$B168,#REF!,Extrato!AB$3)</f>
        <v>#REF!</v>
      </c>
      <c r="AC168" s="121" t="e">
        <f>SUMIFS(#REF!,#REF!,Extrato!$B168,#REF!,Extrato!AC$3)</f>
        <v>#REF!</v>
      </c>
      <c r="AD168" s="121" t="e">
        <f>SUMIFS(#REF!,#REF!,Extrato!$B168,#REF!,Extrato!AD$3)</f>
        <v>#REF!</v>
      </c>
      <c r="AE168" s="121" t="e">
        <f>SUMIFS(#REF!,#REF!,Extrato!$B168,#REF!,Extrato!AE$3)</f>
        <v>#REF!</v>
      </c>
      <c r="AF168" s="121" t="e">
        <f>SUMIFS(#REF!,#REF!,Extrato!$B168,#REF!,Extrato!AF$3)</f>
        <v>#REF!</v>
      </c>
      <c r="AG168" s="121" t="e">
        <f>SUMIFS(#REF!,#REF!,Extrato!$B168,#REF!,Extrato!AG$3)</f>
        <v>#REF!</v>
      </c>
      <c r="AH168" s="121" t="e">
        <f>SUMIFS(#REF!,#REF!,Extrato!$B168,#REF!,Extrato!AH$3)</f>
        <v>#REF!</v>
      </c>
      <c r="AI168" s="121" t="e">
        <f>SUMIFS(#REF!,#REF!,Extrato!$B168,#REF!,Extrato!AI$3)</f>
        <v>#REF!</v>
      </c>
      <c r="AJ168" s="121">
        <v>0</v>
      </c>
      <c r="AK168" s="121">
        <v>-0.02</v>
      </c>
      <c r="AL168" s="25" t="e">
        <f t="shared" si="5"/>
        <v>#REF!</v>
      </c>
      <c r="AM168" s="122"/>
      <c r="AN168" s="121">
        <f t="shared" si="7"/>
        <v>1744.7650309215999</v>
      </c>
      <c r="AO168" s="121">
        <f>SUMIF(BetFlow!B:B,Extrato!B168,BetFlow!M:M)</f>
        <v>-176.03386601400001</v>
      </c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>
        <v>0</v>
      </c>
      <c r="BD168" s="121">
        <v>0.01</v>
      </c>
      <c r="BE168" s="25">
        <f t="shared" si="6"/>
        <v>1568.7411649075998</v>
      </c>
      <c r="BF168" s="122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</row>
    <row r="169" spans="2:68" ht="15" customHeight="1">
      <c r="B169" s="12">
        <v>46159</v>
      </c>
      <c r="C169" s="121" t="e">
        <f t="shared" si="4"/>
        <v>#REF!</v>
      </c>
      <c r="D169" s="121" t="e">
        <f>SUMIFS(#REF!,#REF!,Extrato!$B169,#REF!,Extrato!D$3)</f>
        <v>#REF!</v>
      </c>
      <c r="E169" s="121" t="e">
        <f>SUMIFS(#REF!,#REF!,Extrato!$B169,#REF!,Extrato!E$3)</f>
        <v>#REF!</v>
      </c>
      <c r="F169" s="121" t="e">
        <f>SUMIFS(#REF!,#REF!,Extrato!$B169,#REF!,Extrato!F$3)</f>
        <v>#REF!</v>
      </c>
      <c r="G169" s="121" t="e">
        <f>SUMIFS(#REF!,#REF!,Extrato!$B169,#REF!,Extrato!G$3)</f>
        <v>#REF!</v>
      </c>
      <c r="H169" s="121" t="e">
        <f>SUMIFS(#REF!,#REF!,Extrato!$B169,#REF!,Extrato!H$3)</f>
        <v>#REF!</v>
      </c>
      <c r="I169" s="121" t="e">
        <f>SUMIFS(#REF!,#REF!,Extrato!$B169,#REF!,Extrato!I$3)</f>
        <v>#REF!</v>
      </c>
      <c r="J169" s="121" t="e">
        <f>SUMIFS(#REF!,#REF!,Extrato!$B169,#REF!,Extrato!J$3)</f>
        <v>#REF!</v>
      </c>
      <c r="K169" s="121" t="e">
        <f>SUMIFS(#REF!,#REF!,Extrato!$B169,#REF!,Extrato!K$3)</f>
        <v>#REF!</v>
      </c>
      <c r="L169" s="121" t="e">
        <f>SUMIFS(#REF!,#REF!,Extrato!$B169,#REF!,Extrato!L$3)</f>
        <v>#REF!</v>
      </c>
      <c r="M169" s="121" t="e">
        <f>SUMIFS(#REF!,#REF!,Extrato!$B169,#REF!,Extrato!M$3)</f>
        <v>#REF!</v>
      </c>
      <c r="N169" s="121" t="e">
        <f>SUMIFS(#REF!,#REF!,Extrato!$B169,#REF!,Extrato!N$3)</f>
        <v>#REF!</v>
      </c>
      <c r="O169" s="121" t="e">
        <f>SUMIFS(#REF!,#REF!,Extrato!$B169,#REF!,Extrato!O$3)</f>
        <v>#REF!</v>
      </c>
      <c r="P169" s="121">
        <f>SUMIF(BetFlow!B:B,B169,BetFlow!J:J)</f>
        <v>-12.677599999999995</v>
      </c>
      <c r="Q169" s="121" t="e">
        <f>SUMIFS(#REF!,#REF!,Extrato!$B169,#REF!,Extrato!Q$3)</f>
        <v>#REF!</v>
      </c>
      <c r="R169" s="121" t="e">
        <f>SUMIFS(#REF!,#REF!,Extrato!$B169,#REF!,Extrato!R$3)</f>
        <v>#REF!</v>
      </c>
      <c r="S169" s="121" t="e">
        <f>SUMIFS(#REF!,#REF!,Extrato!$B169,#REF!,Extrato!S$3)</f>
        <v>#REF!</v>
      </c>
      <c r="T169" s="121" t="e">
        <f>SUMIFS(#REF!,#REF!,Extrato!$B169,#REF!,Extrato!T$3)</f>
        <v>#REF!</v>
      </c>
      <c r="U169" s="121" t="e">
        <f>SUMIFS(#REF!,#REF!,Extrato!$B169,#REF!,Extrato!U$3)</f>
        <v>#REF!</v>
      </c>
      <c r="V169" s="121" t="e">
        <f>SUMIFS(#REF!,#REF!,Extrato!$B169,#REF!,Extrato!V$3)</f>
        <v>#REF!</v>
      </c>
      <c r="W169" s="121" t="e">
        <f>SUMIFS(#REF!,#REF!,Extrato!$B169,#REF!,Extrato!W$3)</f>
        <v>#REF!</v>
      </c>
      <c r="X169" s="121" t="e">
        <f>SUMIFS(#REF!,#REF!,Extrato!$B169,#REF!,Extrato!X$3)</f>
        <v>#REF!</v>
      </c>
      <c r="Y169" s="121" t="e">
        <f>SUMIFS(#REF!,#REF!,Extrato!$B169,#REF!,Extrato!Y$3)</f>
        <v>#REF!</v>
      </c>
      <c r="Z169" s="121" t="e">
        <f>SUMIFS(#REF!,#REF!,Extrato!$B169,#REF!,Extrato!Z$3)</f>
        <v>#REF!</v>
      </c>
      <c r="AA169" s="121" t="e">
        <f>SUMIFS(#REF!,#REF!,Extrato!$B169,#REF!,Extrato!AA$3)</f>
        <v>#REF!</v>
      </c>
      <c r="AB169" s="121" t="e">
        <f>SUMIFS(#REF!,#REF!,Extrato!$B169,#REF!,Extrato!AB$3)</f>
        <v>#REF!</v>
      </c>
      <c r="AC169" s="121" t="e">
        <f>SUMIFS(#REF!,#REF!,Extrato!$B169,#REF!,Extrato!AC$3)</f>
        <v>#REF!</v>
      </c>
      <c r="AD169" s="121" t="e">
        <f>SUMIFS(#REF!,#REF!,Extrato!$B169,#REF!,Extrato!AD$3)</f>
        <v>#REF!</v>
      </c>
      <c r="AE169" s="121" t="e">
        <f>SUMIFS(#REF!,#REF!,Extrato!$B169,#REF!,Extrato!AE$3)</f>
        <v>#REF!</v>
      </c>
      <c r="AF169" s="121" t="e">
        <f>SUMIFS(#REF!,#REF!,Extrato!$B169,#REF!,Extrato!AF$3)</f>
        <v>#REF!</v>
      </c>
      <c r="AG169" s="121" t="e">
        <f>SUMIFS(#REF!,#REF!,Extrato!$B169,#REF!,Extrato!AG$3)</f>
        <v>#REF!</v>
      </c>
      <c r="AH169" s="121" t="e">
        <f>SUMIFS(#REF!,#REF!,Extrato!$B169,#REF!,Extrato!AH$3)</f>
        <v>#REF!</v>
      </c>
      <c r="AI169" s="121" t="e">
        <f>SUMIFS(#REF!,#REF!,Extrato!$B169,#REF!,Extrato!AI$3)</f>
        <v>#REF!</v>
      </c>
      <c r="AJ169" s="121">
        <v>0</v>
      </c>
      <c r="AK169" s="121">
        <v>-0.01</v>
      </c>
      <c r="AL169" s="25" t="e">
        <f t="shared" si="5"/>
        <v>#REF!</v>
      </c>
      <c r="AM169" s="122"/>
      <c r="AN169" s="121">
        <f t="shared" si="7"/>
        <v>1568.7411649075998</v>
      </c>
      <c r="AO169" s="121">
        <f>SUMIF(BetFlow!B:B,Extrato!B169,BetFlow!M:M)</f>
        <v>17.275056000000006</v>
      </c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>
        <v>0</v>
      </c>
      <c r="BD169" s="121">
        <v>-0.01</v>
      </c>
      <c r="BE169" s="25">
        <f t="shared" si="6"/>
        <v>1586.0062209075998</v>
      </c>
      <c r="BF169" s="122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</row>
    <row r="170" spans="2:68" ht="15" customHeight="1">
      <c r="B170" s="12">
        <v>46160</v>
      </c>
      <c r="C170" s="121" t="e">
        <f t="shared" si="4"/>
        <v>#REF!</v>
      </c>
      <c r="D170" s="121" t="e">
        <f>SUMIFS(#REF!,#REF!,Extrato!$B170,#REF!,Extrato!D$3)</f>
        <v>#REF!</v>
      </c>
      <c r="E170" s="121" t="e">
        <f>SUMIFS(#REF!,#REF!,Extrato!$B170,#REF!,Extrato!E$3)</f>
        <v>#REF!</v>
      </c>
      <c r="F170" s="121" t="e">
        <f>SUMIFS(#REF!,#REF!,Extrato!$B170,#REF!,Extrato!F$3)</f>
        <v>#REF!</v>
      </c>
      <c r="G170" s="121" t="e">
        <f>SUMIFS(#REF!,#REF!,Extrato!$B170,#REF!,Extrato!G$3)</f>
        <v>#REF!</v>
      </c>
      <c r="H170" s="121" t="e">
        <f>SUMIFS(#REF!,#REF!,Extrato!$B170,#REF!,Extrato!H$3)</f>
        <v>#REF!</v>
      </c>
      <c r="I170" s="121" t="e">
        <f>SUMIFS(#REF!,#REF!,Extrato!$B170,#REF!,Extrato!I$3)</f>
        <v>#REF!</v>
      </c>
      <c r="J170" s="121" t="e">
        <f>SUMIFS(#REF!,#REF!,Extrato!$B170,#REF!,Extrato!J$3)</f>
        <v>#REF!</v>
      </c>
      <c r="K170" s="121" t="e">
        <f>SUMIFS(#REF!,#REF!,Extrato!$B170,#REF!,Extrato!K$3)</f>
        <v>#REF!</v>
      </c>
      <c r="L170" s="121" t="e">
        <f>SUMIFS(#REF!,#REF!,Extrato!$B170,#REF!,Extrato!L$3)</f>
        <v>#REF!</v>
      </c>
      <c r="M170" s="121" t="e">
        <f>SUMIFS(#REF!,#REF!,Extrato!$B170,#REF!,Extrato!M$3)</f>
        <v>#REF!</v>
      </c>
      <c r="N170" s="121" t="e">
        <f>SUMIFS(#REF!,#REF!,Extrato!$B170,#REF!,Extrato!N$3)</f>
        <v>#REF!</v>
      </c>
      <c r="O170" s="121" t="e">
        <f>SUMIFS(#REF!,#REF!,Extrato!$B170,#REF!,Extrato!O$3)</f>
        <v>#REF!</v>
      </c>
      <c r="P170" s="121">
        <f>SUMIF(BetFlow!B:B,B170,BetFlow!J:J)</f>
        <v>0</v>
      </c>
      <c r="Q170" s="121" t="e">
        <f>SUMIFS(#REF!,#REF!,Extrato!$B170,#REF!,Extrato!Q$3)</f>
        <v>#REF!</v>
      </c>
      <c r="R170" s="121" t="e">
        <f>SUMIFS(#REF!,#REF!,Extrato!$B170,#REF!,Extrato!R$3)</f>
        <v>#REF!</v>
      </c>
      <c r="S170" s="121" t="e">
        <f>SUMIFS(#REF!,#REF!,Extrato!$B170,#REF!,Extrato!S$3)</f>
        <v>#REF!</v>
      </c>
      <c r="T170" s="121" t="e">
        <f>SUMIFS(#REF!,#REF!,Extrato!$B170,#REF!,Extrato!T$3)</f>
        <v>#REF!</v>
      </c>
      <c r="U170" s="121" t="e">
        <f>SUMIFS(#REF!,#REF!,Extrato!$B170,#REF!,Extrato!U$3)</f>
        <v>#REF!</v>
      </c>
      <c r="V170" s="121" t="e">
        <f>SUMIFS(#REF!,#REF!,Extrato!$B170,#REF!,Extrato!V$3)</f>
        <v>#REF!</v>
      </c>
      <c r="W170" s="121" t="e">
        <f>SUMIFS(#REF!,#REF!,Extrato!$B170,#REF!,Extrato!W$3)</f>
        <v>#REF!</v>
      </c>
      <c r="X170" s="121" t="e">
        <f>SUMIFS(#REF!,#REF!,Extrato!$B170,#REF!,Extrato!X$3)</f>
        <v>#REF!</v>
      </c>
      <c r="Y170" s="121" t="e">
        <f>SUMIFS(#REF!,#REF!,Extrato!$B170,#REF!,Extrato!Y$3)</f>
        <v>#REF!</v>
      </c>
      <c r="Z170" s="121" t="e">
        <f>SUMIFS(#REF!,#REF!,Extrato!$B170,#REF!,Extrato!Z$3)</f>
        <v>#REF!</v>
      </c>
      <c r="AA170" s="121" t="e">
        <f>SUMIFS(#REF!,#REF!,Extrato!$B170,#REF!,Extrato!AA$3)</f>
        <v>#REF!</v>
      </c>
      <c r="AB170" s="121" t="e">
        <f>SUMIFS(#REF!,#REF!,Extrato!$B170,#REF!,Extrato!AB$3)</f>
        <v>#REF!</v>
      </c>
      <c r="AC170" s="121" t="e">
        <f>SUMIFS(#REF!,#REF!,Extrato!$B170,#REF!,Extrato!AC$3)</f>
        <v>#REF!</v>
      </c>
      <c r="AD170" s="121" t="e">
        <f>SUMIFS(#REF!,#REF!,Extrato!$B170,#REF!,Extrato!AD$3)</f>
        <v>#REF!</v>
      </c>
      <c r="AE170" s="121" t="e">
        <f>SUMIFS(#REF!,#REF!,Extrato!$B170,#REF!,Extrato!AE$3)</f>
        <v>#REF!</v>
      </c>
      <c r="AF170" s="121" t="e">
        <f>SUMIFS(#REF!,#REF!,Extrato!$B170,#REF!,Extrato!AF$3)</f>
        <v>#REF!</v>
      </c>
      <c r="AG170" s="121" t="e">
        <f>SUMIFS(#REF!,#REF!,Extrato!$B170,#REF!,Extrato!AG$3)</f>
        <v>#REF!</v>
      </c>
      <c r="AH170" s="121" t="e">
        <f>SUMIFS(#REF!,#REF!,Extrato!$B170,#REF!,Extrato!AH$3)</f>
        <v>#REF!</v>
      </c>
      <c r="AI170" s="121" t="e">
        <f>SUMIFS(#REF!,#REF!,Extrato!$B170,#REF!,Extrato!AI$3)</f>
        <v>#REF!</v>
      </c>
      <c r="AJ170" s="121">
        <v>0</v>
      </c>
      <c r="AK170" s="121">
        <v>-0.01</v>
      </c>
      <c r="AL170" s="25" t="e">
        <f t="shared" si="5"/>
        <v>#REF!</v>
      </c>
      <c r="AM170" s="122"/>
      <c r="AN170" s="121">
        <f t="shared" si="7"/>
        <v>1586.0062209075998</v>
      </c>
      <c r="AO170" s="121">
        <f>SUMIF(BetFlow!B:B,Extrato!B170,BetFlow!M:M)</f>
        <v>0</v>
      </c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>
        <v>0</v>
      </c>
      <c r="BD170" s="121">
        <v>0</v>
      </c>
      <c r="BE170" s="25">
        <f t="shared" si="6"/>
        <v>1586.0062209075998</v>
      </c>
      <c r="BF170" s="122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</row>
    <row r="171" spans="2:68" ht="15" customHeight="1">
      <c r="B171" s="12">
        <v>46161</v>
      </c>
      <c r="C171" s="121" t="e">
        <f t="shared" si="4"/>
        <v>#REF!</v>
      </c>
      <c r="D171" s="121" t="e">
        <f>SUMIFS(#REF!,#REF!,Extrato!$B171,#REF!,Extrato!D$3)</f>
        <v>#REF!</v>
      </c>
      <c r="E171" s="121" t="e">
        <f>SUMIFS(#REF!,#REF!,Extrato!$B171,#REF!,Extrato!E$3)</f>
        <v>#REF!</v>
      </c>
      <c r="F171" s="121" t="e">
        <f>SUMIFS(#REF!,#REF!,Extrato!$B171,#REF!,Extrato!F$3)</f>
        <v>#REF!</v>
      </c>
      <c r="G171" s="121" t="e">
        <f>SUMIFS(#REF!,#REF!,Extrato!$B171,#REF!,Extrato!G$3)</f>
        <v>#REF!</v>
      </c>
      <c r="H171" s="121" t="e">
        <f>SUMIFS(#REF!,#REF!,Extrato!$B171,#REF!,Extrato!H$3)</f>
        <v>#REF!</v>
      </c>
      <c r="I171" s="121" t="e">
        <f>SUMIFS(#REF!,#REF!,Extrato!$B171,#REF!,Extrato!I$3)</f>
        <v>#REF!</v>
      </c>
      <c r="J171" s="121" t="e">
        <f>SUMIFS(#REF!,#REF!,Extrato!$B171,#REF!,Extrato!J$3)</f>
        <v>#REF!</v>
      </c>
      <c r="K171" s="121" t="e">
        <f>SUMIFS(#REF!,#REF!,Extrato!$B171,#REF!,Extrato!K$3)</f>
        <v>#REF!</v>
      </c>
      <c r="L171" s="121" t="e">
        <f>SUMIFS(#REF!,#REF!,Extrato!$B171,#REF!,Extrato!L$3)</f>
        <v>#REF!</v>
      </c>
      <c r="M171" s="121" t="e">
        <f>SUMIFS(#REF!,#REF!,Extrato!$B171,#REF!,Extrato!M$3)</f>
        <v>#REF!</v>
      </c>
      <c r="N171" s="121" t="e">
        <f>SUMIFS(#REF!,#REF!,Extrato!$B171,#REF!,Extrato!N$3)</f>
        <v>#REF!</v>
      </c>
      <c r="O171" s="121" t="e">
        <f>SUMIFS(#REF!,#REF!,Extrato!$B171,#REF!,Extrato!O$3)</f>
        <v>#REF!</v>
      </c>
      <c r="P171" s="121">
        <f>SUMIF(BetFlow!B:B,B171,BetFlow!J:J)</f>
        <v>70.116900000000001</v>
      </c>
      <c r="Q171" s="121" t="e">
        <f>SUMIFS(#REF!,#REF!,Extrato!$B171,#REF!,Extrato!Q$3)</f>
        <v>#REF!</v>
      </c>
      <c r="R171" s="121" t="e">
        <f>SUMIFS(#REF!,#REF!,Extrato!$B171,#REF!,Extrato!R$3)</f>
        <v>#REF!</v>
      </c>
      <c r="S171" s="121" t="e">
        <f>SUMIFS(#REF!,#REF!,Extrato!$B171,#REF!,Extrato!S$3)</f>
        <v>#REF!</v>
      </c>
      <c r="T171" s="121" t="e">
        <f>SUMIFS(#REF!,#REF!,Extrato!$B171,#REF!,Extrato!T$3)</f>
        <v>#REF!</v>
      </c>
      <c r="U171" s="121" t="e">
        <f>SUMIFS(#REF!,#REF!,Extrato!$B171,#REF!,Extrato!U$3)</f>
        <v>#REF!</v>
      </c>
      <c r="V171" s="121" t="e">
        <f>SUMIFS(#REF!,#REF!,Extrato!$B171,#REF!,Extrato!V$3)</f>
        <v>#REF!</v>
      </c>
      <c r="W171" s="121" t="e">
        <f>SUMIFS(#REF!,#REF!,Extrato!$B171,#REF!,Extrato!W$3)</f>
        <v>#REF!</v>
      </c>
      <c r="X171" s="121" t="e">
        <f>SUMIFS(#REF!,#REF!,Extrato!$B171,#REF!,Extrato!X$3)</f>
        <v>#REF!</v>
      </c>
      <c r="Y171" s="121" t="e">
        <f>SUMIFS(#REF!,#REF!,Extrato!$B171,#REF!,Extrato!Y$3)</f>
        <v>#REF!</v>
      </c>
      <c r="Z171" s="121" t="e">
        <f>SUMIFS(#REF!,#REF!,Extrato!$B171,#REF!,Extrato!Z$3)</f>
        <v>#REF!</v>
      </c>
      <c r="AA171" s="121" t="e">
        <f>SUMIFS(#REF!,#REF!,Extrato!$B171,#REF!,Extrato!AA$3)</f>
        <v>#REF!</v>
      </c>
      <c r="AB171" s="121" t="e">
        <f>SUMIFS(#REF!,#REF!,Extrato!$B171,#REF!,Extrato!AB$3)</f>
        <v>#REF!</v>
      </c>
      <c r="AC171" s="121" t="e">
        <f>SUMIFS(#REF!,#REF!,Extrato!$B171,#REF!,Extrato!AC$3)</f>
        <v>#REF!</v>
      </c>
      <c r="AD171" s="121" t="e">
        <f>SUMIFS(#REF!,#REF!,Extrato!$B171,#REF!,Extrato!AD$3)</f>
        <v>#REF!</v>
      </c>
      <c r="AE171" s="121" t="e">
        <f>SUMIFS(#REF!,#REF!,Extrato!$B171,#REF!,Extrato!AE$3)</f>
        <v>#REF!</v>
      </c>
      <c r="AF171" s="121" t="e">
        <f>SUMIFS(#REF!,#REF!,Extrato!$B171,#REF!,Extrato!AF$3)</f>
        <v>#REF!</v>
      </c>
      <c r="AG171" s="121" t="e">
        <f>SUMIFS(#REF!,#REF!,Extrato!$B171,#REF!,Extrato!AG$3)</f>
        <v>#REF!</v>
      </c>
      <c r="AH171" s="121" t="e">
        <f>SUMIFS(#REF!,#REF!,Extrato!$B171,#REF!,Extrato!AH$3)</f>
        <v>#REF!</v>
      </c>
      <c r="AI171" s="121" t="e">
        <f>SUMIFS(#REF!,#REF!,Extrato!$B171,#REF!,Extrato!AI$3)</f>
        <v>#REF!</v>
      </c>
      <c r="AJ171" s="121">
        <v>0</v>
      </c>
      <c r="AK171" s="121">
        <v>0.01</v>
      </c>
      <c r="AL171" s="25" t="e">
        <f t="shared" si="5"/>
        <v>#REF!</v>
      </c>
      <c r="AM171" s="121"/>
      <c r="AN171" s="121">
        <f t="shared" si="7"/>
        <v>1586.0062209075998</v>
      </c>
      <c r="AO171" s="121">
        <f>SUMIF(BetFlow!B:B,Extrato!B171,BetFlow!M:M)</f>
        <v>-61.755407999999996</v>
      </c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>
        <v>0</v>
      </c>
      <c r="BD171" s="121">
        <v>0</v>
      </c>
      <c r="BE171" s="25">
        <f t="shared" si="6"/>
        <v>1524.2508129075998</v>
      </c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</row>
    <row r="172" spans="2:68" ht="15" customHeight="1">
      <c r="B172" s="12">
        <v>46162</v>
      </c>
      <c r="C172" s="121" t="e">
        <f t="shared" si="4"/>
        <v>#REF!</v>
      </c>
      <c r="D172" s="121" t="e">
        <f>SUMIFS(#REF!,#REF!,Extrato!$B172,#REF!,Extrato!D$3)</f>
        <v>#REF!</v>
      </c>
      <c r="E172" s="121" t="e">
        <f>SUMIFS(#REF!,#REF!,Extrato!$B172,#REF!,Extrato!E$3)</f>
        <v>#REF!</v>
      </c>
      <c r="F172" s="121" t="e">
        <f>SUMIFS(#REF!,#REF!,Extrato!$B172,#REF!,Extrato!F$3)</f>
        <v>#REF!</v>
      </c>
      <c r="G172" s="121" t="e">
        <f>SUMIFS(#REF!,#REF!,Extrato!$B172,#REF!,Extrato!G$3)</f>
        <v>#REF!</v>
      </c>
      <c r="H172" s="121" t="e">
        <f>SUMIFS(#REF!,#REF!,Extrato!$B172,#REF!,Extrato!H$3)</f>
        <v>#REF!</v>
      </c>
      <c r="I172" s="121" t="e">
        <f>SUMIFS(#REF!,#REF!,Extrato!$B172,#REF!,Extrato!I$3)</f>
        <v>#REF!</v>
      </c>
      <c r="J172" s="121" t="e">
        <f>SUMIFS(#REF!,#REF!,Extrato!$B172,#REF!,Extrato!J$3)</f>
        <v>#REF!</v>
      </c>
      <c r="K172" s="121" t="e">
        <f>SUMIFS(#REF!,#REF!,Extrato!$B172,#REF!,Extrato!K$3)</f>
        <v>#REF!</v>
      </c>
      <c r="L172" s="121" t="e">
        <f>SUMIFS(#REF!,#REF!,Extrato!$B172,#REF!,Extrato!L$3)</f>
        <v>#REF!</v>
      </c>
      <c r="M172" s="121" t="e">
        <f>SUMIFS(#REF!,#REF!,Extrato!$B172,#REF!,Extrato!M$3)</f>
        <v>#REF!</v>
      </c>
      <c r="N172" s="121" t="e">
        <f>SUMIFS(#REF!,#REF!,Extrato!$B172,#REF!,Extrato!N$3)</f>
        <v>#REF!</v>
      </c>
      <c r="O172" s="121" t="e">
        <f>SUMIFS(#REF!,#REF!,Extrato!$B172,#REF!,Extrato!O$3)</f>
        <v>#REF!</v>
      </c>
      <c r="P172" s="121">
        <f>SUMIF(BetFlow!B:B,B172,BetFlow!J:J)</f>
        <v>23.1357</v>
      </c>
      <c r="Q172" s="121" t="e">
        <f>SUMIFS(#REF!,#REF!,Extrato!$B172,#REF!,Extrato!Q$3)</f>
        <v>#REF!</v>
      </c>
      <c r="R172" s="121" t="e">
        <f>SUMIFS(#REF!,#REF!,Extrato!$B172,#REF!,Extrato!R$3)</f>
        <v>#REF!</v>
      </c>
      <c r="S172" s="121" t="e">
        <f>SUMIFS(#REF!,#REF!,Extrato!$B172,#REF!,Extrato!S$3)</f>
        <v>#REF!</v>
      </c>
      <c r="T172" s="121" t="e">
        <f>SUMIFS(#REF!,#REF!,Extrato!$B172,#REF!,Extrato!T$3)</f>
        <v>#REF!</v>
      </c>
      <c r="U172" s="121" t="e">
        <f>SUMIFS(#REF!,#REF!,Extrato!$B172,#REF!,Extrato!U$3)</f>
        <v>#REF!</v>
      </c>
      <c r="V172" s="121" t="e">
        <f>SUMIFS(#REF!,#REF!,Extrato!$B172,#REF!,Extrato!V$3)</f>
        <v>#REF!</v>
      </c>
      <c r="W172" s="121" t="e">
        <f>SUMIFS(#REF!,#REF!,Extrato!$B172,#REF!,Extrato!W$3)</f>
        <v>#REF!</v>
      </c>
      <c r="X172" s="121" t="e">
        <f>SUMIFS(#REF!,#REF!,Extrato!$B172,#REF!,Extrato!X$3)</f>
        <v>#REF!</v>
      </c>
      <c r="Y172" s="121" t="e">
        <f>SUMIFS(#REF!,#REF!,Extrato!$B172,#REF!,Extrato!Y$3)</f>
        <v>#REF!</v>
      </c>
      <c r="Z172" s="121" t="e">
        <f>SUMIFS(#REF!,#REF!,Extrato!$B172,#REF!,Extrato!Z$3)</f>
        <v>#REF!</v>
      </c>
      <c r="AA172" s="121" t="e">
        <f>SUMIFS(#REF!,#REF!,Extrato!$B172,#REF!,Extrato!AA$3)</f>
        <v>#REF!</v>
      </c>
      <c r="AB172" s="121" t="e">
        <f>SUMIFS(#REF!,#REF!,Extrato!$B172,#REF!,Extrato!AB$3)</f>
        <v>#REF!</v>
      </c>
      <c r="AC172" s="121" t="e">
        <f>SUMIFS(#REF!,#REF!,Extrato!$B172,#REF!,Extrato!AC$3)</f>
        <v>#REF!</v>
      </c>
      <c r="AD172" s="121" t="e">
        <f>SUMIFS(#REF!,#REF!,Extrato!$B172,#REF!,Extrato!AD$3)</f>
        <v>#REF!</v>
      </c>
      <c r="AE172" s="121" t="e">
        <f>SUMIFS(#REF!,#REF!,Extrato!$B172,#REF!,Extrato!AE$3)</f>
        <v>#REF!</v>
      </c>
      <c r="AF172" s="121" t="e">
        <f>SUMIFS(#REF!,#REF!,Extrato!$B172,#REF!,Extrato!AF$3)</f>
        <v>#REF!</v>
      </c>
      <c r="AG172" s="121" t="e">
        <f>SUMIFS(#REF!,#REF!,Extrato!$B172,#REF!,Extrato!AG$3)</f>
        <v>#REF!</v>
      </c>
      <c r="AH172" s="121" t="e">
        <f>SUMIFS(#REF!,#REF!,Extrato!$B172,#REF!,Extrato!AH$3)</f>
        <v>#REF!</v>
      </c>
      <c r="AI172" s="121" t="e">
        <f>SUMIFS(#REF!,#REF!,Extrato!$B172,#REF!,Extrato!AI$3)</f>
        <v>#REF!</v>
      </c>
      <c r="AJ172" s="121">
        <v>0</v>
      </c>
      <c r="AK172" s="121">
        <v>0</v>
      </c>
      <c r="AL172" s="25" t="e">
        <f t="shared" si="5"/>
        <v>#REF!</v>
      </c>
      <c r="AM172" s="121"/>
      <c r="AN172" s="121">
        <f t="shared" si="7"/>
        <v>1524.2508129075998</v>
      </c>
      <c r="AO172" s="121">
        <f>SUMIF(BetFlow!B:B,Extrato!B172,BetFlow!M:M)</f>
        <v>-22.86</v>
      </c>
      <c r="AP172" s="121"/>
      <c r="AQ172" s="121"/>
      <c r="AR172" s="121"/>
      <c r="AS172" s="121"/>
      <c r="AT172" s="121"/>
      <c r="AU172" s="121"/>
      <c r="AV172" s="121"/>
      <c r="AW172" s="121"/>
      <c r="AX172" s="121"/>
      <c r="AY172" s="121"/>
      <c r="AZ172" s="121"/>
      <c r="BA172" s="121"/>
      <c r="BB172" s="121"/>
      <c r="BC172" s="121">
        <v>0</v>
      </c>
      <c r="BD172" s="121">
        <v>0</v>
      </c>
      <c r="BE172" s="25">
        <f t="shared" si="6"/>
        <v>1501.3908129075999</v>
      </c>
      <c r="BF172" s="121"/>
      <c r="BG172" s="121"/>
      <c r="BH172" s="121"/>
      <c r="BI172" s="121"/>
      <c r="BJ172" s="121"/>
      <c r="BK172" s="121"/>
      <c r="BL172" s="121"/>
      <c r="BM172" s="121"/>
      <c r="BN172" s="121"/>
      <c r="BO172" s="121"/>
      <c r="BP172" s="121"/>
    </row>
    <row r="173" spans="2:68" ht="15" customHeight="1">
      <c r="B173" s="12">
        <v>46163</v>
      </c>
      <c r="C173" s="121" t="e">
        <f t="shared" si="4"/>
        <v>#REF!</v>
      </c>
      <c r="D173" s="121" t="e">
        <f>SUMIFS(#REF!,#REF!,Extrato!$B173,#REF!,Extrato!D$3)</f>
        <v>#REF!</v>
      </c>
      <c r="E173" s="121" t="e">
        <f>SUMIFS(#REF!,#REF!,Extrato!$B173,#REF!,Extrato!E$3)</f>
        <v>#REF!</v>
      </c>
      <c r="F173" s="121" t="e">
        <f>SUMIFS(#REF!,#REF!,Extrato!$B173,#REF!,Extrato!F$3)</f>
        <v>#REF!</v>
      </c>
      <c r="G173" s="121" t="e">
        <f>SUMIFS(#REF!,#REF!,Extrato!$B173,#REF!,Extrato!G$3)</f>
        <v>#REF!</v>
      </c>
      <c r="H173" s="121" t="e">
        <f>SUMIFS(#REF!,#REF!,Extrato!$B173,#REF!,Extrato!H$3)</f>
        <v>#REF!</v>
      </c>
      <c r="I173" s="121" t="e">
        <f>SUMIFS(#REF!,#REF!,Extrato!$B173,#REF!,Extrato!I$3)</f>
        <v>#REF!</v>
      </c>
      <c r="J173" s="121" t="e">
        <f>SUMIFS(#REF!,#REF!,Extrato!$B173,#REF!,Extrato!J$3)</f>
        <v>#REF!</v>
      </c>
      <c r="K173" s="121" t="e">
        <f>SUMIFS(#REF!,#REF!,Extrato!$B173,#REF!,Extrato!K$3)</f>
        <v>#REF!</v>
      </c>
      <c r="L173" s="121" t="e">
        <f>SUMIFS(#REF!,#REF!,Extrato!$B173,#REF!,Extrato!L$3)</f>
        <v>#REF!</v>
      </c>
      <c r="M173" s="121" t="e">
        <f>SUMIFS(#REF!,#REF!,Extrato!$B173,#REF!,Extrato!M$3)</f>
        <v>#REF!</v>
      </c>
      <c r="N173" s="121" t="e">
        <f>SUMIFS(#REF!,#REF!,Extrato!$B173,#REF!,Extrato!N$3)</f>
        <v>#REF!</v>
      </c>
      <c r="O173" s="121" t="e">
        <f>SUMIFS(#REF!,#REF!,Extrato!$B173,#REF!,Extrato!O$3)</f>
        <v>#REF!</v>
      </c>
      <c r="P173" s="121">
        <f>SUMIF(BetFlow!B:B,B173,BetFlow!J:J)</f>
        <v>0</v>
      </c>
      <c r="Q173" s="121" t="e">
        <f>SUMIFS(#REF!,#REF!,Extrato!$B173,#REF!,Extrato!Q$3)</f>
        <v>#REF!</v>
      </c>
      <c r="R173" s="121" t="e">
        <f>SUMIFS(#REF!,#REF!,Extrato!$B173,#REF!,Extrato!R$3)</f>
        <v>#REF!</v>
      </c>
      <c r="S173" s="121" t="e">
        <f>SUMIFS(#REF!,#REF!,Extrato!$B173,#REF!,Extrato!S$3)</f>
        <v>#REF!</v>
      </c>
      <c r="T173" s="121" t="e">
        <f>SUMIFS(#REF!,#REF!,Extrato!$B173,#REF!,Extrato!T$3)</f>
        <v>#REF!</v>
      </c>
      <c r="U173" s="121" t="e">
        <f>SUMIFS(#REF!,#REF!,Extrato!$B173,#REF!,Extrato!U$3)</f>
        <v>#REF!</v>
      </c>
      <c r="V173" s="121" t="e">
        <f>SUMIFS(#REF!,#REF!,Extrato!$B173,#REF!,Extrato!V$3)</f>
        <v>#REF!</v>
      </c>
      <c r="W173" s="121" t="e">
        <f>SUMIFS(#REF!,#REF!,Extrato!$B173,#REF!,Extrato!W$3)</f>
        <v>#REF!</v>
      </c>
      <c r="X173" s="121" t="e">
        <f>SUMIFS(#REF!,#REF!,Extrato!$B173,#REF!,Extrato!X$3)</f>
        <v>#REF!</v>
      </c>
      <c r="Y173" s="121" t="e">
        <f>SUMIFS(#REF!,#REF!,Extrato!$B173,#REF!,Extrato!Y$3)</f>
        <v>#REF!</v>
      </c>
      <c r="Z173" s="121" t="e">
        <f>SUMIFS(#REF!,#REF!,Extrato!$B173,#REF!,Extrato!Z$3)</f>
        <v>#REF!</v>
      </c>
      <c r="AA173" s="121" t="e">
        <f>SUMIFS(#REF!,#REF!,Extrato!$B173,#REF!,Extrato!AA$3)</f>
        <v>#REF!</v>
      </c>
      <c r="AB173" s="121" t="e">
        <f>SUMIFS(#REF!,#REF!,Extrato!$B173,#REF!,Extrato!AB$3)</f>
        <v>#REF!</v>
      </c>
      <c r="AC173" s="121" t="e">
        <f>SUMIFS(#REF!,#REF!,Extrato!$B173,#REF!,Extrato!AC$3)</f>
        <v>#REF!</v>
      </c>
      <c r="AD173" s="121" t="e">
        <f>SUMIFS(#REF!,#REF!,Extrato!$B173,#REF!,Extrato!AD$3)</f>
        <v>#REF!</v>
      </c>
      <c r="AE173" s="121" t="e">
        <f>SUMIFS(#REF!,#REF!,Extrato!$B173,#REF!,Extrato!AE$3)</f>
        <v>#REF!</v>
      </c>
      <c r="AF173" s="121" t="e">
        <f>SUMIFS(#REF!,#REF!,Extrato!$B173,#REF!,Extrato!AF$3)</f>
        <v>#REF!</v>
      </c>
      <c r="AG173" s="121" t="e">
        <f>SUMIFS(#REF!,#REF!,Extrato!$B173,#REF!,Extrato!AG$3)</f>
        <v>#REF!</v>
      </c>
      <c r="AH173" s="121" t="e">
        <f>SUMIFS(#REF!,#REF!,Extrato!$B173,#REF!,Extrato!AH$3)</f>
        <v>#REF!</v>
      </c>
      <c r="AI173" s="121" t="e">
        <f>SUMIFS(#REF!,#REF!,Extrato!$B173,#REF!,Extrato!AI$3)</f>
        <v>#REF!</v>
      </c>
      <c r="AJ173" s="121">
        <v>0</v>
      </c>
      <c r="AK173" s="121">
        <v>0.01</v>
      </c>
      <c r="AL173" s="25" t="e">
        <f t="shared" si="5"/>
        <v>#REF!</v>
      </c>
      <c r="AM173" s="122"/>
      <c r="AN173" s="121">
        <f t="shared" si="7"/>
        <v>1501.3908129075999</v>
      </c>
      <c r="AO173" s="121">
        <f>SUMIF(BetFlow!B:B,Extrato!B173,BetFlow!M:M)</f>
        <v>0</v>
      </c>
      <c r="AP173" s="121"/>
      <c r="AQ173" s="121"/>
      <c r="AR173" s="121"/>
      <c r="AS173" s="121"/>
      <c r="AT173" s="121"/>
      <c r="AU173" s="121"/>
      <c r="AV173" s="121"/>
      <c r="AW173" s="121"/>
      <c r="AX173" s="121"/>
      <c r="AY173" s="121"/>
      <c r="AZ173" s="121"/>
      <c r="BA173" s="121"/>
      <c r="BB173" s="121"/>
      <c r="BC173" s="121">
        <v>0</v>
      </c>
      <c r="BD173" s="121">
        <v>0</v>
      </c>
      <c r="BE173" s="25">
        <f t="shared" si="6"/>
        <v>1501.3908129075999</v>
      </c>
      <c r="BF173" s="122"/>
      <c r="BG173" s="121"/>
      <c r="BH173" s="121"/>
      <c r="BI173" s="121"/>
      <c r="BJ173" s="121"/>
      <c r="BK173" s="121"/>
      <c r="BL173" s="121"/>
      <c r="BM173" s="121"/>
      <c r="BN173" s="121"/>
      <c r="BO173" s="121"/>
      <c r="BP173" s="121"/>
    </row>
    <row r="174" spans="2:68" ht="15" customHeight="1">
      <c r="B174" s="12">
        <v>46164</v>
      </c>
      <c r="C174" s="121" t="e">
        <f t="shared" si="4"/>
        <v>#REF!</v>
      </c>
      <c r="D174" s="121" t="e">
        <f>SUMIFS(#REF!,#REF!,Extrato!$B174,#REF!,Extrato!D$3)</f>
        <v>#REF!</v>
      </c>
      <c r="E174" s="121" t="e">
        <f>SUMIFS(#REF!,#REF!,Extrato!$B174,#REF!,Extrato!E$3)</f>
        <v>#REF!</v>
      </c>
      <c r="F174" s="121" t="e">
        <f>SUMIFS(#REF!,#REF!,Extrato!$B174,#REF!,Extrato!F$3)</f>
        <v>#REF!</v>
      </c>
      <c r="G174" s="121" t="e">
        <f>SUMIFS(#REF!,#REF!,Extrato!$B174,#REF!,Extrato!G$3)</f>
        <v>#REF!</v>
      </c>
      <c r="H174" s="121" t="e">
        <f>SUMIFS(#REF!,#REF!,Extrato!$B174,#REF!,Extrato!H$3)</f>
        <v>#REF!</v>
      </c>
      <c r="I174" s="121" t="e">
        <f>SUMIFS(#REF!,#REF!,Extrato!$B174,#REF!,Extrato!I$3)</f>
        <v>#REF!</v>
      </c>
      <c r="J174" s="121" t="e">
        <f>SUMIFS(#REF!,#REF!,Extrato!$B174,#REF!,Extrato!J$3)</f>
        <v>#REF!</v>
      </c>
      <c r="K174" s="121" t="e">
        <f>SUMIFS(#REF!,#REF!,Extrato!$B174,#REF!,Extrato!K$3)</f>
        <v>#REF!</v>
      </c>
      <c r="L174" s="121" t="e">
        <f>SUMIFS(#REF!,#REF!,Extrato!$B174,#REF!,Extrato!L$3)</f>
        <v>#REF!</v>
      </c>
      <c r="M174" s="121" t="e">
        <f>SUMIFS(#REF!,#REF!,Extrato!$B174,#REF!,Extrato!M$3)</f>
        <v>#REF!</v>
      </c>
      <c r="N174" s="121" t="e">
        <f>SUMIFS(#REF!,#REF!,Extrato!$B174,#REF!,Extrato!N$3)</f>
        <v>#REF!</v>
      </c>
      <c r="O174" s="121" t="e">
        <f>SUMIFS(#REF!,#REF!,Extrato!$B174,#REF!,Extrato!O$3)</f>
        <v>#REF!</v>
      </c>
      <c r="P174" s="121">
        <f>SUMIF(BetFlow!B:B,B174,BetFlow!J:J)</f>
        <v>-75.53</v>
      </c>
      <c r="Q174" s="121" t="e">
        <f>SUMIFS(#REF!,#REF!,Extrato!$B174,#REF!,Extrato!Q$3)</f>
        <v>#REF!</v>
      </c>
      <c r="R174" s="121" t="e">
        <f>SUMIFS(#REF!,#REF!,Extrato!$B174,#REF!,Extrato!R$3)</f>
        <v>#REF!</v>
      </c>
      <c r="S174" s="121" t="e">
        <f>SUMIFS(#REF!,#REF!,Extrato!$B174,#REF!,Extrato!S$3)</f>
        <v>#REF!</v>
      </c>
      <c r="T174" s="121" t="e">
        <f>SUMIFS(#REF!,#REF!,Extrato!$B174,#REF!,Extrato!T$3)</f>
        <v>#REF!</v>
      </c>
      <c r="U174" s="121" t="e">
        <f>SUMIFS(#REF!,#REF!,Extrato!$B174,#REF!,Extrato!U$3)</f>
        <v>#REF!</v>
      </c>
      <c r="V174" s="121" t="e">
        <f>SUMIFS(#REF!,#REF!,Extrato!$B174,#REF!,Extrato!V$3)</f>
        <v>#REF!</v>
      </c>
      <c r="W174" s="121" t="e">
        <f>SUMIFS(#REF!,#REF!,Extrato!$B174,#REF!,Extrato!W$3)</f>
        <v>#REF!</v>
      </c>
      <c r="X174" s="121" t="e">
        <f>SUMIFS(#REF!,#REF!,Extrato!$B174,#REF!,Extrato!X$3)</f>
        <v>#REF!</v>
      </c>
      <c r="Y174" s="121" t="e">
        <f>SUMIFS(#REF!,#REF!,Extrato!$B174,#REF!,Extrato!Y$3)</f>
        <v>#REF!</v>
      </c>
      <c r="Z174" s="121" t="e">
        <f>SUMIFS(#REF!,#REF!,Extrato!$B174,#REF!,Extrato!Z$3)</f>
        <v>#REF!</v>
      </c>
      <c r="AA174" s="121" t="e">
        <f>SUMIFS(#REF!,#REF!,Extrato!$B174,#REF!,Extrato!AA$3)</f>
        <v>#REF!</v>
      </c>
      <c r="AB174" s="121" t="e">
        <f>SUMIFS(#REF!,#REF!,Extrato!$B174,#REF!,Extrato!AB$3)</f>
        <v>#REF!</v>
      </c>
      <c r="AC174" s="121" t="e">
        <f>SUMIFS(#REF!,#REF!,Extrato!$B174,#REF!,Extrato!AC$3)</f>
        <v>#REF!</v>
      </c>
      <c r="AD174" s="121" t="e">
        <f>SUMIFS(#REF!,#REF!,Extrato!$B174,#REF!,Extrato!AD$3)</f>
        <v>#REF!</v>
      </c>
      <c r="AE174" s="121" t="e">
        <f>SUMIFS(#REF!,#REF!,Extrato!$B174,#REF!,Extrato!AE$3)</f>
        <v>#REF!</v>
      </c>
      <c r="AF174" s="121" t="e">
        <f>SUMIFS(#REF!,#REF!,Extrato!$B174,#REF!,Extrato!AF$3)</f>
        <v>#REF!</v>
      </c>
      <c r="AG174" s="121" t="e">
        <f>SUMIFS(#REF!,#REF!,Extrato!$B174,#REF!,Extrato!AG$3)</f>
        <v>#REF!</v>
      </c>
      <c r="AH174" s="121" t="e">
        <f>SUMIFS(#REF!,#REF!,Extrato!$B174,#REF!,Extrato!AH$3)</f>
        <v>#REF!</v>
      </c>
      <c r="AI174" s="121" t="e">
        <f>SUMIFS(#REF!,#REF!,Extrato!$B174,#REF!,Extrato!AI$3)</f>
        <v>#REF!</v>
      </c>
      <c r="AJ174" s="121">
        <v>0</v>
      </c>
      <c r="AK174" s="121">
        <v>-0.01</v>
      </c>
      <c r="AL174" s="25" t="e">
        <f t="shared" si="5"/>
        <v>#REF!</v>
      </c>
      <c r="AM174" s="122"/>
      <c r="AN174" s="121">
        <f t="shared" si="7"/>
        <v>1501.3908129075999</v>
      </c>
      <c r="AO174" s="121">
        <f>SUMIF(BetFlow!B:B,Extrato!B174,BetFlow!M:M)</f>
        <v>77.641141330472607</v>
      </c>
      <c r="AP174" s="121"/>
      <c r="AQ174" s="121"/>
      <c r="AR174" s="121"/>
      <c r="AS174" s="121"/>
      <c r="AT174" s="121"/>
      <c r="AU174" s="121"/>
      <c r="AV174" s="121"/>
      <c r="AW174" s="121"/>
      <c r="AX174" s="121"/>
      <c r="AY174" s="121"/>
      <c r="AZ174" s="121"/>
      <c r="BA174" s="121"/>
      <c r="BB174" s="121"/>
      <c r="BC174" s="121">
        <v>0</v>
      </c>
      <c r="BD174" s="121">
        <v>0.01</v>
      </c>
      <c r="BE174" s="25">
        <f t="shared" si="6"/>
        <v>1579.0419542380725</v>
      </c>
      <c r="BF174" s="122"/>
      <c r="BG174" s="121"/>
      <c r="BH174" s="121"/>
      <c r="BI174" s="121"/>
      <c r="BJ174" s="121"/>
      <c r="BK174" s="121"/>
      <c r="BL174" s="121"/>
      <c r="BM174" s="121"/>
      <c r="BN174" s="121"/>
      <c r="BO174" s="121"/>
      <c r="BP174" s="121"/>
    </row>
    <row r="175" spans="2:68" ht="15" customHeight="1">
      <c r="B175" s="12">
        <v>46165</v>
      </c>
      <c r="C175" s="121" t="e">
        <f t="shared" si="4"/>
        <v>#REF!</v>
      </c>
      <c r="D175" s="121" t="e">
        <f>SUMIFS(#REF!,#REF!,Extrato!$B175,#REF!,Extrato!D$3)</f>
        <v>#REF!</v>
      </c>
      <c r="E175" s="121" t="e">
        <f>SUMIFS(#REF!,#REF!,Extrato!$B175,#REF!,Extrato!E$3)</f>
        <v>#REF!</v>
      </c>
      <c r="F175" s="121" t="e">
        <f>SUMIFS(#REF!,#REF!,Extrato!$B175,#REF!,Extrato!F$3)</f>
        <v>#REF!</v>
      </c>
      <c r="G175" s="121" t="e">
        <f>SUMIFS(#REF!,#REF!,Extrato!$B175,#REF!,Extrato!G$3)</f>
        <v>#REF!</v>
      </c>
      <c r="H175" s="121" t="e">
        <f>SUMIFS(#REF!,#REF!,Extrato!$B175,#REF!,Extrato!H$3)</f>
        <v>#REF!</v>
      </c>
      <c r="I175" s="121" t="e">
        <f>SUMIFS(#REF!,#REF!,Extrato!$B175,#REF!,Extrato!I$3)</f>
        <v>#REF!</v>
      </c>
      <c r="J175" s="121" t="e">
        <f>SUMIFS(#REF!,#REF!,Extrato!$B175,#REF!,Extrato!J$3)</f>
        <v>#REF!</v>
      </c>
      <c r="K175" s="121" t="e">
        <f>SUMIFS(#REF!,#REF!,Extrato!$B175,#REF!,Extrato!K$3)</f>
        <v>#REF!</v>
      </c>
      <c r="L175" s="121" t="e">
        <f>SUMIFS(#REF!,#REF!,Extrato!$B175,#REF!,Extrato!L$3)</f>
        <v>#REF!</v>
      </c>
      <c r="M175" s="121" t="e">
        <f>SUMIFS(#REF!,#REF!,Extrato!$B175,#REF!,Extrato!M$3)</f>
        <v>#REF!</v>
      </c>
      <c r="N175" s="121" t="e">
        <f>SUMIFS(#REF!,#REF!,Extrato!$B175,#REF!,Extrato!N$3)</f>
        <v>#REF!</v>
      </c>
      <c r="O175" s="121" t="e">
        <f>SUMIFS(#REF!,#REF!,Extrato!$B175,#REF!,Extrato!O$3)</f>
        <v>#REF!</v>
      </c>
      <c r="P175" s="121">
        <f>SUMIF(BetFlow!B:B,B175,BetFlow!J:J)</f>
        <v>5.8918999999999961</v>
      </c>
      <c r="Q175" s="121" t="e">
        <f>SUMIFS(#REF!,#REF!,Extrato!$B175,#REF!,Extrato!Q$3)</f>
        <v>#REF!</v>
      </c>
      <c r="R175" s="121" t="e">
        <f>SUMIFS(#REF!,#REF!,Extrato!$B175,#REF!,Extrato!R$3)</f>
        <v>#REF!</v>
      </c>
      <c r="S175" s="121" t="e">
        <f>SUMIFS(#REF!,#REF!,Extrato!$B175,#REF!,Extrato!S$3)</f>
        <v>#REF!</v>
      </c>
      <c r="T175" s="121" t="e">
        <f>SUMIFS(#REF!,#REF!,Extrato!$B175,#REF!,Extrato!T$3)</f>
        <v>#REF!</v>
      </c>
      <c r="U175" s="121" t="e">
        <f>SUMIFS(#REF!,#REF!,Extrato!$B175,#REF!,Extrato!U$3)</f>
        <v>#REF!</v>
      </c>
      <c r="V175" s="121" t="e">
        <f>SUMIFS(#REF!,#REF!,Extrato!$B175,#REF!,Extrato!V$3)</f>
        <v>#REF!</v>
      </c>
      <c r="W175" s="121" t="e">
        <f>SUMIFS(#REF!,#REF!,Extrato!$B175,#REF!,Extrato!W$3)</f>
        <v>#REF!</v>
      </c>
      <c r="X175" s="121" t="e">
        <f>SUMIFS(#REF!,#REF!,Extrato!$B175,#REF!,Extrato!X$3)</f>
        <v>#REF!</v>
      </c>
      <c r="Y175" s="121" t="e">
        <f>SUMIFS(#REF!,#REF!,Extrato!$B175,#REF!,Extrato!Y$3)</f>
        <v>#REF!</v>
      </c>
      <c r="Z175" s="121" t="e">
        <f>SUMIFS(#REF!,#REF!,Extrato!$B175,#REF!,Extrato!Z$3)</f>
        <v>#REF!</v>
      </c>
      <c r="AA175" s="121" t="e">
        <f>SUMIFS(#REF!,#REF!,Extrato!$B175,#REF!,Extrato!AA$3)</f>
        <v>#REF!</v>
      </c>
      <c r="AB175" s="121" t="e">
        <f>SUMIFS(#REF!,#REF!,Extrato!$B175,#REF!,Extrato!AB$3)</f>
        <v>#REF!</v>
      </c>
      <c r="AC175" s="121" t="e">
        <f>SUMIFS(#REF!,#REF!,Extrato!$B175,#REF!,Extrato!AC$3)</f>
        <v>#REF!</v>
      </c>
      <c r="AD175" s="121" t="e">
        <f>SUMIFS(#REF!,#REF!,Extrato!$B175,#REF!,Extrato!AD$3)</f>
        <v>#REF!</v>
      </c>
      <c r="AE175" s="121" t="e">
        <f>SUMIFS(#REF!,#REF!,Extrato!$B175,#REF!,Extrato!AE$3)</f>
        <v>#REF!</v>
      </c>
      <c r="AF175" s="121" t="e">
        <f>SUMIFS(#REF!,#REF!,Extrato!$B175,#REF!,Extrato!AF$3)</f>
        <v>#REF!</v>
      </c>
      <c r="AG175" s="121" t="e">
        <f>SUMIFS(#REF!,#REF!,Extrato!$B175,#REF!,Extrato!AG$3)</f>
        <v>#REF!</v>
      </c>
      <c r="AH175" s="121" t="e">
        <f>SUMIFS(#REF!,#REF!,Extrato!$B175,#REF!,Extrato!AH$3)</f>
        <v>#REF!</v>
      </c>
      <c r="AI175" s="121" t="e">
        <f>SUMIFS(#REF!,#REF!,Extrato!$B175,#REF!,Extrato!AI$3)</f>
        <v>#REF!</v>
      </c>
      <c r="AJ175" s="121">
        <v>0</v>
      </c>
      <c r="AK175" s="121">
        <v>-0.04</v>
      </c>
      <c r="AL175" s="25" t="e">
        <f t="shared" si="5"/>
        <v>#REF!</v>
      </c>
      <c r="AM175" s="122"/>
      <c r="AN175" s="121">
        <f t="shared" si="7"/>
        <v>1579.0419542380725</v>
      </c>
      <c r="AO175" s="121">
        <f>SUMIF(BetFlow!B:B,Extrato!B175,BetFlow!M:M)</f>
        <v>-2.3609772679999947</v>
      </c>
      <c r="AP175" s="121"/>
      <c r="AQ175" s="121"/>
      <c r="AR175" s="121"/>
      <c r="AS175" s="121"/>
      <c r="AT175" s="121"/>
      <c r="AU175" s="121"/>
      <c r="AV175" s="121"/>
      <c r="AW175" s="121"/>
      <c r="AX175" s="121"/>
      <c r="AY175" s="121"/>
      <c r="AZ175" s="121"/>
      <c r="BA175" s="121"/>
      <c r="BB175" s="121"/>
      <c r="BC175" s="121">
        <v>0</v>
      </c>
      <c r="BD175" s="121">
        <v>0</v>
      </c>
      <c r="BE175" s="25">
        <f t="shared" si="6"/>
        <v>1576.6809769700726</v>
      </c>
      <c r="BF175" s="122"/>
      <c r="BG175" s="121"/>
      <c r="BH175" s="121"/>
      <c r="BI175" s="121"/>
      <c r="BJ175" s="121"/>
      <c r="BK175" s="121"/>
      <c r="BL175" s="121"/>
      <c r="BM175" s="121"/>
      <c r="BN175" s="121"/>
      <c r="BO175" s="121"/>
      <c r="BP175" s="121"/>
    </row>
    <row r="176" spans="2:68" ht="15" customHeight="1">
      <c r="B176" s="12">
        <v>46166</v>
      </c>
      <c r="C176" s="121" t="e">
        <f t="shared" si="4"/>
        <v>#REF!</v>
      </c>
      <c r="D176" s="121" t="e">
        <f>SUMIFS(#REF!,#REF!,Extrato!$B176,#REF!,Extrato!D$3)</f>
        <v>#REF!</v>
      </c>
      <c r="E176" s="121" t="e">
        <f>SUMIFS(#REF!,#REF!,Extrato!$B176,#REF!,Extrato!E$3)</f>
        <v>#REF!</v>
      </c>
      <c r="F176" s="121" t="e">
        <f>SUMIFS(#REF!,#REF!,Extrato!$B176,#REF!,Extrato!F$3)</f>
        <v>#REF!</v>
      </c>
      <c r="G176" s="121" t="e">
        <f>SUMIFS(#REF!,#REF!,Extrato!$B176,#REF!,Extrato!G$3)</f>
        <v>#REF!</v>
      </c>
      <c r="H176" s="121" t="e">
        <f>SUMIFS(#REF!,#REF!,Extrato!$B176,#REF!,Extrato!H$3)</f>
        <v>#REF!</v>
      </c>
      <c r="I176" s="121" t="e">
        <f>SUMIFS(#REF!,#REF!,Extrato!$B176,#REF!,Extrato!I$3)</f>
        <v>#REF!</v>
      </c>
      <c r="J176" s="121" t="e">
        <f>SUMIFS(#REF!,#REF!,Extrato!$B176,#REF!,Extrato!J$3)</f>
        <v>#REF!</v>
      </c>
      <c r="K176" s="121" t="e">
        <f>SUMIFS(#REF!,#REF!,Extrato!$B176,#REF!,Extrato!K$3)</f>
        <v>#REF!</v>
      </c>
      <c r="L176" s="121" t="e">
        <f>SUMIFS(#REF!,#REF!,Extrato!$B176,#REF!,Extrato!L$3)</f>
        <v>#REF!</v>
      </c>
      <c r="M176" s="121" t="e">
        <f>SUMIFS(#REF!,#REF!,Extrato!$B176,#REF!,Extrato!M$3)</f>
        <v>#REF!</v>
      </c>
      <c r="N176" s="121" t="e">
        <f>SUMIFS(#REF!,#REF!,Extrato!$B176,#REF!,Extrato!N$3)</f>
        <v>#REF!</v>
      </c>
      <c r="O176" s="121" t="e">
        <f>SUMIFS(#REF!,#REF!,Extrato!$B176,#REF!,Extrato!O$3)</f>
        <v>#REF!</v>
      </c>
      <c r="P176" s="121">
        <f>SUMIF(BetFlow!B:B,B176,BetFlow!J:J)</f>
        <v>-26</v>
      </c>
      <c r="Q176" s="121" t="e">
        <f>SUMIFS(#REF!,#REF!,Extrato!$B176,#REF!,Extrato!Q$3)</f>
        <v>#REF!</v>
      </c>
      <c r="R176" s="121" t="e">
        <f>SUMIFS(#REF!,#REF!,Extrato!$B176,#REF!,Extrato!R$3)</f>
        <v>#REF!</v>
      </c>
      <c r="S176" s="121" t="e">
        <f>SUMIFS(#REF!,#REF!,Extrato!$B176,#REF!,Extrato!S$3)</f>
        <v>#REF!</v>
      </c>
      <c r="T176" s="121" t="e">
        <f>SUMIFS(#REF!,#REF!,Extrato!$B176,#REF!,Extrato!T$3)</f>
        <v>#REF!</v>
      </c>
      <c r="U176" s="121" t="e">
        <f>SUMIFS(#REF!,#REF!,Extrato!$B176,#REF!,Extrato!U$3)</f>
        <v>#REF!</v>
      </c>
      <c r="V176" s="121" t="e">
        <f>SUMIFS(#REF!,#REF!,Extrato!$B176,#REF!,Extrato!V$3)</f>
        <v>#REF!</v>
      </c>
      <c r="W176" s="121" t="e">
        <f>SUMIFS(#REF!,#REF!,Extrato!$B176,#REF!,Extrato!W$3)</f>
        <v>#REF!</v>
      </c>
      <c r="X176" s="121" t="e">
        <f>SUMIFS(#REF!,#REF!,Extrato!$B176,#REF!,Extrato!X$3)</f>
        <v>#REF!</v>
      </c>
      <c r="Y176" s="121" t="e">
        <f>SUMIFS(#REF!,#REF!,Extrato!$B176,#REF!,Extrato!Y$3)</f>
        <v>#REF!</v>
      </c>
      <c r="Z176" s="121" t="e">
        <f>SUMIFS(#REF!,#REF!,Extrato!$B176,#REF!,Extrato!Z$3)</f>
        <v>#REF!</v>
      </c>
      <c r="AA176" s="121" t="e">
        <f>SUMIFS(#REF!,#REF!,Extrato!$B176,#REF!,Extrato!AA$3)</f>
        <v>#REF!</v>
      </c>
      <c r="AB176" s="121" t="e">
        <f>SUMIFS(#REF!,#REF!,Extrato!$B176,#REF!,Extrato!AB$3)</f>
        <v>#REF!</v>
      </c>
      <c r="AC176" s="121" t="e">
        <f>SUMIFS(#REF!,#REF!,Extrato!$B176,#REF!,Extrato!AC$3)</f>
        <v>#REF!</v>
      </c>
      <c r="AD176" s="121" t="e">
        <f>SUMIFS(#REF!,#REF!,Extrato!$B176,#REF!,Extrato!AD$3)</f>
        <v>#REF!</v>
      </c>
      <c r="AE176" s="121" t="e">
        <f>SUMIFS(#REF!,#REF!,Extrato!$B176,#REF!,Extrato!AE$3)</f>
        <v>#REF!</v>
      </c>
      <c r="AF176" s="121" t="e">
        <f>SUMIFS(#REF!,#REF!,Extrato!$B176,#REF!,Extrato!AF$3)</f>
        <v>#REF!</v>
      </c>
      <c r="AG176" s="121" t="e">
        <f>SUMIFS(#REF!,#REF!,Extrato!$B176,#REF!,Extrato!AG$3)</f>
        <v>#REF!</v>
      </c>
      <c r="AH176" s="121" t="e">
        <f>SUMIFS(#REF!,#REF!,Extrato!$B176,#REF!,Extrato!AH$3)</f>
        <v>#REF!</v>
      </c>
      <c r="AI176" s="121" t="e">
        <f>SUMIFS(#REF!,#REF!,Extrato!$B176,#REF!,Extrato!AI$3)</f>
        <v>#REF!</v>
      </c>
      <c r="AJ176" s="121">
        <v>0</v>
      </c>
      <c r="AK176" s="121">
        <v>0.01</v>
      </c>
      <c r="AL176" s="25" t="e">
        <f t="shared" si="5"/>
        <v>#REF!</v>
      </c>
      <c r="AM176" s="122"/>
      <c r="AN176" s="121">
        <f t="shared" si="7"/>
        <v>1576.6809769700726</v>
      </c>
      <c r="AO176" s="121">
        <f>SUMIF(BetFlow!B:B,Extrato!B176,BetFlow!M:M)</f>
        <v>27.204857769600004</v>
      </c>
      <c r="AP176" s="121"/>
      <c r="AQ176" s="121"/>
      <c r="AR176" s="121"/>
      <c r="AS176" s="121"/>
      <c r="AT176" s="121"/>
      <c r="AU176" s="121"/>
      <c r="AV176" s="121"/>
      <c r="AW176" s="121"/>
      <c r="AX176" s="121"/>
      <c r="AY176" s="121"/>
      <c r="AZ176" s="121"/>
      <c r="BA176" s="121"/>
      <c r="BB176" s="121"/>
      <c r="BC176" s="121">
        <v>0</v>
      </c>
      <c r="BD176" s="121">
        <v>-0.01</v>
      </c>
      <c r="BE176" s="25">
        <f t="shared" si="6"/>
        <v>1603.8758347396727</v>
      </c>
      <c r="BF176" s="122"/>
      <c r="BG176" s="121"/>
      <c r="BH176" s="121"/>
      <c r="BI176" s="121"/>
      <c r="BJ176" s="121"/>
      <c r="BK176" s="121"/>
      <c r="BL176" s="121"/>
      <c r="BM176" s="121"/>
      <c r="BN176" s="121"/>
      <c r="BO176" s="121"/>
      <c r="BP176" s="121"/>
    </row>
    <row r="177" spans="2:68" ht="15" customHeight="1">
      <c r="B177" s="12">
        <v>46167</v>
      </c>
      <c r="C177" s="121" t="e">
        <f t="shared" si="4"/>
        <v>#REF!</v>
      </c>
      <c r="D177" s="121" t="e">
        <f>SUMIFS(#REF!,#REF!,Extrato!$B177,#REF!,Extrato!D$3)</f>
        <v>#REF!</v>
      </c>
      <c r="E177" s="121" t="e">
        <f>SUMIFS(#REF!,#REF!,Extrato!$B177,#REF!,Extrato!E$3)</f>
        <v>#REF!</v>
      </c>
      <c r="F177" s="121" t="e">
        <f>SUMIFS(#REF!,#REF!,Extrato!$B177,#REF!,Extrato!F$3)</f>
        <v>#REF!</v>
      </c>
      <c r="G177" s="121" t="e">
        <f>SUMIFS(#REF!,#REF!,Extrato!$B177,#REF!,Extrato!G$3)</f>
        <v>#REF!</v>
      </c>
      <c r="H177" s="121" t="e">
        <f>SUMIFS(#REF!,#REF!,Extrato!$B177,#REF!,Extrato!H$3)</f>
        <v>#REF!</v>
      </c>
      <c r="I177" s="121" t="e">
        <f>SUMIFS(#REF!,#REF!,Extrato!$B177,#REF!,Extrato!I$3)</f>
        <v>#REF!</v>
      </c>
      <c r="J177" s="121" t="e">
        <f>SUMIFS(#REF!,#REF!,Extrato!$B177,#REF!,Extrato!J$3)</f>
        <v>#REF!</v>
      </c>
      <c r="K177" s="121" t="e">
        <f>SUMIFS(#REF!,#REF!,Extrato!$B177,#REF!,Extrato!K$3)</f>
        <v>#REF!</v>
      </c>
      <c r="L177" s="121" t="e">
        <f>SUMIFS(#REF!,#REF!,Extrato!$B177,#REF!,Extrato!L$3)</f>
        <v>#REF!</v>
      </c>
      <c r="M177" s="121" t="e">
        <f>SUMIFS(#REF!,#REF!,Extrato!$B177,#REF!,Extrato!M$3)</f>
        <v>#REF!</v>
      </c>
      <c r="N177" s="121" t="e">
        <f>SUMIFS(#REF!,#REF!,Extrato!$B177,#REF!,Extrato!N$3)</f>
        <v>#REF!</v>
      </c>
      <c r="O177" s="121" t="e">
        <f>SUMIFS(#REF!,#REF!,Extrato!$B177,#REF!,Extrato!O$3)</f>
        <v>#REF!</v>
      </c>
      <c r="P177" s="121">
        <f>SUMIF(BetFlow!B:B,B177,BetFlow!J:J)</f>
        <v>-12.600000000000001</v>
      </c>
      <c r="Q177" s="121" t="e">
        <f>SUMIFS(#REF!,#REF!,Extrato!$B177,#REF!,Extrato!Q$3)</f>
        <v>#REF!</v>
      </c>
      <c r="R177" s="121" t="e">
        <f>SUMIFS(#REF!,#REF!,Extrato!$B177,#REF!,Extrato!R$3)</f>
        <v>#REF!</v>
      </c>
      <c r="S177" s="121" t="e">
        <f>SUMIFS(#REF!,#REF!,Extrato!$B177,#REF!,Extrato!S$3)</f>
        <v>#REF!</v>
      </c>
      <c r="T177" s="121" t="e">
        <f>SUMIFS(#REF!,#REF!,Extrato!$B177,#REF!,Extrato!T$3)</f>
        <v>#REF!</v>
      </c>
      <c r="U177" s="121" t="e">
        <f>SUMIFS(#REF!,#REF!,Extrato!$B177,#REF!,Extrato!U$3)</f>
        <v>#REF!</v>
      </c>
      <c r="V177" s="121" t="e">
        <f>SUMIFS(#REF!,#REF!,Extrato!$B177,#REF!,Extrato!V$3)</f>
        <v>#REF!</v>
      </c>
      <c r="W177" s="121" t="e">
        <f>SUMIFS(#REF!,#REF!,Extrato!$B177,#REF!,Extrato!W$3)</f>
        <v>#REF!</v>
      </c>
      <c r="X177" s="121" t="e">
        <f>SUMIFS(#REF!,#REF!,Extrato!$B177,#REF!,Extrato!X$3)</f>
        <v>#REF!</v>
      </c>
      <c r="Y177" s="121" t="e">
        <f>SUMIFS(#REF!,#REF!,Extrato!$B177,#REF!,Extrato!Y$3)</f>
        <v>#REF!</v>
      </c>
      <c r="Z177" s="121" t="e">
        <f>SUMIFS(#REF!,#REF!,Extrato!$B177,#REF!,Extrato!Z$3)</f>
        <v>#REF!</v>
      </c>
      <c r="AA177" s="121" t="e">
        <f>SUMIFS(#REF!,#REF!,Extrato!$B177,#REF!,Extrato!AA$3)</f>
        <v>#REF!</v>
      </c>
      <c r="AB177" s="121" t="e">
        <f>SUMIFS(#REF!,#REF!,Extrato!$B177,#REF!,Extrato!AB$3)</f>
        <v>#REF!</v>
      </c>
      <c r="AC177" s="121" t="e">
        <f>SUMIFS(#REF!,#REF!,Extrato!$B177,#REF!,Extrato!AC$3)</f>
        <v>#REF!</v>
      </c>
      <c r="AD177" s="121" t="e">
        <f>SUMIFS(#REF!,#REF!,Extrato!$B177,#REF!,Extrato!AD$3)</f>
        <v>#REF!</v>
      </c>
      <c r="AE177" s="121" t="e">
        <f>SUMIFS(#REF!,#REF!,Extrato!$B177,#REF!,Extrato!AE$3)</f>
        <v>#REF!</v>
      </c>
      <c r="AF177" s="121" t="e">
        <f>SUMIFS(#REF!,#REF!,Extrato!$B177,#REF!,Extrato!AF$3)</f>
        <v>#REF!</v>
      </c>
      <c r="AG177" s="121" t="e">
        <f>SUMIFS(#REF!,#REF!,Extrato!$B177,#REF!,Extrato!AG$3)</f>
        <v>#REF!</v>
      </c>
      <c r="AH177" s="121" t="e">
        <f>SUMIFS(#REF!,#REF!,Extrato!$B177,#REF!,Extrato!AH$3)</f>
        <v>#REF!</v>
      </c>
      <c r="AI177" s="121" t="e">
        <f>SUMIFS(#REF!,#REF!,Extrato!$B177,#REF!,Extrato!AI$3)</f>
        <v>#REF!</v>
      </c>
      <c r="AJ177" s="121">
        <v>0</v>
      </c>
      <c r="AK177" s="121">
        <v>0.02</v>
      </c>
      <c r="AL177" s="25" t="e">
        <f t="shared" si="5"/>
        <v>#REF!</v>
      </c>
      <c r="AM177" s="122"/>
      <c r="AN177" s="121">
        <f t="shared" si="7"/>
        <v>1603.8758347396727</v>
      </c>
      <c r="AO177" s="121">
        <f>SUMIF(BetFlow!B:B,Extrato!B177,BetFlow!M:M)</f>
        <v>13.205104736400001</v>
      </c>
      <c r="AP177" s="121"/>
      <c r="AQ177" s="121"/>
      <c r="AR177" s="121"/>
      <c r="AS177" s="121"/>
      <c r="AT177" s="121"/>
      <c r="AU177" s="121"/>
      <c r="AV177" s="121"/>
      <c r="AW177" s="121"/>
      <c r="AX177" s="121"/>
      <c r="AY177" s="121"/>
      <c r="AZ177" s="121"/>
      <c r="BA177" s="121"/>
      <c r="BB177" s="121"/>
      <c r="BC177" s="121">
        <v>0</v>
      </c>
      <c r="BD177" s="121">
        <v>0.01</v>
      </c>
      <c r="BE177" s="25">
        <f t="shared" si="6"/>
        <v>1617.0909394760727</v>
      </c>
      <c r="BF177" s="122"/>
      <c r="BG177" s="121"/>
      <c r="BH177" s="121"/>
      <c r="BI177" s="121"/>
      <c r="BJ177" s="121"/>
      <c r="BK177" s="121"/>
      <c r="BL177" s="121"/>
      <c r="BM177" s="121"/>
      <c r="BN177" s="121"/>
      <c r="BO177" s="121"/>
      <c r="BP177" s="121"/>
    </row>
    <row r="178" spans="2:68" ht="15" customHeight="1">
      <c r="B178" s="12">
        <v>46168</v>
      </c>
      <c r="C178" s="121" t="e">
        <f t="shared" si="4"/>
        <v>#REF!</v>
      </c>
      <c r="D178" s="121" t="e">
        <f>SUMIFS(#REF!,#REF!,Extrato!$B178,#REF!,Extrato!D$3)</f>
        <v>#REF!</v>
      </c>
      <c r="E178" s="121" t="e">
        <f>SUMIFS(#REF!,#REF!,Extrato!$B178,#REF!,Extrato!E$3)</f>
        <v>#REF!</v>
      </c>
      <c r="F178" s="121" t="e">
        <f>SUMIFS(#REF!,#REF!,Extrato!$B178,#REF!,Extrato!F$3)</f>
        <v>#REF!</v>
      </c>
      <c r="G178" s="121" t="e">
        <f>SUMIFS(#REF!,#REF!,Extrato!$B178,#REF!,Extrato!G$3)</f>
        <v>#REF!</v>
      </c>
      <c r="H178" s="121" t="e">
        <f>SUMIFS(#REF!,#REF!,Extrato!$B178,#REF!,Extrato!H$3)</f>
        <v>#REF!</v>
      </c>
      <c r="I178" s="121" t="e">
        <f>SUMIFS(#REF!,#REF!,Extrato!$B178,#REF!,Extrato!I$3)</f>
        <v>#REF!</v>
      </c>
      <c r="J178" s="121" t="e">
        <f>SUMIFS(#REF!,#REF!,Extrato!$B178,#REF!,Extrato!J$3)</f>
        <v>#REF!</v>
      </c>
      <c r="K178" s="121" t="e">
        <f>SUMIFS(#REF!,#REF!,Extrato!$B178,#REF!,Extrato!K$3)</f>
        <v>#REF!</v>
      </c>
      <c r="L178" s="121" t="e">
        <f>SUMIFS(#REF!,#REF!,Extrato!$B178,#REF!,Extrato!L$3)</f>
        <v>#REF!</v>
      </c>
      <c r="M178" s="121" t="e">
        <f>SUMIFS(#REF!,#REF!,Extrato!$B178,#REF!,Extrato!M$3)</f>
        <v>#REF!</v>
      </c>
      <c r="N178" s="121" t="e">
        <f>SUMIFS(#REF!,#REF!,Extrato!$B178,#REF!,Extrato!N$3)</f>
        <v>#REF!</v>
      </c>
      <c r="O178" s="121" t="e">
        <f>SUMIFS(#REF!,#REF!,Extrato!$B178,#REF!,Extrato!O$3)</f>
        <v>#REF!</v>
      </c>
      <c r="P178" s="121">
        <f>SUMIF(BetFlow!B:B,B178,BetFlow!J:J)+12.81</f>
        <v>-2.41</v>
      </c>
      <c r="Q178" s="121" t="e">
        <f>SUMIFS(#REF!,#REF!,Extrato!$B178,#REF!,Extrato!Q$3)</f>
        <v>#REF!</v>
      </c>
      <c r="R178" s="121" t="e">
        <f>SUMIFS(#REF!,#REF!,Extrato!$B178,#REF!,Extrato!R$3)</f>
        <v>#REF!</v>
      </c>
      <c r="S178" s="121" t="e">
        <f>SUMIFS(#REF!,#REF!,Extrato!$B178,#REF!,Extrato!S$3)</f>
        <v>#REF!</v>
      </c>
      <c r="T178" s="121" t="e">
        <f>SUMIFS(#REF!,#REF!,Extrato!$B178,#REF!,Extrato!T$3)</f>
        <v>#REF!</v>
      </c>
      <c r="U178" s="121" t="e">
        <f>SUMIFS(#REF!,#REF!,Extrato!$B178,#REF!,Extrato!U$3)</f>
        <v>#REF!</v>
      </c>
      <c r="V178" s="121" t="e">
        <f>SUMIFS(#REF!,#REF!,Extrato!$B178,#REF!,Extrato!V$3)</f>
        <v>#REF!</v>
      </c>
      <c r="W178" s="121" t="e">
        <f>SUMIFS(#REF!,#REF!,Extrato!$B178,#REF!,Extrato!W$3)</f>
        <v>#REF!</v>
      </c>
      <c r="X178" s="121" t="e">
        <f>SUMIFS(#REF!,#REF!,Extrato!$B178,#REF!,Extrato!X$3)</f>
        <v>#REF!</v>
      </c>
      <c r="Y178" s="121" t="e">
        <f>SUMIFS(#REF!,#REF!,Extrato!$B178,#REF!,Extrato!Y$3)</f>
        <v>#REF!</v>
      </c>
      <c r="Z178" s="121" t="e">
        <f>SUMIFS(#REF!,#REF!,Extrato!$B178,#REF!,Extrato!Z$3)</f>
        <v>#REF!</v>
      </c>
      <c r="AA178" s="121" t="e">
        <f>SUMIFS(#REF!,#REF!,Extrato!$B178,#REF!,Extrato!AA$3)</f>
        <v>#REF!</v>
      </c>
      <c r="AB178" s="121" t="e">
        <f>SUMIFS(#REF!,#REF!,Extrato!$B178,#REF!,Extrato!AB$3)</f>
        <v>#REF!</v>
      </c>
      <c r="AC178" s="121" t="e">
        <f>SUMIFS(#REF!,#REF!,Extrato!$B178,#REF!,Extrato!AC$3)</f>
        <v>#REF!</v>
      </c>
      <c r="AD178" s="121" t="e">
        <f>SUMIFS(#REF!,#REF!,Extrato!$B178,#REF!,Extrato!AD$3)</f>
        <v>#REF!</v>
      </c>
      <c r="AE178" s="121" t="e">
        <f>SUMIFS(#REF!,#REF!,Extrato!$B178,#REF!,Extrato!AE$3)</f>
        <v>#REF!</v>
      </c>
      <c r="AF178" s="121" t="e">
        <f>SUMIFS(#REF!,#REF!,Extrato!$B178,#REF!,Extrato!AF$3)</f>
        <v>#REF!</v>
      </c>
      <c r="AG178" s="121" t="e">
        <f>SUMIFS(#REF!,#REF!,Extrato!$B178,#REF!,Extrato!AG$3)</f>
        <v>#REF!</v>
      </c>
      <c r="AH178" s="121" t="e">
        <f>SUMIFS(#REF!,#REF!,Extrato!$B178,#REF!,Extrato!AH$3)</f>
        <v>#REF!</v>
      </c>
      <c r="AI178" s="121" t="e">
        <f>SUMIFS(#REF!,#REF!,Extrato!$B178,#REF!,Extrato!AI$3)</f>
        <v>#REF!</v>
      </c>
      <c r="AJ178" s="121">
        <v>0</v>
      </c>
      <c r="AK178" s="121">
        <v>0</v>
      </c>
      <c r="AL178" s="25" t="e">
        <f t="shared" si="5"/>
        <v>#REF!</v>
      </c>
      <c r="AM178" s="122"/>
      <c r="AN178" s="121">
        <f t="shared" si="7"/>
        <v>1617.0909394760727</v>
      </c>
      <c r="AO178" s="121">
        <f>SUMIF(BetFlow!B:B,Extrato!B178,BetFlow!M:M)</f>
        <v>16.023763893599998</v>
      </c>
      <c r="AP178" s="121"/>
      <c r="AQ178" s="121"/>
      <c r="AR178" s="121"/>
      <c r="AS178" s="121"/>
      <c r="AT178" s="121"/>
      <c r="AU178" s="121"/>
      <c r="AV178" s="121"/>
      <c r="AW178" s="121"/>
      <c r="AX178" s="121"/>
      <c r="AY178" s="121"/>
      <c r="AZ178" s="121"/>
      <c r="BA178" s="121"/>
      <c r="BB178" s="121"/>
      <c r="BC178" s="121">
        <v>0</v>
      </c>
      <c r="BD178" s="121">
        <v>0</v>
      </c>
      <c r="BE178" s="25">
        <f t="shared" si="6"/>
        <v>1633.1147033696727</v>
      </c>
      <c r="BF178" s="122"/>
      <c r="BG178" s="121"/>
      <c r="BH178" s="121"/>
      <c r="BI178" s="121"/>
      <c r="BJ178" s="121"/>
      <c r="BK178" s="121"/>
      <c r="BL178" s="121"/>
      <c r="BM178" s="121"/>
      <c r="BN178" s="121"/>
      <c r="BO178" s="121"/>
      <c r="BP178" s="121"/>
    </row>
    <row r="179" spans="2:68" ht="15" customHeight="1">
      <c r="B179" s="12">
        <v>46169</v>
      </c>
      <c r="C179" s="121" t="e">
        <f t="shared" si="4"/>
        <v>#REF!</v>
      </c>
      <c r="D179" s="121" t="e">
        <f>SUMIFS(#REF!,#REF!,Extrato!$B179,#REF!,Extrato!D$3)</f>
        <v>#REF!</v>
      </c>
      <c r="E179" s="121" t="e">
        <f>SUMIFS(#REF!,#REF!,Extrato!$B179,#REF!,Extrato!E$3)</f>
        <v>#REF!</v>
      </c>
      <c r="F179" s="121" t="e">
        <f>SUMIFS(#REF!,#REF!,Extrato!$B179,#REF!,Extrato!F$3)</f>
        <v>#REF!</v>
      </c>
      <c r="G179" s="121" t="e">
        <f>SUMIFS(#REF!,#REF!,Extrato!$B179,#REF!,Extrato!G$3)</f>
        <v>#REF!</v>
      </c>
      <c r="H179" s="121" t="e">
        <f>SUMIFS(#REF!,#REF!,Extrato!$B179,#REF!,Extrato!H$3)</f>
        <v>#REF!</v>
      </c>
      <c r="I179" s="121" t="e">
        <f>SUMIFS(#REF!,#REF!,Extrato!$B179,#REF!,Extrato!I$3)</f>
        <v>#REF!</v>
      </c>
      <c r="J179" s="121" t="e">
        <f>SUMIFS(#REF!,#REF!,Extrato!$B179,#REF!,Extrato!J$3)</f>
        <v>#REF!</v>
      </c>
      <c r="K179" s="121" t="e">
        <f>SUMIFS(#REF!,#REF!,Extrato!$B179,#REF!,Extrato!K$3)</f>
        <v>#REF!</v>
      </c>
      <c r="L179" s="121" t="e">
        <f>SUMIFS(#REF!,#REF!,Extrato!$B179,#REF!,Extrato!L$3)</f>
        <v>#REF!</v>
      </c>
      <c r="M179" s="121" t="e">
        <f>SUMIFS(#REF!,#REF!,Extrato!$B179,#REF!,Extrato!M$3)</f>
        <v>#REF!</v>
      </c>
      <c r="N179" s="121" t="e">
        <f>SUMIFS(#REF!,#REF!,Extrato!$B179,#REF!,Extrato!N$3)</f>
        <v>#REF!</v>
      </c>
      <c r="O179" s="121" t="e">
        <f>SUMIFS(#REF!,#REF!,Extrato!$B179,#REF!,Extrato!O$3)</f>
        <v>#REF!</v>
      </c>
      <c r="P179" s="121">
        <f>SUMIF(BetFlow!B:B,B179,BetFlow!J:J)-12.81</f>
        <v>-22.39</v>
      </c>
      <c r="Q179" s="121" t="e">
        <f>SUMIFS(#REF!,#REF!,Extrato!$B179,#REF!,Extrato!Q$3)</f>
        <v>#REF!</v>
      </c>
      <c r="R179" s="121" t="e">
        <f>SUMIFS(#REF!,#REF!,Extrato!$B179,#REF!,Extrato!R$3)</f>
        <v>#REF!</v>
      </c>
      <c r="S179" s="121" t="e">
        <f>SUMIFS(#REF!,#REF!,Extrato!$B179,#REF!,Extrato!S$3)</f>
        <v>#REF!</v>
      </c>
      <c r="T179" s="121" t="e">
        <f>SUMIFS(#REF!,#REF!,Extrato!$B179,#REF!,Extrato!T$3)</f>
        <v>#REF!</v>
      </c>
      <c r="U179" s="121" t="e">
        <f>SUMIFS(#REF!,#REF!,Extrato!$B179,#REF!,Extrato!U$3)</f>
        <v>#REF!</v>
      </c>
      <c r="V179" s="121" t="e">
        <f>SUMIFS(#REF!,#REF!,Extrato!$B179,#REF!,Extrato!V$3)</f>
        <v>#REF!</v>
      </c>
      <c r="W179" s="121" t="e">
        <f>SUMIFS(#REF!,#REF!,Extrato!$B179,#REF!,Extrato!W$3)</f>
        <v>#REF!</v>
      </c>
      <c r="X179" s="121" t="e">
        <f>SUMIFS(#REF!,#REF!,Extrato!$B179,#REF!,Extrato!X$3)</f>
        <v>#REF!</v>
      </c>
      <c r="Y179" s="121" t="e">
        <f>SUMIFS(#REF!,#REF!,Extrato!$B179,#REF!,Extrato!Y$3)</f>
        <v>#REF!</v>
      </c>
      <c r="Z179" s="121" t="e">
        <f>SUMIFS(#REF!,#REF!,Extrato!$B179,#REF!,Extrato!Z$3)</f>
        <v>#REF!</v>
      </c>
      <c r="AA179" s="121" t="e">
        <f>SUMIFS(#REF!,#REF!,Extrato!$B179,#REF!,Extrato!AA$3)</f>
        <v>#REF!</v>
      </c>
      <c r="AB179" s="121" t="e">
        <f>SUMIFS(#REF!,#REF!,Extrato!$B179,#REF!,Extrato!AB$3)</f>
        <v>#REF!</v>
      </c>
      <c r="AC179" s="121" t="e">
        <f>SUMIFS(#REF!,#REF!,Extrato!$B179,#REF!,Extrato!AC$3)</f>
        <v>#REF!</v>
      </c>
      <c r="AD179" s="121" t="e">
        <f>SUMIFS(#REF!,#REF!,Extrato!$B179,#REF!,Extrato!AD$3)</f>
        <v>#REF!</v>
      </c>
      <c r="AE179" s="121" t="e">
        <f>SUMIFS(#REF!,#REF!,Extrato!$B179,#REF!,Extrato!AE$3)</f>
        <v>#REF!</v>
      </c>
      <c r="AF179" s="121" t="e">
        <f>SUMIFS(#REF!,#REF!,Extrato!$B179,#REF!,Extrato!AF$3)</f>
        <v>#REF!</v>
      </c>
      <c r="AG179" s="121" t="e">
        <f>SUMIFS(#REF!,#REF!,Extrato!$B179,#REF!,Extrato!AG$3)</f>
        <v>#REF!</v>
      </c>
      <c r="AH179" s="121" t="e">
        <f>SUMIFS(#REF!,#REF!,Extrato!$B179,#REF!,Extrato!AH$3)</f>
        <v>#REF!</v>
      </c>
      <c r="AI179" s="121" t="e">
        <f>SUMIFS(#REF!,#REF!,Extrato!$B179,#REF!,Extrato!AI$3)</f>
        <v>#REF!</v>
      </c>
      <c r="AJ179" s="121">
        <v>0</v>
      </c>
      <c r="AK179" s="121">
        <v>0</v>
      </c>
      <c r="AL179" s="25" t="e">
        <f t="shared" si="5"/>
        <v>#REF!</v>
      </c>
      <c r="AM179" s="122"/>
      <c r="AN179" s="121">
        <f t="shared" si="7"/>
        <v>1633.1147033696727</v>
      </c>
      <c r="AO179" s="121">
        <f>SUMIF(BetFlow!B:B,Extrato!B179,BetFlow!M:M)</f>
        <v>10.406995020000004</v>
      </c>
      <c r="AP179" s="121"/>
      <c r="AQ179" s="121"/>
      <c r="AR179" s="121"/>
      <c r="AS179" s="121"/>
      <c r="AT179" s="121"/>
      <c r="AU179" s="121"/>
      <c r="AV179" s="121"/>
      <c r="AW179" s="121"/>
      <c r="AX179" s="121"/>
      <c r="AY179" s="121"/>
      <c r="AZ179" s="121"/>
      <c r="BA179" s="121"/>
      <c r="BB179" s="121"/>
      <c r="BC179" s="121">
        <v>0</v>
      </c>
      <c r="BD179" s="121">
        <v>0</v>
      </c>
      <c r="BE179" s="25">
        <f t="shared" si="6"/>
        <v>1643.5216983896728</v>
      </c>
      <c r="BF179" s="122"/>
      <c r="BG179" s="121"/>
      <c r="BH179" s="121"/>
      <c r="BI179" s="121"/>
      <c r="BJ179" s="121"/>
      <c r="BK179" s="121"/>
      <c r="BL179" s="121"/>
      <c r="BM179" s="121"/>
      <c r="BN179" s="121"/>
      <c r="BO179" s="121"/>
      <c r="BP179" s="121"/>
    </row>
    <row r="180" spans="2:68" ht="15" customHeight="1">
      <c r="B180" s="12">
        <v>46170</v>
      </c>
      <c r="C180" s="121" t="e">
        <f t="shared" si="4"/>
        <v>#REF!</v>
      </c>
      <c r="D180" s="121" t="e">
        <f>SUMIFS(#REF!,#REF!,Extrato!$B180,#REF!,Extrato!D$3)</f>
        <v>#REF!</v>
      </c>
      <c r="E180" s="121" t="e">
        <f>SUMIFS(#REF!,#REF!,Extrato!$B180,#REF!,Extrato!E$3)</f>
        <v>#REF!</v>
      </c>
      <c r="F180" s="121" t="e">
        <f>SUMIFS(#REF!,#REF!,Extrato!$B180,#REF!,Extrato!F$3)</f>
        <v>#REF!</v>
      </c>
      <c r="G180" s="121" t="e">
        <f>SUMIFS(#REF!,#REF!,Extrato!$B180,#REF!,Extrato!G$3)</f>
        <v>#REF!</v>
      </c>
      <c r="H180" s="121" t="e">
        <f>SUMIFS(#REF!,#REF!,Extrato!$B180,#REF!,Extrato!H$3)</f>
        <v>#REF!</v>
      </c>
      <c r="I180" s="121" t="e">
        <f>SUMIFS(#REF!,#REF!,Extrato!$B180,#REF!,Extrato!I$3)</f>
        <v>#REF!</v>
      </c>
      <c r="J180" s="121" t="e">
        <f>SUMIFS(#REF!,#REF!,Extrato!$B180,#REF!,Extrato!J$3)</f>
        <v>#REF!</v>
      </c>
      <c r="K180" s="121" t="e">
        <f>SUMIFS(#REF!,#REF!,Extrato!$B180,#REF!,Extrato!K$3)</f>
        <v>#REF!</v>
      </c>
      <c r="L180" s="121" t="e">
        <f>SUMIFS(#REF!,#REF!,Extrato!$B180,#REF!,Extrato!L$3)</f>
        <v>#REF!</v>
      </c>
      <c r="M180" s="121" t="e">
        <f>SUMIFS(#REF!,#REF!,Extrato!$B180,#REF!,Extrato!M$3)</f>
        <v>#REF!</v>
      </c>
      <c r="N180" s="121" t="e">
        <f>SUMIFS(#REF!,#REF!,Extrato!$B180,#REF!,Extrato!N$3)</f>
        <v>#REF!</v>
      </c>
      <c r="O180" s="121" t="e">
        <f>SUMIFS(#REF!,#REF!,Extrato!$B180,#REF!,Extrato!O$3)</f>
        <v>#REF!</v>
      </c>
      <c r="P180" s="121">
        <f>SUMIF(BetFlow!B:B,B180,BetFlow!J:J)</f>
        <v>20.678800000000006</v>
      </c>
      <c r="Q180" s="121" t="e">
        <f>SUMIFS(#REF!,#REF!,Extrato!$B180,#REF!,Extrato!Q$3)</f>
        <v>#REF!</v>
      </c>
      <c r="R180" s="121" t="e">
        <f>SUMIFS(#REF!,#REF!,Extrato!$B180,#REF!,Extrato!R$3)</f>
        <v>#REF!</v>
      </c>
      <c r="S180" s="121" t="e">
        <f>SUMIFS(#REF!,#REF!,Extrato!$B180,#REF!,Extrato!S$3)</f>
        <v>#REF!</v>
      </c>
      <c r="T180" s="121" t="e">
        <f>SUMIFS(#REF!,#REF!,Extrato!$B180,#REF!,Extrato!T$3)</f>
        <v>#REF!</v>
      </c>
      <c r="U180" s="121" t="e">
        <f>SUMIFS(#REF!,#REF!,Extrato!$B180,#REF!,Extrato!U$3)</f>
        <v>#REF!</v>
      </c>
      <c r="V180" s="121" t="e">
        <f>SUMIFS(#REF!,#REF!,Extrato!$B180,#REF!,Extrato!V$3)</f>
        <v>#REF!</v>
      </c>
      <c r="W180" s="121" t="e">
        <f>SUMIFS(#REF!,#REF!,Extrato!$B180,#REF!,Extrato!W$3)</f>
        <v>#REF!</v>
      </c>
      <c r="X180" s="121" t="e">
        <f>SUMIFS(#REF!,#REF!,Extrato!$B180,#REF!,Extrato!X$3)</f>
        <v>#REF!</v>
      </c>
      <c r="Y180" s="121" t="e">
        <f>SUMIFS(#REF!,#REF!,Extrato!$B180,#REF!,Extrato!Y$3)</f>
        <v>#REF!</v>
      </c>
      <c r="Z180" s="121" t="e">
        <f>SUMIFS(#REF!,#REF!,Extrato!$B180,#REF!,Extrato!Z$3)</f>
        <v>#REF!</v>
      </c>
      <c r="AA180" s="121" t="e">
        <f>SUMIFS(#REF!,#REF!,Extrato!$B180,#REF!,Extrato!AA$3)</f>
        <v>#REF!</v>
      </c>
      <c r="AB180" s="121" t="e">
        <f>SUMIFS(#REF!,#REF!,Extrato!$B180,#REF!,Extrato!AB$3)</f>
        <v>#REF!</v>
      </c>
      <c r="AC180" s="121" t="e">
        <f>SUMIFS(#REF!,#REF!,Extrato!$B180,#REF!,Extrato!AC$3)</f>
        <v>#REF!</v>
      </c>
      <c r="AD180" s="121" t="e">
        <f>SUMIFS(#REF!,#REF!,Extrato!$B180,#REF!,Extrato!AD$3)</f>
        <v>#REF!</v>
      </c>
      <c r="AE180" s="121" t="e">
        <f>SUMIFS(#REF!,#REF!,Extrato!$B180,#REF!,Extrato!AE$3)</f>
        <v>#REF!</v>
      </c>
      <c r="AF180" s="121" t="e">
        <f>SUMIFS(#REF!,#REF!,Extrato!$B180,#REF!,Extrato!AF$3)</f>
        <v>#REF!</v>
      </c>
      <c r="AG180" s="121" t="e">
        <f>SUMIFS(#REF!,#REF!,Extrato!$B180,#REF!,Extrato!AG$3)</f>
        <v>#REF!</v>
      </c>
      <c r="AH180" s="121" t="e">
        <f>SUMIFS(#REF!,#REF!,Extrato!$B180,#REF!,Extrato!AH$3)</f>
        <v>#REF!</v>
      </c>
      <c r="AI180" s="121" t="e">
        <f>SUMIFS(#REF!,#REF!,Extrato!$B180,#REF!,Extrato!AI$3)</f>
        <v>#REF!</v>
      </c>
      <c r="AJ180" s="121">
        <v>0</v>
      </c>
      <c r="AK180" s="121">
        <v>0</v>
      </c>
      <c r="AL180" s="25" t="e">
        <f t="shared" si="5"/>
        <v>#REF!</v>
      </c>
      <c r="AM180" s="122"/>
      <c r="AN180" s="121">
        <f t="shared" si="7"/>
        <v>1643.5216983896728</v>
      </c>
      <c r="AO180" s="121">
        <f>SUMIF(BetFlow!B:B,Extrato!B180,BetFlow!M:M)</f>
        <v>-7.9965556000000015</v>
      </c>
      <c r="AP180" s="121"/>
      <c r="AQ180" s="121"/>
      <c r="AR180" s="121"/>
      <c r="AS180" s="121"/>
      <c r="AT180" s="121"/>
      <c r="AU180" s="121"/>
      <c r="AV180" s="121"/>
      <c r="AW180" s="121"/>
      <c r="AX180" s="121"/>
      <c r="AY180" s="121"/>
      <c r="AZ180" s="121"/>
      <c r="BA180" s="121"/>
      <c r="BB180" s="121"/>
      <c r="BC180" s="121">
        <v>0</v>
      </c>
      <c r="BD180" s="121">
        <v>-0.01</v>
      </c>
      <c r="BE180" s="25">
        <f t="shared" si="6"/>
        <v>1635.5151427896728</v>
      </c>
      <c r="BF180" s="122"/>
      <c r="BG180" s="121"/>
      <c r="BH180" s="121"/>
      <c r="BI180" s="121"/>
      <c r="BJ180" s="121"/>
      <c r="BK180" s="121"/>
      <c r="BL180" s="121"/>
      <c r="BM180" s="121"/>
      <c r="BN180" s="121"/>
      <c r="BO180" s="121"/>
      <c r="BP180" s="121"/>
    </row>
    <row r="181" spans="2:68" ht="15" customHeight="1">
      <c r="B181" s="12">
        <v>46171</v>
      </c>
      <c r="C181" s="121" t="e">
        <f t="shared" si="4"/>
        <v>#REF!</v>
      </c>
      <c r="D181" s="121" t="e">
        <f>SUMIFS(#REF!,#REF!,Extrato!$B181,#REF!,Extrato!D$3)</f>
        <v>#REF!</v>
      </c>
      <c r="E181" s="121" t="e">
        <f>SUMIFS(#REF!,#REF!,Extrato!$B181,#REF!,Extrato!E$3)</f>
        <v>#REF!</v>
      </c>
      <c r="F181" s="121" t="e">
        <f>SUMIFS(#REF!,#REF!,Extrato!$B181,#REF!,Extrato!F$3)</f>
        <v>#REF!</v>
      </c>
      <c r="G181" s="121" t="e">
        <f>SUMIFS(#REF!,#REF!,Extrato!$B181,#REF!,Extrato!G$3)</f>
        <v>#REF!</v>
      </c>
      <c r="H181" s="121" t="e">
        <f>SUMIFS(#REF!,#REF!,Extrato!$B181,#REF!,Extrato!H$3)</f>
        <v>#REF!</v>
      </c>
      <c r="I181" s="121" t="e">
        <f>SUMIFS(#REF!,#REF!,Extrato!$B181,#REF!,Extrato!I$3)</f>
        <v>#REF!</v>
      </c>
      <c r="J181" s="121" t="e">
        <f>SUMIFS(#REF!,#REF!,Extrato!$B181,#REF!,Extrato!J$3)</f>
        <v>#REF!</v>
      </c>
      <c r="K181" s="121" t="e">
        <f>SUMIFS(#REF!,#REF!,Extrato!$B181,#REF!,Extrato!K$3)</f>
        <v>#REF!</v>
      </c>
      <c r="L181" s="121" t="e">
        <f>SUMIFS(#REF!,#REF!,Extrato!$B181,#REF!,Extrato!L$3)</f>
        <v>#REF!</v>
      </c>
      <c r="M181" s="121" t="e">
        <f>SUMIFS(#REF!,#REF!,Extrato!$B181,#REF!,Extrato!M$3)</f>
        <v>#REF!</v>
      </c>
      <c r="N181" s="121" t="e">
        <f>SUMIFS(#REF!,#REF!,Extrato!$B181,#REF!,Extrato!N$3)</f>
        <v>#REF!</v>
      </c>
      <c r="O181" s="121" t="e">
        <f>SUMIFS(#REF!,#REF!,Extrato!$B181,#REF!,Extrato!O$3)</f>
        <v>#REF!</v>
      </c>
      <c r="P181" s="121">
        <f>SUMIF(BetFlow!B:B,B181,BetFlow!J:J)</f>
        <v>11.397000000000002</v>
      </c>
      <c r="Q181" s="121" t="e">
        <f>SUMIFS(#REF!,#REF!,Extrato!$B181,#REF!,Extrato!Q$3)</f>
        <v>#REF!</v>
      </c>
      <c r="R181" s="121" t="e">
        <f>SUMIFS(#REF!,#REF!,Extrato!$B181,#REF!,Extrato!R$3)</f>
        <v>#REF!</v>
      </c>
      <c r="S181" s="121" t="e">
        <f>SUMIFS(#REF!,#REF!,Extrato!$B181,#REF!,Extrato!S$3)</f>
        <v>#REF!</v>
      </c>
      <c r="T181" s="121" t="e">
        <f>SUMIFS(#REF!,#REF!,Extrato!$B181,#REF!,Extrato!T$3)</f>
        <v>#REF!</v>
      </c>
      <c r="U181" s="121" t="e">
        <f>SUMIFS(#REF!,#REF!,Extrato!$B181,#REF!,Extrato!U$3)</f>
        <v>#REF!</v>
      </c>
      <c r="V181" s="121" t="e">
        <f>SUMIFS(#REF!,#REF!,Extrato!$B181,#REF!,Extrato!V$3)</f>
        <v>#REF!</v>
      </c>
      <c r="W181" s="121" t="e">
        <f>SUMIFS(#REF!,#REF!,Extrato!$B181,#REF!,Extrato!W$3)</f>
        <v>#REF!</v>
      </c>
      <c r="X181" s="121" t="e">
        <f>SUMIFS(#REF!,#REF!,Extrato!$B181,#REF!,Extrato!X$3)</f>
        <v>#REF!</v>
      </c>
      <c r="Y181" s="121" t="e">
        <f>SUMIFS(#REF!,#REF!,Extrato!$B181,#REF!,Extrato!Y$3)</f>
        <v>#REF!</v>
      </c>
      <c r="Z181" s="121" t="e">
        <f>SUMIFS(#REF!,#REF!,Extrato!$B181,#REF!,Extrato!Z$3)</f>
        <v>#REF!</v>
      </c>
      <c r="AA181" s="121" t="e">
        <f>SUMIFS(#REF!,#REF!,Extrato!$B181,#REF!,Extrato!AA$3)</f>
        <v>#REF!</v>
      </c>
      <c r="AB181" s="121" t="e">
        <f>SUMIFS(#REF!,#REF!,Extrato!$B181,#REF!,Extrato!AB$3)</f>
        <v>#REF!</v>
      </c>
      <c r="AC181" s="121" t="e">
        <f>SUMIFS(#REF!,#REF!,Extrato!$B181,#REF!,Extrato!AC$3)</f>
        <v>#REF!</v>
      </c>
      <c r="AD181" s="121" t="e">
        <f>SUMIFS(#REF!,#REF!,Extrato!$B181,#REF!,Extrato!AD$3)</f>
        <v>#REF!</v>
      </c>
      <c r="AE181" s="121" t="e">
        <f>SUMIFS(#REF!,#REF!,Extrato!$B181,#REF!,Extrato!AE$3)</f>
        <v>#REF!</v>
      </c>
      <c r="AF181" s="121" t="e">
        <f>SUMIFS(#REF!,#REF!,Extrato!$B181,#REF!,Extrato!AF$3)</f>
        <v>#REF!</v>
      </c>
      <c r="AG181" s="121" t="e">
        <f>SUMIFS(#REF!,#REF!,Extrato!$B181,#REF!,Extrato!AG$3)</f>
        <v>#REF!</v>
      </c>
      <c r="AH181" s="121" t="e">
        <f>SUMIFS(#REF!,#REF!,Extrato!$B181,#REF!,Extrato!AH$3)</f>
        <v>#REF!</v>
      </c>
      <c r="AI181" s="121" t="e">
        <f>SUMIFS(#REF!,#REF!,Extrato!$B181,#REF!,Extrato!AI$3)</f>
        <v>#REF!</v>
      </c>
      <c r="AJ181" s="121">
        <v>0</v>
      </c>
      <c r="AK181" s="121">
        <v>0</v>
      </c>
      <c r="AL181" s="25" t="e">
        <f t="shared" si="5"/>
        <v>#REF!</v>
      </c>
      <c r="AM181" s="122"/>
      <c r="AN181" s="121">
        <f t="shared" si="7"/>
        <v>1635.5151427896728</v>
      </c>
      <c r="AO181" s="121">
        <f>SUMIF(BetFlow!B:B,Extrato!B181,BetFlow!M:M)</f>
        <v>-10.468688000000006</v>
      </c>
      <c r="AP181" s="121"/>
      <c r="AQ181" s="121"/>
      <c r="AR181" s="121"/>
      <c r="AS181" s="121"/>
      <c r="AT181" s="121"/>
      <c r="AU181" s="121"/>
      <c r="AV181" s="121"/>
      <c r="AW181" s="121"/>
      <c r="AX181" s="121"/>
      <c r="AY181" s="121"/>
      <c r="AZ181" s="121"/>
      <c r="BA181" s="121"/>
      <c r="BB181" s="121"/>
      <c r="BC181" s="121">
        <v>0</v>
      </c>
      <c r="BD181" s="121">
        <v>0</v>
      </c>
      <c r="BE181" s="25">
        <f t="shared" si="6"/>
        <v>1625.0464547896729</v>
      </c>
      <c r="BF181" s="122"/>
      <c r="BG181" s="121"/>
      <c r="BH181" s="121"/>
      <c r="BI181" s="121"/>
      <c r="BJ181" s="121"/>
      <c r="BK181" s="121"/>
      <c r="BL181" s="121"/>
      <c r="BM181" s="121"/>
      <c r="BN181" s="121"/>
      <c r="BO181" s="121"/>
      <c r="BP181" s="121"/>
    </row>
    <row r="182" spans="2:68" ht="15" customHeight="1">
      <c r="B182" s="12">
        <v>46172</v>
      </c>
      <c r="C182" s="121" t="e">
        <f t="shared" si="4"/>
        <v>#REF!</v>
      </c>
      <c r="D182" s="121" t="e">
        <f>SUMIFS(#REF!,#REF!,Extrato!$B182,#REF!,Extrato!D$3)</f>
        <v>#REF!</v>
      </c>
      <c r="E182" s="121" t="e">
        <f>SUMIFS(#REF!,#REF!,Extrato!$B182,#REF!,Extrato!E$3)</f>
        <v>#REF!</v>
      </c>
      <c r="F182" s="121" t="e">
        <f>SUMIFS(#REF!,#REF!,Extrato!$B182,#REF!,Extrato!F$3)</f>
        <v>#REF!</v>
      </c>
      <c r="G182" s="121" t="e">
        <f>SUMIFS(#REF!,#REF!,Extrato!$B182,#REF!,Extrato!G$3)</f>
        <v>#REF!</v>
      </c>
      <c r="H182" s="121" t="e">
        <f>SUMIFS(#REF!,#REF!,Extrato!$B182,#REF!,Extrato!H$3)</f>
        <v>#REF!</v>
      </c>
      <c r="I182" s="121" t="e">
        <f>SUMIFS(#REF!,#REF!,Extrato!$B182,#REF!,Extrato!I$3)</f>
        <v>#REF!</v>
      </c>
      <c r="J182" s="121" t="e">
        <f>SUMIFS(#REF!,#REF!,Extrato!$B182,#REF!,Extrato!J$3)</f>
        <v>#REF!</v>
      </c>
      <c r="K182" s="121" t="e">
        <f>SUMIFS(#REF!,#REF!,Extrato!$B182,#REF!,Extrato!K$3)</f>
        <v>#REF!</v>
      </c>
      <c r="L182" s="121" t="e">
        <f>SUMIFS(#REF!,#REF!,Extrato!$B182,#REF!,Extrato!L$3)</f>
        <v>#REF!</v>
      </c>
      <c r="M182" s="121" t="e">
        <f>SUMIFS(#REF!,#REF!,Extrato!$B182,#REF!,Extrato!M$3)</f>
        <v>#REF!</v>
      </c>
      <c r="N182" s="121" t="e">
        <f>SUMIFS(#REF!,#REF!,Extrato!$B182,#REF!,Extrato!N$3)</f>
        <v>#REF!</v>
      </c>
      <c r="O182" s="121" t="e">
        <f>SUMIFS(#REF!,#REF!,Extrato!$B182,#REF!,Extrato!O$3)</f>
        <v>#REF!</v>
      </c>
      <c r="P182" s="121">
        <f>SUMIF(BetFlow!B:B,B182,BetFlow!J:J)</f>
        <v>25.180000000000042</v>
      </c>
      <c r="Q182" s="121" t="e">
        <f>SUMIFS(#REF!,#REF!,Extrato!$B182,#REF!,Extrato!Q$3)</f>
        <v>#REF!</v>
      </c>
      <c r="R182" s="121" t="e">
        <f>SUMIFS(#REF!,#REF!,Extrato!$B182,#REF!,Extrato!R$3)</f>
        <v>#REF!</v>
      </c>
      <c r="S182" s="121" t="e">
        <f>SUMIFS(#REF!,#REF!,Extrato!$B182,#REF!,Extrato!S$3)</f>
        <v>#REF!</v>
      </c>
      <c r="T182" s="121" t="e">
        <f>SUMIFS(#REF!,#REF!,Extrato!$B182,#REF!,Extrato!T$3)</f>
        <v>#REF!</v>
      </c>
      <c r="U182" s="121" t="e">
        <f>SUMIFS(#REF!,#REF!,Extrato!$B182,#REF!,Extrato!U$3)</f>
        <v>#REF!</v>
      </c>
      <c r="V182" s="121" t="e">
        <f>SUMIFS(#REF!,#REF!,Extrato!$B182,#REF!,Extrato!V$3)</f>
        <v>#REF!</v>
      </c>
      <c r="W182" s="121" t="e">
        <f>SUMIFS(#REF!,#REF!,Extrato!$B182,#REF!,Extrato!W$3)</f>
        <v>#REF!</v>
      </c>
      <c r="X182" s="121" t="e">
        <f>SUMIFS(#REF!,#REF!,Extrato!$B182,#REF!,Extrato!X$3)</f>
        <v>#REF!</v>
      </c>
      <c r="Y182" s="121" t="e">
        <f>SUMIFS(#REF!,#REF!,Extrato!$B182,#REF!,Extrato!Y$3)</f>
        <v>#REF!</v>
      </c>
      <c r="Z182" s="121" t="e">
        <f>SUMIFS(#REF!,#REF!,Extrato!$B182,#REF!,Extrato!Z$3)</f>
        <v>#REF!</v>
      </c>
      <c r="AA182" s="121" t="e">
        <f>SUMIFS(#REF!,#REF!,Extrato!$B182,#REF!,Extrato!AA$3)</f>
        <v>#REF!</v>
      </c>
      <c r="AB182" s="121" t="e">
        <f>SUMIFS(#REF!,#REF!,Extrato!$B182,#REF!,Extrato!AB$3)</f>
        <v>#REF!</v>
      </c>
      <c r="AC182" s="121" t="e">
        <f>SUMIFS(#REF!,#REF!,Extrato!$B182,#REF!,Extrato!AC$3)</f>
        <v>#REF!</v>
      </c>
      <c r="AD182" s="121" t="e">
        <f>SUMIFS(#REF!,#REF!,Extrato!$B182,#REF!,Extrato!AD$3)</f>
        <v>#REF!</v>
      </c>
      <c r="AE182" s="121" t="e">
        <f>SUMIFS(#REF!,#REF!,Extrato!$B182,#REF!,Extrato!AE$3)</f>
        <v>#REF!</v>
      </c>
      <c r="AF182" s="121" t="e">
        <f>SUMIFS(#REF!,#REF!,Extrato!$B182,#REF!,Extrato!AF$3)</f>
        <v>#REF!</v>
      </c>
      <c r="AG182" s="121" t="e">
        <f>SUMIFS(#REF!,#REF!,Extrato!$B182,#REF!,Extrato!AG$3)</f>
        <v>#REF!</v>
      </c>
      <c r="AH182" s="121" t="e">
        <f>SUMIFS(#REF!,#REF!,Extrato!$B182,#REF!,Extrato!AH$3)</f>
        <v>#REF!</v>
      </c>
      <c r="AI182" s="121" t="e">
        <f>SUMIFS(#REF!,#REF!,Extrato!$B182,#REF!,Extrato!AI$3)</f>
        <v>#REF!</v>
      </c>
      <c r="AJ182" s="121">
        <v>0</v>
      </c>
      <c r="AK182" s="121">
        <v>-0.03</v>
      </c>
      <c r="AL182" s="25" t="e">
        <f t="shared" si="5"/>
        <v>#REF!</v>
      </c>
      <c r="AM182" s="122"/>
      <c r="AN182" s="121">
        <f t="shared" si="7"/>
        <v>1625.0464547896729</v>
      </c>
      <c r="AO182" s="121">
        <f>SUMIF(BetFlow!B:B,Extrato!B182,BetFlow!M:M)</f>
        <v>-9.7078296239999951</v>
      </c>
      <c r="AP182" s="121"/>
      <c r="AQ182" s="121"/>
      <c r="AR182" s="121"/>
      <c r="AS182" s="121"/>
      <c r="AT182" s="121"/>
      <c r="AU182" s="121"/>
      <c r="AV182" s="121"/>
      <c r="AW182" s="121"/>
      <c r="AX182" s="121"/>
      <c r="AY182" s="121"/>
      <c r="AZ182" s="121"/>
      <c r="BA182" s="121"/>
      <c r="BB182" s="121"/>
      <c r="BC182" s="121">
        <v>0</v>
      </c>
      <c r="BD182" s="121">
        <v>-3.3333333333333401E-3</v>
      </c>
      <c r="BE182" s="25">
        <f t="shared" ref="BE182:BE213" si="8">SUM(AN182:BD182)</f>
        <v>1615.3352918323396</v>
      </c>
      <c r="BF182" s="122"/>
      <c r="BG182" s="121"/>
      <c r="BH182" s="121"/>
      <c r="BI182" s="121"/>
      <c r="BJ182" s="121"/>
      <c r="BK182" s="121"/>
      <c r="BL182" s="121"/>
      <c r="BM182" s="121"/>
      <c r="BN182" s="121"/>
      <c r="BO182" s="121"/>
      <c r="BP182" s="121"/>
    </row>
    <row r="183" spans="2:68" ht="15" customHeight="1">
      <c r="B183" s="12">
        <v>46173</v>
      </c>
      <c r="C183" s="121" t="e">
        <f t="shared" si="4"/>
        <v>#REF!</v>
      </c>
      <c r="D183" s="121" t="e">
        <f>SUMIFS(#REF!,#REF!,Extrato!$B183,#REF!,Extrato!D$3)</f>
        <v>#REF!</v>
      </c>
      <c r="E183" s="121" t="e">
        <f>SUMIFS(#REF!,#REF!,Extrato!$B183,#REF!,Extrato!E$3)</f>
        <v>#REF!</v>
      </c>
      <c r="F183" s="121" t="e">
        <f>SUMIFS(#REF!,#REF!,Extrato!$B183,#REF!,Extrato!F$3)</f>
        <v>#REF!</v>
      </c>
      <c r="G183" s="121" t="e">
        <f>SUMIFS(#REF!,#REF!,Extrato!$B183,#REF!,Extrato!G$3)</f>
        <v>#REF!</v>
      </c>
      <c r="H183" s="121" t="e">
        <f>SUMIFS(#REF!,#REF!,Extrato!$B183,#REF!,Extrato!H$3)</f>
        <v>#REF!</v>
      </c>
      <c r="I183" s="121" t="e">
        <f>SUMIFS(#REF!,#REF!,Extrato!$B183,#REF!,Extrato!I$3)</f>
        <v>#REF!</v>
      </c>
      <c r="J183" s="121" t="e">
        <f>SUMIFS(#REF!,#REF!,Extrato!$B183,#REF!,Extrato!J$3)</f>
        <v>#REF!</v>
      </c>
      <c r="K183" s="121" t="e">
        <f>SUMIFS(#REF!,#REF!,Extrato!$B183,#REF!,Extrato!K$3)</f>
        <v>#REF!</v>
      </c>
      <c r="L183" s="121" t="e">
        <f>SUMIFS(#REF!,#REF!,Extrato!$B183,#REF!,Extrato!L$3)</f>
        <v>#REF!</v>
      </c>
      <c r="M183" s="121" t="e">
        <f>SUMIFS(#REF!,#REF!,Extrato!$B183,#REF!,Extrato!M$3)</f>
        <v>#REF!</v>
      </c>
      <c r="N183" s="121" t="e">
        <f>SUMIFS(#REF!,#REF!,Extrato!$B183,#REF!,Extrato!N$3)</f>
        <v>#REF!</v>
      </c>
      <c r="O183" s="121" t="e">
        <f>SUMIFS(#REF!,#REF!,Extrato!$B183,#REF!,Extrato!O$3)</f>
        <v>#REF!</v>
      </c>
      <c r="P183" s="121">
        <f>SUMIF(BetFlow!B:B,B183,BetFlow!J:J)</f>
        <v>22.463999999999999</v>
      </c>
      <c r="Q183" s="121" t="e">
        <f>SUMIFS(#REF!,#REF!,Extrato!$B183,#REF!,Extrato!Q$3)</f>
        <v>#REF!</v>
      </c>
      <c r="R183" s="121" t="e">
        <f>SUMIFS(#REF!,#REF!,Extrato!$B183,#REF!,Extrato!R$3)</f>
        <v>#REF!</v>
      </c>
      <c r="S183" s="121" t="e">
        <f>SUMIFS(#REF!,#REF!,Extrato!$B183,#REF!,Extrato!S$3)</f>
        <v>#REF!</v>
      </c>
      <c r="T183" s="121" t="e">
        <f>SUMIFS(#REF!,#REF!,Extrato!$B183,#REF!,Extrato!T$3)</f>
        <v>#REF!</v>
      </c>
      <c r="U183" s="121" t="e">
        <f>SUMIFS(#REF!,#REF!,Extrato!$B183,#REF!,Extrato!U$3)</f>
        <v>#REF!</v>
      </c>
      <c r="V183" s="121" t="e">
        <f>SUMIFS(#REF!,#REF!,Extrato!$B183,#REF!,Extrato!V$3)</f>
        <v>#REF!</v>
      </c>
      <c r="W183" s="121" t="e">
        <f>SUMIFS(#REF!,#REF!,Extrato!$B183,#REF!,Extrato!W$3)</f>
        <v>#REF!</v>
      </c>
      <c r="X183" s="121" t="e">
        <f>SUMIFS(#REF!,#REF!,Extrato!$B183,#REF!,Extrato!X$3)</f>
        <v>#REF!</v>
      </c>
      <c r="Y183" s="121" t="e">
        <f>SUMIFS(#REF!,#REF!,Extrato!$B183,#REF!,Extrato!Y$3)</f>
        <v>#REF!</v>
      </c>
      <c r="Z183" s="121" t="e">
        <f>SUMIFS(#REF!,#REF!,Extrato!$B183,#REF!,Extrato!Z$3)</f>
        <v>#REF!</v>
      </c>
      <c r="AA183" s="121" t="e">
        <f>SUMIFS(#REF!,#REF!,Extrato!$B183,#REF!,Extrato!AA$3)</f>
        <v>#REF!</v>
      </c>
      <c r="AB183" s="121" t="e">
        <f>SUMIFS(#REF!,#REF!,Extrato!$B183,#REF!,Extrato!AB$3)</f>
        <v>#REF!</v>
      </c>
      <c r="AC183" s="121" t="e">
        <f>SUMIFS(#REF!,#REF!,Extrato!$B183,#REF!,Extrato!AC$3)</f>
        <v>#REF!</v>
      </c>
      <c r="AD183" s="121" t="e">
        <f>SUMIFS(#REF!,#REF!,Extrato!$B183,#REF!,Extrato!AD$3)</f>
        <v>#REF!</v>
      </c>
      <c r="AE183" s="121" t="e">
        <f>SUMIFS(#REF!,#REF!,Extrato!$B183,#REF!,Extrato!AE$3)</f>
        <v>#REF!</v>
      </c>
      <c r="AF183" s="121" t="e">
        <f>SUMIFS(#REF!,#REF!,Extrato!$B183,#REF!,Extrato!AF$3)</f>
        <v>#REF!</v>
      </c>
      <c r="AG183" s="121" t="e">
        <f>SUMIFS(#REF!,#REF!,Extrato!$B183,#REF!,Extrato!AG$3)</f>
        <v>#REF!</v>
      </c>
      <c r="AH183" s="121" t="e">
        <f>SUMIFS(#REF!,#REF!,Extrato!$B183,#REF!,Extrato!AH$3)</f>
        <v>#REF!</v>
      </c>
      <c r="AI183" s="121" t="e">
        <f>SUMIFS(#REF!,#REF!,Extrato!$B183,#REF!,Extrato!AI$3)</f>
        <v>#REF!</v>
      </c>
      <c r="AJ183" s="121">
        <v>0</v>
      </c>
      <c r="AK183" s="121">
        <v>-0.01</v>
      </c>
      <c r="AL183" s="25" t="e">
        <f t="shared" si="5"/>
        <v>#REF!</v>
      </c>
      <c r="AM183" s="122"/>
      <c r="AN183" s="121">
        <f t="shared" ref="AN183:AN214" si="9">BE182</f>
        <v>1615.3352918323396</v>
      </c>
      <c r="AO183" s="121">
        <f>SUMIF(BetFlow!B:B,Extrato!B183,BetFlow!M:M)</f>
        <v>-20.121639767600001</v>
      </c>
      <c r="AP183" s="121"/>
      <c r="AQ183" s="121"/>
      <c r="AR183" s="121"/>
      <c r="AS183" s="121"/>
      <c r="AT183" s="121"/>
      <c r="AU183" s="121"/>
      <c r="AV183" s="121"/>
      <c r="AW183" s="121"/>
      <c r="AX183" s="121"/>
      <c r="AY183" s="121"/>
      <c r="AZ183" s="121"/>
      <c r="BA183" s="121"/>
      <c r="BB183" s="121"/>
      <c r="BC183" s="121">
        <v>0</v>
      </c>
      <c r="BD183" s="121">
        <v>0.01</v>
      </c>
      <c r="BE183" s="25">
        <f t="shared" si="8"/>
        <v>1595.2236520647396</v>
      </c>
      <c r="BF183" s="122"/>
      <c r="BG183" s="121"/>
      <c r="BH183" s="121"/>
      <c r="BI183" s="121"/>
      <c r="BJ183" s="121"/>
      <c r="BK183" s="121"/>
      <c r="BL183" s="121"/>
      <c r="BM183" s="121"/>
      <c r="BN183" s="121"/>
      <c r="BO183" s="121"/>
      <c r="BP183" s="121"/>
    </row>
    <row r="184" spans="2:68" ht="15" customHeight="1">
      <c r="B184" s="12">
        <v>46174</v>
      </c>
      <c r="C184" s="121" t="e">
        <f t="shared" si="4"/>
        <v>#REF!</v>
      </c>
      <c r="D184" s="121" t="e">
        <f>SUMIFS(#REF!,#REF!,Extrato!$B184,#REF!,Extrato!D$3)</f>
        <v>#REF!</v>
      </c>
      <c r="E184" s="121" t="e">
        <f>SUMIFS(#REF!,#REF!,Extrato!$B184,#REF!,Extrato!E$3)</f>
        <v>#REF!</v>
      </c>
      <c r="F184" s="121" t="e">
        <f>SUMIFS(#REF!,#REF!,Extrato!$B184,#REF!,Extrato!F$3)</f>
        <v>#REF!</v>
      </c>
      <c r="G184" s="121" t="e">
        <f>SUMIFS(#REF!,#REF!,Extrato!$B184,#REF!,Extrato!G$3)</f>
        <v>#REF!</v>
      </c>
      <c r="H184" s="121" t="e">
        <f>SUMIFS(#REF!,#REF!,Extrato!$B184,#REF!,Extrato!H$3)</f>
        <v>#REF!</v>
      </c>
      <c r="I184" s="121" t="e">
        <f>SUMIFS(#REF!,#REF!,Extrato!$B184,#REF!,Extrato!I$3)</f>
        <v>#REF!</v>
      </c>
      <c r="J184" s="121" t="e">
        <f>SUMIFS(#REF!,#REF!,Extrato!$B184,#REF!,Extrato!J$3)</f>
        <v>#REF!</v>
      </c>
      <c r="K184" s="121" t="e">
        <f>SUMIFS(#REF!,#REF!,Extrato!$B184,#REF!,Extrato!K$3)</f>
        <v>#REF!</v>
      </c>
      <c r="L184" s="121" t="e">
        <f>SUMIFS(#REF!,#REF!,Extrato!$B184,#REF!,Extrato!L$3)</f>
        <v>#REF!</v>
      </c>
      <c r="M184" s="121" t="e">
        <f>SUMIFS(#REF!,#REF!,Extrato!$B184,#REF!,Extrato!M$3)</f>
        <v>#REF!</v>
      </c>
      <c r="N184" s="121" t="e">
        <f>SUMIFS(#REF!,#REF!,Extrato!$B184,#REF!,Extrato!N$3)</f>
        <v>#REF!</v>
      </c>
      <c r="O184" s="121" t="e">
        <f>SUMIFS(#REF!,#REF!,Extrato!$B184,#REF!,Extrato!O$3)</f>
        <v>#REF!</v>
      </c>
      <c r="P184" s="121">
        <f>SUMIF(BetFlow!B:B,B184,BetFlow!J:J)</f>
        <v>39.218900000000005</v>
      </c>
      <c r="Q184" s="121" t="e">
        <f>SUMIFS(#REF!,#REF!,Extrato!$B184,#REF!,Extrato!Q$3)</f>
        <v>#REF!</v>
      </c>
      <c r="R184" s="121" t="e">
        <f>SUMIFS(#REF!,#REF!,Extrato!$B184,#REF!,Extrato!R$3)</f>
        <v>#REF!</v>
      </c>
      <c r="S184" s="121" t="e">
        <f>SUMIFS(#REF!,#REF!,Extrato!$B184,#REF!,Extrato!S$3)</f>
        <v>#REF!</v>
      </c>
      <c r="T184" s="121" t="e">
        <f>SUMIFS(#REF!,#REF!,Extrato!$B184,#REF!,Extrato!T$3)</f>
        <v>#REF!</v>
      </c>
      <c r="U184" s="121" t="e">
        <f>SUMIFS(#REF!,#REF!,Extrato!$B184,#REF!,Extrato!U$3)</f>
        <v>#REF!</v>
      </c>
      <c r="V184" s="121" t="e">
        <f>SUMIFS(#REF!,#REF!,Extrato!$B184,#REF!,Extrato!V$3)</f>
        <v>#REF!</v>
      </c>
      <c r="W184" s="121" t="e">
        <f>SUMIFS(#REF!,#REF!,Extrato!$B184,#REF!,Extrato!W$3)</f>
        <v>#REF!</v>
      </c>
      <c r="X184" s="121" t="e">
        <f>SUMIFS(#REF!,#REF!,Extrato!$B184,#REF!,Extrato!X$3)</f>
        <v>#REF!</v>
      </c>
      <c r="Y184" s="121" t="e">
        <f>SUMIFS(#REF!,#REF!,Extrato!$B184,#REF!,Extrato!Y$3)</f>
        <v>#REF!</v>
      </c>
      <c r="Z184" s="121" t="e">
        <f>SUMIFS(#REF!,#REF!,Extrato!$B184,#REF!,Extrato!Z$3)</f>
        <v>#REF!</v>
      </c>
      <c r="AA184" s="121" t="e">
        <f>SUMIFS(#REF!,#REF!,Extrato!$B184,#REF!,Extrato!AA$3)</f>
        <v>#REF!</v>
      </c>
      <c r="AB184" s="121" t="e">
        <f>SUMIFS(#REF!,#REF!,Extrato!$B184,#REF!,Extrato!AB$3)</f>
        <v>#REF!</v>
      </c>
      <c r="AC184" s="121" t="e">
        <f>SUMIFS(#REF!,#REF!,Extrato!$B184,#REF!,Extrato!AC$3)</f>
        <v>#REF!</v>
      </c>
      <c r="AD184" s="121" t="e">
        <f>SUMIFS(#REF!,#REF!,Extrato!$B184,#REF!,Extrato!AD$3)</f>
        <v>#REF!</v>
      </c>
      <c r="AE184" s="121" t="e">
        <f>SUMIFS(#REF!,#REF!,Extrato!$B184,#REF!,Extrato!AE$3)</f>
        <v>#REF!</v>
      </c>
      <c r="AF184" s="121" t="e">
        <f>SUMIFS(#REF!,#REF!,Extrato!$B184,#REF!,Extrato!AF$3)</f>
        <v>#REF!</v>
      </c>
      <c r="AG184" s="121" t="e">
        <f>SUMIFS(#REF!,#REF!,Extrato!$B184,#REF!,Extrato!AG$3)</f>
        <v>#REF!</v>
      </c>
      <c r="AH184" s="121" t="e">
        <f>SUMIFS(#REF!,#REF!,Extrato!$B184,#REF!,Extrato!AH$3)</f>
        <v>#REF!</v>
      </c>
      <c r="AI184" s="121" t="e">
        <f>SUMIFS(#REF!,#REF!,Extrato!$B184,#REF!,Extrato!AI$3)</f>
        <v>#REF!</v>
      </c>
      <c r="AJ184" s="121">
        <v>0</v>
      </c>
      <c r="AK184" s="121">
        <v>0</v>
      </c>
      <c r="AL184" s="25" t="e">
        <f t="shared" si="5"/>
        <v>#REF!</v>
      </c>
      <c r="AM184" s="122"/>
      <c r="AN184" s="121">
        <f t="shared" si="9"/>
        <v>1595.2236520647396</v>
      </c>
      <c r="AO184" s="121">
        <f>SUMIF(BetFlow!B:B,Extrato!B184,BetFlow!M:M)</f>
        <v>-38.246365600000004</v>
      </c>
      <c r="AP184" s="121"/>
      <c r="AQ184" s="121"/>
      <c r="AR184" s="121"/>
      <c r="AS184" s="121"/>
      <c r="AT184" s="121"/>
      <c r="AU184" s="121"/>
      <c r="AV184" s="121"/>
      <c r="AW184" s="121"/>
      <c r="AX184" s="121"/>
      <c r="AY184" s="121"/>
      <c r="AZ184" s="121"/>
      <c r="BA184" s="121"/>
      <c r="BB184" s="121"/>
      <c r="BC184" s="121">
        <v>0</v>
      </c>
      <c r="BD184" s="121">
        <v>0</v>
      </c>
      <c r="BE184" s="25">
        <f t="shared" si="8"/>
        <v>1556.9772864647396</v>
      </c>
      <c r="BF184" s="122"/>
      <c r="BG184" s="121"/>
      <c r="BH184" s="121"/>
      <c r="BI184" s="121"/>
      <c r="BJ184" s="121"/>
      <c r="BK184" s="121"/>
      <c r="BL184" s="121"/>
      <c r="BM184" s="121"/>
      <c r="BN184" s="121"/>
      <c r="BO184" s="121"/>
      <c r="BP184" s="121"/>
    </row>
    <row r="185" spans="2:68" ht="15" customHeight="1">
      <c r="B185" s="12">
        <v>46175</v>
      </c>
      <c r="C185" s="121" t="e">
        <f t="shared" si="4"/>
        <v>#REF!</v>
      </c>
      <c r="D185" s="121" t="e">
        <f>SUMIFS(#REF!,#REF!,Extrato!$B185,#REF!,Extrato!D$3)</f>
        <v>#REF!</v>
      </c>
      <c r="E185" s="121" t="e">
        <f>SUMIFS(#REF!,#REF!,Extrato!$B185,#REF!,Extrato!E$3)</f>
        <v>#REF!</v>
      </c>
      <c r="F185" s="121" t="e">
        <f>SUMIFS(#REF!,#REF!,Extrato!$B185,#REF!,Extrato!F$3)</f>
        <v>#REF!</v>
      </c>
      <c r="G185" s="121" t="e">
        <f>SUMIFS(#REF!,#REF!,Extrato!$B185,#REF!,Extrato!G$3)</f>
        <v>#REF!</v>
      </c>
      <c r="H185" s="121" t="e">
        <f>SUMIFS(#REF!,#REF!,Extrato!$B185,#REF!,Extrato!H$3)</f>
        <v>#REF!</v>
      </c>
      <c r="I185" s="121" t="e">
        <f>SUMIFS(#REF!,#REF!,Extrato!$B185,#REF!,Extrato!I$3)</f>
        <v>#REF!</v>
      </c>
      <c r="J185" s="121" t="e">
        <f>SUMIFS(#REF!,#REF!,Extrato!$B185,#REF!,Extrato!J$3)</f>
        <v>#REF!</v>
      </c>
      <c r="K185" s="121" t="e">
        <f>SUMIFS(#REF!,#REF!,Extrato!$B185,#REF!,Extrato!K$3)</f>
        <v>#REF!</v>
      </c>
      <c r="L185" s="121" t="e">
        <f>SUMIFS(#REF!,#REF!,Extrato!$B185,#REF!,Extrato!L$3)</f>
        <v>#REF!</v>
      </c>
      <c r="M185" s="121" t="e">
        <f>SUMIFS(#REF!,#REF!,Extrato!$B185,#REF!,Extrato!M$3)</f>
        <v>#REF!</v>
      </c>
      <c r="N185" s="121" t="e">
        <f>SUMIFS(#REF!,#REF!,Extrato!$B185,#REF!,Extrato!N$3)</f>
        <v>#REF!</v>
      </c>
      <c r="O185" s="121" t="e">
        <f>SUMIFS(#REF!,#REF!,Extrato!$B185,#REF!,Extrato!O$3)</f>
        <v>#REF!</v>
      </c>
      <c r="P185" s="121">
        <f>SUMIF(BetFlow!B:B,B185,BetFlow!J:J)</f>
        <v>0</v>
      </c>
      <c r="Q185" s="121" t="e">
        <f>SUMIFS(#REF!,#REF!,Extrato!$B185,#REF!,Extrato!Q$3)</f>
        <v>#REF!</v>
      </c>
      <c r="R185" s="121" t="e">
        <f>SUMIFS(#REF!,#REF!,Extrato!$B185,#REF!,Extrato!R$3)</f>
        <v>#REF!</v>
      </c>
      <c r="S185" s="121" t="e">
        <f>SUMIFS(#REF!,#REF!,Extrato!$B185,#REF!,Extrato!S$3)</f>
        <v>#REF!</v>
      </c>
      <c r="T185" s="121" t="e">
        <f>SUMIFS(#REF!,#REF!,Extrato!$B185,#REF!,Extrato!T$3)</f>
        <v>#REF!</v>
      </c>
      <c r="U185" s="121" t="e">
        <f>SUMIFS(#REF!,#REF!,Extrato!$B185,#REF!,Extrato!U$3)</f>
        <v>#REF!</v>
      </c>
      <c r="V185" s="121" t="e">
        <f>SUMIFS(#REF!,#REF!,Extrato!$B185,#REF!,Extrato!V$3)</f>
        <v>#REF!</v>
      </c>
      <c r="W185" s="121" t="e">
        <f>SUMIFS(#REF!,#REF!,Extrato!$B185,#REF!,Extrato!W$3)</f>
        <v>#REF!</v>
      </c>
      <c r="X185" s="121" t="e">
        <f>SUMIFS(#REF!,#REF!,Extrato!$B185,#REF!,Extrato!X$3)</f>
        <v>#REF!</v>
      </c>
      <c r="Y185" s="121" t="e">
        <f>SUMIFS(#REF!,#REF!,Extrato!$B185,#REF!,Extrato!Y$3)</f>
        <v>#REF!</v>
      </c>
      <c r="Z185" s="121" t="e">
        <f>SUMIFS(#REF!,#REF!,Extrato!$B185,#REF!,Extrato!Z$3)</f>
        <v>#REF!</v>
      </c>
      <c r="AA185" s="121" t="e">
        <f>SUMIFS(#REF!,#REF!,Extrato!$B185,#REF!,Extrato!AA$3)</f>
        <v>#REF!</v>
      </c>
      <c r="AB185" s="121" t="e">
        <f>SUMIFS(#REF!,#REF!,Extrato!$B185,#REF!,Extrato!AB$3)</f>
        <v>#REF!</v>
      </c>
      <c r="AC185" s="121" t="e">
        <f>SUMIFS(#REF!,#REF!,Extrato!$B185,#REF!,Extrato!AC$3)</f>
        <v>#REF!</v>
      </c>
      <c r="AD185" s="121" t="e">
        <f>SUMIFS(#REF!,#REF!,Extrato!$B185,#REF!,Extrato!AD$3)</f>
        <v>#REF!</v>
      </c>
      <c r="AE185" s="121" t="e">
        <f>SUMIFS(#REF!,#REF!,Extrato!$B185,#REF!,Extrato!AE$3)</f>
        <v>#REF!</v>
      </c>
      <c r="AF185" s="121" t="e">
        <f>SUMIFS(#REF!,#REF!,Extrato!$B185,#REF!,Extrato!AF$3)</f>
        <v>#REF!</v>
      </c>
      <c r="AG185" s="121" t="e">
        <f>SUMIFS(#REF!,#REF!,Extrato!$B185,#REF!,Extrato!AG$3)</f>
        <v>#REF!</v>
      </c>
      <c r="AH185" s="121" t="e">
        <f>SUMIFS(#REF!,#REF!,Extrato!$B185,#REF!,Extrato!AH$3)</f>
        <v>#REF!</v>
      </c>
      <c r="AI185" s="121" t="e">
        <f>SUMIFS(#REF!,#REF!,Extrato!$B185,#REF!,Extrato!AI$3)</f>
        <v>#REF!</v>
      </c>
      <c r="AJ185" s="121">
        <v>0</v>
      </c>
      <c r="AK185" s="121">
        <v>-0.01</v>
      </c>
      <c r="AL185" s="25" t="e">
        <f t="shared" si="5"/>
        <v>#REF!</v>
      </c>
      <c r="AM185" s="122"/>
      <c r="AN185" s="121">
        <f t="shared" si="9"/>
        <v>1556.9772864647396</v>
      </c>
      <c r="AO185" s="121">
        <f>SUMIF(BetFlow!B:B,Extrato!B185,BetFlow!M:M)</f>
        <v>0</v>
      </c>
      <c r="AP185" s="121"/>
      <c r="AQ185" s="121"/>
      <c r="AR185" s="121"/>
      <c r="AS185" s="121"/>
      <c r="AT185" s="121"/>
      <c r="AU185" s="121"/>
      <c r="AV185" s="121"/>
      <c r="AW185" s="121"/>
      <c r="AX185" s="121"/>
      <c r="AY185" s="121"/>
      <c r="AZ185" s="121"/>
      <c r="BA185" s="121"/>
      <c r="BB185" s="121"/>
      <c r="BC185" s="121">
        <v>0</v>
      </c>
      <c r="BD185" s="121">
        <v>0</v>
      </c>
      <c r="BE185" s="25">
        <f t="shared" si="8"/>
        <v>1556.9772864647396</v>
      </c>
      <c r="BF185" s="122"/>
      <c r="BG185" s="121"/>
      <c r="BH185" s="121"/>
      <c r="BI185" s="121"/>
      <c r="BJ185" s="121"/>
      <c r="BK185" s="121"/>
      <c r="BL185" s="121"/>
      <c r="BM185" s="121"/>
      <c r="BN185" s="121"/>
      <c r="BO185" s="121"/>
      <c r="BP185" s="121"/>
    </row>
    <row r="186" spans="2:68" ht="15" customHeight="1">
      <c r="B186" s="12">
        <v>46176</v>
      </c>
      <c r="C186" s="121" t="e">
        <f t="shared" si="4"/>
        <v>#REF!</v>
      </c>
      <c r="D186" s="121" t="e">
        <f>SUMIFS(#REF!,#REF!,Extrato!$B186,#REF!,Extrato!D$3)</f>
        <v>#REF!</v>
      </c>
      <c r="E186" s="121" t="e">
        <f>SUMIFS(#REF!,#REF!,Extrato!$B186,#REF!,Extrato!E$3)</f>
        <v>#REF!</v>
      </c>
      <c r="F186" s="121" t="e">
        <f>SUMIFS(#REF!,#REF!,Extrato!$B186,#REF!,Extrato!F$3)</f>
        <v>#REF!</v>
      </c>
      <c r="G186" s="121" t="e">
        <f>SUMIFS(#REF!,#REF!,Extrato!$B186,#REF!,Extrato!G$3)</f>
        <v>#REF!</v>
      </c>
      <c r="H186" s="121" t="e">
        <f>SUMIFS(#REF!,#REF!,Extrato!$B186,#REF!,Extrato!H$3)</f>
        <v>#REF!</v>
      </c>
      <c r="I186" s="121" t="e">
        <f>SUMIFS(#REF!,#REF!,Extrato!$B186,#REF!,Extrato!I$3)</f>
        <v>#REF!</v>
      </c>
      <c r="J186" s="121" t="e">
        <f>SUMIFS(#REF!,#REF!,Extrato!$B186,#REF!,Extrato!J$3)</f>
        <v>#REF!</v>
      </c>
      <c r="K186" s="121" t="e">
        <f>SUMIFS(#REF!,#REF!,Extrato!$B186,#REF!,Extrato!K$3)</f>
        <v>#REF!</v>
      </c>
      <c r="L186" s="121" t="e">
        <f>SUMIFS(#REF!,#REF!,Extrato!$B186,#REF!,Extrato!L$3)</f>
        <v>#REF!</v>
      </c>
      <c r="M186" s="121" t="e">
        <f>SUMIFS(#REF!,#REF!,Extrato!$B186,#REF!,Extrato!M$3)</f>
        <v>#REF!</v>
      </c>
      <c r="N186" s="121" t="e">
        <f>SUMIFS(#REF!,#REF!,Extrato!$B186,#REF!,Extrato!N$3)</f>
        <v>#REF!</v>
      </c>
      <c r="O186" s="121" t="e">
        <f>SUMIFS(#REF!,#REF!,Extrato!$B186,#REF!,Extrato!O$3)</f>
        <v>#REF!</v>
      </c>
      <c r="P186" s="121">
        <f>SUMIF(BetFlow!B:B,B186,BetFlow!J:J)</f>
        <v>23.6174</v>
      </c>
      <c r="Q186" s="121" t="e">
        <f>SUMIFS(#REF!,#REF!,Extrato!$B186,#REF!,Extrato!Q$3)</f>
        <v>#REF!</v>
      </c>
      <c r="R186" s="121" t="e">
        <f>SUMIFS(#REF!,#REF!,Extrato!$B186,#REF!,Extrato!R$3)</f>
        <v>#REF!</v>
      </c>
      <c r="S186" s="121" t="e">
        <f>SUMIFS(#REF!,#REF!,Extrato!$B186,#REF!,Extrato!S$3)</f>
        <v>#REF!</v>
      </c>
      <c r="T186" s="121" t="e">
        <f>SUMIFS(#REF!,#REF!,Extrato!$B186,#REF!,Extrato!T$3)</f>
        <v>#REF!</v>
      </c>
      <c r="U186" s="121" t="e">
        <f>SUMIFS(#REF!,#REF!,Extrato!$B186,#REF!,Extrato!U$3)</f>
        <v>#REF!</v>
      </c>
      <c r="V186" s="121" t="e">
        <f>SUMIFS(#REF!,#REF!,Extrato!$B186,#REF!,Extrato!V$3)</f>
        <v>#REF!</v>
      </c>
      <c r="W186" s="121" t="e">
        <f>SUMIFS(#REF!,#REF!,Extrato!$B186,#REF!,Extrato!W$3)</f>
        <v>#REF!</v>
      </c>
      <c r="X186" s="121" t="e">
        <f>SUMIFS(#REF!,#REF!,Extrato!$B186,#REF!,Extrato!X$3)</f>
        <v>#REF!</v>
      </c>
      <c r="Y186" s="121" t="e">
        <f>SUMIFS(#REF!,#REF!,Extrato!$B186,#REF!,Extrato!Y$3)</f>
        <v>#REF!</v>
      </c>
      <c r="Z186" s="121" t="e">
        <f>SUMIFS(#REF!,#REF!,Extrato!$B186,#REF!,Extrato!Z$3)</f>
        <v>#REF!</v>
      </c>
      <c r="AA186" s="121" t="e">
        <f>SUMIFS(#REF!,#REF!,Extrato!$B186,#REF!,Extrato!AA$3)</f>
        <v>#REF!</v>
      </c>
      <c r="AB186" s="121" t="e">
        <f>SUMIFS(#REF!,#REF!,Extrato!$B186,#REF!,Extrato!AB$3)</f>
        <v>#REF!</v>
      </c>
      <c r="AC186" s="121" t="e">
        <f>SUMIFS(#REF!,#REF!,Extrato!$B186,#REF!,Extrato!AC$3)</f>
        <v>#REF!</v>
      </c>
      <c r="AD186" s="121" t="e">
        <f>SUMIFS(#REF!,#REF!,Extrato!$B186,#REF!,Extrato!AD$3)</f>
        <v>#REF!</v>
      </c>
      <c r="AE186" s="121" t="e">
        <f>SUMIFS(#REF!,#REF!,Extrato!$B186,#REF!,Extrato!AE$3)</f>
        <v>#REF!</v>
      </c>
      <c r="AF186" s="121" t="e">
        <f>SUMIFS(#REF!,#REF!,Extrato!$B186,#REF!,Extrato!AF$3)</f>
        <v>#REF!</v>
      </c>
      <c r="AG186" s="121" t="e">
        <f>SUMIFS(#REF!,#REF!,Extrato!$B186,#REF!,Extrato!AG$3)</f>
        <v>#REF!</v>
      </c>
      <c r="AH186" s="121" t="e">
        <f>SUMIFS(#REF!,#REF!,Extrato!$B186,#REF!,Extrato!AH$3)</f>
        <v>#REF!</v>
      </c>
      <c r="AI186" s="121" t="e">
        <f>SUMIFS(#REF!,#REF!,Extrato!$B186,#REF!,Extrato!AI$3)</f>
        <v>#REF!</v>
      </c>
      <c r="AJ186" s="121">
        <v>0</v>
      </c>
      <c r="AK186" s="121">
        <v>0</v>
      </c>
      <c r="AL186" s="25" t="e">
        <f t="shared" si="5"/>
        <v>#REF!</v>
      </c>
      <c r="AM186" s="122"/>
      <c r="AN186" s="121">
        <f t="shared" si="9"/>
        <v>1556.9772864647396</v>
      </c>
      <c r="AO186" s="121">
        <f>SUMIF(BetFlow!B:B,Extrato!B186,BetFlow!M:M)</f>
        <v>-23.36</v>
      </c>
      <c r="AP186" s="121"/>
      <c r="AQ186" s="121"/>
      <c r="AR186" s="121"/>
      <c r="AS186" s="121"/>
      <c r="AT186" s="121"/>
      <c r="AU186" s="121"/>
      <c r="AV186" s="121"/>
      <c r="AW186" s="121"/>
      <c r="AX186" s="121"/>
      <c r="AY186" s="121"/>
      <c r="AZ186" s="121"/>
      <c r="BA186" s="121"/>
      <c r="BB186" s="121"/>
      <c r="BC186" s="121">
        <v>0</v>
      </c>
      <c r="BD186" s="121">
        <v>0</v>
      </c>
      <c r="BE186" s="25">
        <f t="shared" si="8"/>
        <v>1533.6172864647397</v>
      </c>
      <c r="BF186" s="122"/>
      <c r="BG186" s="121"/>
      <c r="BH186" s="121"/>
      <c r="BI186" s="121"/>
      <c r="BJ186" s="121"/>
      <c r="BK186" s="121"/>
      <c r="BL186" s="121"/>
      <c r="BM186" s="121"/>
      <c r="BN186" s="121"/>
      <c r="BO186" s="121"/>
      <c r="BP186" s="121"/>
    </row>
    <row r="187" spans="2:68" ht="15" customHeight="1">
      <c r="B187" s="12">
        <v>46177</v>
      </c>
      <c r="C187" s="121" t="e">
        <f t="shared" si="4"/>
        <v>#REF!</v>
      </c>
      <c r="D187" s="121" t="e">
        <f>SUMIFS(#REF!,#REF!,Extrato!$B187,#REF!,Extrato!D$3)</f>
        <v>#REF!</v>
      </c>
      <c r="E187" s="121" t="e">
        <f>SUMIFS(#REF!,#REF!,Extrato!$B187,#REF!,Extrato!E$3)</f>
        <v>#REF!</v>
      </c>
      <c r="F187" s="121" t="e">
        <f>SUMIFS(#REF!,#REF!,Extrato!$B187,#REF!,Extrato!F$3)</f>
        <v>#REF!</v>
      </c>
      <c r="G187" s="121" t="e">
        <f>SUMIFS(#REF!,#REF!,Extrato!$B187,#REF!,Extrato!G$3)</f>
        <v>#REF!</v>
      </c>
      <c r="H187" s="121" t="e">
        <f>SUMIFS(#REF!,#REF!,Extrato!$B187,#REF!,Extrato!H$3)</f>
        <v>#REF!</v>
      </c>
      <c r="I187" s="121" t="e">
        <f>SUMIFS(#REF!,#REF!,Extrato!$B187,#REF!,Extrato!I$3)</f>
        <v>#REF!</v>
      </c>
      <c r="J187" s="121" t="e">
        <f>SUMIFS(#REF!,#REF!,Extrato!$B187,#REF!,Extrato!J$3)</f>
        <v>#REF!</v>
      </c>
      <c r="K187" s="121" t="e">
        <f>SUMIFS(#REF!,#REF!,Extrato!$B187,#REF!,Extrato!K$3)</f>
        <v>#REF!</v>
      </c>
      <c r="L187" s="121" t="e">
        <f>SUMIFS(#REF!,#REF!,Extrato!$B187,#REF!,Extrato!L$3)</f>
        <v>#REF!</v>
      </c>
      <c r="M187" s="121" t="e">
        <f>SUMIFS(#REF!,#REF!,Extrato!$B187,#REF!,Extrato!M$3)</f>
        <v>#REF!</v>
      </c>
      <c r="N187" s="121" t="e">
        <f>SUMIFS(#REF!,#REF!,Extrato!$B187,#REF!,Extrato!N$3)</f>
        <v>#REF!</v>
      </c>
      <c r="O187" s="121" t="e">
        <f>SUMIFS(#REF!,#REF!,Extrato!$B187,#REF!,Extrato!O$3)</f>
        <v>#REF!</v>
      </c>
      <c r="P187" s="121">
        <f>SUMIF(BetFlow!B:B,B187,BetFlow!J:J)</f>
        <v>0</v>
      </c>
      <c r="Q187" s="121" t="e">
        <f>SUMIFS(#REF!,#REF!,Extrato!$B187,#REF!,Extrato!Q$3)</f>
        <v>#REF!</v>
      </c>
      <c r="R187" s="121" t="e">
        <f>SUMIFS(#REF!,#REF!,Extrato!$B187,#REF!,Extrato!R$3)</f>
        <v>#REF!</v>
      </c>
      <c r="S187" s="121" t="e">
        <f>SUMIFS(#REF!,#REF!,Extrato!$B187,#REF!,Extrato!S$3)</f>
        <v>#REF!</v>
      </c>
      <c r="T187" s="121" t="e">
        <f>SUMIFS(#REF!,#REF!,Extrato!$B187,#REF!,Extrato!T$3)</f>
        <v>#REF!</v>
      </c>
      <c r="U187" s="121" t="e">
        <f>SUMIFS(#REF!,#REF!,Extrato!$B187,#REF!,Extrato!U$3)</f>
        <v>#REF!</v>
      </c>
      <c r="V187" s="121" t="e">
        <f>SUMIFS(#REF!,#REF!,Extrato!$B187,#REF!,Extrato!V$3)</f>
        <v>#REF!</v>
      </c>
      <c r="W187" s="121" t="e">
        <f>SUMIFS(#REF!,#REF!,Extrato!$B187,#REF!,Extrato!W$3)</f>
        <v>#REF!</v>
      </c>
      <c r="X187" s="121" t="e">
        <f>SUMIFS(#REF!,#REF!,Extrato!$B187,#REF!,Extrato!X$3)</f>
        <v>#REF!</v>
      </c>
      <c r="Y187" s="121" t="e">
        <f>SUMIFS(#REF!,#REF!,Extrato!$B187,#REF!,Extrato!Y$3)</f>
        <v>#REF!</v>
      </c>
      <c r="Z187" s="121" t="e">
        <f>SUMIFS(#REF!,#REF!,Extrato!$B187,#REF!,Extrato!Z$3)</f>
        <v>#REF!</v>
      </c>
      <c r="AA187" s="121" t="e">
        <f>SUMIFS(#REF!,#REF!,Extrato!$B187,#REF!,Extrato!AA$3)</f>
        <v>#REF!</v>
      </c>
      <c r="AB187" s="121" t="e">
        <f>SUMIFS(#REF!,#REF!,Extrato!$B187,#REF!,Extrato!AB$3)</f>
        <v>#REF!</v>
      </c>
      <c r="AC187" s="121" t="e">
        <f>SUMIFS(#REF!,#REF!,Extrato!$B187,#REF!,Extrato!AC$3)</f>
        <v>#REF!</v>
      </c>
      <c r="AD187" s="121" t="e">
        <f>SUMIFS(#REF!,#REF!,Extrato!$B187,#REF!,Extrato!AD$3)</f>
        <v>#REF!</v>
      </c>
      <c r="AE187" s="121" t="e">
        <f>SUMIFS(#REF!,#REF!,Extrato!$B187,#REF!,Extrato!AE$3)</f>
        <v>#REF!</v>
      </c>
      <c r="AF187" s="121" t="e">
        <f>SUMIFS(#REF!,#REF!,Extrato!$B187,#REF!,Extrato!AF$3)</f>
        <v>#REF!</v>
      </c>
      <c r="AG187" s="121" t="e">
        <f>SUMIFS(#REF!,#REF!,Extrato!$B187,#REF!,Extrato!AG$3)</f>
        <v>#REF!</v>
      </c>
      <c r="AH187" s="121" t="e">
        <f>SUMIFS(#REF!,#REF!,Extrato!$B187,#REF!,Extrato!AH$3)</f>
        <v>#REF!</v>
      </c>
      <c r="AI187" s="121" t="e">
        <f>SUMIFS(#REF!,#REF!,Extrato!$B187,#REF!,Extrato!AI$3)</f>
        <v>#REF!</v>
      </c>
      <c r="AJ187" s="121">
        <v>0</v>
      </c>
      <c r="AK187" s="121">
        <v>0</v>
      </c>
      <c r="AL187" s="25" t="e">
        <f t="shared" si="5"/>
        <v>#REF!</v>
      </c>
      <c r="AM187" s="122"/>
      <c r="AN187" s="121">
        <f t="shared" si="9"/>
        <v>1533.6172864647397</v>
      </c>
      <c r="AO187" s="121">
        <f>SUMIF(BetFlow!B:B,Extrato!B187,BetFlow!M:M)</f>
        <v>0</v>
      </c>
      <c r="AP187" s="121"/>
      <c r="AQ187" s="121"/>
      <c r="AR187" s="121"/>
      <c r="AS187" s="121"/>
      <c r="AT187" s="121"/>
      <c r="AU187" s="121"/>
      <c r="AV187" s="121"/>
      <c r="AW187" s="121"/>
      <c r="AX187" s="121"/>
      <c r="AY187" s="121"/>
      <c r="AZ187" s="121"/>
      <c r="BA187" s="121"/>
      <c r="BB187" s="121"/>
      <c r="BC187" s="121">
        <v>0</v>
      </c>
      <c r="BD187" s="121">
        <v>0</v>
      </c>
      <c r="BE187" s="25">
        <f t="shared" si="8"/>
        <v>1533.6172864647397</v>
      </c>
      <c r="BF187" s="122"/>
      <c r="BG187" s="121"/>
      <c r="BH187" s="121"/>
      <c r="BI187" s="121"/>
      <c r="BJ187" s="121"/>
      <c r="BK187" s="121"/>
      <c r="BL187" s="121"/>
      <c r="BM187" s="121"/>
      <c r="BN187" s="121"/>
      <c r="BO187" s="121"/>
      <c r="BP187" s="121"/>
    </row>
    <row r="188" spans="2:68" ht="15" customHeight="1">
      <c r="B188" s="12">
        <v>46178</v>
      </c>
      <c r="C188" s="121" t="e">
        <f t="shared" si="4"/>
        <v>#REF!</v>
      </c>
      <c r="D188" s="121" t="e">
        <f>SUMIFS(#REF!,#REF!,Extrato!$B188,#REF!,Extrato!D$3)</f>
        <v>#REF!</v>
      </c>
      <c r="E188" s="121" t="e">
        <f>SUMIFS(#REF!,#REF!,Extrato!$B188,#REF!,Extrato!E$3)</f>
        <v>#REF!</v>
      </c>
      <c r="F188" s="121" t="e">
        <f>SUMIFS(#REF!,#REF!,Extrato!$B188,#REF!,Extrato!F$3)</f>
        <v>#REF!</v>
      </c>
      <c r="G188" s="121" t="e">
        <f>SUMIFS(#REF!,#REF!,Extrato!$B188,#REF!,Extrato!G$3)</f>
        <v>#REF!</v>
      </c>
      <c r="H188" s="121" t="e">
        <f>SUMIFS(#REF!,#REF!,Extrato!$B188,#REF!,Extrato!H$3)</f>
        <v>#REF!</v>
      </c>
      <c r="I188" s="121" t="e">
        <f>SUMIFS(#REF!,#REF!,Extrato!$B188,#REF!,Extrato!I$3)</f>
        <v>#REF!</v>
      </c>
      <c r="J188" s="121" t="e">
        <f>SUMIFS(#REF!,#REF!,Extrato!$B188,#REF!,Extrato!J$3)</f>
        <v>#REF!</v>
      </c>
      <c r="K188" s="121" t="e">
        <f>SUMIFS(#REF!,#REF!,Extrato!$B188,#REF!,Extrato!K$3)</f>
        <v>#REF!</v>
      </c>
      <c r="L188" s="121" t="e">
        <f>SUMIFS(#REF!,#REF!,Extrato!$B188,#REF!,Extrato!L$3)</f>
        <v>#REF!</v>
      </c>
      <c r="M188" s="121" t="e">
        <f>SUMIFS(#REF!,#REF!,Extrato!$B188,#REF!,Extrato!M$3)</f>
        <v>#REF!</v>
      </c>
      <c r="N188" s="121" t="e">
        <f>SUMIFS(#REF!,#REF!,Extrato!$B188,#REF!,Extrato!N$3)</f>
        <v>#REF!</v>
      </c>
      <c r="O188" s="121" t="e">
        <f>SUMIFS(#REF!,#REF!,Extrato!$B188,#REF!,Extrato!O$3)</f>
        <v>#REF!</v>
      </c>
      <c r="P188" s="121">
        <f>SUMIF(BetFlow!B:B,B188,BetFlow!J:J)-4.64</f>
        <v>-15.899999999999999</v>
      </c>
      <c r="Q188" s="121" t="e">
        <f>SUMIFS(#REF!,#REF!,Extrato!$B188,#REF!,Extrato!Q$3)</f>
        <v>#REF!</v>
      </c>
      <c r="R188" s="121" t="e">
        <f>SUMIFS(#REF!,#REF!,Extrato!$B188,#REF!,Extrato!R$3)</f>
        <v>#REF!</v>
      </c>
      <c r="S188" s="121" t="e">
        <f>SUMIFS(#REF!,#REF!,Extrato!$B188,#REF!,Extrato!S$3)</f>
        <v>#REF!</v>
      </c>
      <c r="T188" s="121" t="e">
        <f>SUMIFS(#REF!,#REF!,Extrato!$B188,#REF!,Extrato!T$3)</f>
        <v>#REF!</v>
      </c>
      <c r="U188" s="121" t="e">
        <f>SUMIFS(#REF!,#REF!,Extrato!$B188,#REF!,Extrato!U$3)</f>
        <v>#REF!</v>
      </c>
      <c r="V188" s="121" t="e">
        <f>SUMIFS(#REF!,#REF!,Extrato!$B188,#REF!,Extrato!V$3)</f>
        <v>#REF!</v>
      </c>
      <c r="W188" s="121" t="e">
        <f>SUMIFS(#REF!,#REF!,Extrato!$B188,#REF!,Extrato!W$3)</f>
        <v>#REF!</v>
      </c>
      <c r="X188" s="121" t="e">
        <f>SUMIFS(#REF!,#REF!,Extrato!$B188,#REF!,Extrato!X$3)</f>
        <v>#REF!</v>
      </c>
      <c r="Y188" s="121" t="e">
        <f>SUMIFS(#REF!,#REF!,Extrato!$B188,#REF!,Extrato!Y$3)</f>
        <v>#REF!</v>
      </c>
      <c r="Z188" s="121" t="e">
        <f>SUMIFS(#REF!,#REF!,Extrato!$B188,#REF!,Extrato!Z$3)</f>
        <v>#REF!</v>
      </c>
      <c r="AA188" s="121" t="e">
        <f>SUMIFS(#REF!,#REF!,Extrato!$B188,#REF!,Extrato!AA$3)</f>
        <v>#REF!</v>
      </c>
      <c r="AB188" s="121" t="e">
        <f>SUMIFS(#REF!,#REF!,Extrato!$B188,#REF!,Extrato!AB$3)</f>
        <v>#REF!</v>
      </c>
      <c r="AC188" s="121" t="e">
        <f>SUMIFS(#REF!,#REF!,Extrato!$B188,#REF!,Extrato!AC$3)</f>
        <v>#REF!</v>
      </c>
      <c r="AD188" s="121" t="e">
        <f>SUMIFS(#REF!,#REF!,Extrato!$B188,#REF!,Extrato!AD$3)</f>
        <v>#REF!</v>
      </c>
      <c r="AE188" s="121" t="e">
        <f>SUMIFS(#REF!,#REF!,Extrato!$B188,#REF!,Extrato!AE$3)</f>
        <v>#REF!</v>
      </c>
      <c r="AF188" s="121" t="e">
        <f>SUMIFS(#REF!,#REF!,Extrato!$B188,#REF!,Extrato!AF$3)</f>
        <v>#REF!</v>
      </c>
      <c r="AG188" s="121" t="e">
        <f>SUMIFS(#REF!,#REF!,Extrato!$B188,#REF!,Extrato!AG$3)</f>
        <v>#REF!</v>
      </c>
      <c r="AH188" s="121" t="e">
        <f>SUMIFS(#REF!,#REF!,Extrato!$B188,#REF!,Extrato!AH$3)</f>
        <v>#REF!</v>
      </c>
      <c r="AI188" s="121" t="e">
        <f>SUMIFS(#REF!,#REF!,Extrato!$B188,#REF!,Extrato!AI$3)</f>
        <v>#REF!</v>
      </c>
      <c r="AJ188" s="121">
        <v>0</v>
      </c>
      <c r="AK188" s="121">
        <v>-0.01</v>
      </c>
      <c r="AL188" s="25" t="e">
        <f t="shared" si="5"/>
        <v>#REF!</v>
      </c>
      <c r="AM188" s="122"/>
      <c r="AN188" s="121">
        <f t="shared" si="9"/>
        <v>1533.6172864647397</v>
      </c>
      <c r="AO188" s="121">
        <f>SUMIF(BetFlow!B:B,Extrato!B188,BetFlow!M:M)</f>
        <v>11.826894563999996</v>
      </c>
      <c r="AP188" s="121"/>
      <c r="AQ188" s="121"/>
      <c r="AR188" s="121"/>
      <c r="AS188" s="121"/>
      <c r="AT188" s="121"/>
      <c r="AU188" s="121"/>
      <c r="AV188" s="121"/>
      <c r="AW188" s="121"/>
      <c r="AX188" s="121"/>
      <c r="AY188" s="121"/>
      <c r="AZ188" s="121"/>
      <c r="BA188" s="121"/>
      <c r="BB188" s="121"/>
      <c r="BC188" s="121">
        <v>0</v>
      </c>
      <c r="BD188" s="121">
        <v>-0.14000000000000001</v>
      </c>
      <c r="BE188" s="25">
        <f t="shared" si="8"/>
        <v>1545.3041810287395</v>
      </c>
      <c r="BF188" s="122"/>
      <c r="BG188" s="121"/>
      <c r="BH188" s="121"/>
      <c r="BI188" s="121"/>
      <c r="BJ188" s="121"/>
      <c r="BK188" s="121"/>
      <c r="BL188" s="121"/>
      <c r="BM188" s="121"/>
      <c r="BN188" s="121"/>
      <c r="BO188" s="121"/>
      <c r="BP188" s="121"/>
    </row>
    <row r="189" spans="2:68" ht="15" customHeight="1">
      <c r="B189" s="12">
        <v>46179</v>
      </c>
      <c r="C189" s="121" t="e">
        <f t="shared" si="4"/>
        <v>#REF!</v>
      </c>
      <c r="D189" s="121" t="e">
        <f>SUMIFS(#REF!,#REF!,Extrato!$B189,#REF!,Extrato!D$3)</f>
        <v>#REF!</v>
      </c>
      <c r="E189" s="121" t="e">
        <f>SUMIFS(#REF!,#REF!,Extrato!$B189,#REF!,Extrato!E$3)</f>
        <v>#REF!</v>
      </c>
      <c r="F189" s="121" t="e">
        <f>SUMIFS(#REF!,#REF!,Extrato!$B189,#REF!,Extrato!F$3)</f>
        <v>#REF!</v>
      </c>
      <c r="G189" s="121" t="e">
        <f>SUMIFS(#REF!,#REF!,Extrato!$B189,#REF!,Extrato!G$3)</f>
        <v>#REF!</v>
      </c>
      <c r="H189" s="121" t="e">
        <f>SUMIFS(#REF!,#REF!,Extrato!$B189,#REF!,Extrato!H$3)</f>
        <v>#REF!</v>
      </c>
      <c r="I189" s="121" t="e">
        <f>SUMIFS(#REF!,#REF!,Extrato!$B189,#REF!,Extrato!I$3)</f>
        <v>#REF!</v>
      </c>
      <c r="J189" s="121" t="e">
        <f>SUMIFS(#REF!,#REF!,Extrato!$B189,#REF!,Extrato!J$3)</f>
        <v>#REF!</v>
      </c>
      <c r="K189" s="121" t="e">
        <f>SUMIFS(#REF!,#REF!,Extrato!$B189,#REF!,Extrato!K$3)</f>
        <v>#REF!</v>
      </c>
      <c r="L189" s="121" t="e">
        <f>SUMIFS(#REF!,#REF!,Extrato!$B189,#REF!,Extrato!L$3)</f>
        <v>#REF!</v>
      </c>
      <c r="M189" s="121" t="e">
        <f>SUMIFS(#REF!,#REF!,Extrato!$B189,#REF!,Extrato!M$3)</f>
        <v>#REF!</v>
      </c>
      <c r="N189" s="121" t="e">
        <f>SUMIFS(#REF!,#REF!,Extrato!$B189,#REF!,Extrato!N$3)</f>
        <v>#REF!</v>
      </c>
      <c r="O189" s="121" t="e">
        <f>SUMIFS(#REF!,#REF!,Extrato!$B189,#REF!,Extrato!O$3)</f>
        <v>#REF!</v>
      </c>
      <c r="P189" s="121">
        <f>SUMIF(BetFlow!B:B,B189,BetFlow!J:J)</f>
        <v>44.793299999999988</v>
      </c>
      <c r="Q189" s="121" t="e">
        <f>SUMIFS(#REF!,#REF!,Extrato!$B189,#REF!,Extrato!Q$3)</f>
        <v>#REF!</v>
      </c>
      <c r="R189" s="121" t="e">
        <f>SUMIFS(#REF!,#REF!,Extrato!$B189,#REF!,Extrato!R$3)</f>
        <v>#REF!</v>
      </c>
      <c r="S189" s="121" t="e">
        <f>SUMIFS(#REF!,#REF!,Extrato!$B189,#REF!,Extrato!S$3)</f>
        <v>#REF!</v>
      </c>
      <c r="T189" s="121" t="e">
        <f>SUMIFS(#REF!,#REF!,Extrato!$B189,#REF!,Extrato!T$3)</f>
        <v>#REF!</v>
      </c>
      <c r="U189" s="121" t="e">
        <f>SUMIFS(#REF!,#REF!,Extrato!$B189,#REF!,Extrato!U$3)</f>
        <v>#REF!</v>
      </c>
      <c r="V189" s="121" t="e">
        <f>SUMIFS(#REF!,#REF!,Extrato!$B189,#REF!,Extrato!V$3)</f>
        <v>#REF!</v>
      </c>
      <c r="W189" s="121" t="e">
        <f>SUMIFS(#REF!,#REF!,Extrato!$B189,#REF!,Extrato!W$3)</f>
        <v>#REF!</v>
      </c>
      <c r="X189" s="121" t="e">
        <f>SUMIFS(#REF!,#REF!,Extrato!$B189,#REF!,Extrato!X$3)</f>
        <v>#REF!</v>
      </c>
      <c r="Y189" s="121" t="e">
        <f>SUMIFS(#REF!,#REF!,Extrato!$B189,#REF!,Extrato!Y$3)</f>
        <v>#REF!</v>
      </c>
      <c r="Z189" s="121" t="e">
        <f>SUMIFS(#REF!,#REF!,Extrato!$B189,#REF!,Extrato!Z$3)</f>
        <v>#REF!</v>
      </c>
      <c r="AA189" s="121" t="e">
        <f>SUMIFS(#REF!,#REF!,Extrato!$B189,#REF!,Extrato!AA$3)</f>
        <v>#REF!</v>
      </c>
      <c r="AB189" s="121" t="e">
        <f>SUMIFS(#REF!,#REF!,Extrato!$B189,#REF!,Extrato!AB$3)</f>
        <v>#REF!</v>
      </c>
      <c r="AC189" s="121" t="e">
        <f>SUMIFS(#REF!,#REF!,Extrato!$B189,#REF!,Extrato!AC$3)</f>
        <v>#REF!</v>
      </c>
      <c r="AD189" s="121" t="e">
        <f>SUMIFS(#REF!,#REF!,Extrato!$B189,#REF!,Extrato!AD$3)</f>
        <v>#REF!</v>
      </c>
      <c r="AE189" s="121" t="e">
        <f>SUMIFS(#REF!,#REF!,Extrato!$B189,#REF!,Extrato!AE$3)</f>
        <v>#REF!</v>
      </c>
      <c r="AF189" s="121" t="e">
        <f>SUMIFS(#REF!,#REF!,Extrato!$B189,#REF!,Extrato!AF$3)</f>
        <v>#REF!</v>
      </c>
      <c r="AG189" s="121" t="e">
        <f>SUMIFS(#REF!,#REF!,Extrato!$B189,#REF!,Extrato!AG$3)</f>
        <v>#REF!</v>
      </c>
      <c r="AH189" s="121" t="e">
        <f>SUMIFS(#REF!,#REF!,Extrato!$B189,#REF!,Extrato!AH$3)</f>
        <v>#REF!</v>
      </c>
      <c r="AI189" s="121" t="e">
        <f>SUMIFS(#REF!,#REF!,Extrato!$B189,#REF!,Extrato!AI$3)</f>
        <v>#REF!</v>
      </c>
      <c r="AJ189" s="121">
        <v>0</v>
      </c>
      <c r="AK189" s="121">
        <v>0</v>
      </c>
      <c r="AL189" s="25" t="e">
        <f t="shared" si="5"/>
        <v>#REF!</v>
      </c>
      <c r="AM189" s="122"/>
      <c r="AN189" s="121">
        <f t="shared" si="9"/>
        <v>1545.3041810287395</v>
      </c>
      <c r="AO189" s="121">
        <f>SUMIF(BetFlow!B:B,Extrato!B189,BetFlow!M:M)</f>
        <v>-43.977167999999999</v>
      </c>
      <c r="AP189" s="121"/>
      <c r="AQ189" s="121"/>
      <c r="AR189" s="121"/>
      <c r="AS189" s="121"/>
      <c r="AT189" s="121"/>
      <c r="AU189" s="121"/>
      <c r="AV189" s="121"/>
      <c r="AW189" s="121"/>
      <c r="AX189" s="121"/>
      <c r="AY189" s="121"/>
      <c r="AZ189" s="121"/>
      <c r="BA189" s="121"/>
      <c r="BB189" s="121"/>
      <c r="BC189" s="121">
        <v>0</v>
      </c>
      <c r="BD189" s="121">
        <v>0</v>
      </c>
      <c r="BE189" s="25">
        <f t="shared" si="8"/>
        <v>1501.3270130287397</v>
      </c>
      <c r="BF189" s="122"/>
      <c r="BG189" s="121"/>
      <c r="BH189" s="121"/>
      <c r="BI189" s="121"/>
      <c r="BJ189" s="121"/>
      <c r="BK189" s="121"/>
      <c r="BL189" s="121"/>
      <c r="BM189" s="121"/>
      <c r="BN189" s="121"/>
      <c r="BO189" s="121"/>
      <c r="BP189" s="121"/>
    </row>
    <row r="190" spans="2:68" ht="15" customHeight="1">
      <c r="B190" s="12">
        <v>46180</v>
      </c>
      <c r="C190" s="121" t="e">
        <f t="shared" si="4"/>
        <v>#REF!</v>
      </c>
      <c r="D190" s="121" t="e">
        <f>SUMIFS(#REF!,#REF!,Extrato!$B190,#REF!,Extrato!D$3)</f>
        <v>#REF!</v>
      </c>
      <c r="E190" s="121" t="e">
        <f>SUMIFS(#REF!,#REF!,Extrato!$B190,#REF!,Extrato!E$3)</f>
        <v>#REF!</v>
      </c>
      <c r="F190" s="121" t="e">
        <f>SUMIFS(#REF!,#REF!,Extrato!$B190,#REF!,Extrato!F$3)</f>
        <v>#REF!</v>
      </c>
      <c r="G190" s="121" t="e">
        <f>SUMIFS(#REF!,#REF!,Extrato!$B190,#REF!,Extrato!G$3)</f>
        <v>#REF!</v>
      </c>
      <c r="H190" s="121" t="e">
        <f>SUMIFS(#REF!,#REF!,Extrato!$B190,#REF!,Extrato!H$3)</f>
        <v>#REF!</v>
      </c>
      <c r="I190" s="121" t="e">
        <f>SUMIFS(#REF!,#REF!,Extrato!$B190,#REF!,Extrato!I$3)</f>
        <v>#REF!</v>
      </c>
      <c r="J190" s="121" t="e">
        <f>SUMIFS(#REF!,#REF!,Extrato!$B190,#REF!,Extrato!J$3)</f>
        <v>#REF!</v>
      </c>
      <c r="K190" s="121" t="e">
        <f>SUMIFS(#REF!,#REF!,Extrato!$B190,#REF!,Extrato!K$3)</f>
        <v>#REF!</v>
      </c>
      <c r="L190" s="121" t="e">
        <f>SUMIFS(#REF!,#REF!,Extrato!$B190,#REF!,Extrato!L$3)</f>
        <v>#REF!</v>
      </c>
      <c r="M190" s="121" t="e">
        <f>SUMIFS(#REF!,#REF!,Extrato!$B190,#REF!,Extrato!M$3)</f>
        <v>#REF!</v>
      </c>
      <c r="N190" s="121" t="e">
        <f>SUMIFS(#REF!,#REF!,Extrato!$B190,#REF!,Extrato!N$3)</f>
        <v>#REF!</v>
      </c>
      <c r="O190" s="121" t="e">
        <f>SUMIFS(#REF!,#REF!,Extrato!$B190,#REF!,Extrato!O$3)</f>
        <v>#REF!</v>
      </c>
      <c r="P190" s="121">
        <f>SUMIF(BetFlow!B:B,B190,BetFlow!J:J)+4.64</f>
        <v>-14.93</v>
      </c>
      <c r="Q190" s="121" t="e">
        <f>SUMIFS(#REF!,#REF!,Extrato!$B190,#REF!,Extrato!Q$3)</f>
        <v>#REF!</v>
      </c>
      <c r="R190" s="121" t="e">
        <f>SUMIFS(#REF!,#REF!,Extrato!$B190,#REF!,Extrato!R$3)</f>
        <v>#REF!</v>
      </c>
      <c r="S190" s="121" t="e">
        <f>SUMIFS(#REF!,#REF!,Extrato!$B190,#REF!,Extrato!S$3)</f>
        <v>#REF!</v>
      </c>
      <c r="T190" s="121" t="e">
        <f>SUMIFS(#REF!,#REF!,Extrato!$B190,#REF!,Extrato!T$3)</f>
        <v>#REF!</v>
      </c>
      <c r="U190" s="121" t="e">
        <f>SUMIFS(#REF!,#REF!,Extrato!$B190,#REF!,Extrato!U$3)</f>
        <v>#REF!</v>
      </c>
      <c r="V190" s="121" t="e">
        <f>SUMIFS(#REF!,#REF!,Extrato!$B190,#REF!,Extrato!V$3)</f>
        <v>#REF!</v>
      </c>
      <c r="W190" s="121" t="e">
        <f>SUMIFS(#REF!,#REF!,Extrato!$B190,#REF!,Extrato!W$3)</f>
        <v>#REF!</v>
      </c>
      <c r="X190" s="121" t="e">
        <f>SUMIFS(#REF!,#REF!,Extrato!$B190,#REF!,Extrato!X$3)</f>
        <v>#REF!</v>
      </c>
      <c r="Y190" s="121" t="e">
        <f>SUMIFS(#REF!,#REF!,Extrato!$B190,#REF!,Extrato!Y$3)</f>
        <v>#REF!</v>
      </c>
      <c r="Z190" s="121" t="e">
        <f>SUMIFS(#REF!,#REF!,Extrato!$B190,#REF!,Extrato!Z$3)</f>
        <v>#REF!</v>
      </c>
      <c r="AA190" s="121" t="e">
        <f>SUMIFS(#REF!,#REF!,Extrato!$B190,#REF!,Extrato!AA$3)</f>
        <v>#REF!</v>
      </c>
      <c r="AB190" s="121" t="e">
        <f>SUMIFS(#REF!,#REF!,Extrato!$B190,#REF!,Extrato!AB$3)</f>
        <v>#REF!</v>
      </c>
      <c r="AC190" s="121" t="e">
        <f>SUMIFS(#REF!,#REF!,Extrato!$B190,#REF!,Extrato!AC$3)</f>
        <v>#REF!</v>
      </c>
      <c r="AD190" s="121" t="e">
        <f>SUMIFS(#REF!,#REF!,Extrato!$B190,#REF!,Extrato!AD$3)</f>
        <v>#REF!</v>
      </c>
      <c r="AE190" s="121" t="e">
        <f>SUMIFS(#REF!,#REF!,Extrato!$B190,#REF!,Extrato!AE$3)</f>
        <v>#REF!</v>
      </c>
      <c r="AF190" s="121" t="e">
        <f>SUMIFS(#REF!,#REF!,Extrato!$B190,#REF!,Extrato!AF$3)</f>
        <v>#REF!</v>
      </c>
      <c r="AG190" s="121" t="e">
        <f>SUMIFS(#REF!,#REF!,Extrato!$B190,#REF!,Extrato!AG$3)</f>
        <v>#REF!</v>
      </c>
      <c r="AH190" s="121" t="e">
        <f>SUMIFS(#REF!,#REF!,Extrato!$B190,#REF!,Extrato!AH$3)</f>
        <v>#REF!</v>
      </c>
      <c r="AI190" s="121" t="e">
        <f>SUMIFS(#REF!,#REF!,Extrato!$B190,#REF!,Extrato!AI$3)</f>
        <v>#REF!</v>
      </c>
      <c r="AJ190" s="121">
        <v>0</v>
      </c>
      <c r="AK190" s="121">
        <v>-0.01</v>
      </c>
      <c r="AL190" s="25" t="e">
        <f t="shared" si="5"/>
        <v>#REF!</v>
      </c>
      <c r="AM190" s="122"/>
      <c r="AN190" s="121">
        <f t="shared" si="9"/>
        <v>1501.3270130287397</v>
      </c>
      <c r="AO190" s="121">
        <f>SUMIF(BetFlow!B:B,Extrato!B190,BetFlow!M:M)</f>
        <v>20.903321505599997</v>
      </c>
      <c r="AP190" s="121"/>
      <c r="AQ190" s="121"/>
      <c r="AR190" s="121"/>
      <c r="AS190" s="121"/>
      <c r="AT190" s="121"/>
      <c r="AU190" s="121"/>
      <c r="AV190" s="121"/>
      <c r="AW190" s="121"/>
      <c r="AX190" s="121"/>
      <c r="AY190" s="121"/>
      <c r="AZ190" s="121"/>
      <c r="BA190" s="121"/>
      <c r="BB190" s="121"/>
      <c r="BC190" s="121">
        <v>0</v>
      </c>
      <c r="BD190" s="121">
        <v>0.14000000000000001</v>
      </c>
      <c r="BE190" s="25">
        <f t="shared" si="8"/>
        <v>1522.3703345343397</v>
      </c>
      <c r="BF190" s="122"/>
      <c r="BG190" s="121"/>
      <c r="BH190" s="121"/>
      <c r="BI190" s="121"/>
      <c r="BJ190" s="121"/>
      <c r="BK190" s="121"/>
      <c r="BL190" s="121"/>
      <c r="BM190" s="121"/>
      <c r="BN190" s="121"/>
      <c r="BO190" s="121"/>
      <c r="BP190" s="121"/>
    </row>
    <row r="191" spans="2:68" ht="15" customHeight="1">
      <c r="B191" s="12">
        <v>46181</v>
      </c>
      <c r="C191" s="121" t="e">
        <f t="shared" si="4"/>
        <v>#REF!</v>
      </c>
      <c r="D191" s="121" t="e">
        <f>SUMIFS(#REF!,#REF!,Extrato!$B191,#REF!,Extrato!D$3)</f>
        <v>#REF!</v>
      </c>
      <c r="E191" s="121" t="e">
        <f>SUMIFS(#REF!,#REF!,Extrato!$B191,#REF!,Extrato!E$3)</f>
        <v>#REF!</v>
      </c>
      <c r="F191" s="121" t="e">
        <f>SUMIFS(#REF!,#REF!,Extrato!$B191,#REF!,Extrato!F$3)</f>
        <v>#REF!</v>
      </c>
      <c r="G191" s="121" t="e">
        <f>SUMIFS(#REF!,#REF!,Extrato!$B191,#REF!,Extrato!G$3)</f>
        <v>#REF!</v>
      </c>
      <c r="H191" s="121" t="e">
        <f>SUMIFS(#REF!,#REF!,Extrato!$B191,#REF!,Extrato!H$3)</f>
        <v>#REF!</v>
      </c>
      <c r="I191" s="121" t="e">
        <f>SUMIFS(#REF!,#REF!,Extrato!$B191,#REF!,Extrato!I$3)</f>
        <v>#REF!</v>
      </c>
      <c r="J191" s="121" t="e">
        <f>SUMIFS(#REF!,#REF!,Extrato!$B191,#REF!,Extrato!J$3)</f>
        <v>#REF!</v>
      </c>
      <c r="K191" s="121" t="e">
        <f>SUMIFS(#REF!,#REF!,Extrato!$B191,#REF!,Extrato!K$3)</f>
        <v>#REF!</v>
      </c>
      <c r="L191" s="121" t="e">
        <f>SUMIFS(#REF!,#REF!,Extrato!$B191,#REF!,Extrato!L$3)</f>
        <v>#REF!</v>
      </c>
      <c r="M191" s="121" t="e">
        <f>SUMIFS(#REF!,#REF!,Extrato!$B191,#REF!,Extrato!M$3)</f>
        <v>#REF!</v>
      </c>
      <c r="N191" s="121" t="e">
        <f>SUMIFS(#REF!,#REF!,Extrato!$B191,#REF!,Extrato!N$3)</f>
        <v>#REF!</v>
      </c>
      <c r="O191" s="121" t="e">
        <f>SUMIFS(#REF!,#REF!,Extrato!$B191,#REF!,Extrato!O$3)</f>
        <v>#REF!</v>
      </c>
      <c r="P191" s="121">
        <f>SUMIF(BetFlow!B:B,B191,BetFlow!J:J)</f>
        <v>0</v>
      </c>
      <c r="Q191" s="121" t="e">
        <f>SUMIFS(#REF!,#REF!,Extrato!$B191,#REF!,Extrato!Q$3)</f>
        <v>#REF!</v>
      </c>
      <c r="R191" s="121" t="e">
        <f>SUMIFS(#REF!,#REF!,Extrato!$B191,#REF!,Extrato!R$3)</f>
        <v>#REF!</v>
      </c>
      <c r="S191" s="121" t="e">
        <f>SUMIFS(#REF!,#REF!,Extrato!$B191,#REF!,Extrato!S$3)</f>
        <v>#REF!</v>
      </c>
      <c r="T191" s="121" t="e">
        <f>SUMIFS(#REF!,#REF!,Extrato!$B191,#REF!,Extrato!T$3)</f>
        <v>#REF!</v>
      </c>
      <c r="U191" s="121" t="e">
        <f>SUMIFS(#REF!,#REF!,Extrato!$B191,#REF!,Extrato!U$3)</f>
        <v>#REF!</v>
      </c>
      <c r="V191" s="121" t="e">
        <f>SUMIFS(#REF!,#REF!,Extrato!$B191,#REF!,Extrato!V$3)</f>
        <v>#REF!</v>
      </c>
      <c r="W191" s="121" t="e">
        <f>SUMIFS(#REF!,#REF!,Extrato!$B191,#REF!,Extrato!W$3)</f>
        <v>#REF!</v>
      </c>
      <c r="X191" s="121" t="e">
        <f>SUMIFS(#REF!,#REF!,Extrato!$B191,#REF!,Extrato!X$3)</f>
        <v>#REF!</v>
      </c>
      <c r="Y191" s="121" t="e">
        <f>SUMIFS(#REF!,#REF!,Extrato!$B191,#REF!,Extrato!Y$3)</f>
        <v>#REF!</v>
      </c>
      <c r="Z191" s="121" t="e">
        <f>SUMIFS(#REF!,#REF!,Extrato!$B191,#REF!,Extrato!Z$3)</f>
        <v>#REF!</v>
      </c>
      <c r="AA191" s="121" t="e">
        <f>SUMIFS(#REF!,#REF!,Extrato!$B191,#REF!,Extrato!AA$3)</f>
        <v>#REF!</v>
      </c>
      <c r="AB191" s="121" t="e">
        <f>SUMIFS(#REF!,#REF!,Extrato!$B191,#REF!,Extrato!AB$3)</f>
        <v>#REF!</v>
      </c>
      <c r="AC191" s="121" t="e">
        <f>SUMIFS(#REF!,#REF!,Extrato!$B191,#REF!,Extrato!AC$3)</f>
        <v>#REF!</v>
      </c>
      <c r="AD191" s="121" t="e">
        <f>SUMIFS(#REF!,#REF!,Extrato!$B191,#REF!,Extrato!AD$3)</f>
        <v>#REF!</v>
      </c>
      <c r="AE191" s="121" t="e">
        <f>SUMIFS(#REF!,#REF!,Extrato!$B191,#REF!,Extrato!AE$3)</f>
        <v>#REF!</v>
      </c>
      <c r="AF191" s="121" t="e">
        <f>SUMIFS(#REF!,#REF!,Extrato!$B191,#REF!,Extrato!AF$3)</f>
        <v>#REF!</v>
      </c>
      <c r="AG191" s="121" t="e">
        <f>SUMIFS(#REF!,#REF!,Extrato!$B191,#REF!,Extrato!AG$3)</f>
        <v>#REF!</v>
      </c>
      <c r="AH191" s="121" t="e">
        <f>SUMIFS(#REF!,#REF!,Extrato!$B191,#REF!,Extrato!AH$3)</f>
        <v>#REF!</v>
      </c>
      <c r="AI191" s="121" t="e">
        <f>SUMIFS(#REF!,#REF!,Extrato!$B191,#REF!,Extrato!AI$3)</f>
        <v>#REF!</v>
      </c>
      <c r="AJ191" s="121">
        <v>0</v>
      </c>
      <c r="AK191" s="121">
        <v>0.01</v>
      </c>
      <c r="AL191" s="25" t="e">
        <f t="shared" si="5"/>
        <v>#REF!</v>
      </c>
      <c r="AM191" s="122"/>
      <c r="AN191" s="121">
        <f t="shared" si="9"/>
        <v>1522.3703345343397</v>
      </c>
      <c r="AO191" s="121">
        <f>SUMIF(BetFlow!B:B,Extrato!B191,BetFlow!M:M)</f>
        <v>0</v>
      </c>
      <c r="AP191" s="121"/>
      <c r="AQ191" s="121"/>
      <c r="AR191" s="121"/>
      <c r="AS191" s="121"/>
      <c r="AT191" s="121"/>
      <c r="AU191" s="121"/>
      <c r="AV191" s="121"/>
      <c r="AW191" s="121"/>
      <c r="AX191" s="121"/>
      <c r="AY191" s="121"/>
      <c r="AZ191" s="121"/>
      <c r="BA191" s="121"/>
      <c r="BB191" s="121"/>
      <c r="BC191" s="121">
        <v>0</v>
      </c>
      <c r="BD191" s="121">
        <v>0</v>
      </c>
      <c r="BE191" s="25">
        <f t="shared" si="8"/>
        <v>1522.3703345343397</v>
      </c>
      <c r="BF191" s="122"/>
      <c r="BG191" s="121"/>
      <c r="BH191" s="121"/>
      <c r="BI191" s="121"/>
      <c r="BJ191" s="121"/>
      <c r="BK191" s="121"/>
      <c r="BL191" s="121"/>
      <c r="BM191" s="121"/>
      <c r="BN191" s="121"/>
      <c r="BO191" s="121"/>
      <c r="BP191" s="121"/>
    </row>
    <row r="192" spans="2:68" ht="15" customHeight="1">
      <c r="B192" s="12">
        <v>46182</v>
      </c>
      <c r="C192" s="121" t="e">
        <f t="shared" si="4"/>
        <v>#REF!</v>
      </c>
      <c r="D192" s="121" t="e">
        <f>SUMIFS(#REF!,#REF!,Extrato!$B192,#REF!,Extrato!D$3)</f>
        <v>#REF!</v>
      </c>
      <c r="E192" s="121" t="e">
        <f>SUMIFS(#REF!,#REF!,Extrato!$B192,#REF!,Extrato!E$3)</f>
        <v>#REF!</v>
      </c>
      <c r="F192" s="121" t="e">
        <f>SUMIFS(#REF!,#REF!,Extrato!$B192,#REF!,Extrato!F$3)</f>
        <v>#REF!</v>
      </c>
      <c r="G192" s="121" t="e">
        <f>SUMIFS(#REF!,#REF!,Extrato!$B192,#REF!,Extrato!G$3)</f>
        <v>#REF!</v>
      </c>
      <c r="H192" s="121" t="e">
        <f>SUMIFS(#REF!,#REF!,Extrato!$B192,#REF!,Extrato!H$3)</f>
        <v>#REF!</v>
      </c>
      <c r="I192" s="121" t="e">
        <f>SUMIFS(#REF!,#REF!,Extrato!$B192,#REF!,Extrato!I$3)</f>
        <v>#REF!</v>
      </c>
      <c r="J192" s="121" t="e">
        <f>SUMIFS(#REF!,#REF!,Extrato!$B192,#REF!,Extrato!J$3)</f>
        <v>#REF!</v>
      </c>
      <c r="K192" s="121" t="e">
        <f>SUMIFS(#REF!,#REF!,Extrato!$B192,#REF!,Extrato!K$3)</f>
        <v>#REF!</v>
      </c>
      <c r="L192" s="121" t="e">
        <f>SUMIFS(#REF!,#REF!,Extrato!$B192,#REF!,Extrato!L$3)</f>
        <v>#REF!</v>
      </c>
      <c r="M192" s="121" t="e">
        <f>SUMIFS(#REF!,#REF!,Extrato!$B192,#REF!,Extrato!M$3)</f>
        <v>#REF!</v>
      </c>
      <c r="N192" s="121" t="e">
        <f>SUMIFS(#REF!,#REF!,Extrato!$B192,#REF!,Extrato!N$3)</f>
        <v>#REF!</v>
      </c>
      <c r="O192" s="121" t="e">
        <f>SUMIFS(#REF!,#REF!,Extrato!$B192,#REF!,Extrato!O$3)</f>
        <v>#REF!</v>
      </c>
      <c r="P192" s="121">
        <f>SUMIF(BetFlow!B:B,B192,BetFlow!J:J)</f>
        <v>-2.61</v>
      </c>
      <c r="Q192" s="121" t="e">
        <f>SUMIFS(#REF!,#REF!,Extrato!$B192,#REF!,Extrato!Q$3)</f>
        <v>#REF!</v>
      </c>
      <c r="R192" s="121" t="e">
        <f>SUMIFS(#REF!,#REF!,Extrato!$B192,#REF!,Extrato!R$3)</f>
        <v>#REF!</v>
      </c>
      <c r="S192" s="121" t="e">
        <f>SUMIFS(#REF!,#REF!,Extrato!$B192,#REF!,Extrato!S$3)</f>
        <v>#REF!</v>
      </c>
      <c r="T192" s="121" t="e">
        <f>SUMIFS(#REF!,#REF!,Extrato!$B192,#REF!,Extrato!T$3)</f>
        <v>#REF!</v>
      </c>
      <c r="U192" s="121" t="e">
        <f>SUMIFS(#REF!,#REF!,Extrato!$B192,#REF!,Extrato!U$3)</f>
        <v>#REF!</v>
      </c>
      <c r="V192" s="121" t="e">
        <f>SUMIFS(#REF!,#REF!,Extrato!$B192,#REF!,Extrato!V$3)</f>
        <v>#REF!</v>
      </c>
      <c r="W192" s="121" t="e">
        <f>SUMIFS(#REF!,#REF!,Extrato!$B192,#REF!,Extrato!W$3)</f>
        <v>#REF!</v>
      </c>
      <c r="X192" s="121" t="e">
        <f>SUMIFS(#REF!,#REF!,Extrato!$B192,#REF!,Extrato!X$3)</f>
        <v>#REF!</v>
      </c>
      <c r="Y192" s="121" t="e">
        <f>SUMIFS(#REF!,#REF!,Extrato!$B192,#REF!,Extrato!Y$3)</f>
        <v>#REF!</v>
      </c>
      <c r="Z192" s="121" t="e">
        <f>SUMIFS(#REF!,#REF!,Extrato!$B192,#REF!,Extrato!Z$3)</f>
        <v>#REF!</v>
      </c>
      <c r="AA192" s="121" t="e">
        <f>SUMIFS(#REF!,#REF!,Extrato!$B192,#REF!,Extrato!AA$3)</f>
        <v>#REF!</v>
      </c>
      <c r="AB192" s="121" t="e">
        <f>SUMIFS(#REF!,#REF!,Extrato!$B192,#REF!,Extrato!AB$3)</f>
        <v>#REF!</v>
      </c>
      <c r="AC192" s="121" t="e">
        <f>SUMIFS(#REF!,#REF!,Extrato!$B192,#REF!,Extrato!AC$3)</f>
        <v>#REF!</v>
      </c>
      <c r="AD192" s="121" t="e">
        <f>SUMIFS(#REF!,#REF!,Extrato!$B192,#REF!,Extrato!AD$3)</f>
        <v>#REF!</v>
      </c>
      <c r="AE192" s="121" t="e">
        <f>SUMIFS(#REF!,#REF!,Extrato!$B192,#REF!,Extrato!AE$3)</f>
        <v>#REF!</v>
      </c>
      <c r="AF192" s="121" t="e">
        <f>SUMIFS(#REF!,#REF!,Extrato!$B192,#REF!,Extrato!AF$3)</f>
        <v>#REF!</v>
      </c>
      <c r="AG192" s="121" t="e">
        <f>SUMIFS(#REF!,#REF!,Extrato!$B192,#REF!,Extrato!AG$3)</f>
        <v>#REF!</v>
      </c>
      <c r="AH192" s="121" t="e">
        <f>SUMIFS(#REF!,#REF!,Extrato!$B192,#REF!,Extrato!AH$3)</f>
        <v>#REF!</v>
      </c>
      <c r="AI192" s="121" t="e">
        <f>SUMIFS(#REF!,#REF!,Extrato!$B192,#REF!,Extrato!AI$3)</f>
        <v>#REF!</v>
      </c>
      <c r="AJ192" s="121">
        <v>0</v>
      </c>
      <c r="AK192" s="121">
        <v>0.01</v>
      </c>
      <c r="AL192" s="25" t="e">
        <f t="shared" si="5"/>
        <v>#REF!</v>
      </c>
      <c r="AM192" s="122"/>
      <c r="AN192" s="121">
        <f t="shared" si="9"/>
        <v>1522.3703345343397</v>
      </c>
      <c r="AO192" s="121">
        <f>SUMIF(BetFlow!B:B,Extrato!B192,BetFlow!M:M)</f>
        <v>2.8638405359999282</v>
      </c>
      <c r="AP192" s="121"/>
      <c r="AQ192" s="121"/>
      <c r="AR192" s="121"/>
      <c r="AS192" s="121"/>
      <c r="AT192" s="121"/>
      <c r="AU192" s="121"/>
      <c r="AV192" s="121"/>
      <c r="AW192" s="121"/>
      <c r="AX192" s="121"/>
      <c r="AY192" s="121"/>
      <c r="AZ192" s="121"/>
      <c r="BA192" s="121"/>
      <c r="BB192" s="121"/>
      <c r="BC192" s="121">
        <v>0</v>
      </c>
      <c r="BD192" s="121">
        <v>0.01</v>
      </c>
      <c r="BE192" s="25">
        <f t="shared" si="8"/>
        <v>1525.2441750703397</v>
      </c>
      <c r="BF192" s="122"/>
      <c r="BG192" s="121"/>
      <c r="BH192" s="121"/>
      <c r="BI192" s="121"/>
      <c r="BJ192" s="121"/>
      <c r="BK192" s="121"/>
      <c r="BL192" s="121"/>
      <c r="BM192" s="121"/>
      <c r="BN192" s="121"/>
      <c r="BO192" s="121"/>
      <c r="BP192" s="121"/>
    </row>
    <row r="193" spans="2:68" ht="15" customHeight="1">
      <c r="B193" s="12">
        <v>46183</v>
      </c>
      <c r="C193" s="121" t="e">
        <f t="shared" si="4"/>
        <v>#REF!</v>
      </c>
      <c r="D193" s="121" t="e">
        <f>SUMIFS(#REF!,#REF!,Extrato!$B193,#REF!,Extrato!D$3)</f>
        <v>#REF!</v>
      </c>
      <c r="E193" s="121" t="e">
        <f>SUMIFS(#REF!,#REF!,Extrato!$B193,#REF!,Extrato!E$3)</f>
        <v>#REF!</v>
      </c>
      <c r="F193" s="121" t="e">
        <f>SUMIFS(#REF!,#REF!,Extrato!$B193,#REF!,Extrato!F$3)</f>
        <v>#REF!</v>
      </c>
      <c r="G193" s="121" t="e">
        <f>SUMIFS(#REF!,#REF!,Extrato!$B193,#REF!,Extrato!G$3)</f>
        <v>#REF!</v>
      </c>
      <c r="H193" s="121" t="e">
        <f>SUMIFS(#REF!,#REF!,Extrato!$B193,#REF!,Extrato!H$3)</f>
        <v>#REF!</v>
      </c>
      <c r="I193" s="121" t="e">
        <f>SUMIFS(#REF!,#REF!,Extrato!$B193,#REF!,Extrato!I$3)</f>
        <v>#REF!</v>
      </c>
      <c r="J193" s="121" t="e">
        <f>SUMIFS(#REF!,#REF!,Extrato!$B193,#REF!,Extrato!J$3)</f>
        <v>#REF!</v>
      </c>
      <c r="K193" s="121" t="e">
        <f>SUMIFS(#REF!,#REF!,Extrato!$B193,#REF!,Extrato!K$3)</f>
        <v>#REF!</v>
      </c>
      <c r="L193" s="121" t="e">
        <f>SUMIFS(#REF!,#REF!,Extrato!$B193,#REF!,Extrato!L$3)</f>
        <v>#REF!</v>
      </c>
      <c r="M193" s="121" t="e">
        <f>SUMIFS(#REF!,#REF!,Extrato!$B193,#REF!,Extrato!M$3)</f>
        <v>#REF!</v>
      </c>
      <c r="N193" s="121" t="e">
        <f>SUMIFS(#REF!,#REF!,Extrato!$B193,#REF!,Extrato!N$3)</f>
        <v>#REF!</v>
      </c>
      <c r="O193" s="121" t="e">
        <f>SUMIFS(#REF!,#REF!,Extrato!$B193,#REF!,Extrato!O$3)</f>
        <v>#REF!</v>
      </c>
      <c r="P193" s="121">
        <f>SUMIF(BetFlow!B:B,B193,BetFlow!J:J)</f>
        <v>2.9224000000000006</v>
      </c>
      <c r="Q193" s="121" t="e">
        <f>SUMIFS(#REF!,#REF!,Extrato!$B193,#REF!,Extrato!Q$3)</f>
        <v>#REF!</v>
      </c>
      <c r="R193" s="121" t="e">
        <f>SUMIFS(#REF!,#REF!,Extrato!$B193,#REF!,Extrato!R$3)</f>
        <v>#REF!</v>
      </c>
      <c r="S193" s="121" t="e">
        <f>SUMIFS(#REF!,#REF!,Extrato!$B193,#REF!,Extrato!S$3)</f>
        <v>#REF!</v>
      </c>
      <c r="T193" s="121" t="e">
        <f>SUMIFS(#REF!,#REF!,Extrato!$B193,#REF!,Extrato!T$3)</f>
        <v>#REF!</v>
      </c>
      <c r="U193" s="121" t="e">
        <f>SUMIFS(#REF!,#REF!,Extrato!$B193,#REF!,Extrato!U$3)</f>
        <v>#REF!</v>
      </c>
      <c r="V193" s="121" t="e">
        <f>SUMIFS(#REF!,#REF!,Extrato!$B193,#REF!,Extrato!V$3)</f>
        <v>#REF!</v>
      </c>
      <c r="W193" s="121" t="e">
        <f>SUMIFS(#REF!,#REF!,Extrato!$B193,#REF!,Extrato!W$3)</f>
        <v>#REF!</v>
      </c>
      <c r="X193" s="121" t="e">
        <f>SUMIFS(#REF!,#REF!,Extrato!$B193,#REF!,Extrato!X$3)</f>
        <v>#REF!</v>
      </c>
      <c r="Y193" s="121" t="e">
        <f>SUMIFS(#REF!,#REF!,Extrato!$B193,#REF!,Extrato!Y$3)</f>
        <v>#REF!</v>
      </c>
      <c r="Z193" s="121" t="e">
        <f>SUMIFS(#REF!,#REF!,Extrato!$B193,#REF!,Extrato!Z$3)</f>
        <v>#REF!</v>
      </c>
      <c r="AA193" s="121" t="e">
        <f>SUMIFS(#REF!,#REF!,Extrato!$B193,#REF!,Extrato!AA$3)</f>
        <v>#REF!</v>
      </c>
      <c r="AB193" s="121" t="e">
        <f>SUMIFS(#REF!,#REF!,Extrato!$B193,#REF!,Extrato!AB$3)</f>
        <v>#REF!</v>
      </c>
      <c r="AC193" s="121" t="e">
        <f>SUMIFS(#REF!,#REF!,Extrato!$B193,#REF!,Extrato!AC$3)</f>
        <v>#REF!</v>
      </c>
      <c r="AD193" s="121" t="e">
        <f>SUMIFS(#REF!,#REF!,Extrato!$B193,#REF!,Extrato!AD$3)</f>
        <v>#REF!</v>
      </c>
      <c r="AE193" s="121" t="e">
        <f>SUMIFS(#REF!,#REF!,Extrato!$B193,#REF!,Extrato!AE$3)</f>
        <v>#REF!</v>
      </c>
      <c r="AF193" s="121" t="e">
        <f>SUMIFS(#REF!,#REF!,Extrato!$B193,#REF!,Extrato!AF$3)</f>
        <v>#REF!</v>
      </c>
      <c r="AG193" s="121" t="e">
        <f>SUMIFS(#REF!,#REF!,Extrato!$B193,#REF!,Extrato!AG$3)</f>
        <v>#REF!</v>
      </c>
      <c r="AH193" s="121" t="e">
        <f>SUMIFS(#REF!,#REF!,Extrato!$B193,#REF!,Extrato!AH$3)</f>
        <v>#REF!</v>
      </c>
      <c r="AI193" s="121" t="e">
        <f>SUMIFS(#REF!,#REF!,Extrato!$B193,#REF!,Extrato!AI$3)</f>
        <v>#REF!</v>
      </c>
      <c r="AJ193" s="121">
        <v>0</v>
      </c>
      <c r="AK193" s="121">
        <v>0</v>
      </c>
      <c r="AL193" s="25" t="e">
        <f t="shared" si="5"/>
        <v>#REF!</v>
      </c>
      <c r="AM193" s="122"/>
      <c r="AN193" s="121">
        <f t="shared" si="9"/>
        <v>1525.2441750703397</v>
      </c>
      <c r="AO193" s="121">
        <f>SUMIF(BetFlow!B:B,Extrato!B193,BetFlow!M:M)</f>
        <v>-1.5747655340000009</v>
      </c>
      <c r="AP193" s="121"/>
      <c r="AQ193" s="121"/>
      <c r="AR193" s="121"/>
      <c r="AS193" s="121"/>
      <c r="AT193" s="121"/>
      <c r="AU193" s="121"/>
      <c r="AV193" s="121"/>
      <c r="AW193" s="121"/>
      <c r="AX193" s="121"/>
      <c r="AY193" s="121"/>
      <c r="AZ193" s="121"/>
      <c r="BA193" s="121"/>
      <c r="BB193" s="121"/>
      <c r="BC193" s="121">
        <v>0</v>
      </c>
      <c r="BD193" s="121">
        <v>-0.01</v>
      </c>
      <c r="BE193" s="25">
        <f t="shared" si="8"/>
        <v>1523.6594095363396</v>
      </c>
      <c r="BF193" s="122"/>
      <c r="BG193" s="121"/>
      <c r="BH193" s="121"/>
      <c r="BI193" s="121"/>
      <c r="BJ193" s="121"/>
      <c r="BK193" s="121"/>
      <c r="BL193" s="121"/>
      <c r="BM193" s="121"/>
      <c r="BN193" s="121"/>
      <c r="BO193" s="121"/>
      <c r="BP193" s="121"/>
    </row>
    <row r="194" spans="2:68" ht="15" customHeight="1">
      <c r="B194" s="12">
        <v>46184</v>
      </c>
      <c r="C194" s="121" t="e">
        <f t="shared" si="4"/>
        <v>#REF!</v>
      </c>
      <c r="D194" s="121" t="e">
        <f>SUMIFS(#REF!,#REF!,Extrato!$B194,#REF!,Extrato!D$3)</f>
        <v>#REF!</v>
      </c>
      <c r="E194" s="121" t="e">
        <f>SUMIFS(#REF!,#REF!,Extrato!$B194,#REF!,Extrato!E$3)</f>
        <v>#REF!</v>
      </c>
      <c r="F194" s="121" t="e">
        <f>SUMIFS(#REF!,#REF!,Extrato!$B194,#REF!,Extrato!F$3)</f>
        <v>#REF!</v>
      </c>
      <c r="G194" s="121" t="e">
        <f>SUMIFS(#REF!,#REF!,Extrato!$B194,#REF!,Extrato!G$3)</f>
        <v>#REF!</v>
      </c>
      <c r="H194" s="121" t="e">
        <f>SUMIFS(#REF!,#REF!,Extrato!$B194,#REF!,Extrato!H$3)</f>
        <v>#REF!</v>
      </c>
      <c r="I194" s="121" t="e">
        <f>SUMIFS(#REF!,#REF!,Extrato!$B194,#REF!,Extrato!I$3)</f>
        <v>#REF!</v>
      </c>
      <c r="J194" s="121" t="e">
        <f>SUMIFS(#REF!,#REF!,Extrato!$B194,#REF!,Extrato!J$3)</f>
        <v>#REF!</v>
      </c>
      <c r="K194" s="121" t="e">
        <f>SUMIFS(#REF!,#REF!,Extrato!$B194,#REF!,Extrato!K$3)</f>
        <v>#REF!</v>
      </c>
      <c r="L194" s="121" t="e">
        <f>SUMIFS(#REF!,#REF!,Extrato!$B194,#REF!,Extrato!L$3)</f>
        <v>#REF!</v>
      </c>
      <c r="M194" s="121" t="e">
        <f>SUMIFS(#REF!,#REF!,Extrato!$B194,#REF!,Extrato!M$3)</f>
        <v>#REF!</v>
      </c>
      <c r="N194" s="121" t="e">
        <f>SUMIFS(#REF!,#REF!,Extrato!$B194,#REF!,Extrato!N$3)</f>
        <v>#REF!</v>
      </c>
      <c r="O194" s="121" t="e">
        <f>SUMIFS(#REF!,#REF!,Extrato!$B194,#REF!,Extrato!O$3)</f>
        <v>#REF!</v>
      </c>
      <c r="P194" s="121">
        <f>SUMIF(BetFlow!B:B,B194,BetFlow!J:J)</f>
        <v>0</v>
      </c>
      <c r="Q194" s="121" t="e">
        <f>SUMIFS(#REF!,#REF!,Extrato!$B194,#REF!,Extrato!Q$3)</f>
        <v>#REF!</v>
      </c>
      <c r="R194" s="121" t="e">
        <f>SUMIFS(#REF!,#REF!,Extrato!$B194,#REF!,Extrato!R$3)</f>
        <v>#REF!</v>
      </c>
      <c r="S194" s="121" t="e">
        <f>SUMIFS(#REF!,#REF!,Extrato!$B194,#REF!,Extrato!S$3)</f>
        <v>#REF!</v>
      </c>
      <c r="T194" s="121" t="e">
        <f>SUMIFS(#REF!,#REF!,Extrato!$B194,#REF!,Extrato!T$3)</f>
        <v>#REF!</v>
      </c>
      <c r="U194" s="121" t="e">
        <f>SUMIFS(#REF!,#REF!,Extrato!$B194,#REF!,Extrato!U$3)</f>
        <v>#REF!</v>
      </c>
      <c r="V194" s="121" t="e">
        <f>SUMIFS(#REF!,#REF!,Extrato!$B194,#REF!,Extrato!V$3)</f>
        <v>#REF!</v>
      </c>
      <c r="W194" s="121" t="e">
        <f>SUMIFS(#REF!,#REF!,Extrato!$B194,#REF!,Extrato!W$3)</f>
        <v>#REF!</v>
      </c>
      <c r="X194" s="121" t="e">
        <f>SUMIFS(#REF!,#REF!,Extrato!$B194,#REF!,Extrato!X$3)</f>
        <v>#REF!</v>
      </c>
      <c r="Y194" s="121" t="e">
        <f>SUMIFS(#REF!,#REF!,Extrato!$B194,#REF!,Extrato!Y$3)</f>
        <v>#REF!</v>
      </c>
      <c r="Z194" s="121" t="e">
        <f>SUMIFS(#REF!,#REF!,Extrato!$B194,#REF!,Extrato!Z$3)</f>
        <v>#REF!</v>
      </c>
      <c r="AA194" s="121" t="e">
        <f>SUMIFS(#REF!,#REF!,Extrato!$B194,#REF!,Extrato!AA$3)</f>
        <v>#REF!</v>
      </c>
      <c r="AB194" s="121" t="e">
        <f>SUMIFS(#REF!,#REF!,Extrato!$B194,#REF!,Extrato!AB$3)</f>
        <v>#REF!</v>
      </c>
      <c r="AC194" s="121" t="e">
        <f>SUMIFS(#REF!,#REF!,Extrato!$B194,#REF!,Extrato!AC$3)</f>
        <v>#REF!</v>
      </c>
      <c r="AD194" s="121" t="e">
        <f>SUMIFS(#REF!,#REF!,Extrato!$B194,#REF!,Extrato!AD$3)</f>
        <v>#REF!</v>
      </c>
      <c r="AE194" s="121" t="e">
        <f>SUMIFS(#REF!,#REF!,Extrato!$B194,#REF!,Extrato!AE$3)</f>
        <v>#REF!</v>
      </c>
      <c r="AF194" s="121" t="e">
        <f>SUMIFS(#REF!,#REF!,Extrato!$B194,#REF!,Extrato!AF$3)</f>
        <v>#REF!</v>
      </c>
      <c r="AG194" s="121" t="e">
        <f>SUMIFS(#REF!,#REF!,Extrato!$B194,#REF!,Extrato!AG$3)</f>
        <v>#REF!</v>
      </c>
      <c r="AH194" s="121" t="e">
        <f>SUMIFS(#REF!,#REF!,Extrato!$B194,#REF!,Extrato!AH$3)</f>
        <v>#REF!</v>
      </c>
      <c r="AI194" s="121" t="e">
        <f>SUMIFS(#REF!,#REF!,Extrato!$B194,#REF!,Extrato!AI$3)</f>
        <v>#REF!</v>
      </c>
      <c r="AJ194" s="121">
        <v>0</v>
      </c>
      <c r="AK194" s="121">
        <v>-0.01</v>
      </c>
      <c r="AL194" s="25" t="e">
        <f t="shared" si="5"/>
        <v>#REF!</v>
      </c>
      <c r="AM194" s="122"/>
      <c r="AN194" s="121">
        <f t="shared" si="9"/>
        <v>1523.6594095363396</v>
      </c>
      <c r="AO194" s="121">
        <f>SUMIF(BetFlow!B:B,Extrato!B194,BetFlow!M:M)</f>
        <v>0</v>
      </c>
      <c r="AP194" s="121"/>
      <c r="AQ194" s="121"/>
      <c r="AR194" s="121"/>
      <c r="AS194" s="121"/>
      <c r="AT194" s="121"/>
      <c r="AU194" s="121"/>
      <c r="AV194" s="121"/>
      <c r="AW194" s="121"/>
      <c r="AX194" s="121"/>
      <c r="AY194" s="121"/>
      <c r="AZ194" s="121"/>
      <c r="BA194" s="121"/>
      <c r="BB194" s="121"/>
      <c r="BC194" s="121">
        <v>0</v>
      </c>
      <c r="BD194" s="121">
        <v>0</v>
      </c>
      <c r="BE194" s="25">
        <f t="shared" si="8"/>
        <v>1523.6594095363396</v>
      </c>
      <c r="BF194" s="122"/>
      <c r="BG194" s="121"/>
      <c r="BH194" s="121"/>
      <c r="BI194" s="121"/>
      <c r="BJ194" s="121"/>
      <c r="BK194" s="121"/>
      <c r="BL194" s="121"/>
      <c r="BM194" s="121"/>
      <c r="BN194" s="121"/>
      <c r="BO194" s="121"/>
      <c r="BP194" s="121"/>
    </row>
    <row r="195" spans="2:68" ht="15" customHeight="1">
      <c r="B195" s="12">
        <v>46185</v>
      </c>
      <c r="C195" s="121" t="e">
        <f t="shared" si="4"/>
        <v>#REF!</v>
      </c>
      <c r="D195" s="121" t="e">
        <f>SUMIFS(#REF!,#REF!,Extrato!$B195,#REF!,Extrato!D$3)</f>
        <v>#REF!</v>
      </c>
      <c r="E195" s="121" t="e">
        <f>SUMIFS(#REF!,#REF!,Extrato!$B195,#REF!,Extrato!E$3)</f>
        <v>#REF!</v>
      </c>
      <c r="F195" s="121" t="e">
        <f>SUMIFS(#REF!,#REF!,Extrato!$B195,#REF!,Extrato!F$3)</f>
        <v>#REF!</v>
      </c>
      <c r="G195" s="121" t="e">
        <f>SUMIFS(#REF!,#REF!,Extrato!$B195,#REF!,Extrato!G$3)</f>
        <v>#REF!</v>
      </c>
      <c r="H195" s="121" t="e">
        <f>SUMIFS(#REF!,#REF!,Extrato!$B195,#REF!,Extrato!H$3)</f>
        <v>#REF!</v>
      </c>
      <c r="I195" s="121" t="e">
        <f>SUMIFS(#REF!,#REF!,Extrato!$B195,#REF!,Extrato!I$3)</f>
        <v>#REF!</v>
      </c>
      <c r="J195" s="121" t="e">
        <f>SUMIFS(#REF!,#REF!,Extrato!$B195,#REF!,Extrato!J$3)</f>
        <v>#REF!</v>
      </c>
      <c r="K195" s="121" t="e">
        <f>SUMIFS(#REF!,#REF!,Extrato!$B195,#REF!,Extrato!K$3)</f>
        <v>#REF!</v>
      </c>
      <c r="L195" s="121" t="e">
        <f>SUMIFS(#REF!,#REF!,Extrato!$B195,#REF!,Extrato!L$3)</f>
        <v>#REF!</v>
      </c>
      <c r="M195" s="121" t="e">
        <f>SUMIFS(#REF!,#REF!,Extrato!$B195,#REF!,Extrato!M$3)</f>
        <v>#REF!</v>
      </c>
      <c r="N195" s="121" t="e">
        <f>SUMIFS(#REF!,#REF!,Extrato!$B195,#REF!,Extrato!N$3)</f>
        <v>#REF!</v>
      </c>
      <c r="O195" s="121" t="e">
        <f>SUMIFS(#REF!,#REF!,Extrato!$B195,#REF!,Extrato!O$3)</f>
        <v>#REF!</v>
      </c>
      <c r="P195" s="121">
        <f>SUMIF(BetFlow!B:B,B195,BetFlow!J:J)</f>
        <v>0</v>
      </c>
      <c r="Q195" s="121" t="e">
        <f>SUMIFS(#REF!,#REF!,Extrato!$B195,#REF!,Extrato!Q$3)</f>
        <v>#REF!</v>
      </c>
      <c r="R195" s="121" t="e">
        <f>SUMIFS(#REF!,#REF!,Extrato!$B195,#REF!,Extrato!R$3)</f>
        <v>#REF!</v>
      </c>
      <c r="S195" s="121" t="e">
        <f>SUMIFS(#REF!,#REF!,Extrato!$B195,#REF!,Extrato!S$3)</f>
        <v>#REF!</v>
      </c>
      <c r="T195" s="121" t="e">
        <f>SUMIFS(#REF!,#REF!,Extrato!$B195,#REF!,Extrato!T$3)</f>
        <v>#REF!</v>
      </c>
      <c r="U195" s="121" t="e">
        <f>SUMIFS(#REF!,#REF!,Extrato!$B195,#REF!,Extrato!U$3)</f>
        <v>#REF!</v>
      </c>
      <c r="V195" s="121" t="e">
        <f>SUMIFS(#REF!,#REF!,Extrato!$B195,#REF!,Extrato!V$3)</f>
        <v>#REF!</v>
      </c>
      <c r="W195" s="121" t="e">
        <f>SUMIFS(#REF!,#REF!,Extrato!$B195,#REF!,Extrato!W$3)</f>
        <v>#REF!</v>
      </c>
      <c r="X195" s="121" t="e">
        <f>SUMIFS(#REF!,#REF!,Extrato!$B195,#REF!,Extrato!X$3)</f>
        <v>#REF!</v>
      </c>
      <c r="Y195" s="121" t="e">
        <f>SUMIFS(#REF!,#REF!,Extrato!$B195,#REF!,Extrato!Y$3)</f>
        <v>#REF!</v>
      </c>
      <c r="Z195" s="121" t="e">
        <f>SUMIFS(#REF!,#REF!,Extrato!$B195,#REF!,Extrato!Z$3)</f>
        <v>#REF!</v>
      </c>
      <c r="AA195" s="121" t="e">
        <f>SUMIFS(#REF!,#REF!,Extrato!$B195,#REF!,Extrato!AA$3)</f>
        <v>#REF!</v>
      </c>
      <c r="AB195" s="121" t="e">
        <f>SUMIFS(#REF!,#REF!,Extrato!$B195,#REF!,Extrato!AB$3)</f>
        <v>#REF!</v>
      </c>
      <c r="AC195" s="121" t="e">
        <f>SUMIFS(#REF!,#REF!,Extrato!$B195,#REF!,Extrato!AC$3)</f>
        <v>#REF!</v>
      </c>
      <c r="AD195" s="121" t="e">
        <f>SUMIFS(#REF!,#REF!,Extrato!$B195,#REF!,Extrato!AD$3)</f>
        <v>#REF!</v>
      </c>
      <c r="AE195" s="121" t="e">
        <f>SUMIFS(#REF!,#REF!,Extrato!$B195,#REF!,Extrato!AE$3)</f>
        <v>#REF!</v>
      </c>
      <c r="AF195" s="121" t="e">
        <f>SUMIFS(#REF!,#REF!,Extrato!$B195,#REF!,Extrato!AF$3)</f>
        <v>#REF!</v>
      </c>
      <c r="AG195" s="121" t="e">
        <f>SUMIFS(#REF!,#REF!,Extrato!$B195,#REF!,Extrato!AG$3)</f>
        <v>#REF!</v>
      </c>
      <c r="AH195" s="121" t="e">
        <f>SUMIFS(#REF!,#REF!,Extrato!$B195,#REF!,Extrato!AH$3)</f>
        <v>#REF!</v>
      </c>
      <c r="AI195" s="121" t="e">
        <f>SUMIFS(#REF!,#REF!,Extrato!$B195,#REF!,Extrato!AI$3)</f>
        <v>#REF!</v>
      </c>
      <c r="AJ195" s="121">
        <v>800</v>
      </c>
      <c r="AK195" s="121">
        <v>0</v>
      </c>
      <c r="AL195" s="25" t="e">
        <f t="shared" si="5"/>
        <v>#REF!</v>
      </c>
      <c r="AM195" s="122"/>
      <c r="AN195" s="121">
        <f t="shared" si="9"/>
        <v>1523.6594095363396</v>
      </c>
      <c r="AO195" s="121">
        <f>SUMIF(BetFlow!B:B,Extrato!B195,BetFlow!M:M)</f>
        <v>0</v>
      </c>
      <c r="AP195" s="121"/>
      <c r="AQ195" s="121"/>
      <c r="AR195" s="121"/>
      <c r="AS195" s="121"/>
      <c r="AT195" s="121"/>
      <c r="AU195" s="121"/>
      <c r="AV195" s="121"/>
      <c r="AW195" s="121"/>
      <c r="AX195" s="121"/>
      <c r="AY195" s="121"/>
      <c r="AZ195" s="121"/>
      <c r="BA195" s="121"/>
      <c r="BB195" s="121"/>
      <c r="BC195" s="121">
        <v>0</v>
      </c>
      <c r="BD195" s="121">
        <v>0</v>
      </c>
      <c r="BE195" s="25">
        <f t="shared" si="8"/>
        <v>1523.6594095363396</v>
      </c>
      <c r="BF195" s="122"/>
      <c r="BG195" s="121"/>
      <c r="BH195" s="121"/>
      <c r="BI195" s="121"/>
      <c r="BJ195" s="121"/>
      <c r="BK195" s="121"/>
      <c r="BL195" s="121"/>
      <c r="BM195" s="121"/>
      <c r="BN195" s="121"/>
      <c r="BO195" s="121"/>
      <c r="BP195" s="121"/>
    </row>
    <row r="196" spans="2:68" ht="15" customHeight="1">
      <c r="B196" s="12">
        <v>46186</v>
      </c>
      <c r="C196" s="121" t="e">
        <f t="shared" si="4"/>
        <v>#REF!</v>
      </c>
      <c r="D196" s="121" t="e">
        <f>SUMIFS(#REF!,#REF!,Extrato!$B196,#REF!,Extrato!D$3)</f>
        <v>#REF!</v>
      </c>
      <c r="E196" s="121" t="e">
        <f>SUMIFS(#REF!,#REF!,Extrato!$B196,#REF!,Extrato!E$3)</f>
        <v>#REF!</v>
      </c>
      <c r="F196" s="121" t="e">
        <f>SUMIFS(#REF!,#REF!,Extrato!$B196,#REF!,Extrato!F$3)</f>
        <v>#REF!</v>
      </c>
      <c r="G196" s="121" t="e">
        <f>SUMIFS(#REF!,#REF!,Extrato!$B196,#REF!,Extrato!G$3)</f>
        <v>#REF!</v>
      </c>
      <c r="H196" s="121" t="e">
        <f>SUMIFS(#REF!,#REF!,Extrato!$B196,#REF!,Extrato!H$3)</f>
        <v>#REF!</v>
      </c>
      <c r="I196" s="121" t="e">
        <f>SUMIFS(#REF!,#REF!,Extrato!$B196,#REF!,Extrato!I$3)</f>
        <v>#REF!</v>
      </c>
      <c r="J196" s="121" t="e">
        <f>SUMIFS(#REF!,#REF!,Extrato!$B196,#REF!,Extrato!J$3)</f>
        <v>#REF!</v>
      </c>
      <c r="K196" s="121" t="e">
        <f>SUMIFS(#REF!,#REF!,Extrato!$B196,#REF!,Extrato!K$3)</f>
        <v>#REF!</v>
      </c>
      <c r="L196" s="121" t="e">
        <f>SUMIFS(#REF!,#REF!,Extrato!$B196,#REF!,Extrato!L$3)</f>
        <v>#REF!</v>
      </c>
      <c r="M196" s="121" t="e">
        <f>SUMIFS(#REF!,#REF!,Extrato!$B196,#REF!,Extrato!M$3)</f>
        <v>#REF!</v>
      </c>
      <c r="N196" s="121" t="e">
        <f>SUMIFS(#REF!,#REF!,Extrato!$B196,#REF!,Extrato!N$3)</f>
        <v>#REF!</v>
      </c>
      <c r="O196" s="121" t="e">
        <f>SUMIFS(#REF!,#REF!,Extrato!$B196,#REF!,Extrato!O$3)</f>
        <v>#REF!</v>
      </c>
      <c r="P196" s="121">
        <f>SUMIF(BetFlow!B:B,B196,BetFlow!J:J)</f>
        <v>0</v>
      </c>
      <c r="Q196" s="121" t="e">
        <f>SUMIFS(#REF!,#REF!,Extrato!$B196,#REF!,Extrato!Q$3)</f>
        <v>#REF!</v>
      </c>
      <c r="R196" s="121" t="e">
        <f>SUMIFS(#REF!,#REF!,Extrato!$B196,#REF!,Extrato!R$3)</f>
        <v>#REF!</v>
      </c>
      <c r="S196" s="121" t="e">
        <f>SUMIFS(#REF!,#REF!,Extrato!$B196,#REF!,Extrato!S$3)</f>
        <v>#REF!</v>
      </c>
      <c r="T196" s="121" t="e">
        <f>SUMIFS(#REF!,#REF!,Extrato!$B196,#REF!,Extrato!T$3)</f>
        <v>#REF!</v>
      </c>
      <c r="U196" s="121" t="e">
        <f>SUMIFS(#REF!,#REF!,Extrato!$B196,#REF!,Extrato!U$3)</f>
        <v>#REF!</v>
      </c>
      <c r="V196" s="121" t="e">
        <f>SUMIFS(#REF!,#REF!,Extrato!$B196,#REF!,Extrato!V$3)</f>
        <v>#REF!</v>
      </c>
      <c r="W196" s="121" t="e">
        <f>SUMIFS(#REF!,#REF!,Extrato!$B196,#REF!,Extrato!W$3)</f>
        <v>#REF!</v>
      </c>
      <c r="X196" s="121" t="e">
        <f>SUMIFS(#REF!,#REF!,Extrato!$B196,#REF!,Extrato!X$3)</f>
        <v>#REF!</v>
      </c>
      <c r="Y196" s="121" t="e">
        <f>SUMIFS(#REF!,#REF!,Extrato!$B196,#REF!,Extrato!Y$3)</f>
        <v>#REF!</v>
      </c>
      <c r="Z196" s="121" t="e">
        <f>SUMIFS(#REF!,#REF!,Extrato!$B196,#REF!,Extrato!Z$3)</f>
        <v>#REF!</v>
      </c>
      <c r="AA196" s="121" t="e">
        <f>SUMIFS(#REF!,#REF!,Extrato!$B196,#REF!,Extrato!AA$3)</f>
        <v>#REF!</v>
      </c>
      <c r="AB196" s="121" t="e">
        <f>SUMIFS(#REF!,#REF!,Extrato!$B196,#REF!,Extrato!AB$3)</f>
        <v>#REF!</v>
      </c>
      <c r="AC196" s="121" t="e">
        <f>SUMIFS(#REF!,#REF!,Extrato!$B196,#REF!,Extrato!AC$3)</f>
        <v>#REF!</v>
      </c>
      <c r="AD196" s="121" t="e">
        <f>SUMIFS(#REF!,#REF!,Extrato!$B196,#REF!,Extrato!AD$3)</f>
        <v>#REF!</v>
      </c>
      <c r="AE196" s="121" t="e">
        <f>SUMIFS(#REF!,#REF!,Extrato!$B196,#REF!,Extrato!AE$3)</f>
        <v>#REF!</v>
      </c>
      <c r="AF196" s="121" t="e">
        <f>SUMIFS(#REF!,#REF!,Extrato!$B196,#REF!,Extrato!AF$3)</f>
        <v>#REF!</v>
      </c>
      <c r="AG196" s="121" t="e">
        <f>SUMIFS(#REF!,#REF!,Extrato!$B196,#REF!,Extrato!AG$3)</f>
        <v>#REF!</v>
      </c>
      <c r="AH196" s="121" t="e">
        <f>SUMIFS(#REF!,#REF!,Extrato!$B196,#REF!,Extrato!AH$3)</f>
        <v>#REF!</v>
      </c>
      <c r="AI196" s="121" t="e">
        <f>SUMIFS(#REF!,#REF!,Extrato!$B196,#REF!,Extrato!AI$3)</f>
        <v>#REF!</v>
      </c>
      <c r="AJ196" s="121">
        <v>0</v>
      </c>
      <c r="AK196" s="121">
        <v>-0.01</v>
      </c>
      <c r="AL196" s="25" t="e">
        <f t="shared" si="5"/>
        <v>#REF!</v>
      </c>
      <c r="AM196" s="122"/>
      <c r="AN196" s="121">
        <f t="shared" si="9"/>
        <v>1523.6594095363396</v>
      </c>
      <c r="AO196" s="121">
        <f>SUMIF(BetFlow!B:B,Extrato!B196,BetFlow!M:M)</f>
        <v>0</v>
      </c>
      <c r="AP196" s="121"/>
      <c r="AQ196" s="121"/>
      <c r="AR196" s="121"/>
      <c r="AS196" s="121"/>
      <c r="AT196" s="121"/>
      <c r="AU196" s="121"/>
      <c r="AV196" s="121"/>
      <c r="AW196" s="121"/>
      <c r="AX196" s="121"/>
      <c r="AY196" s="121"/>
      <c r="AZ196" s="121"/>
      <c r="BA196" s="121"/>
      <c r="BB196" s="121"/>
      <c r="BC196" s="121">
        <v>0</v>
      </c>
      <c r="BD196" s="121">
        <v>0</v>
      </c>
      <c r="BE196" s="25">
        <f t="shared" si="8"/>
        <v>1523.6594095363396</v>
      </c>
      <c r="BF196" s="122"/>
      <c r="BG196" s="121"/>
      <c r="BH196" s="121"/>
      <c r="BI196" s="121"/>
      <c r="BJ196" s="121"/>
      <c r="BK196" s="121"/>
      <c r="BL196" s="121"/>
      <c r="BM196" s="121"/>
      <c r="BN196" s="121"/>
      <c r="BO196" s="121"/>
      <c r="BP196" s="121"/>
    </row>
    <row r="197" spans="2:68" ht="15" customHeight="1">
      <c r="B197" s="12">
        <v>46187</v>
      </c>
      <c r="C197" s="121" t="e">
        <f t="shared" ref="C197:C241" si="10">AL196</f>
        <v>#REF!</v>
      </c>
      <c r="D197" s="121" t="e">
        <f>SUMIFS(#REF!,#REF!,Extrato!$B197,#REF!,Extrato!D$3)</f>
        <v>#REF!</v>
      </c>
      <c r="E197" s="121" t="e">
        <f>SUMIFS(#REF!,#REF!,Extrato!$B197,#REF!,Extrato!E$3)</f>
        <v>#REF!</v>
      </c>
      <c r="F197" s="121" t="e">
        <f>SUMIFS(#REF!,#REF!,Extrato!$B197,#REF!,Extrato!F$3)</f>
        <v>#REF!</v>
      </c>
      <c r="G197" s="121" t="e">
        <f>SUMIFS(#REF!,#REF!,Extrato!$B197,#REF!,Extrato!G$3)</f>
        <v>#REF!</v>
      </c>
      <c r="H197" s="121" t="e">
        <f>SUMIFS(#REF!,#REF!,Extrato!$B197,#REF!,Extrato!H$3)</f>
        <v>#REF!</v>
      </c>
      <c r="I197" s="121" t="e">
        <f>SUMIFS(#REF!,#REF!,Extrato!$B197,#REF!,Extrato!I$3)</f>
        <v>#REF!</v>
      </c>
      <c r="J197" s="121" t="e">
        <f>SUMIFS(#REF!,#REF!,Extrato!$B197,#REF!,Extrato!J$3)</f>
        <v>#REF!</v>
      </c>
      <c r="K197" s="121" t="e">
        <f>SUMIFS(#REF!,#REF!,Extrato!$B197,#REF!,Extrato!K$3)</f>
        <v>#REF!</v>
      </c>
      <c r="L197" s="121" t="e">
        <f>SUMIFS(#REF!,#REF!,Extrato!$B197,#REF!,Extrato!L$3)</f>
        <v>#REF!</v>
      </c>
      <c r="M197" s="121" t="e">
        <f>SUMIFS(#REF!,#REF!,Extrato!$B197,#REF!,Extrato!M$3)</f>
        <v>#REF!</v>
      </c>
      <c r="N197" s="121" t="e">
        <f>SUMIFS(#REF!,#REF!,Extrato!$B197,#REF!,Extrato!N$3)</f>
        <v>#REF!</v>
      </c>
      <c r="O197" s="121" t="e">
        <f>SUMIFS(#REF!,#REF!,Extrato!$B197,#REF!,Extrato!O$3)</f>
        <v>#REF!</v>
      </c>
      <c r="P197" s="121">
        <f>SUMIF(BetFlow!B:B,B197,BetFlow!J:J)</f>
        <v>-7.1499999999999995</v>
      </c>
      <c r="Q197" s="121" t="e">
        <f>SUMIFS(#REF!,#REF!,Extrato!$B197,#REF!,Extrato!Q$3)</f>
        <v>#REF!</v>
      </c>
      <c r="R197" s="121" t="e">
        <f>SUMIFS(#REF!,#REF!,Extrato!$B197,#REF!,Extrato!R$3)</f>
        <v>#REF!</v>
      </c>
      <c r="S197" s="121" t="e">
        <f>SUMIFS(#REF!,#REF!,Extrato!$B197,#REF!,Extrato!S$3)</f>
        <v>#REF!</v>
      </c>
      <c r="T197" s="121" t="e">
        <f>SUMIFS(#REF!,#REF!,Extrato!$B197,#REF!,Extrato!T$3)</f>
        <v>#REF!</v>
      </c>
      <c r="U197" s="121" t="e">
        <f>SUMIFS(#REF!,#REF!,Extrato!$B197,#REF!,Extrato!U$3)</f>
        <v>#REF!</v>
      </c>
      <c r="V197" s="121" t="e">
        <f>SUMIFS(#REF!,#REF!,Extrato!$B197,#REF!,Extrato!V$3)</f>
        <v>#REF!</v>
      </c>
      <c r="W197" s="121" t="e">
        <f>SUMIFS(#REF!,#REF!,Extrato!$B197,#REF!,Extrato!W$3)</f>
        <v>#REF!</v>
      </c>
      <c r="X197" s="121" t="e">
        <f>SUMIFS(#REF!,#REF!,Extrato!$B197,#REF!,Extrato!X$3)</f>
        <v>#REF!</v>
      </c>
      <c r="Y197" s="121" t="e">
        <f>SUMIFS(#REF!,#REF!,Extrato!$B197,#REF!,Extrato!Y$3)</f>
        <v>#REF!</v>
      </c>
      <c r="Z197" s="121" t="e">
        <f>SUMIFS(#REF!,#REF!,Extrato!$B197,#REF!,Extrato!Z$3)</f>
        <v>#REF!</v>
      </c>
      <c r="AA197" s="121" t="e">
        <f>SUMIFS(#REF!,#REF!,Extrato!$B197,#REF!,Extrato!AA$3)</f>
        <v>#REF!</v>
      </c>
      <c r="AB197" s="121" t="e">
        <f>SUMIFS(#REF!,#REF!,Extrato!$B197,#REF!,Extrato!AB$3)</f>
        <v>#REF!</v>
      </c>
      <c r="AC197" s="121" t="e">
        <f>SUMIFS(#REF!,#REF!,Extrato!$B197,#REF!,Extrato!AC$3)</f>
        <v>#REF!</v>
      </c>
      <c r="AD197" s="121" t="e">
        <f>SUMIFS(#REF!,#REF!,Extrato!$B197,#REF!,Extrato!AD$3)</f>
        <v>#REF!</v>
      </c>
      <c r="AE197" s="121" t="e">
        <f>SUMIFS(#REF!,#REF!,Extrato!$B197,#REF!,Extrato!AE$3)</f>
        <v>#REF!</v>
      </c>
      <c r="AF197" s="121" t="e">
        <f>SUMIFS(#REF!,#REF!,Extrato!$B197,#REF!,Extrato!AF$3)</f>
        <v>#REF!</v>
      </c>
      <c r="AG197" s="121" t="e">
        <f>SUMIFS(#REF!,#REF!,Extrato!$B197,#REF!,Extrato!AG$3)</f>
        <v>#REF!</v>
      </c>
      <c r="AH197" s="121" t="e">
        <f>SUMIFS(#REF!,#REF!,Extrato!$B197,#REF!,Extrato!AH$3)</f>
        <v>#REF!</v>
      </c>
      <c r="AI197" s="121" t="e">
        <f>SUMIFS(#REF!,#REF!,Extrato!$B197,#REF!,Extrato!AI$3)</f>
        <v>#REF!</v>
      </c>
      <c r="AJ197" s="121">
        <v>0</v>
      </c>
      <c r="AK197" s="121">
        <v>-0.01</v>
      </c>
      <c r="AL197" s="25" t="e">
        <f t="shared" ref="AL197:AL241" si="11">SUM(C197:AK197)</f>
        <v>#REF!</v>
      </c>
      <c r="AM197" s="122"/>
      <c r="AN197" s="121">
        <f t="shared" si="9"/>
        <v>1523.6594095363396</v>
      </c>
      <c r="AO197" s="121">
        <f>SUMIF(BetFlow!B:B,Extrato!B197,BetFlow!M:M)</f>
        <v>7.6874342760000012</v>
      </c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>
        <v>0</v>
      </c>
      <c r="BD197" s="121">
        <v>0</v>
      </c>
      <c r="BE197" s="25">
        <f t="shared" si="8"/>
        <v>1531.3468438123396</v>
      </c>
      <c r="BF197" s="122"/>
      <c r="BG197" s="121"/>
      <c r="BH197" s="121"/>
      <c r="BI197" s="121"/>
      <c r="BJ197" s="121"/>
      <c r="BK197" s="121"/>
      <c r="BL197" s="121"/>
      <c r="BM197" s="121"/>
      <c r="BN197" s="121"/>
      <c r="BO197" s="121"/>
      <c r="BP197" s="121"/>
    </row>
    <row r="198" spans="2:68" ht="15" customHeight="1">
      <c r="B198" s="12">
        <v>46188</v>
      </c>
      <c r="C198" s="121" t="e">
        <f t="shared" si="10"/>
        <v>#REF!</v>
      </c>
      <c r="D198" s="121" t="e">
        <f>SUMIFS(#REF!,#REF!,Extrato!$B198,#REF!,Extrato!D$3)</f>
        <v>#REF!</v>
      </c>
      <c r="E198" s="121" t="e">
        <f>SUMIFS(#REF!,#REF!,Extrato!$B198,#REF!,Extrato!E$3)</f>
        <v>#REF!</v>
      </c>
      <c r="F198" s="121" t="e">
        <f>SUMIFS(#REF!,#REF!,Extrato!$B198,#REF!,Extrato!F$3)</f>
        <v>#REF!</v>
      </c>
      <c r="G198" s="121" t="e">
        <f>SUMIFS(#REF!,#REF!,Extrato!$B198,#REF!,Extrato!G$3)</f>
        <v>#REF!</v>
      </c>
      <c r="H198" s="121" t="e">
        <f>SUMIFS(#REF!,#REF!,Extrato!$B198,#REF!,Extrato!H$3)</f>
        <v>#REF!</v>
      </c>
      <c r="I198" s="121" t="e">
        <f>SUMIFS(#REF!,#REF!,Extrato!$B198,#REF!,Extrato!I$3)</f>
        <v>#REF!</v>
      </c>
      <c r="J198" s="121" t="e">
        <f>SUMIFS(#REF!,#REF!,Extrato!$B198,#REF!,Extrato!J$3)</f>
        <v>#REF!</v>
      </c>
      <c r="K198" s="121" t="e">
        <f>SUMIFS(#REF!,#REF!,Extrato!$B198,#REF!,Extrato!K$3)</f>
        <v>#REF!</v>
      </c>
      <c r="L198" s="121" t="e">
        <f>SUMIFS(#REF!,#REF!,Extrato!$B198,#REF!,Extrato!L$3)</f>
        <v>#REF!</v>
      </c>
      <c r="M198" s="121" t="e">
        <f>SUMIFS(#REF!,#REF!,Extrato!$B198,#REF!,Extrato!M$3)</f>
        <v>#REF!</v>
      </c>
      <c r="N198" s="121" t="e">
        <f>SUMIFS(#REF!,#REF!,Extrato!$B198,#REF!,Extrato!N$3)</f>
        <v>#REF!</v>
      </c>
      <c r="O198" s="121" t="e">
        <f>SUMIFS(#REF!,#REF!,Extrato!$B198,#REF!,Extrato!O$3)</f>
        <v>#REF!</v>
      </c>
      <c r="P198" s="121">
        <f>SUMIF(BetFlow!B:B,B198,BetFlow!J:J)</f>
        <v>-5.16</v>
      </c>
      <c r="Q198" s="121" t="e">
        <f>SUMIFS(#REF!,#REF!,Extrato!$B198,#REF!,Extrato!Q$3)</f>
        <v>#REF!</v>
      </c>
      <c r="R198" s="121" t="e">
        <f>SUMIFS(#REF!,#REF!,Extrato!$B198,#REF!,Extrato!R$3)</f>
        <v>#REF!</v>
      </c>
      <c r="S198" s="121" t="e">
        <f>SUMIFS(#REF!,#REF!,Extrato!$B198,#REF!,Extrato!S$3)</f>
        <v>#REF!</v>
      </c>
      <c r="T198" s="121" t="e">
        <f>SUMIFS(#REF!,#REF!,Extrato!$B198,#REF!,Extrato!T$3)</f>
        <v>#REF!</v>
      </c>
      <c r="U198" s="121" t="e">
        <f>SUMIFS(#REF!,#REF!,Extrato!$B198,#REF!,Extrato!U$3)</f>
        <v>#REF!</v>
      </c>
      <c r="V198" s="121" t="e">
        <f>SUMIFS(#REF!,#REF!,Extrato!$B198,#REF!,Extrato!V$3)</f>
        <v>#REF!</v>
      </c>
      <c r="W198" s="121" t="e">
        <f>SUMIFS(#REF!,#REF!,Extrato!$B198,#REF!,Extrato!W$3)</f>
        <v>#REF!</v>
      </c>
      <c r="X198" s="121" t="e">
        <f>SUMIFS(#REF!,#REF!,Extrato!$B198,#REF!,Extrato!X$3)</f>
        <v>#REF!</v>
      </c>
      <c r="Y198" s="121" t="e">
        <f>SUMIFS(#REF!,#REF!,Extrato!$B198,#REF!,Extrato!Y$3)</f>
        <v>#REF!</v>
      </c>
      <c r="Z198" s="121" t="e">
        <f>SUMIFS(#REF!,#REF!,Extrato!$B198,#REF!,Extrato!Z$3)</f>
        <v>#REF!</v>
      </c>
      <c r="AA198" s="121" t="e">
        <f>SUMIFS(#REF!,#REF!,Extrato!$B198,#REF!,Extrato!AA$3)</f>
        <v>#REF!</v>
      </c>
      <c r="AB198" s="121" t="e">
        <f>SUMIFS(#REF!,#REF!,Extrato!$B198,#REF!,Extrato!AB$3)</f>
        <v>#REF!</v>
      </c>
      <c r="AC198" s="121" t="e">
        <f>SUMIFS(#REF!,#REF!,Extrato!$B198,#REF!,Extrato!AC$3)</f>
        <v>#REF!</v>
      </c>
      <c r="AD198" s="121" t="e">
        <f>SUMIFS(#REF!,#REF!,Extrato!$B198,#REF!,Extrato!AD$3)</f>
        <v>#REF!</v>
      </c>
      <c r="AE198" s="121" t="e">
        <f>SUMIFS(#REF!,#REF!,Extrato!$B198,#REF!,Extrato!AE$3)</f>
        <v>#REF!</v>
      </c>
      <c r="AF198" s="121" t="e">
        <f>SUMIFS(#REF!,#REF!,Extrato!$B198,#REF!,Extrato!AF$3)</f>
        <v>#REF!</v>
      </c>
      <c r="AG198" s="121" t="e">
        <f>SUMIFS(#REF!,#REF!,Extrato!$B198,#REF!,Extrato!AG$3)</f>
        <v>#REF!</v>
      </c>
      <c r="AH198" s="121" t="e">
        <f>SUMIFS(#REF!,#REF!,Extrato!$B198,#REF!,Extrato!AH$3)</f>
        <v>#REF!</v>
      </c>
      <c r="AI198" s="121" t="e">
        <f>SUMIFS(#REF!,#REF!,Extrato!$B198,#REF!,Extrato!AI$3)</f>
        <v>#REF!</v>
      </c>
      <c r="AJ198" s="121">
        <v>0</v>
      </c>
      <c r="AK198" s="121">
        <v>-0.01</v>
      </c>
      <c r="AL198" s="25" t="e">
        <f t="shared" si="11"/>
        <v>#REF!</v>
      </c>
      <c r="AM198" s="122"/>
      <c r="AN198" s="121">
        <f t="shared" si="9"/>
        <v>1531.3468438123396</v>
      </c>
      <c r="AO198" s="121">
        <f>SUMIF(BetFlow!B:B,Extrato!B198,BetFlow!M:M)</f>
        <v>5.4455162759999993</v>
      </c>
      <c r="AP198" s="121"/>
      <c r="AQ198" s="121"/>
      <c r="AR198" s="121"/>
      <c r="AS198" s="121"/>
      <c r="AT198" s="121"/>
      <c r="AU198" s="121"/>
      <c r="AV198" s="121"/>
      <c r="AW198" s="121"/>
      <c r="AX198" s="121"/>
      <c r="AY198" s="121"/>
      <c r="AZ198" s="121"/>
      <c r="BA198" s="121"/>
      <c r="BB198" s="121"/>
      <c r="BC198" s="121">
        <v>0</v>
      </c>
      <c r="BD198" s="121">
        <v>0</v>
      </c>
      <c r="BE198" s="25">
        <f t="shared" si="8"/>
        <v>1536.7923600883396</v>
      </c>
      <c r="BF198" s="122"/>
      <c r="BG198" s="121"/>
      <c r="BH198" s="121"/>
      <c r="BI198" s="121"/>
      <c r="BJ198" s="121"/>
      <c r="BK198" s="121"/>
      <c r="BL198" s="121"/>
      <c r="BM198" s="121"/>
      <c r="BN198" s="121"/>
      <c r="BO198" s="121"/>
      <c r="BP198" s="121"/>
    </row>
    <row r="199" spans="2:68" ht="15" customHeight="1">
      <c r="B199" s="80">
        <v>46189</v>
      </c>
      <c r="C199" s="124" t="e">
        <f t="shared" si="10"/>
        <v>#REF!</v>
      </c>
      <c r="D199" s="124" t="e">
        <f>SUMIFS(#REF!,#REF!,Extrato!$B199,#REF!,Extrato!D$3)</f>
        <v>#REF!</v>
      </c>
      <c r="E199" s="124" t="e">
        <f>SUMIFS(#REF!,#REF!,Extrato!$B199,#REF!,Extrato!E$3)</f>
        <v>#REF!</v>
      </c>
      <c r="F199" s="124" t="e">
        <f>SUMIFS(#REF!,#REF!,Extrato!$B199,#REF!,Extrato!F$3)</f>
        <v>#REF!</v>
      </c>
      <c r="G199" s="124" t="e">
        <f>SUMIFS(#REF!,#REF!,Extrato!$B199,#REF!,Extrato!G$3)</f>
        <v>#REF!</v>
      </c>
      <c r="H199" s="124" t="e">
        <f>SUMIFS(#REF!,#REF!,Extrato!$B199,#REF!,Extrato!H$3)</f>
        <v>#REF!</v>
      </c>
      <c r="I199" s="124" t="e">
        <f>SUMIFS(#REF!,#REF!,Extrato!$B199,#REF!,Extrato!I$3)</f>
        <v>#REF!</v>
      </c>
      <c r="J199" s="124" t="e">
        <f>SUMIFS(#REF!,#REF!,Extrato!$B199,#REF!,Extrato!J$3)</f>
        <v>#REF!</v>
      </c>
      <c r="K199" s="124" t="e">
        <f>SUMIFS(#REF!,#REF!,Extrato!$B199,#REF!,Extrato!K$3)</f>
        <v>#REF!</v>
      </c>
      <c r="L199" s="124" t="e">
        <f>SUMIFS(#REF!,#REF!,Extrato!$B199,#REF!,Extrato!L$3)</f>
        <v>#REF!</v>
      </c>
      <c r="M199" s="124" t="e">
        <f>SUMIFS(#REF!,#REF!,Extrato!$B199,#REF!,Extrato!M$3)</f>
        <v>#REF!</v>
      </c>
      <c r="N199" s="124" t="e">
        <f>SUMIFS(#REF!,#REF!,Extrato!$B199,#REF!,Extrato!N$3)</f>
        <v>#REF!</v>
      </c>
      <c r="O199" s="124" t="e">
        <f>SUMIFS(#REF!,#REF!,Extrato!$B199,#REF!,Extrato!O$3)</f>
        <v>#REF!</v>
      </c>
      <c r="P199" s="124">
        <f>SUMIF(BetFlow!B:B,B199,BetFlow!J:J)</f>
        <v>0</v>
      </c>
      <c r="Q199" s="124" t="e">
        <f>SUMIFS(#REF!,#REF!,Extrato!$B199,#REF!,Extrato!Q$3)</f>
        <v>#REF!</v>
      </c>
      <c r="R199" s="124" t="e">
        <f>SUMIFS(#REF!,#REF!,Extrato!$B199,#REF!,Extrato!R$3)</f>
        <v>#REF!</v>
      </c>
      <c r="S199" s="124" t="e">
        <f>SUMIFS(#REF!,#REF!,Extrato!$B199,#REF!,Extrato!S$3)</f>
        <v>#REF!</v>
      </c>
      <c r="T199" s="124" t="e">
        <f>SUMIFS(#REF!,#REF!,Extrato!$B199,#REF!,Extrato!T$3)</f>
        <v>#REF!</v>
      </c>
      <c r="U199" s="124" t="e">
        <f>SUMIFS(#REF!,#REF!,Extrato!$B199,#REF!,Extrato!U$3)</f>
        <v>#REF!</v>
      </c>
      <c r="V199" s="124" t="e">
        <f>SUMIFS(#REF!,#REF!,Extrato!$B199,#REF!,Extrato!V$3)</f>
        <v>#REF!</v>
      </c>
      <c r="W199" s="124" t="e">
        <f>SUMIFS(#REF!,#REF!,Extrato!$B199,#REF!,Extrato!W$3)</f>
        <v>#REF!</v>
      </c>
      <c r="X199" s="124" t="e">
        <f>SUMIFS(#REF!,#REF!,Extrato!$B199,#REF!,Extrato!X$3)</f>
        <v>#REF!</v>
      </c>
      <c r="Y199" s="124" t="e">
        <f>SUMIFS(#REF!,#REF!,Extrato!$B199,#REF!,Extrato!Y$3)</f>
        <v>#REF!</v>
      </c>
      <c r="Z199" s="124" t="e">
        <f>SUMIFS(#REF!,#REF!,Extrato!$B199,#REF!,Extrato!Z$3)</f>
        <v>#REF!</v>
      </c>
      <c r="AA199" s="124" t="e">
        <f>SUMIFS(#REF!,#REF!,Extrato!$B199,#REF!,Extrato!AA$3)</f>
        <v>#REF!</v>
      </c>
      <c r="AB199" s="124" t="e">
        <f>SUMIFS(#REF!,#REF!,Extrato!$B199,#REF!,Extrato!AB$3)</f>
        <v>#REF!</v>
      </c>
      <c r="AC199" s="124" t="e">
        <f>SUMIFS(#REF!,#REF!,Extrato!$B199,#REF!,Extrato!AC$3)</f>
        <v>#REF!</v>
      </c>
      <c r="AD199" s="124" t="e">
        <f>SUMIFS(#REF!,#REF!,Extrato!$B199,#REF!,Extrato!AD$3,#REF!,"Fulltbet")</f>
        <v>#REF!</v>
      </c>
      <c r="AE199" s="124" t="e">
        <f>SUMIFS(#REF!,#REF!,Extrato!$B199,#REF!,Extrato!AE$3)</f>
        <v>#REF!</v>
      </c>
      <c r="AF199" s="124" t="e">
        <f>SUMIFS(#REF!,#REF!,Extrato!$B199,#REF!,Extrato!AF$3)</f>
        <v>#REF!</v>
      </c>
      <c r="AG199" s="124" t="e">
        <f>SUMIFS(#REF!,#REF!,Extrato!$B199,#REF!,Extrato!AG$3)</f>
        <v>#REF!</v>
      </c>
      <c r="AH199" s="124" t="e">
        <f>SUMIFS(#REF!,#REF!,Extrato!$B199,#REF!,Extrato!AH$3)</f>
        <v>#REF!</v>
      </c>
      <c r="AI199" s="124" t="e">
        <f>SUMIFS(#REF!,#REF!,Extrato!$B199,#REF!,Extrato!AI$3)</f>
        <v>#REF!</v>
      </c>
      <c r="AJ199" s="124">
        <v>0</v>
      </c>
      <c r="AK199" s="124">
        <v>0.01</v>
      </c>
      <c r="AL199" s="88" t="e">
        <f t="shared" si="11"/>
        <v>#REF!</v>
      </c>
      <c r="AM199" s="125"/>
      <c r="AN199" s="124">
        <f t="shared" si="9"/>
        <v>1536.7923600883396</v>
      </c>
      <c r="AO199" s="124">
        <f>SUMIF(BetFlow!B:B,Extrato!B199,BetFlow!M:M)</f>
        <v>0</v>
      </c>
      <c r="AP199" s="124" t="e">
        <f>SUMIFS(#REF!,#REF!,Extrato!$B199,#REF!,Extrato!AP$3,#REF!,"Betbra")</f>
        <v>#REF!</v>
      </c>
      <c r="AQ199" s="124" t="e">
        <f>SUMIFS(#REF!,#REF!,Extrato!$B199,#REF!,Extrato!AQ$3,#REF!,"Betbra")</f>
        <v>#REF!</v>
      </c>
      <c r="AR199" s="124" t="e">
        <f>SUMIFS(#REF!,#REF!,Extrato!$B199,#REF!,Extrato!AR$3,#REF!,"Betbra")</f>
        <v>#REF!</v>
      </c>
      <c r="AS199" s="124" t="e">
        <f>SUMIFS(#REF!,#REF!,Extrato!$B199,#REF!,Extrato!AS$3,#REF!,"Betbra")</f>
        <v>#REF!</v>
      </c>
      <c r="AT199" s="124" t="e">
        <f>SUMIFS(#REF!,#REF!,Extrato!$B199,#REF!,Extrato!AT$3,#REF!,"Betbra")</f>
        <v>#REF!</v>
      </c>
      <c r="AU199" s="124" t="e">
        <f>SUMIFS(#REF!,#REF!,Extrato!$B199,#REF!,Extrato!AU$3,#REF!,"Betbra")</f>
        <v>#REF!</v>
      </c>
      <c r="AV199" s="124" t="e">
        <f>SUMIFS(#REF!,#REF!,Extrato!$B199,#REF!,Extrato!AV$3,#REF!,"Betbra")</f>
        <v>#REF!</v>
      </c>
      <c r="AW199" s="124" t="e">
        <f>SUMIFS(#REF!,#REF!,Extrato!$B199,#REF!,Extrato!AW$3,#REF!,"Betbra")</f>
        <v>#REF!</v>
      </c>
      <c r="AX199" s="124" t="e">
        <f>SUMIFS(#REF!,#REF!,Extrato!$B199,#REF!,Extrato!AX$3,#REF!,"Betbra")</f>
        <v>#REF!</v>
      </c>
      <c r="AY199" s="124" t="e">
        <f>SUMIFS(#REF!,#REF!,Extrato!$B199,#REF!,Extrato!AY$3,#REF!,"Betbra")</f>
        <v>#REF!</v>
      </c>
      <c r="AZ199" s="124" t="e">
        <f>SUMIFS(#REF!,#REF!,Extrato!$B199,#REF!,Extrato!AZ$3,#REF!,"Betbra")</f>
        <v>#REF!</v>
      </c>
      <c r="BA199" s="124" t="e">
        <f>SUMIFS(#REF!,#REF!,Extrato!$B199,#REF!,Extrato!BA$3,#REF!,"Betbra")</f>
        <v>#REF!</v>
      </c>
      <c r="BB199" s="124" t="e">
        <f>SUMIFS(#REF!,#REF!,Extrato!$B199,#REF!,Extrato!BB$3,#REF!,"Betbra")</f>
        <v>#REF!</v>
      </c>
      <c r="BC199" s="124">
        <v>0</v>
      </c>
      <c r="BD199" s="124">
        <v>0</v>
      </c>
      <c r="BE199" s="88" t="e">
        <f t="shared" si="8"/>
        <v>#REF!</v>
      </c>
      <c r="BF199" s="125"/>
      <c r="BG199" s="121"/>
      <c r="BH199" s="121"/>
      <c r="BI199" s="121"/>
      <c r="BJ199" s="121"/>
      <c r="BK199" s="121"/>
      <c r="BL199" s="121"/>
      <c r="BM199" s="121"/>
      <c r="BN199" s="121"/>
      <c r="BO199" s="121"/>
      <c r="BP199" s="121"/>
    </row>
    <row r="200" spans="2:68" ht="15" customHeight="1">
      <c r="B200" s="80">
        <v>46190</v>
      </c>
      <c r="C200" s="124" t="e">
        <f t="shared" si="10"/>
        <v>#REF!</v>
      </c>
      <c r="D200" s="124" t="e">
        <f>SUMIFS(#REF!,#REF!,Extrato!$B200,#REF!,Extrato!D$3)</f>
        <v>#REF!</v>
      </c>
      <c r="E200" s="124" t="e">
        <f>SUMIFS(#REF!,#REF!,Extrato!$B200,#REF!,Extrato!E$3)</f>
        <v>#REF!</v>
      </c>
      <c r="F200" s="124" t="e">
        <f>SUMIFS(#REF!,#REF!,Extrato!$B200,#REF!,Extrato!F$3)</f>
        <v>#REF!</v>
      </c>
      <c r="G200" s="124" t="e">
        <f>SUMIFS(#REF!,#REF!,Extrato!$B200,#REF!,Extrato!G$3)</f>
        <v>#REF!</v>
      </c>
      <c r="H200" s="124" t="e">
        <f>SUMIFS(#REF!,#REF!,Extrato!$B200,#REF!,Extrato!H$3)</f>
        <v>#REF!</v>
      </c>
      <c r="I200" s="124" t="e">
        <f>SUMIFS(#REF!,#REF!,Extrato!$B200,#REF!,Extrato!I$3)</f>
        <v>#REF!</v>
      </c>
      <c r="J200" s="124" t="e">
        <f>SUMIFS(#REF!,#REF!,Extrato!$B200,#REF!,Extrato!J$3,#REF!,"Fulltbet")</f>
        <v>#REF!</v>
      </c>
      <c r="K200" s="124" t="e">
        <f>SUMIFS(#REF!,#REF!,Extrato!$B200,#REF!,Extrato!K$3)</f>
        <v>#REF!</v>
      </c>
      <c r="L200" s="124" t="e">
        <f>SUMIFS(#REF!,#REF!,Extrato!$B200,#REF!,Extrato!L$3)</f>
        <v>#REF!</v>
      </c>
      <c r="M200" s="124" t="e">
        <f>SUMIFS(#REF!,#REF!,Extrato!$B200,#REF!,Extrato!M$3)</f>
        <v>#REF!</v>
      </c>
      <c r="N200" s="124" t="e">
        <f>SUMIFS(#REF!,#REF!,Extrato!$B200,#REF!,Extrato!N$3)</f>
        <v>#REF!</v>
      </c>
      <c r="O200" s="124" t="e">
        <f>SUMIFS(#REF!,#REF!,Extrato!$B200,#REF!,Extrato!O$3)</f>
        <v>#REF!</v>
      </c>
      <c r="P200" s="124">
        <f>SUMIF(BetFlow!B:B,B200,BetFlow!J:J)</f>
        <v>0</v>
      </c>
      <c r="Q200" s="124" t="e">
        <f>SUMIFS(#REF!,#REF!,Extrato!$B200,#REF!,Extrato!Q$3)</f>
        <v>#REF!</v>
      </c>
      <c r="R200" s="124" t="e">
        <f>SUMIFS(#REF!,#REF!,Extrato!$B200,#REF!,Extrato!R$3)</f>
        <v>#REF!</v>
      </c>
      <c r="S200" s="124" t="e">
        <f>SUMIFS(#REF!,#REF!,Extrato!$B200,#REF!,Extrato!S$3)</f>
        <v>#REF!</v>
      </c>
      <c r="T200" s="124" t="e">
        <f>SUMIFS(#REF!,#REF!,Extrato!$B200,#REF!,Extrato!T$3)</f>
        <v>#REF!</v>
      </c>
      <c r="U200" s="124" t="e">
        <f>SUMIFS(#REF!,#REF!,Extrato!$B200,#REF!,Extrato!U$3)</f>
        <v>#REF!</v>
      </c>
      <c r="V200" s="124" t="e">
        <f>SUMIFS(#REF!,#REF!,Extrato!$B200,#REF!,Extrato!V$3)</f>
        <v>#REF!</v>
      </c>
      <c r="W200" s="124" t="e">
        <f>SUMIFS(#REF!,#REF!,Extrato!$B200,#REF!,Extrato!W$3)</f>
        <v>#REF!</v>
      </c>
      <c r="X200" s="124" t="e">
        <f>SUMIFS(#REF!,#REF!,Extrato!$B200,#REF!,Extrato!X$3)</f>
        <v>#REF!</v>
      </c>
      <c r="Y200" s="124" t="e">
        <f>SUMIFS(#REF!,#REF!,Extrato!$B200,#REF!,Extrato!Y$3)</f>
        <v>#REF!</v>
      </c>
      <c r="Z200" s="124" t="e">
        <f>SUMIFS(#REF!,#REF!,Extrato!$B200,#REF!,Extrato!Z$3)</f>
        <v>#REF!</v>
      </c>
      <c r="AA200" s="124" t="e">
        <f>SUMIFS(#REF!,#REF!,Extrato!$B200,#REF!,Extrato!AA$3)</f>
        <v>#REF!</v>
      </c>
      <c r="AB200" s="124" t="e">
        <f>SUMIFS(#REF!,#REF!,Extrato!$B200,#REF!,Extrato!AB$3)</f>
        <v>#REF!</v>
      </c>
      <c r="AC200" s="124" t="e">
        <f>SUMIFS(#REF!,#REF!,Extrato!$B200,#REF!,Extrato!AC$3)</f>
        <v>#REF!</v>
      </c>
      <c r="AD200" s="124" t="e">
        <f>SUMIFS(#REF!,#REF!,Extrato!$B200,#REF!,Extrato!AD$3)</f>
        <v>#REF!</v>
      </c>
      <c r="AE200" s="124" t="e">
        <f>SUMIFS(#REF!,#REF!,Extrato!$B200,#REF!,Extrato!AE$3)</f>
        <v>#REF!</v>
      </c>
      <c r="AF200" s="124" t="e">
        <f>SUMIFS(#REF!,#REF!,Extrato!$B200,#REF!,Extrato!AF$3)</f>
        <v>#REF!</v>
      </c>
      <c r="AG200" s="124" t="e">
        <f>SUMIFS(#REF!,#REF!,Extrato!$B200,#REF!,Extrato!AG$3)</f>
        <v>#REF!</v>
      </c>
      <c r="AH200" s="124" t="e">
        <f>SUMIFS(#REF!,#REF!,Extrato!$B200,#REF!,Extrato!AH$3)</f>
        <v>#REF!</v>
      </c>
      <c r="AI200" s="124" t="e">
        <f>SUMIFS(#REF!,#REF!,Extrato!$B200,#REF!,Extrato!AI$3)</f>
        <v>#REF!</v>
      </c>
      <c r="AJ200" s="124">
        <v>0</v>
      </c>
      <c r="AK200" s="124">
        <v>0</v>
      </c>
      <c r="AL200" s="88" t="e">
        <f t="shared" si="11"/>
        <v>#REF!</v>
      </c>
      <c r="AM200" s="125"/>
      <c r="AN200" s="124" t="e">
        <f t="shared" si="9"/>
        <v>#REF!</v>
      </c>
      <c r="AO200" s="124">
        <f>SUMIF(BetFlow!B:B,Extrato!B200,BetFlow!M:M)</f>
        <v>0</v>
      </c>
      <c r="AP200" s="124" t="e">
        <f>SUMIFS(#REF!,#REF!,Extrato!$B200,#REF!,Extrato!AP$3,#REF!,"Betbra")</f>
        <v>#REF!</v>
      </c>
      <c r="AQ200" s="124" t="e">
        <f>SUMIFS(#REF!,#REF!,Extrato!$B200,#REF!,Extrato!AQ$3,#REF!,"Betbra")</f>
        <v>#REF!</v>
      </c>
      <c r="AR200" s="124" t="e">
        <f>SUMIFS(#REF!,#REF!,Extrato!$B200,#REF!,Extrato!AR$3,#REF!,"Betbra")</f>
        <v>#REF!</v>
      </c>
      <c r="AS200" s="124" t="e">
        <f>SUMIFS(#REF!,#REF!,Extrato!$B200,#REF!,Extrato!AS$3,#REF!,"Betbra")</f>
        <v>#REF!</v>
      </c>
      <c r="AT200" s="124" t="e">
        <f>SUMIFS(#REF!,#REF!,Extrato!$B200,#REF!,Extrato!AT$3,#REF!,"Betbra")</f>
        <v>#REF!</v>
      </c>
      <c r="AU200" s="124" t="e">
        <f>SUMIFS(#REF!,#REF!,Extrato!$B200,#REF!,Extrato!AU$3,#REF!,"Betbra")</f>
        <v>#REF!</v>
      </c>
      <c r="AV200" s="124" t="e">
        <f>SUMIFS(#REF!,#REF!,Extrato!$B200,#REF!,Extrato!AV$3,#REF!,"Betbra")</f>
        <v>#REF!</v>
      </c>
      <c r="AW200" s="124" t="e">
        <f>SUMIFS(#REF!,#REF!,Extrato!$B200,#REF!,Extrato!AW$3,#REF!,"Betbra")</f>
        <v>#REF!</v>
      </c>
      <c r="AX200" s="124" t="e">
        <f>SUMIFS(#REF!,#REF!,Extrato!$B200,#REF!,Extrato!AX$3,#REF!,"Betbra")</f>
        <v>#REF!</v>
      </c>
      <c r="AY200" s="124" t="e">
        <f>SUMIFS(#REF!,#REF!,Extrato!$B200,#REF!,Extrato!AY$3,#REF!,"Betbra")</f>
        <v>#REF!</v>
      </c>
      <c r="AZ200" s="124" t="e">
        <f>SUMIFS(#REF!,#REF!,Extrato!$B200,#REF!,Extrato!AZ$3,#REF!,"Betbra")</f>
        <v>#REF!</v>
      </c>
      <c r="BA200" s="124" t="e">
        <f>SUMIFS(#REF!,#REF!,Extrato!$B200,#REF!,Extrato!BA$3,#REF!,"Betbra")</f>
        <v>#REF!</v>
      </c>
      <c r="BB200" s="124" t="e">
        <f>SUMIFS(#REF!,#REF!,Extrato!$B200,#REF!,Extrato!BB$3,#REF!,"Betbra")</f>
        <v>#REF!</v>
      </c>
      <c r="BC200" s="124">
        <v>0</v>
      </c>
      <c r="BD200" s="124">
        <v>0</v>
      </c>
      <c r="BE200" s="88" t="e">
        <f t="shared" si="8"/>
        <v>#REF!</v>
      </c>
      <c r="BF200" s="125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</row>
    <row r="201" spans="2:68" ht="15" customHeight="1">
      <c r="B201" s="80">
        <v>46191</v>
      </c>
      <c r="C201" s="124" t="e">
        <f t="shared" si="10"/>
        <v>#REF!</v>
      </c>
      <c r="D201" s="124" t="e">
        <f>SUMIFS(#REF!,#REF!,Extrato!$B201,#REF!,Extrato!D$3)</f>
        <v>#REF!</v>
      </c>
      <c r="E201" s="124" t="e">
        <f>SUMIFS(#REF!,#REF!,Extrato!$B201,#REF!,Extrato!E$3)</f>
        <v>#REF!</v>
      </c>
      <c r="F201" s="124" t="e">
        <f>SUMIFS(#REF!,#REF!,Extrato!$B201,#REF!,Extrato!F$3)</f>
        <v>#REF!</v>
      </c>
      <c r="G201" s="124" t="e">
        <f>SUMIFS(#REF!,#REF!,Extrato!$B201,#REF!,Extrato!G$3,#REF!,"Fulltbet")</f>
        <v>#REF!</v>
      </c>
      <c r="H201" s="124" t="e">
        <f>SUMIFS(#REF!,#REF!,Extrato!$B201,#REF!,Extrato!H$3)</f>
        <v>#REF!</v>
      </c>
      <c r="I201" s="124" t="e">
        <f>SUMIFS(#REF!,#REF!,Extrato!$B201,#REF!,Extrato!I$3,#REF!,"Fulltbet")</f>
        <v>#REF!</v>
      </c>
      <c r="J201" s="124" t="e">
        <f>SUMIFS(#REF!,#REF!,Extrato!$B201,#REF!,Extrato!J$3,#REF!,"Fulltbet")</f>
        <v>#REF!</v>
      </c>
      <c r="K201" s="124" t="e">
        <f>SUMIFS(#REF!,#REF!,Extrato!$B201,#REF!,Extrato!K$3)</f>
        <v>#REF!</v>
      </c>
      <c r="L201" s="124" t="e">
        <f>SUMIFS(#REF!,#REF!,Extrato!$B201,#REF!,Extrato!L$3)</f>
        <v>#REF!</v>
      </c>
      <c r="M201" s="124" t="e">
        <f>SUMIFS(#REF!,#REF!,Extrato!$B201,#REF!,Extrato!M$3)</f>
        <v>#REF!</v>
      </c>
      <c r="N201" s="124" t="e">
        <f>SUMIFS(#REF!,#REF!,Extrato!$B201,#REF!,Extrato!N$3)</f>
        <v>#REF!</v>
      </c>
      <c r="O201" s="124" t="e">
        <f>SUMIFS(#REF!,#REF!,Extrato!$B201,#REF!,Extrato!O$3)</f>
        <v>#REF!</v>
      </c>
      <c r="P201" s="124">
        <f>SUMIF(BetFlow!B:B,B201,BetFlow!J:J)</f>
        <v>-29.589999999999996</v>
      </c>
      <c r="Q201" s="124" t="e">
        <f>SUMIFS(#REF!,#REF!,Extrato!$B201,#REF!,Extrato!Q$3)</f>
        <v>#REF!</v>
      </c>
      <c r="R201" s="124" t="e">
        <f>SUMIFS(#REF!,#REF!,Extrato!$B201,#REF!,Extrato!R$3)</f>
        <v>#REF!</v>
      </c>
      <c r="S201" s="124" t="e">
        <f>SUMIFS(#REF!,#REF!,Extrato!$B201,#REF!,Extrato!S$3)</f>
        <v>#REF!</v>
      </c>
      <c r="T201" s="124" t="e">
        <f>SUMIFS(#REF!,#REF!,Extrato!$B201,#REF!,Extrato!T$3,#REF!,"Fulltbet")</f>
        <v>#REF!</v>
      </c>
      <c r="U201" s="124" t="e">
        <f>SUMIFS(#REF!,#REF!,Extrato!$B201,#REF!,Extrato!U$3)</f>
        <v>#REF!</v>
      </c>
      <c r="V201" s="124" t="e">
        <f>SUMIFS(#REF!,#REF!,Extrato!$B201,#REF!,Extrato!V$3)</f>
        <v>#REF!</v>
      </c>
      <c r="W201" s="124" t="e">
        <f>SUMIFS(#REF!,#REF!,Extrato!$B201,#REF!,Extrato!W$3)</f>
        <v>#REF!</v>
      </c>
      <c r="X201" s="124" t="e">
        <f>SUMIFS(#REF!,#REF!,Extrato!$B201,#REF!,Extrato!X$3)</f>
        <v>#REF!</v>
      </c>
      <c r="Y201" s="124" t="e">
        <f>SUMIFS(#REF!,#REF!,Extrato!$B201,#REF!,Extrato!Y$3)</f>
        <v>#REF!</v>
      </c>
      <c r="Z201" s="124" t="e">
        <f>SUMIFS(#REF!,#REF!,Extrato!$B201,#REF!,Extrato!Z$3)</f>
        <v>#REF!</v>
      </c>
      <c r="AA201" s="124" t="e">
        <f>SUMIFS(#REF!,#REF!,Extrato!$B201,#REF!,Extrato!AA$3)</f>
        <v>#REF!</v>
      </c>
      <c r="AB201" s="124" t="e">
        <f>SUMIFS(#REF!,#REF!,Extrato!$B201,#REF!,Extrato!AB$3)</f>
        <v>#REF!</v>
      </c>
      <c r="AC201" s="124" t="e">
        <f>SUMIFS(#REF!,#REF!,Extrato!$B201,#REF!,Extrato!AC$3)</f>
        <v>#REF!</v>
      </c>
      <c r="AD201" s="124" t="e">
        <f>SUMIFS(#REF!,#REF!,Extrato!$B201,#REF!,Extrato!AD$3)</f>
        <v>#REF!</v>
      </c>
      <c r="AE201" s="124" t="e">
        <f>SUMIFS(#REF!,#REF!,Extrato!$B201,#REF!,Extrato!AE$3)</f>
        <v>#REF!</v>
      </c>
      <c r="AF201" s="124" t="e">
        <f>SUMIFS(#REF!,#REF!,Extrato!$B201,#REF!,Extrato!AF$3)</f>
        <v>#REF!</v>
      </c>
      <c r="AG201" s="124" t="e">
        <f>SUMIFS(#REF!,#REF!,Extrato!$B201,#REF!,Extrato!AG$3)</f>
        <v>#REF!</v>
      </c>
      <c r="AH201" s="124" t="e">
        <f>SUMIFS(#REF!,#REF!,Extrato!$B201,#REF!,Extrato!AH$3)</f>
        <v>#REF!</v>
      </c>
      <c r="AI201" s="124" t="e">
        <f>SUMIFS(#REF!,#REF!,Extrato!$B201,#REF!,Extrato!AI$3)</f>
        <v>#REF!</v>
      </c>
      <c r="AJ201" s="124">
        <v>5.01</v>
      </c>
      <c r="AK201" s="124">
        <v>0.01</v>
      </c>
      <c r="AL201" s="88" t="e">
        <f t="shared" si="11"/>
        <v>#REF!</v>
      </c>
      <c r="AM201" s="125"/>
      <c r="AN201" s="124" t="e">
        <f t="shared" si="9"/>
        <v>#REF!</v>
      </c>
      <c r="AO201" s="124">
        <f>SUMIF(BetFlow!B:B,Extrato!B201,BetFlow!M:M)</f>
        <v>30.602047238509062</v>
      </c>
      <c r="AP201" s="124" t="e">
        <f>SUMIFS(#REF!,#REF!,Extrato!$B201,#REF!,Extrato!AP$3,#REF!,"Betbra")</f>
        <v>#REF!</v>
      </c>
      <c r="AQ201" s="124" t="e">
        <f>SUMIFS(#REF!,#REF!,Extrato!$B201,#REF!,Extrato!AQ$3,#REF!,"Betbra")</f>
        <v>#REF!</v>
      </c>
      <c r="AR201" s="124" t="e">
        <f>SUMIFS(#REF!,#REF!,Extrato!$B201,#REF!,Extrato!AR$3,#REF!,"Betbra")</f>
        <v>#REF!</v>
      </c>
      <c r="AS201" s="124" t="e">
        <f>SUMIFS(#REF!,#REF!,Extrato!$B201,#REF!,Extrato!AS$3,#REF!,"Betbra")</f>
        <v>#REF!</v>
      </c>
      <c r="AT201" s="124" t="e">
        <f>SUMIFS(#REF!,#REF!,Extrato!$B201,#REF!,Extrato!AT$3,#REF!,"Betbra")</f>
        <v>#REF!</v>
      </c>
      <c r="AU201" s="124" t="e">
        <f>SUMIFS(#REF!,#REF!,Extrato!$B201,#REF!,Extrato!AU$3,#REF!,"Betbra")</f>
        <v>#REF!</v>
      </c>
      <c r="AV201" s="124" t="e">
        <f>SUMIFS(#REF!,#REF!,Extrato!$B201,#REF!,Extrato!AV$3,#REF!,"Betbra")</f>
        <v>#REF!</v>
      </c>
      <c r="AW201" s="124" t="e">
        <f>SUMIFS(#REF!,#REF!,Extrato!$B201,#REF!,Extrato!AW$3,#REF!,"Betbra")</f>
        <v>#REF!</v>
      </c>
      <c r="AX201" s="121" t="e">
        <f>SUMIFS(#REF!,#REF!,Extrato!$B201,#REF!,Extrato!AX$3,#REF!,"Betbra")</f>
        <v>#REF!</v>
      </c>
      <c r="AY201" s="121" t="e">
        <f>SUMIFS(#REF!,#REF!,Extrato!$B201,#REF!,Extrato!AY$3,#REF!,"Betbra")</f>
        <v>#REF!</v>
      </c>
      <c r="AZ201" s="124" t="e">
        <f>SUMIFS(#REF!,#REF!,Extrato!$B201,#REF!,Extrato!AZ$3,#REF!,"Betbra")</f>
        <v>#REF!</v>
      </c>
      <c r="BA201" s="124" t="e">
        <f>SUMIFS(#REF!,#REF!,Extrato!$B201,#REF!,Extrato!BA$3,#REF!,"Betbra")</f>
        <v>#REF!</v>
      </c>
      <c r="BB201" s="121" t="e">
        <f>SUMIFS(#REF!,#REF!,Extrato!$B201,#REF!,Extrato!BB$3,#REF!,"Betbra")</f>
        <v>#REF!</v>
      </c>
      <c r="BC201" s="124">
        <v>0</v>
      </c>
      <c r="BD201" s="124">
        <v>0</v>
      </c>
      <c r="BE201" s="88" t="e">
        <f t="shared" si="8"/>
        <v>#REF!</v>
      </c>
      <c r="BF201" s="125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</row>
    <row r="202" spans="2:68" ht="15" customHeight="1">
      <c r="B202" s="12">
        <v>46192</v>
      </c>
      <c r="C202" s="121" t="e">
        <f t="shared" si="10"/>
        <v>#REF!</v>
      </c>
      <c r="D202" s="121" t="e">
        <f>SUMIFS(#REF!,#REF!,Extrato!$B202,#REF!,Extrato!D$3)</f>
        <v>#REF!</v>
      </c>
      <c r="E202" s="121" t="e">
        <f>SUMIFS(#REF!,#REF!,Extrato!$B202,#REF!,Extrato!E$3)</f>
        <v>#REF!</v>
      </c>
      <c r="F202" s="121" t="e">
        <f>SUMIFS(#REF!,#REF!,Extrato!$B202,#REF!,Extrato!F$3)</f>
        <v>#REF!</v>
      </c>
      <c r="G202" s="121" t="e">
        <f>SUMIFS(#REF!,#REF!,Extrato!$B202,#REF!,Extrato!G$3,#REF!,"Fulltbet")</f>
        <v>#REF!</v>
      </c>
      <c r="H202" s="121" t="e">
        <f>SUMIFS(#REF!,#REF!,Extrato!$B202,#REF!,Extrato!H$3)</f>
        <v>#REF!</v>
      </c>
      <c r="I202" s="121" t="e">
        <f>SUMIFS(#REF!,#REF!,Extrato!$B202,#REF!,Extrato!I$3,#REF!,"Fulltbet")</f>
        <v>#REF!</v>
      </c>
      <c r="J202" s="121" t="e">
        <f>SUMIFS(#REF!,#REF!,Extrato!$B202,#REF!,Extrato!J$3,#REF!,"Fulltbet")</f>
        <v>#REF!</v>
      </c>
      <c r="K202" s="121" t="e">
        <f>SUMIFS(#REF!,#REF!,Extrato!$B202,#REF!,Extrato!K$3)</f>
        <v>#REF!</v>
      </c>
      <c r="L202" s="121" t="e">
        <f>SUMIFS(#REF!,#REF!,Extrato!$B202,#REF!,Extrato!L$3)</f>
        <v>#REF!</v>
      </c>
      <c r="M202" s="121" t="e">
        <f>SUMIFS(#REF!,#REF!,Extrato!$B202,#REF!,Extrato!M$3)</f>
        <v>#REF!</v>
      </c>
      <c r="N202" s="121" t="e">
        <f>SUMIFS(#REF!,#REF!,Extrato!$B202,#REF!,Extrato!N$3)</f>
        <v>#REF!</v>
      </c>
      <c r="O202" s="121" t="e">
        <f>SUMIFS(#REF!,#REF!,Extrato!$B202,#REF!,Extrato!O$3)</f>
        <v>#REF!</v>
      </c>
      <c r="P202" s="121">
        <f>SUMIF(BetFlow!B:B,B202,BetFlow!J:J)</f>
        <v>0</v>
      </c>
      <c r="Q202" s="121" t="e">
        <f>SUMIFS(#REF!,#REF!,Extrato!$B202,#REF!,Extrato!Q$3)</f>
        <v>#REF!</v>
      </c>
      <c r="R202" s="121" t="e">
        <f>SUMIFS(#REF!,#REF!,Extrato!$B202,#REF!,Extrato!R$3)</f>
        <v>#REF!</v>
      </c>
      <c r="S202" s="121" t="e">
        <f>SUMIFS(#REF!,#REF!,Extrato!$B202,#REF!,Extrato!S$3)</f>
        <v>#REF!</v>
      </c>
      <c r="T202" s="121" t="e">
        <f>SUMIFS(#REF!,#REF!,Extrato!$B202,#REF!,Extrato!T$3,#REF!,"Fulltbet")</f>
        <v>#REF!</v>
      </c>
      <c r="U202" s="121" t="e">
        <f>SUMIFS(#REF!,#REF!,Extrato!$B202,#REF!,Extrato!U$3)</f>
        <v>#REF!</v>
      </c>
      <c r="V202" s="121" t="e">
        <f>SUMIFS(#REF!,#REF!,Extrato!$B202,#REF!,Extrato!V$3)</f>
        <v>#REF!</v>
      </c>
      <c r="W202" s="121" t="e">
        <f>SUMIFS(#REF!,#REF!,Extrato!$B202,#REF!,Extrato!W$3)</f>
        <v>#REF!</v>
      </c>
      <c r="X202" s="121" t="e">
        <f>SUMIFS(#REF!,#REF!,Extrato!$B202,#REF!,Extrato!X$3)</f>
        <v>#REF!</v>
      </c>
      <c r="Y202" s="121" t="e">
        <f>SUMIFS(#REF!,#REF!,Extrato!$B202,#REF!,Extrato!Y$3)</f>
        <v>#REF!</v>
      </c>
      <c r="Z202" s="121" t="e">
        <f>SUMIFS(#REF!,#REF!,Extrato!$B202,#REF!,Extrato!Z$3)</f>
        <v>#REF!</v>
      </c>
      <c r="AA202" s="121" t="e">
        <f>SUMIFS(#REF!,#REF!,Extrato!$B202,#REF!,Extrato!AA$3)</f>
        <v>#REF!</v>
      </c>
      <c r="AB202" s="121" t="e">
        <f>SUMIFS(#REF!,#REF!,Extrato!$B202,#REF!,Extrato!AB$3)</f>
        <v>#REF!</v>
      </c>
      <c r="AC202" s="121" t="e">
        <f>SUMIFS(#REF!,#REF!,Extrato!$B202,#REF!,Extrato!AC$3)</f>
        <v>#REF!</v>
      </c>
      <c r="AD202" s="121" t="e">
        <f>SUMIFS(#REF!,#REF!,Extrato!$B202,#REF!,Extrato!AD$3)</f>
        <v>#REF!</v>
      </c>
      <c r="AE202" s="121" t="e">
        <f>SUMIFS(#REF!,#REF!,Extrato!$B202,#REF!,Extrato!AE$3)</f>
        <v>#REF!</v>
      </c>
      <c r="AF202" s="121" t="e">
        <f>SUMIFS(#REF!,#REF!,Extrato!$B202,#REF!,Extrato!AF$3)</f>
        <v>#REF!</v>
      </c>
      <c r="AG202" s="121" t="e">
        <f>SUMIFS(#REF!,#REF!,Extrato!$B202,#REF!,Extrato!AG$3)</f>
        <v>#REF!</v>
      </c>
      <c r="AH202" s="121" t="e">
        <f>SUMIFS(#REF!,#REF!,Extrato!$B202,#REF!,Extrato!AH$3)</f>
        <v>#REF!</v>
      </c>
      <c r="AI202" s="121" t="e">
        <f>SUMIFS(#REF!,#REF!,Extrato!$B202,#REF!,Extrato!AI$3)</f>
        <v>#REF!</v>
      </c>
      <c r="AJ202" s="121">
        <v>93.25</v>
      </c>
      <c r="AK202" s="121">
        <v>0</v>
      </c>
      <c r="AL202" s="25" t="e">
        <f t="shared" si="11"/>
        <v>#REF!</v>
      </c>
      <c r="AM202" s="122"/>
      <c r="AN202" s="121" t="e">
        <f t="shared" si="9"/>
        <v>#REF!</v>
      </c>
      <c r="AO202" s="121">
        <f>SUMIF(BetFlow!B:B,Extrato!B202,BetFlow!M:M)</f>
        <v>0</v>
      </c>
      <c r="AP202" s="121" t="e">
        <f>SUMIFS(#REF!,#REF!,Extrato!$B202,#REF!,Extrato!AP$3,#REF!,"Betbra")</f>
        <v>#REF!</v>
      </c>
      <c r="AQ202" s="121" t="e">
        <f>SUMIFS(#REF!,#REF!,Extrato!$B202,#REF!,Extrato!AQ$3,#REF!,"Betbra")</f>
        <v>#REF!</v>
      </c>
      <c r="AR202" s="121" t="e">
        <f>SUMIFS(#REF!,#REF!,Extrato!$B202,#REF!,Extrato!AR$3,#REF!,"Betbra")</f>
        <v>#REF!</v>
      </c>
      <c r="AS202" s="121" t="e">
        <f>SUMIFS(#REF!,#REF!,Extrato!$B202,#REF!,Extrato!AS$3,#REF!,"Betbra")</f>
        <v>#REF!</v>
      </c>
      <c r="AT202" s="121" t="e">
        <f>SUMIFS(#REF!,#REF!,Extrato!$B202,#REF!,Extrato!AT$3,#REF!,"Betbra")</f>
        <v>#REF!</v>
      </c>
      <c r="AU202" s="121" t="e">
        <f>SUMIFS(#REF!,#REF!,Extrato!$B202,#REF!,Extrato!AU$3,#REF!,"Betbra")</f>
        <v>#REF!</v>
      </c>
      <c r="AV202" s="121" t="e">
        <f>SUMIFS(#REF!,#REF!,Extrato!$B202,#REF!,Extrato!AV$3,#REF!,"Betbra")</f>
        <v>#REF!</v>
      </c>
      <c r="AW202" s="121" t="e">
        <f>SUMIFS(#REF!,#REF!,Extrato!$B202,#REF!,Extrato!AW$3,#REF!,"Betbra")</f>
        <v>#REF!</v>
      </c>
      <c r="AX202" s="121" t="e">
        <f>SUMIFS(#REF!,#REF!,Extrato!$B202,#REF!,Extrato!AX$3,#REF!,"Betbra")</f>
        <v>#REF!</v>
      </c>
      <c r="AY202" s="121" t="e">
        <f>SUMIFS(#REF!,#REF!,Extrato!$B202,#REF!,Extrato!AY$3,#REF!,"Betbra")</f>
        <v>#REF!</v>
      </c>
      <c r="AZ202" s="121" t="e">
        <f>SUMIFS(#REF!,#REF!,Extrato!$B202,#REF!,Extrato!AZ$3,#REF!,"Betbra")</f>
        <v>#REF!</v>
      </c>
      <c r="BA202" s="121" t="e">
        <f>SUMIFS(#REF!,#REF!,Extrato!$B202,#REF!,Extrato!BA$3,#REF!,"Betbra")</f>
        <v>#REF!</v>
      </c>
      <c r="BB202" s="121" t="e">
        <f>SUMIFS(#REF!,#REF!,Extrato!$B202,#REF!,Extrato!BB$3,#REF!,"Betbra")</f>
        <v>#REF!</v>
      </c>
      <c r="BC202" s="121">
        <v>-98.26</v>
      </c>
      <c r="BD202" s="121">
        <v>0.01</v>
      </c>
      <c r="BE202" s="25" t="e">
        <f t="shared" si="8"/>
        <v>#REF!</v>
      </c>
      <c r="BF202" s="122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</row>
    <row r="203" spans="2:68" ht="15" customHeight="1">
      <c r="B203" s="12">
        <v>46193</v>
      </c>
      <c r="C203" s="121" t="e">
        <f t="shared" si="10"/>
        <v>#REF!</v>
      </c>
      <c r="D203" s="121" t="e">
        <f>SUMIFS(#REF!,#REF!,Extrato!$B203,#REF!,Extrato!D$3)</f>
        <v>#REF!</v>
      </c>
      <c r="E203" s="121" t="e">
        <f>SUMIFS(#REF!,#REF!,Extrato!$B203,#REF!,Extrato!E$3)</f>
        <v>#REF!</v>
      </c>
      <c r="F203" s="121" t="e">
        <f>SUMIFS(#REF!,#REF!,Extrato!$B203,#REF!,Extrato!F$3)</f>
        <v>#REF!</v>
      </c>
      <c r="G203" s="121" t="e">
        <f>SUMIFS(#REF!,#REF!,Extrato!$B203,#REF!,Extrato!G$3,#REF!,"Fulltbet")</f>
        <v>#REF!</v>
      </c>
      <c r="H203" s="121" t="e">
        <f>SUMIFS(#REF!,#REF!,Extrato!$B203,#REF!,Extrato!H$3)</f>
        <v>#REF!</v>
      </c>
      <c r="I203" s="121" t="e">
        <f>SUMIFS(#REF!,#REF!,Extrato!$B203,#REF!,Extrato!I$3,#REF!,"Fulltbet")</f>
        <v>#REF!</v>
      </c>
      <c r="J203" s="121" t="e">
        <f>SUMIFS(#REF!,#REF!,Extrato!$B203,#REF!,Extrato!J$3,#REF!,"Fulltbet")</f>
        <v>#REF!</v>
      </c>
      <c r="K203" s="121" t="e">
        <f>SUMIFS(#REF!,#REF!,Extrato!$B203,#REF!,Extrato!K$3)</f>
        <v>#REF!</v>
      </c>
      <c r="L203" s="121" t="e">
        <f>SUMIFS(#REF!,#REF!,Extrato!$B203,#REF!,Extrato!L$3)</f>
        <v>#REF!</v>
      </c>
      <c r="M203" s="121" t="e">
        <f>SUMIFS(#REF!,#REF!,Extrato!$B203,#REF!,Extrato!M$3)</f>
        <v>#REF!</v>
      </c>
      <c r="N203" s="121" t="e">
        <f>SUMIFS(#REF!,#REF!,Extrato!$B203,#REF!,Extrato!N$3)</f>
        <v>#REF!</v>
      </c>
      <c r="O203" s="121" t="e">
        <f>SUMIFS(#REF!,#REF!,Extrato!$B203,#REF!,Extrato!O$3)</f>
        <v>#REF!</v>
      </c>
      <c r="P203" s="121">
        <f>SUMIF(BetFlow!B:B,B203,BetFlow!J:J)</f>
        <v>0</v>
      </c>
      <c r="Q203" s="121" t="e">
        <f>SUMIFS(#REF!,#REF!,Extrato!$B203,#REF!,Extrato!Q$3)</f>
        <v>#REF!</v>
      </c>
      <c r="R203" s="121" t="e">
        <f>SUMIFS(#REF!,#REF!,Extrato!$B203,#REF!,Extrato!R$3)</f>
        <v>#REF!</v>
      </c>
      <c r="S203" s="121" t="e">
        <f>SUMIFS(#REF!,#REF!,Extrato!$B203,#REF!,Extrato!S$3)</f>
        <v>#REF!</v>
      </c>
      <c r="T203" s="121" t="e">
        <f>SUMIFS(#REF!,#REF!,Extrato!$B203,#REF!,Extrato!T$3,#REF!,"Fulltbet")</f>
        <v>#REF!</v>
      </c>
      <c r="U203" s="121" t="e">
        <f>SUMIFS(#REF!,#REF!,Extrato!$B203,#REF!,Extrato!U$3)</f>
        <v>#REF!</v>
      </c>
      <c r="V203" s="121" t="e">
        <f>SUMIFS(#REF!,#REF!,Extrato!$B203,#REF!,Extrato!V$3)</f>
        <v>#REF!</v>
      </c>
      <c r="W203" s="121" t="e">
        <f>SUMIFS(#REF!,#REF!,Extrato!$B203,#REF!,Extrato!W$3,#REF!,"Fulltbet")</f>
        <v>#REF!</v>
      </c>
      <c r="X203" s="121" t="e">
        <f>SUMIFS(#REF!,#REF!,Extrato!$B203,#REF!,Extrato!X$3)</f>
        <v>#REF!</v>
      </c>
      <c r="Y203" s="121" t="e">
        <f>SUMIFS(#REF!,#REF!,Extrato!$B203,#REF!,Extrato!Y$3)</f>
        <v>#REF!</v>
      </c>
      <c r="Z203" s="121" t="e">
        <f>SUMIFS(#REF!,#REF!,Extrato!$B203,#REF!,Extrato!Z$3)</f>
        <v>#REF!</v>
      </c>
      <c r="AA203" s="121" t="e">
        <f>SUMIFS(#REF!,#REF!,Extrato!$B203,#REF!,Extrato!AA$3)</f>
        <v>#REF!</v>
      </c>
      <c r="AB203" s="121" t="e">
        <f>SUMIFS(#REF!,#REF!,Extrato!$B203,#REF!,Extrato!AB$3)</f>
        <v>#REF!</v>
      </c>
      <c r="AC203" s="121" t="e">
        <f>SUMIFS(#REF!,#REF!,Extrato!$B203,#REF!,Extrato!AC$3)</f>
        <v>#REF!</v>
      </c>
      <c r="AD203" s="121" t="e">
        <f>SUMIFS(#REF!,#REF!,Extrato!$B203,#REF!,Extrato!AD$3)</f>
        <v>#REF!</v>
      </c>
      <c r="AE203" s="121" t="e">
        <f>SUMIFS(#REF!,#REF!,Extrato!$B203,#REF!,Extrato!AE$3)</f>
        <v>#REF!</v>
      </c>
      <c r="AF203" s="121" t="e">
        <f>SUMIFS(#REF!,#REF!,Extrato!$B203,#REF!,Extrato!AF$3)</f>
        <v>#REF!</v>
      </c>
      <c r="AG203" s="121" t="e">
        <f>SUMIFS(#REF!,#REF!,Extrato!$B203,#REF!,Extrato!AG$3)</f>
        <v>#REF!</v>
      </c>
      <c r="AH203" s="121" t="e">
        <f>SUMIFS(#REF!,#REF!,Extrato!$B203,#REF!,Extrato!AH$3)</f>
        <v>#REF!</v>
      </c>
      <c r="AI203" s="121" t="e">
        <f>SUMIFS(#REF!,#REF!,Extrato!$B203,#REF!,Extrato!AI$3)</f>
        <v>#REF!</v>
      </c>
      <c r="AJ203" s="121">
        <v>0</v>
      </c>
      <c r="AK203" s="121">
        <v>0</v>
      </c>
      <c r="AL203" s="25" t="e">
        <f t="shared" si="11"/>
        <v>#REF!</v>
      </c>
      <c r="AM203" s="122"/>
      <c r="AN203" s="121" t="e">
        <f t="shared" si="9"/>
        <v>#REF!</v>
      </c>
      <c r="AO203" s="121">
        <f>SUMIF(BetFlow!B:B,Extrato!B203,BetFlow!M:M)</f>
        <v>0</v>
      </c>
      <c r="AP203" s="121" t="e">
        <f>SUMIFS(#REF!,#REF!,Extrato!$B203,#REF!,Extrato!AP$3,#REF!,"Betbra")</f>
        <v>#REF!</v>
      </c>
      <c r="AQ203" s="121" t="e">
        <f>SUMIFS(#REF!,#REF!,Extrato!$B203,#REF!,Extrato!AQ$3,#REF!,"Betbra")</f>
        <v>#REF!</v>
      </c>
      <c r="AR203" s="121" t="e">
        <f>SUMIFS(#REF!,#REF!,Extrato!$B203,#REF!,Extrato!AR$3,#REF!,"Betbra")</f>
        <v>#REF!</v>
      </c>
      <c r="AS203" s="121" t="e">
        <f>SUMIFS(#REF!,#REF!,Extrato!$B203,#REF!,Extrato!AS$3,#REF!,"Betbra")</f>
        <v>#REF!</v>
      </c>
      <c r="AT203" s="121" t="e">
        <f>SUMIFS(#REF!,#REF!,Extrato!$B203,#REF!,Extrato!AT$3,#REF!,"Betbra")</f>
        <v>#REF!</v>
      </c>
      <c r="AU203" s="121" t="e">
        <f>SUMIFS(#REF!,#REF!,Extrato!$B203,#REF!,Extrato!AU$3,#REF!,"Betbra")</f>
        <v>#REF!</v>
      </c>
      <c r="AV203" s="121" t="e">
        <f>SUMIFS(#REF!,#REF!,Extrato!$B203,#REF!,Extrato!AV$3,#REF!,"Betbra")</f>
        <v>#REF!</v>
      </c>
      <c r="AW203" s="121" t="e">
        <f>SUMIFS(#REF!,#REF!,Extrato!$B203,#REF!,Extrato!AW$3,#REF!,"Betbra")</f>
        <v>#REF!</v>
      </c>
      <c r="AX203" s="121" t="e">
        <f>SUMIFS(#REF!,#REF!,Extrato!$B203,#REF!,Extrato!AX$3,#REF!,"Betbra")</f>
        <v>#REF!</v>
      </c>
      <c r="AY203" s="121" t="e">
        <f>SUMIFS(#REF!,#REF!,Extrato!$B203,#REF!,Extrato!AY$3,#REF!,"Betbra")</f>
        <v>#REF!</v>
      </c>
      <c r="AZ203" s="121" t="e">
        <f>SUMIFS(#REF!,#REF!,Extrato!$B203,#REF!,Extrato!AZ$3,#REF!,"Betbra")</f>
        <v>#REF!</v>
      </c>
      <c r="BA203" s="121" t="e">
        <f>SUMIFS(#REF!,#REF!,Extrato!$B203,#REF!,Extrato!BA$3,#REF!,"Betbra")</f>
        <v>#REF!</v>
      </c>
      <c r="BB203" s="121" t="e">
        <f>SUMIFS(#REF!,#REF!,Extrato!$B203,#REF!,Extrato!BB$3,#REF!,"Betbra")</f>
        <v>#REF!</v>
      </c>
      <c r="BC203" s="121">
        <v>0</v>
      </c>
      <c r="BD203" s="121">
        <v>0</v>
      </c>
      <c r="BE203" s="25" t="e">
        <f t="shared" si="8"/>
        <v>#REF!</v>
      </c>
      <c r="BF203" s="122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</row>
    <row r="204" spans="2:68" ht="15" customHeight="1">
      <c r="B204" s="12">
        <v>46194</v>
      </c>
      <c r="C204" s="121" t="e">
        <f t="shared" si="10"/>
        <v>#REF!</v>
      </c>
      <c r="D204" s="121" t="e">
        <f>SUMIFS(#REF!,#REF!,Extrato!$B204,#REF!,Extrato!D$3)</f>
        <v>#REF!</v>
      </c>
      <c r="E204" s="121" t="e">
        <f>SUMIFS(#REF!,#REF!,Extrato!$B204,#REF!,Extrato!E$3)</f>
        <v>#REF!</v>
      </c>
      <c r="F204" s="121" t="e">
        <f>SUMIFS(#REF!,#REF!,Extrato!$B204,#REF!,Extrato!F$3)</f>
        <v>#REF!</v>
      </c>
      <c r="G204" s="121" t="e">
        <f>SUMIFS(#REF!,#REF!,Extrato!$B204,#REF!,Extrato!G$3,#REF!,"Fulltbet")</f>
        <v>#REF!</v>
      </c>
      <c r="H204" s="121" t="e">
        <f>SUMIFS(#REF!,#REF!,Extrato!$B204,#REF!,Extrato!H$3,#REF!,"Fulltbet")</f>
        <v>#REF!</v>
      </c>
      <c r="I204" s="121" t="e">
        <f>SUMIFS(#REF!,#REF!,Extrato!$B204,#REF!,Extrato!I$3,#REF!,"Fulltbet")</f>
        <v>#REF!</v>
      </c>
      <c r="J204" s="121" t="e">
        <f>SUMIFS(#REF!,#REF!,Extrato!$B204,#REF!,Extrato!J$3,#REF!,"Fulltbet")</f>
        <v>#REF!</v>
      </c>
      <c r="K204" s="121" t="e">
        <f>SUMIFS(#REF!,#REF!,Extrato!$B204,#REF!,Extrato!K$3)</f>
        <v>#REF!</v>
      </c>
      <c r="L204" s="121" t="e">
        <f>SUMIFS(#REF!,#REF!,Extrato!$B204,#REF!,Extrato!L$3)</f>
        <v>#REF!</v>
      </c>
      <c r="M204" s="121" t="e">
        <f>SUMIFS(#REF!,#REF!,Extrato!$B204,#REF!,Extrato!M$3)</f>
        <v>#REF!</v>
      </c>
      <c r="N204" s="121" t="e">
        <f>SUMIFS(#REF!,#REF!,Extrato!$B204,#REF!,Extrato!N$3)</f>
        <v>#REF!</v>
      </c>
      <c r="O204" s="121" t="e">
        <f>SUMIFS(#REF!,#REF!,Extrato!$B204,#REF!,Extrato!O$3)</f>
        <v>#REF!</v>
      </c>
      <c r="P204" s="121">
        <f>SUMIF(BetFlow!B:B,B204,BetFlow!J:J)</f>
        <v>0</v>
      </c>
      <c r="Q204" s="121" t="e">
        <f>SUMIFS(#REF!,#REF!,Extrato!$B204,#REF!,Extrato!Q$3)</f>
        <v>#REF!</v>
      </c>
      <c r="R204" s="121" t="e">
        <f>SUMIFS(#REF!,#REF!,Extrato!$B204,#REF!,Extrato!R$3)</f>
        <v>#REF!</v>
      </c>
      <c r="S204" s="121" t="e">
        <f>SUMIFS(#REF!,#REF!,Extrato!$B204,#REF!,Extrato!S$3)</f>
        <v>#REF!</v>
      </c>
      <c r="T204" s="121" t="e">
        <f>SUMIFS(#REF!,#REF!,Extrato!$B204,#REF!,Extrato!T$3,#REF!,"Fulltbet")</f>
        <v>#REF!</v>
      </c>
      <c r="U204" s="121" t="e">
        <f>SUMIFS(#REF!,#REF!,Extrato!$B204,#REF!,Extrato!U$3)</f>
        <v>#REF!</v>
      </c>
      <c r="V204" s="121" t="e">
        <f>SUMIFS(#REF!,#REF!,Extrato!$B204,#REF!,Extrato!V$3)</f>
        <v>#REF!</v>
      </c>
      <c r="W204" s="121" t="e">
        <f>SUMIFS(#REF!,#REF!,Extrato!$B204,#REF!,Extrato!W$3,#REF!,"Fulltbet")</f>
        <v>#REF!</v>
      </c>
      <c r="X204" s="121" t="e">
        <f>SUMIFS(#REF!,#REF!,Extrato!$B204,#REF!,Extrato!X$3)</f>
        <v>#REF!</v>
      </c>
      <c r="Y204" s="121" t="e">
        <f>SUMIFS(#REF!,#REF!,Extrato!$B204,#REF!,Extrato!Y$3)</f>
        <v>#REF!</v>
      </c>
      <c r="Z204" s="121" t="e">
        <f>SUMIFS(#REF!,#REF!,Extrato!$B204,#REF!,Extrato!Z$3)</f>
        <v>#REF!</v>
      </c>
      <c r="AA204" s="121" t="e">
        <f>SUMIFS(#REF!,#REF!,Extrato!$B204,#REF!,Extrato!AA$3)</f>
        <v>#REF!</v>
      </c>
      <c r="AB204" s="121" t="e">
        <f>SUMIFS(#REF!,#REF!,Extrato!$B204,#REF!,Extrato!AB$3)</f>
        <v>#REF!</v>
      </c>
      <c r="AC204" s="121" t="e">
        <f>SUMIFS(#REF!,#REF!,Extrato!$B204,#REF!,Extrato!AC$3)</f>
        <v>#REF!</v>
      </c>
      <c r="AD204" s="121" t="e">
        <f>SUMIFS(#REF!,#REF!,Extrato!$B204,#REF!,Extrato!AD$3)</f>
        <v>#REF!</v>
      </c>
      <c r="AE204" s="121" t="e">
        <f>SUMIFS(#REF!,#REF!,Extrato!$B204,#REF!,Extrato!AE$3)</f>
        <v>#REF!</v>
      </c>
      <c r="AF204" s="121" t="e">
        <f>SUMIFS(#REF!,#REF!,Extrato!$B204,#REF!,Extrato!AF$3)</f>
        <v>#REF!</v>
      </c>
      <c r="AG204" s="121" t="e">
        <f>SUMIFS(#REF!,#REF!,Extrato!$B204,#REF!,Extrato!AG$3)</f>
        <v>#REF!</v>
      </c>
      <c r="AH204" s="121" t="e">
        <f>SUMIFS(#REF!,#REF!,Extrato!$B204,#REF!,Extrato!AH$3)</f>
        <v>#REF!</v>
      </c>
      <c r="AI204" s="121" t="e">
        <f>SUMIFS(#REF!,#REF!,Extrato!$B204,#REF!,Extrato!AI$3)</f>
        <v>#REF!</v>
      </c>
      <c r="AJ204" s="121">
        <v>400</v>
      </c>
      <c r="AK204" s="121">
        <v>0</v>
      </c>
      <c r="AL204" s="25" t="e">
        <f t="shared" si="11"/>
        <v>#REF!</v>
      </c>
      <c r="AM204" s="122"/>
      <c r="AN204" s="121" t="e">
        <f t="shared" si="9"/>
        <v>#REF!</v>
      </c>
      <c r="AO204" s="121">
        <f>SUMIF(BetFlow!B:B,Extrato!B204,BetFlow!M:M)</f>
        <v>0</v>
      </c>
      <c r="AP204" s="121" t="e">
        <f>SUMIFS(#REF!,#REF!,Extrato!$B204,#REF!,Extrato!AP$3,#REF!,"Betbra")</f>
        <v>#REF!</v>
      </c>
      <c r="AQ204" s="121" t="e">
        <f>SUMIFS(#REF!,#REF!,Extrato!$B204,#REF!,Extrato!AQ$3,#REF!,"Betbra")</f>
        <v>#REF!</v>
      </c>
      <c r="AR204" s="121" t="e">
        <f>SUMIFS(#REF!,#REF!,Extrato!$B204,#REF!,Extrato!AR$3,#REF!,"Betbra")</f>
        <v>#REF!</v>
      </c>
      <c r="AS204" s="121" t="e">
        <f>SUMIFS(#REF!,#REF!,Extrato!$B204,#REF!,Extrato!AS$3,#REF!,"Betbra")</f>
        <v>#REF!</v>
      </c>
      <c r="AT204" s="121" t="e">
        <f>SUMIFS(#REF!,#REF!,Extrato!$B204,#REF!,Extrato!AT$3,#REF!,"Betbra")</f>
        <v>#REF!</v>
      </c>
      <c r="AU204" s="121" t="e">
        <f>SUMIFS(#REF!,#REF!,Extrato!$B204,#REF!,Extrato!AU$3,#REF!,"Betbra")</f>
        <v>#REF!</v>
      </c>
      <c r="AV204" s="121" t="e">
        <f>SUMIFS(#REF!,#REF!,Extrato!$B204,#REF!,Extrato!AV$3,#REF!,"Betbra")</f>
        <v>#REF!</v>
      </c>
      <c r="AW204" s="121" t="e">
        <f>SUMIFS(#REF!,#REF!,Extrato!$B204,#REF!,Extrato!AW$3,#REF!,"Betbra")</f>
        <v>#REF!</v>
      </c>
      <c r="AX204" s="121" t="e">
        <f>SUMIFS(#REF!,#REF!,Extrato!$B204,#REF!,Extrato!AX$3,#REF!,"Betbra")</f>
        <v>#REF!</v>
      </c>
      <c r="AY204" s="121" t="e">
        <f>SUMIFS(#REF!,#REF!,Extrato!$B204,#REF!,Extrato!AY$3,#REF!,"Betbra")</f>
        <v>#REF!</v>
      </c>
      <c r="AZ204" s="121" t="e">
        <f>SUMIFS(#REF!,#REF!,Extrato!$B204,#REF!,Extrato!AZ$3,#REF!,"Betbra")</f>
        <v>#REF!</v>
      </c>
      <c r="BA204" s="121" t="e">
        <f>SUMIFS(#REF!,#REF!,Extrato!$B204,#REF!,Extrato!BA$3,#REF!,"Betbra")</f>
        <v>#REF!</v>
      </c>
      <c r="BB204" s="121" t="e">
        <f>SUMIFS(#REF!,#REF!,Extrato!$B204,#REF!,Extrato!BB$3,#REF!,"Betbra")</f>
        <v>#REF!</v>
      </c>
      <c r="BC204" s="121">
        <v>0</v>
      </c>
      <c r="BD204" s="121">
        <v>0</v>
      </c>
      <c r="BE204" s="25" t="e">
        <f t="shared" si="8"/>
        <v>#REF!</v>
      </c>
      <c r="BF204" s="122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</row>
    <row r="205" spans="2:68" ht="15" customHeight="1">
      <c r="B205" s="12">
        <v>46195</v>
      </c>
      <c r="C205" s="121" t="e">
        <f t="shared" si="10"/>
        <v>#REF!</v>
      </c>
      <c r="D205" s="121" t="e">
        <f>SUMIFS(#REF!,#REF!,Extrato!$B205,#REF!,Extrato!D$3)</f>
        <v>#REF!</v>
      </c>
      <c r="E205" s="121" t="e">
        <f>SUMIFS(#REF!,#REF!,Extrato!$B205,#REF!,Extrato!E$3,#REF!,"Fulltbet")</f>
        <v>#REF!</v>
      </c>
      <c r="F205" s="121" t="e">
        <f>SUMIFS(#REF!,#REF!,Extrato!$B205,#REF!,Extrato!F$3)</f>
        <v>#REF!</v>
      </c>
      <c r="G205" s="121" t="e">
        <f>SUMIFS(#REF!,#REF!,Extrato!$B205,#REF!,Extrato!G$3)</f>
        <v>#REF!</v>
      </c>
      <c r="H205" s="121" t="e">
        <f>SUMIFS(#REF!,#REF!,Extrato!$B205,#REF!,Extrato!H$3,#REF!,"Fulltbet")</f>
        <v>#REF!</v>
      </c>
      <c r="I205" s="121" t="e">
        <f>SUMIFS(#REF!,#REF!,Extrato!$B205,#REF!,Extrato!I$3,#REF!,"Fulltbet")</f>
        <v>#REF!</v>
      </c>
      <c r="J205" s="121" t="e">
        <f>SUMIFS(#REF!,#REF!,Extrato!$B205,#REF!,Extrato!J$3,#REF!,"Fulltbet")</f>
        <v>#REF!</v>
      </c>
      <c r="K205" s="121" t="e">
        <f>SUMIFS(#REF!,#REF!,Extrato!$B205,#REF!,Extrato!K$3)</f>
        <v>#REF!</v>
      </c>
      <c r="L205" s="121" t="e">
        <f>SUMIFS(#REF!,#REF!,Extrato!$B205,#REF!,Extrato!L$3)</f>
        <v>#REF!</v>
      </c>
      <c r="M205" s="121" t="e">
        <f>SUMIFS(#REF!,#REF!,Extrato!$B205,#REF!,Extrato!M$3)</f>
        <v>#REF!</v>
      </c>
      <c r="N205" s="121" t="e">
        <f>SUMIFS(#REF!,#REF!,Extrato!$B205,#REF!,Extrato!N$3)</f>
        <v>#REF!</v>
      </c>
      <c r="O205" s="121" t="e">
        <f>SUMIFS(#REF!,#REF!,Extrato!$B205,#REF!,Extrato!O$3)</f>
        <v>#REF!</v>
      </c>
      <c r="P205" s="121">
        <f>SUMIF(BetFlow!B:B,B205,BetFlow!J:J)</f>
        <v>0</v>
      </c>
      <c r="Q205" s="121" t="e">
        <f>SUMIFS(#REF!,#REF!,Extrato!$B205,#REF!,Extrato!Q$3)</f>
        <v>#REF!</v>
      </c>
      <c r="R205" s="121" t="e">
        <f>SUMIFS(#REF!,#REF!,Extrato!$B205,#REF!,Extrato!R$3)</f>
        <v>#REF!</v>
      </c>
      <c r="S205" s="121" t="e">
        <f>SUMIFS(#REF!,#REF!,Extrato!$B205,#REF!,Extrato!S$3)</f>
        <v>#REF!</v>
      </c>
      <c r="T205" s="121" t="e">
        <f>SUMIFS(#REF!,#REF!,Extrato!$B205,#REF!,Extrato!T$3)</f>
        <v>#REF!</v>
      </c>
      <c r="U205" s="121" t="e">
        <f>SUMIFS(#REF!,#REF!,Extrato!$B205,#REF!,Extrato!U$3)</f>
        <v>#REF!</v>
      </c>
      <c r="V205" s="121" t="e">
        <f>SUMIFS(#REF!,#REF!,Extrato!$B205,#REF!,Extrato!V$3)</f>
        <v>#REF!</v>
      </c>
      <c r="W205" s="121" t="e">
        <f>SUMIFS(#REF!,#REF!,Extrato!$B205,#REF!,Extrato!W$3,#REF!,"Fulltbet")</f>
        <v>#REF!</v>
      </c>
      <c r="X205" s="121" t="e">
        <f>SUMIFS(#REF!,#REF!,Extrato!$B205,#REF!,Extrato!X$3)</f>
        <v>#REF!</v>
      </c>
      <c r="Y205" s="121" t="e">
        <f>SUMIFS(#REF!,#REF!,Extrato!$B205,#REF!,Extrato!Y$3)</f>
        <v>#REF!</v>
      </c>
      <c r="Z205" s="121" t="e">
        <f>SUMIFS(#REF!,#REF!,Extrato!$B205,#REF!,Extrato!Z$3)</f>
        <v>#REF!</v>
      </c>
      <c r="AA205" s="121" t="e">
        <f>SUMIFS(#REF!,#REF!,Extrato!$B205,#REF!,Extrato!AA$3)</f>
        <v>#REF!</v>
      </c>
      <c r="AB205" s="121" t="e">
        <f>SUMIFS(#REF!,#REF!,Extrato!$B205,#REF!,Extrato!AB$3)</f>
        <v>#REF!</v>
      </c>
      <c r="AC205" s="121" t="e">
        <f>SUMIFS(#REF!,#REF!,Extrato!$B205,#REF!,Extrato!AC$3)</f>
        <v>#REF!</v>
      </c>
      <c r="AD205" s="121" t="e">
        <f>SUMIFS(#REF!,#REF!,Extrato!$B205,#REF!,Extrato!AD$3)</f>
        <v>#REF!</v>
      </c>
      <c r="AE205" s="121" t="e">
        <f>SUMIFS(#REF!,#REF!,Extrato!$B205,#REF!,Extrato!AE$3)</f>
        <v>#REF!</v>
      </c>
      <c r="AF205" s="121" t="e">
        <f>SUMIFS(#REF!,#REF!,Extrato!$B205,#REF!,Extrato!AF$3)</f>
        <v>#REF!</v>
      </c>
      <c r="AG205" s="121" t="e">
        <f>SUMIFS(#REF!,#REF!,Extrato!$B205,#REF!,Extrato!AG$3)</f>
        <v>#REF!</v>
      </c>
      <c r="AH205" s="121" t="e">
        <f>SUMIFS(#REF!,#REF!,Extrato!$B205,#REF!,Extrato!AH$3)</f>
        <v>#REF!</v>
      </c>
      <c r="AI205" s="121" t="e">
        <f>SUMIFS(#REF!,#REF!,Extrato!$B205,#REF!,Extrato!AI$3)</f>
        <v>#REF!</v>
      </c>
      <c r="AJ205" s="121">
        <v>0</v>
      </c>
      <c r="AK205" s="121">
        <v>0.01</v>
      </c>
      <c r="AL205" s="25" t="e">
        <f t="shared" si="11"/>
        <v>#REF!</v>
      </c>
      <c r="AM205" s="122"/>
      <c r="AN205" s="121" t="e">
        <f t="shared" si="9"/>
        <v>#REF!</v>
      </c>
      <c r="AO205" s="121">
        <f>SUMIF(BetFlow!B:B,Extrato!B205,BetFlow!M:M)</f>
        <v>0</v>
      </c>
      <c r="AP205" s="121" t="e">
        <f>SUMIFS(#REF!,#REF!,Extrato!$B205,#REF!,Extrato!AP$3,#REF!,"Betbra")</f>
        <v>#REF!</v>
      </c>
      <c r="AQ205" s="121" t="e">
        <f>SUMIFS(#REF!,#REF!,Extrato!$B205,#REF!,Extrato!AQ$3,#REF!,"Betbra")</f>
        <v>#REF!</v>
      </c>
      <c r="AR205" s="121" t="e">
        <f>SUMIFS(#REF!,#REF!,Extrato!$B205,#REF!,Extrato!AR$3,#REF!,"Betbra")</f>
        <v>#REF!</v>
      </c>
      <c r="AS205" s="121" t="e">
        <f>SUMIFS(#REF!,#REF!,Extrato!$B205,#REF!,Extrato!AS$3,#REF!,"Betbra")</f>
        <v>#REF!</v>
      </c>
      <c r="AT205" s="121" t="e">
        <f>SUMIFS(#REF!,#REF!,Extrato!$B205,#REF!,Extrato!AT$3,#REF!,"Betbra")</f>
        <v>#REF!</v>
      </c>
      <c r="AU205" s="121" t="e">
        <f>SUMIFS(#REF!,#REF!,Extrato!$B205,#REF!,Extrato!AU$3,#REF!,"Betbra")</f>
        <v>#REF!</v>
      </c>
      <c r="AV205" s="121" t="e">
        <f>SUMIFS(#REF!,#REF!,Extrato!$B205,#REF!,Extrato!AV$3,#REF!,"Betbra")</f>
        <v>#REF!</v>
      </c>
      <c r="AW205" s="121" t="e">
        <f>SUMIFS(#REF!,#REF!,Extrato!$B205,#REF!,Extrato!AW$3,#REF!,"Betbra")</f>
        <v>#REF!</v>
      </c>
      <c r="AX205" s="121" t="e">
        <f>SUMIFS(#REF!,#REF!,Extrato!$B205,#REF!,Extrato!AX$3,#REF!,"Betbra")</f>
        <v>#REF!</v>
      </c>
      <c r="AY205" s="121" t="e">
        <f>SUMIFS(#REF!,#REF!,Extrato!$B205,#REF!,Extrato!AY$3,#REF!,"Betbra")</f>
        <v>#REF!</v>
      </c>
      <c r="AZ205" s="121" t="e">
        <f>SUMIFS(#REF!,#REF!,Extrato!$B205,#REF!,Extrato!AZ$3,#REF!,"Betbra")</f>
        <v>#REF!</v>
      </c>
      <c r="BA205" s="121" t="e">
        <f>SUMIFS(#REF!,#REF!,Extrato!$B205,#REF!,Extrato!BA$3,#REF!,"Betbra")</f>
        <v>#REF!</v>
      </c>
      <c r="BB205" s="121" t="e">
        <f>SUMIFS(#REF!,#REF!,Extrato!$B205,#REF!,Extrato!BB$3,#REF!,"Betbra")</f>
        <v>#REF!</v>
      </c>
      <c r="BC205" s="121">
        <v>0</v>
      </c>
      <c r="BD205" s="121">
        <v>0</v>
      </c>
      <c r="BE205" s="25" t="e">
        <f t="shared" si="8"/>
        <v>#REF!</v>
      </c>
      <c r="BF205" s="122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</row>
    <row r="206" spans="2:68" ht="15" customHeight="1">
      <c r="B206" s="12">
        <v>46196</v>
      </c>
      <c r="C206" s="121" t="e">
        <f t="shared" si="10"/>
        <v>#REF!</v>
      </c>
      <c r="D206" s="121" t="e">
        <f>SUMIFS(#REF!,#REF!,Extrato!$B206,#REF!,Extrato!D$3)</f>
        <v>#REF!</v>
      </c>
      <c r="E206" s="121" t="e">
        <f>SUMIFS(#REF!,#REF!,Extrato!$B206,#REF!,Extrato!E$3,#REF!,"Fulltbet")</f>
        <v>#REF!</v>
      </c>
      <c r="F206" s="121" t="e">
        <f>SUMIFS(#REF!,#REF!,Extrato!$B206,#REF!,Extrato!F$3)</f>
        <v>#REF!</v>
      </c>
      <c r="G206" s="121" t="e">
        <f>SUMIFS(#REF!,#REF!,Extrato!$B206,#REF!,Extrato!G$3,#REF!,"Fulltbet")</f>
        <v>#REF!</v>
      </c>
      <c r="H206" s="121" t="e">
        <f>SUMIFS(#REF!,#REF!,Extrato!$B206,#REF!,Extrato!H$3)</f>
        <v>#REF!</v>
      </c>
      <c r="I206" s="121" t="e">
        <f>SUMIFS(#REF!,#REF!,Extrato!$B206,#REF!,Extrato!I$3,#REF!,"Fulltbet")</f>
        <v>#REF!</v>
      </c>
      <c r="J206" s="121" t="e">
        <f>SUMIFS(#REF!,#REF!,Extrato!$B206,#REF!,Extrato!J$3,#REF!,"Fulltbet")</f>
        <v>#REF!</v>
      </c>
      <c r="K206" s="121" t="e">
        <f>SUMIFS(#REF!,#REF!,Extrato!$B206,#REF!,Extrato!K$3,#REF!,"Fulltbet")</f>
        <v>#REF!</v>
      </c>
      <c r="L206" s="121" t="e">
        <f>SUMIFS(#REF!,#REF!,Extrato!$B206,#REF!,Extrato!L$3)</f>
        <v>#REF!</v>
      </c>
      <c r="M206" s="121" t="e">
        <f>SUMIFS(#REF!,#REF!,Extrato!$B206,#REF!,Extrato!M$3)</f>
        <v>#REF!</v>
      </c>
      <c r="N206" s="121" t="e">
        <f>SUMIFS(#REF!,#REF!,Extrato!$B206,#REF!,Extrato!N$3,#REF!,"Fulltbet")</f>
        <v>#REF!</v>
      </c>
      <c r="O206" s="121" t="e">
        <f>SUMIFS(#REF!,#REF!,Extrato!$B206,#REF!,Extrato!O$3,#REF!,"Fulltbet")</f>
        <v>#REF!</v>
      </c>
      <c r="P206" s="121">
        <f>SUMIF(BetFlow!B:B,B206,BetFlow!J:J)</f>
        <v>0</v>
      </c>
      <c r="Q206" s="121" t="e">
        <f>SUMIFS(#REF!,#REF!,Extrato!$B206,#REF!,Extrato!Q$3)</f>
        <v>#REF!</v>
      </c>
      <c r="R206" s="121" t="e">
        <f>SUMIFS(#REF!,#REF!,Extrato!$B206,#REF!,Extrato!R$3,#REF!,"Fulltbet")</f>
        <v>#REF!</v>
      </c>
      <c r="S206" s="121" t="e">
        <f>SUMIFS(#REF!,#REF!,Extrato!$B206,#REF!,Extrato!S$3,#REF!,"Fulltbet")</f>
        <v>#REF!</v>
      </c>
      <c r="T206" s="121" t="e">
        <f>SUMIFS(#REF!,#REF!,Extrato!$B206,#REF!,Extrato!T$3,#REF!,"Fulltbet")</f>
        <v>#REF!</v>
      </c>
      <c r="U206" s="121" t="e">
        <f>SUMIFS(#REF!,#REF!,Extrato!$B206,#REF!,Extrato!U$3)</f>
        <v>#REF!</v>
      </c>
      <c r="V206" s="121" t="e">
        <f>SUMIFS(#REF!,#REF!,Extrato!$B206,#REF!,Extrato!V$3)</f>
        <v>#REF!</v>
      </c>
      <c r="W206" s="121" t="e">
        <f>SUMIFS(#REF!,#REF!,Extrato!$B206,#REF!,Extrato!W$3,#REF!,"Fulltbet")</f>
        <v>#REF!</v>
      </c>
      <c r="X206" s="121" t="e">
        <f>SUMIFS(#REF!,#REF!,Extrato!$B206,#REF!,Extrato!X$3)</f>
        <v>#REF!</v>
      </c>
      <c r="Y206" s="121" t="e">
        <f>SUMIFS(#REF!,#REF!,Extrato!$B206,#REF!,Extrato!Y$3)</f>
        <v>#REF!</v>
      </c>
      <c r="Z206" s="121" t="e">
        <f>SUMIFS(#REF!,#REF!,Extrato!$B206,#REF!,Extrato!Z$3)</f>
        <v>#REF!</v>
      </c>
      <c r="AA206" s="121" t="e">
        <f>SUMIFS(#REF!,#REF!,Extrato!$B206,#REF!,Extrato!AA$3)</f>
        <v>#REF!</v>
      </c>
      <c r="AB206" s="121" t="e">
        <f>SUMIFS(#REF!,#REF!,Extrato!$B206,#REF!,Extrato!AB$3)</f>
        <v>#REF!</v>
      </c>
      <c r="AC206" s="121" t="e">
        <f>SUMIFS(#REF!,#REF!,Extrato!$B206,#REF!,Extrato!AC$3)</f>
        <v>#REF!</v>
      </c>
      <c r="AD206" s="121" t="e">
        <f>SUMIFS(#REF!,#REF!,Extrato!$B206,#REF!,Extrato!AD$3)</f>
        <v>#REF!</v>
      </c>
      <c r="AE206" s="121" t="e">
        <f>SUMIFS(#REF!,#REF!,Extrato!$B206,#REF!,Extrato!AE$3)</f>
        <v>#REF!</v>
      </c>
      <c r="AF206" s="121" t="e">
        <f>SUMIFS(#REF!,#REF!,Extrato!$B206,#REF!,Extrato!AF$3)</f>
        <v>#REF!</v>
      </c>
      <c r="AG206" s="121" t="e">
        <f>SUMIFS(#REF!,#REF!,Extrato!$B206,#REF!,Extrato!AG$3)</f>
        <v>#REF!</v>
      </c>
      <c r="AH206" s="121" t="e">
        <f>SUMIFS(#REF!,#REF!,Extrato!$B206,#REF!,Extrato!AH$3)</f>
        <v>#REF!</v>
      </c>
      <c r="AI206" s="121" t="e">
        <f>SUMIFS(#REF!,#REF!,Extrato!$B206,#REF!,Extrato!AI$3)</f>
        <v>#REF!</v>
      </c>
      <c r="AJ206" s="121">
        <v>0</v>
      </c>
      <c r="AK206" s="121">
        <v>-0.01</v>
      </c>
      <c r="AL206" s="25" t="e">
        <f t="shared" si="11"/>
        <v>#REF!</v>
      </c>
      <c r="AM206" s="122"/>
      <c r="AN206" s="121" t="e">
        <f t="shared" si="9"/>
        <v>#REF!</v>
      </c>
      <c r="AO206" s="121">
        <f>SUMIF(BetFlow!B:B,Extrato!B206,BetFlow!M:M)</f>
        <v>0</v>
      </c>
      <c r="AP206" s="121" t="e">
        <f>SUMIFS(#REF!,#REF!,Extrato!$B206,#REF!,Extrato!AP$3,#REF!,"Betbra")</f>
        <v>#REF!</v>
      </c>
      <c r="AQ206" s="121" t="e">
        <f>SUMIFS(#REF!,#REF!,Extrato!$B206,#REF!,Extrato!AQ$3,#REF!,"Betbra")</f>
        <v>#REF!</v>
      </c>
      <c r="AR206" s="121" t="e">
        <f>SUMIFS(#REF!,#REF!,Extrato!$B206,#REF!,Extrato!AR$3,#REF!,"Betbra")</f>
        <v>#REF!</v>
      </c>
      <c r="AS206" s="121" t="e">
        <f>SUMIFS(#REF!,#REF!,Extrato!$B206,#REF!,Extrato!AS$3,#REF!,"Betbra")</f>
        <v>#REF!</v>
      </c>
      <c r="AT206" s="121" t="e">
        <f>SUMIFS(#REF!,#REF!,Extrato!$B206,#REF!,Extrato!AT$3,#REF!,"Betbra")</f>
        <v>#REF!</v>
      </c>
      <c r="AU206" s="121" t="e">
        <f>SUMIFS(#REF!,#REF!,Extrato!$B206,#REF!,Extrato!AU$3,#REF!,"Betbra")</f>
        <v>#REF!</v>
      </c>
      <c r="AV206" s="121" t="e">
        <f>SUMIFS(#REF!,#REF!,Extrato!$B206,#REF!,Extrato!AV$3,#REF!,"Betbra")</f>
        <v>#REF!</v>
      </c>
      <c r="AW206" s="121" t="e">
        <f>SUMIFS(#REF!,#REF!,Extrato!$B206,#REF!,Extrato!AW$3,#REF!,"Betbra")</f>
        <v>#REF!</v>
      </c>
      <c r="AX206" s="121" t="e">
        <f>SUMIFS(#REF!,#REF!,Extrato!$B206,#REF!,Extrato!AX$3,#REF!,"Betbra")</f>
        <v>#REF!</v>
      </c>
      <c r="AY206" s="121" t="e">
        <f>SUMIFS(#REF!,#REF!,Extrato!$B206,#REF!,Extrato!AY$3,#REF!,"Betbra")</f>
        <v>#REF!</v>
      </c>
      <c r="AZ206" s="121" t="e">
        <f>SUMIFS(#REF!,#REF!,Extrato!$B206,#REF!,Extrato!AZ$3,#REF!,"Betbra")</f>
        <v>#REF!</v>
      </c>
      <c r="BA206" s="121" t="e">
        <f>SUMIFS(#REF!,#REF!,Extrato!$B206,#REF!,Extrato!BA$3,#REF!,"Betbra")</f>
        <v>#REF!</v>
      </c>
      <c r="BB206" s="121" t="e">
        <f>SUMIFS(#REF!,#REF!,Extrato!$B206,#REF!,Extrato!BB$3,#REF!,"Betbra")</f>
        <v>#REF!</v>
      </c>
      <c r="BC206" s="121">
        <v>0</v>
      </c>
      <c r="BD206" s="121">
        <v>0.02</v>
      </c>
      <c r="BE206" s="25" t="e">
        <f t="shared" si="8"/>
        <v>#REF!</v>
      </c>
      <c r="BF206" s="122"/>
      <c r="BG206" s="121">
        <v>300.01</v>
      </c>
      <c r="BH206" s="121" t="e">
        <f>SUMIFS(#REF!,#REF!,Extrato!$B206,#REF!,Extrato!BH$3,#REF!,"Bolsa")</f>
        <v>#REF!</v>
      </c>
      <c r="BI206" s="121" t="e">
        <f>SUMIFS(#REF!,#REF!,Extrato!$B206,#REF!,Extrato!BI$3,#REF!,"Bolsa")</f>
        <v>#REF!</v>
      </c>
      <c r="BJ206" s="121" t="e">
        <f>SUMIFS(#REF!,#REF!,Extrato!$B206,#REF!,Extrato!BJ$3,#REF!,"Bolsa")</f>
        <v>#REF!</v>
      </c>
      <c r="BK206" s="121" t="e">
        <f>SUMIFS(#REF!,#REF!,Extrato!$B206,#REF!,Extrato!BK$3,#REF!,"Bolsa")</f>
        <v>#REF!</v>
      </c>
      <c r="BL206" s="121" t="e">
        <f>SUMIFS(#REF!,#REF!,Extrato!$B206,#REF!,Extrato!BL$3,#REF!,"Bolsa")</f>
        <v>#REF!</v>
      </c>
      <c r="BM206" s="121" t="e">
        <f>SUMIFS(#REF!,#REF!,Extrato!$B206,#REF!,Extrato!BM$3,#REF!,"Bolsa")</f>
        <v>#REF!</v>
      </c>
      <c r="BN206" s="121">
        <v>0</v>
      </c>
      <c r="BO206" s="121">
        <v>0</v>
      </c>
      <c r="BP206" s="25" t="e">
        <f t="shared" ref="BP206:BP241" si="12">SUM(BG206:BO206)</f>
        <v>#REF!</v>
      </c>
    </row>
    <row r="207" spans="2:68" ht="15" customHeight="1">
      <c r="B207" s="12">
        <v>46197</v>
      </c>
      <c r="C207" s="121" t="e">
        <f t="shared" si="10"/>
        <v>#REF!</v>
      </c>
      <c r="D207" s="121" t="e">
        <f>SUMIFS(#REF!,#REF!,Extrato!$B207,#REF!,Extrato!D$3)</f>
        <v>#REF!</v>
      </c>
      <c r="E207" s="121" t="e">
        <f>SUMIFS(#REF!,#REF!,Extrato!$B207,#REF!,Extrato!E$3,#REF!,"Fulltbet")</f>
        <v>#REF!</v>
      </c>
      <c r="F207" s="121" t="e">
        <f>SUMIFS(#REF!,#REF!,Extrato!$B207,#REF!,Extrato!F$3)</f>
        <v>#REF!</v>
      </c>
      <c r="G207" s="121" t="e">
        <f>SUMIFS(#REF!,#REF!,Extrato!$B207,#REF!,Extrato!G$3,#REF!,"Fulltbet")</f>
        <v>#REF!</v>
      </c>
      <c r="H207" s="121" t="e">
        <f>SUMIFS(#REF!,#REF!,Extrato!$B207,#REF!,Extrato!H$3)</f>
        <v>#REF!</v>
      </c>
      <c r="I207" s="121" t="e">
        <f>SUMIFS(#REF!,#REF!,Extrato!$B207,#REF!,Extrato!I$3,#REF!,"Fulltbet")</f>
        <v>#REF!</v>
      </c>
      <c r="J207" s="121" t="e">
        <f>SUMIFS(#REF!,#REF!,Extrato!$B207,#REF!,Extrato!J$3,#REF!,"Fulltbet")</f>
        <v>#REF!</v>
      </c>
      <c r="K207" s="121" t="e">
        <f>SUMIFS(#REF!,#REF!,Extrato!$B207,#REF!,Extrato!K$3,#REF!,"Fulltbet")</f>
        <v>#REF!</v>
      </c>
      <c r="L207" s="121" t="e">
        <f>SUMIFS(#REF!,#REF!,Extrato!$B207,#REF!,Extrato!L$3)</f>
        <v>#REF!</v>
      </c>
      <c r="M207" s="121" t="e">
        <f>SUMIFS(#REF!,#REF!,Extrato!$B207,#REF!,Extrato!M$3)</f>
        <v>#REF!</v>
      </c>
      <c r="N207" s="121" t="e">
        <f>SUMIFS(#REF!,#REF!,Extrato!$B207,#REF!,Extrato!N$3,#REF!,"Fulltbet")</f>
        <v>#REF!</v>
      </c>
      <c r="O207" s="121" t="e">
        <f>SUMIFS(#REF!,#REF!,Extrato!$B207,#REF!,Extrato!O$3,#REF!,"Fulltbet")</f>
        <v>#REF!</v>
      </c>
      <c r="P207" s="121">
        <f>SUMIF(BetFlow!B:B,B207,BetFlow!J:J)</f>
        <v>0</v>
      </c>
      <c r="Q207" s="121" t="e">
        <f>SUMIFS(#REF!,#REF!,Extrato!$B207,#REF!,Extrato!Q$3)</f>
        <v>#REF!</v>
      </c>
      <c r="R207" s="121" t="e">
        <f>SUMIFS(#REF!,#REF!,Extrato!$B207,#REF!,Extrato!R$3,#REF!,"Fulltbet")</f>
        <v>#REF!</v>
      </c>
      <c r="S207" s="121" t="e">
        <f>SUMIFS(#REF!,#REF!,Extrato!$B207,#REF!,Extrato!S$3,#REF!,"Fulltbet")</f>
        <v>#REF!</v>
      </c>
      <c r="T207" s="121" t="e">
        <f>SUMIFS(#REF!,#REF!,Extrato!$B207,#REF!,Extrato!T$3,#REF!,"Fulltbet")</f>
        <v>#REF!</v>
      </c>
      <c r="U207" s="121" t="e">
        <f>SUMIFS(#REF!,#REF!,Extrato!$B207,#REF!,Extrato!U$3)</f>
        <v>#REF!</v>
      </c>
      <c r="V207" s="121" t="e">
        <f>SUMIFS(#REF!,#REF!,Extrato!$B207,#REF!,Extrato!V$3)</f>
        <v>#REF!</v>
      </c>
      <c r="W207" s="121" t="e">
        <f>SUMIFS(#REF!,#REF!,Extrato!$B207,#REF!,Extrato!W$3,#REF!,"Fulltbet")</f>
        <v>#REF!</v>
      </c>
      <c r="X207" s="121" t="e">
        <f>SUMIFS(#REF!,#REF!,Extrato!$B207,#REF!,Extrato!X$3)</f>
        <v>#REF!</v>
      </c>
      <c r="Y207" s="121" t="e">
        <f>SUMIFS(#REF!,#REF!,Extrato!$B207,#REF!,Extrato!Y$3)</f>
        <v>#REF!</v>
      </c>
      <c r="Z207" s="121" t="e">
        <f>SUMIFS(#REF!,#REF!,Extrato!$B207,#REF!,Extrato!Z$3)</f>
        <v>#REF!</v>
      </c>
      <c r="AA207" s="121" t="e">
        <f>SUMIFS(#REF!,#REF!,Extrato!$B207,#REF!,Extrato!AA$3)</f>
        <v>#REF!</v>
      </c>
      <c r="AB207" s="121" t="e">
        <f>SUMIFS(#REF!,#REF!,Extrato!$B207,#REF!,Extrato!AB$3)</f>
        <v>#REF!</v>
      </c>
      <c r="AC207" s="121" t="e">
        <f>SUMIFS(#REF!,#REF!,Extrato!$B207,#REF!,Extrato!AC$3)</f>
        <v>#REF!</v>
      </c>
      <c r="AD207" s="121" t="e">
        <f>SUMIFS(#REF!,#REF!,Extrato!$B207,#REF!,Extrato!AD$3)</f>
        <v>#REF!</v>
      </c>
      <c r="AE207" s="121" t="e">
        <f>SUMIFS(#REF!,#REF!,Extrato!$B207,#REF!,Extrato!AE$3)</f>
        <v>#REF!</v>
      </c>
      <c r="AF207" s="121" t="e">
        <f>SUMIFS(#REF!,#REF!,Extrato!$B207,#REF!,Extrato!AF$3)</f>
        <v>#REF!</v>
      </c>
      <c r="AG207" s="121" t="e">
        <f>SUMIFS(#REF!,#REF!,Extrato!$B207,#REF!,Extrato!AG$3)</f>
        <v>#REF!</v>
      </c>
      <c r="AH207" s="121" t="e">
        <f>SUMIFS(#REF!,#REF!,Extrato!$B207,#REF!,Extrato!AH$3)</f>
        <v>#REF!</v>
      </c>
      <c r="AI207" s="121" t="e">
        <f>SUMIFS(#REF!,#REF!,Extrato!$B207,#REF!,Extrato!AI$3)</f>
        <v>#REF!</v>
      </c>
      <c r="AJ207" s="121">
        <v>0</v>
      </c>
      <c r="AK207" s="121">
        <v>0</v>
      </c>
      <c r="AL207" s="25" t="e">
        <f t="shared" si="11"/>
        <v>#REF!</v>
      </c>
      <c r="AM207" s="122"/>
      <c r="AN207" s="121" t="e">
        <f t="shared" si="9"/>
        <v>#REF!</v>
      </c>
      <c r="AO207" s="121">
        <f>SUMIF(BetFlow!B:B,Extrato!B207,BetFlow!M:M)</f>
        <v>0</v>
      </c>
      <c r="AP207" s="121" t="e">
        <f>SUMIFS(#REF!,#REF!,Extrato!$B207,#REF!,Extrato!AP$3,#REF!,"Betbra")</f>
        <v>#REF!</v>
      </c>
      <c r="AQ207" s="121" t="e">
        <f>SUMIFS(#REF!,#REF!,Extrato!$B207,#REF!,Extrato!AQ$3,#REF!,"Betbra")</f>
        <v>#REF!</v>
      </c>
      <c r="AR207" s="121" t="e">
        <f>SUMIFS(#REF!,#REF!,Extrato!$B207,#REF!,Extrato!AR$3,#REF!,"Betbra")</f>
        <v>#REF!</v>
      </c>
      <c r="AS207" s="121" t="e">
        <f>SUMIFS(#REF!,#REF!,Extrato!$B207,#REF!,Extrato!AS$3,#REF!,"Betbra")</f>
        <v>#REF!</v>
      </c>
      <c r="AT207" s="121" t="e">
        <f>SUMIFS(#REF!,#REF!,Extrato!$B207,#REF!,Extrato!AT$3,#REF!,"Betbra")</f>
        <v>#REF!</v>
      </c>
      <c r="AU207" s="121" t="e">
        <f>SUMIFS(#REF!,#REF!,Extrato!$B207,#REF!,Extrato!AU$3,#REF!,"Betbra")</f>
        <v>#REF!</v>
      </c>
      <c r="AV207" s="121" t="e">
        <f>SUMIFS(#REF!,#REF!,Extrato!$B207,#REF!,Extrato!AV$3,#REF!,"Betbra")</f>
        <v>#REF!</v>
      </c>
      <c r="AW207" s="121" t="e">
        <f>SUMIFS(#REF!,#REF!,Extrato!$B207,#REF!,Extrato!AW$3,#REF!,"Betbra")</f>
        <v>#REF!</v>
      </c>
      <c r="AX207" s="121" t="e">
        <f>SUMIFS(#REF!,#REF!,Extrato!$B207,#REF!,Extrato!AX$3,#REF!,"Betbra")</f>
        <v>#REF!</v>
      </c>
      <c r="AY207" s="121" t="e">
        <f>SUMIFS(#REF!,#REF!,Extrato!$B207,#REF!,Extrato!AY$3,#REF!,"Betbra")</f>
        <v>#REF!</v>
      </c>
      <c r="AZ207" s="121" t="e">
        <f>SUMIFS(#REF!,#REF!,Extrato!$B207,#REF!,Extrato!AZ$3,#REF!,"Betbra")</f>
        <v>#REF!</v>
      </c>
      <c r="BA207" s="121" t="e">
        <f>SUMIFS(#REF!,#REF!,Extrato!$B207,#REF!,Extrato!BA$3,#REF!,"Betbra")</f>
        <v>#REF!</v>
      </c>
      <c r="BB207" s="121" t="e">
        <f>SUMIFS(#REF!,#REF!,Extrato!$B207,#REF!,Extrato!BB$3,#REF!,"Betbra")</f>
        <v>#REF!</v>
      </c>
      <c r="BC207" s="121">
        <v>0</v>
      </c>
      <c r="BD207" s="121">
        <v>0</v>
      </c>
      <c r="BE207" s="25" t="e">
        <f t="shared" si="8"/>
        <v>#REF!</v>
      </c>
      <c r="BF207" s="122"/>
      <c r="BG207" s="121" t="e">
        <f t="shared" ref="BG207:BG241" si="13">BP206</f>
        <v>#REF!</v>
      </c>
      <c r="BH207" s="121" t="e">
        <f>SUMIFS(#REF!,#REF!,Extrato!$B207,#REF!,Extrato!BH$3,#REF!,"Bolsa")</f>
        <v>#REF!</v>
      </c>
      <c r="BI207" s="121" t="e">
        <f>SUMIFS(#REF!,#REF!,Extrato!$B207,#REF!,Extrato!BI$3,#REF!,"Bolsa")</f>
        <v>#REF!</v>
      </c>
      <c r="BJ207" s="121" t="e">
        <f>SUMIFS(#REF!,#REF!,Extrato!$B207,#REF!,Extrato!BJ$3,#REF!,"Bolsa")</f>
        <v>#REF!</v>
      </c>
      <c r="BK207" s="121" t="e">
        <f>SUMIFS(#REF!,#REF!,Extrato!$B207,#REF!,Extrato!BK$3,#REF!,"Bolsa")</f>
        <v>#REF!</v>
      </c>
      <c r="BL207" s="121" t="e">
        <f>SUMIFS(#REF!,#REF!,Extrato!$B207,#REF!,Extrato!BL$3,#REF!,"Bolsa")</f>
        <v>#REF!</v>
      </c>
      <c r="BM207" s="121" t="e">
        <f>SUMIFS(#REF!,#REF!,Extrato!$B207,#REF!,Extrato!BM$3,#REF!,"Bolsa")</f>
        <v>#REF!</v>
      </c>
      <c r="BN207" s="121">
        <v>0</v>
      </c>
      <c r="BO207" s="121">
        <v>0</v>
      </c>
      <c r="BP207" s="25" t="e">
        <f t="shared" si="12"/>
        <v>#REF!</v>
      </c>
    </row>
    <row r="208" spans="2:68" ht="15" customHeight="1">
      <c r="B208" s="12">
        <v>46198</v>
      </c>
      <c r="C208" s="121" t="e">
        <f t="shared" si="10"/>
        <v>#REF!</v>
      </c>
      <c r="D208" s="121" t="e">
        <f>SUMIFS(#REF!,#REF!,Extrato!$B208,#REF!,Extrato!D$3)</f>
        <v>#REF!</v>
      </c>
      <c r="E208" s="121" t="e">
        <f>SUMIFS(#REF!,#REF!,Extrato!$B208,#REF!,Extrato!E$3,#REF!,"Fulltbet")</f>
        <v>#REF!</v>
      </c>
      <c r="F208" s="121" t="e">
        <f>SUMIFS(#REF!,#REF!,Extrato!$B208,#REF!,Extrato!F$3)</f>
        <v>#REF!</v>
      </c>
      <c r="G208" s="121" t="e">
        <f>SUMIFS(#REF!,#REF!,Extrato!$B208,#REF!,Extrato!G$3,#REF!,"Fulltbet")</f>
        <v>#REF!</v>
      </c>
      <c r="H208" s="121" t="e">
        <f>SUMIFS(#REF!,#REF!,Extrato!$B208,#REF!,Extrato!H$3)</f>
        <v>#REF!</v>
      </c>
      <c r="I208" s="121" t="e">
        <f>SUMIFS(#REF!,#REF!,Extrato!$B208,#REF!,Extrato!I$3,#REF!,"Fulltbet")</f>
        <v>#REF!</v>
      </c>
      <c r="J208" s="121" t="e">
        <f>SUMIFS(#REF!,#REF!,Extrato!$B208,#REF!,Extrato!J$3,#REF!,"Fulltbet")</f>
        <v>#REF!</v>
      </c>
      <c r="K208" s="121" t="e">
        <f>SUMIFS(#REF!,#REF!,Extrato!$B208,#REF!,Extrato!K$3,#REF!,"Fulltbet")</f>
        <v>#REF!</v>
      </c>
      <c r="L208" s="121" t="e">
        <f>SUMIFS(#REF!,#REF!,Extrato!$B208,#REF!,Extrato!L$3)</f>
        <v>#REF!</v>
      </c>
      <c r="M208" s="121" t="e">
        <f>SUMIFS(#REF!,#REF!,Extrato!$B208,#REF!,Extrato!M$3)</f>
        <v>#REF!</v>
      </c>
      <c r="N208" s="121" t="e">
        <f>SUMIFS(#REF!,#REF!,Extrato!$B208,#REF!,Extrato!N$3,#REF!,"Fulltbet")</f>
        <v>#REF!</v>
      </c>
      <c r="O208" s="121" t="e">
        <f>SUMIFS(#REF!,#REF!,Extrato!$B208,#REF!,Extrato!O$3,#REF!,"Fulltbet")</f>
        <v>#REF!</v>
      </c>
      <c r="P208" s="121">
        <f>SUMIF(BetFlow!B:B,B208,BetFlow!J:J)</f>
        <v>0</v>
      </c>
      <c r="Q208" s="121" t="e">
        <f>SUMIFS(#REF!,#REF!,Extrato!$B208,#REF!,Extrato!Q$3)</f>
        <v>#REF!</v>
      </c>
      <c r="R208" s="121" t="e">
        <f>SUMIFS(#REF!,#REF!,Extrato!$B208,#REF!,Extrato!R$3,#REF!,"Fulltbet")</f>
        <v>#REF!</v>
      </c>
      <c r="S208" s="121" t="e">
        <f>SUMIFS(#REF!,#REF!,Extrato!$B208,#REF!,Extrato!S$3,#REF!,"Fulltbet")</f>
        <v>#REF!</v>
      </c>
      <c r="T208" s="121" t="e">
        <f>SUMIFS(#REF!,#REF!,Extrato!$B208,#REF!,Extrato!T$3,#REF!,"Fulltbet")</f>
        <v>#REF!</v>
      </c>
      <c r="U208" s="121" t="e">
        <f>SUMIFS(#REF!,#REF!,Extrato!$B208,#REF!,Extrato!U$3)</f>
        <v>#REF!</v>
      </c>
      <c r="V208" s="121" t="e">
        <f>SUMIFS(#REF!,#REF!,Extrato!$B208,#REF!,Extrato!V$3)</f>
        <v>#REF!</v>
      </c>
      <c r="W208" s="121" t="e">
        <f>SUMIFS(#REF!,#REF!,Extrato!$B208,#REF!,Extrato!W$3,#REF!,"Fulltbet")</f>
        <v>#REF!</v>
      </c>
      <c r="X208" s="121" t="e">
        <f>SUMIFS(#REF!,#REF!,Extrato!$B208,#REF!,Extrato!X$3)</f>
        <v>#REF!</v>
      </c>
      <c r="Y208" s="121" t="e">
        <f>SUMIFS(#REF!,#REF!,Extrato!$B208,#REF!,Extrato!Y$3)</f>
        <v>#REF!</v>
      </c>
      <c r="Z208" s="121" t="e">
        <f>SUMIFS(#REF!,#REF!,Extrato!$B208,#REF!,Extrato!Z$3)</f>
        <v>#REF!</v>
      </c>
      <c r="AA208" s="121" t="e">
        <f>SUMIFS(#REF!,#REF!,Extrato!$B208,#REF!,Extrato!AA$3)</f>
        <v>#REF!</v>
      </c>
      <c r="AB208" s="121" t="e">
        <f>SUMIFS(#REF!,#REF!,Extrato!$B208,#REF!,Extrato!AB$3)</f>
        <v>#REF!</v>
      </c>
      <c r="AC208" s="121" t="e">
        <f>SUMIFS(#REF!,#REF!,Extrato!$B208,#REF!,Extrato!AC$3)</f>
        <v>#REF!</v>
      </c>
      <c r="AD208" s="121" t="e">
        <f>SUMIFS(#REF!,#REF!,Extrato!$B208,#REF!,Extrato!AD$3)</f>
        <v>#REF!</v>
      </c>
      <c r="AE208" s="121" t="e">
        <f>SUMIFS(#REF!,#REF!,Extrato!$B208,#REF!,Extrato!AE$3)</f>
        <v>#REF!</v>
      </c>
      <c r="AF208" s="121" t="e">
        <f>SUMIFS(#REF!,#REF!,Extrato!$B208,#REF!,Extrato!AF$3)</f>
        <v>#REF!</v>
      </c>
      <c r="AG208" s="121" t="e">
        <f>SUMIFS(#REF!,#REF!,Extrato!$B208,#REF!,Extrato!AG$3)</f>
        <v>#REF!</v>
      </c>
      <c r="AH208" s="121" t="e">
        <f>SUMIFS(#REF!,#REF!,Extrato!$B208,#REF!,Extrato!AH$3)</f>
        <v>#REF!</v>
      </c>
      <c r="AI208" s="121" t="e">
        <f>SUMIFS(#REF!,#REF!,Extrato!$B208,#REF!,Extrato!AI$3)</f>
        <v>#REF!</v>
      </c>
      <c r="AJ208" s="121">
        <v>0</v>
      </c>
      <c r="AK208" s="121">
        <v>-0.01</v>
      </c>
      <c r="AL208" s="25" t="e">
        <f t="shared" si="11"/>
        <v>#REF!</v>
      </c>
      <c r="AM208" s="122"/>
      <c r="AN208" s="121" t="e">
        <f t="shared" si="9"/>
        <v>#REF!</v>
      </c>
      <c r="AO208" s="121">
        <f>SUMIF(BetFlow!B:B,Extrato!B208,BetFlow!M:M)</f>
        <v>0</v>
      </c>
      <c r="AP208" s="121" t="e">
        <f>SUMIFS(#REF!,#REF!,Extrato!$B208,#REF!,Extrato!AP$3,#REF!,"Betbra")</f>
        <v>#REF!</v>
      </c>
      <c r="AQ208" s="121" t="e">
        <f>SUMIFS(#REF!,#REF!,Extrato!$B208,#REF!,Extrato!AQ$3,#REF!,"Betbra")</f>
        <v>#REF!</v>
      </c>
      <c r="AR208" s="121" t="e">
        <f>SUMIFS(#REF!,#REF!,Extrato!$B208,#REF!,Extrato!AR$3,#REF!,"Betbra")</f>
        <v>#REF!</v>
      </c>
      <c r="AS208" s="121" t="e">
        <f>SUMIFS(#REF!,#REF!,Extrato!$B208,#REF!,Extrato!AS$3,#REF!,"Betbra")</f>
        <v>#REF!</v>
      </c>
      <c r="AT208" s="121" t="e">
        <f>SUMIFS(#REF!,#REF!,Extrato!$B208,#REF!,Extrato!AT$3,#REF!,"Betbra")</f>
        <v>#REF!</v>
      </c>
      <c r="AU208" s="121" t="e">
        <f>SUMIFS(#REF!,#REF!,Extrato!$B208,#REF!,Extrato!AU$3,#REF!,"Betbra")</f>
        <v>#REF!</v>
      </c>
      <c r="AV208" s="121" t="e">
        <f>SUMIFS(#REF!,#REF!,Extrato!$B208,#REF!,Extrato!AV$3,#REF!,"Betbra")</f>
        <v>#REF!</v>
      </c>
      <c r="AW208" s="121" t="e">
        <f>SUMIFS(#REF!,#REF!,Extrato!$B208,#REF!,Extrato!AW$3,#REF!,"Betbra")</f>
        <v>#REF!</v>
      </c>
      <c r="AX208" s="121" t="e">
        <f>SUMIFS(#REF!,#REF!,Extrato!$B208,#REF!,Extrato!AX$3,#REF!,"Betbra")</f>
        <v>#REF!</v>
      </c>
      <c r="AY208" s="121" t="e">
        <f>SUMIFS(#REF!,#REF!,Extrato!$B208,#REF!,Extrato!AY$3,#REF!,"Betbra")</f>
        <v>#REF!</v>
      </c>
      <c r="AZ208" s="121" t="e">
        <f>SUMIFS(#REF!,#REF!,Extrato!$B208,#REF!,Extrato!AZ$3,#REF!,"Betbra")</f>
        <v>#REF!</v>
      </c>
      <c r="BA208" s="121" t="e">
        <f>SUMIFS(#REF!,#REF!,Extrato!$B208,#REF!,Extrato!BA$3,#REF!,"Betbra")</f>
        <v>#REF!</v>
      </c>
      <c r="BB208" s="121" t="e">
        <f>SUMIFS(#REF!,#REF!,Extrato!$B208,#REF!,Extrato!BB$3,#REF!,"Betbra")</f>
        <v>#REF!</v>
      </c>
      <c r="BC208" s="121">
        <v>0</v>
      </c>
      <c r="BD208" s="121">
        <v>0</v>
      </c>
      <c r="BE208" s="25" t="e">
        <f t="shared" si="8"/>
        <v>#REF!</v>
      </c>
      <c r="BF208" s="122"/>
      <c r="BG208" s="121" t="e">
        <f t="shared" si="13"/>
        <v>#REF!</v>
      </c>
      <c r="BH208" s="121" t="e">
        <f>SUMIFS(#REF!,#REF!,Extrato!$B208,#REF!,Extrato!BH$3,#REF!,"Bolsa")</f>
        <v>#REF!</v>
      </c>
      <c r="BI208" s="121" t="e">
        <f>SUMIFS(#REF!,#REF!,Extrato!$B208,#REF!,Extrato!BI$3,#REF!,"Bolsa")</f>
        <v>#REF!</v>
      </c>
      <c r="BJ208" s="121" t="e">
        <f>SUMIFS(#REF!,#REF!,Extrato!$B208,#REF!,Extrato!BJ$3,#REF!,"Bolsa")</f>
        <v>#REF!</v>
      </c>
      <c r="BK208" s="121" t="e">
        <f>SUMIFS(#REF!,#REF!,Extrato!$B208,#REF!,Extrato!BK$3,#REF!,"Bolsa")</f>
        <v>#REF!</v>
      </c>
      <c r="BL208" s="121" t="e">
        <f>SUMIFS(#REF!,#REF!,Extrato!$B208,#REF!,Extrato!BL$3,#REF!,"Bolsa")</f>
        <v>#REF!</v>
      </c>
      <c r="BM208" s="121" t="e">
        <f>SUMIFS(#REF!,#REF!,Extrato!$B208,#REF!,Extrato!BM$3,#REF!,"Bolsa")</f>
        <v>#REF!</v>
      </c>
      <c r="BN208" s="121">
        <v>0</v>
      </c>
      <c r="BO208" s="121">
        <v>0</v>
      </c>
      <c r="BP208" s="25" t="e">
        <f t="shared" si="12"/>
        <v>#REF!</v>
      </c>
    </row>
    <row r="209" spans="2:68" ht="15" customHeight="1">
      <c r="B209" s="12">
        <v>46199</v>
      </c>
      <c r="C209" s="121" t="e">
        <f t="shared" si="10"/>
        <v>#REF!</v>
      </c>
      <c r="D209" s="121" t="e">
        <f>SUMIFS(#REF!,#REF!,Extrato!$B209,#REF!,Extrato!D$3)</f>
        <v>#REF!</v>
      </c>
      <c r="E209" s="121" t="e">
        <f>SUMIFS(#REF!,#REF!,Extrato!$B209,#REF!,Extrato!E$3,#REF!,"Fulltbet")</f>
        <v>#REF!</v>
      </c>
      <c r="F209" s="121" t="e">
        <f>SUMIFS(#REF!,#REF!,Extrato!$B209,#REF!,Extrato!F$3)</f>
        <v>#REF!</v>
      </c>
      <c r="G209" s="121" t="e">
        <f>SUMIFS(#REF!,#REF!,Extrato!$B209,#REF!,Extrato!G$3,#REF!,"Fulltbet")</f>
        <v>#REF!</v>
      </c>
      <c r="H209" s="121" t="e">
        <f>SUMIFS(#REF!,#REF!,Extrato!$B209,#REF!,Extrato!H$3)</f>
        <v>#REF!</v>
      </c>
      <c r="I209" s="121" t="e">
        <f>SUMIFS(#REF!,#REF!,Extrato!$B209,#REF!,Extrato!I$3,#REF!,"Fulltbet")</f>
        <v>#REF!</v>
      </c>
      <c r="J209" s="121" t="e">
        <f>SUMIFS(#REF!,#REF!,Extrato!$B209,#REF!,Extrato!J$3,#REF!,"Fulltbet")</f>
        <v>#REF!</v>
      </c>
      <c r="K209" s="121" t="e">
        <f>SUMIFS(#REF!,#REF!,Extrato!$B209,#REF!,Extrato!K$3,#REF!,"Fulltbet")</f>
        <v>#REF!</v>
      </c>
      <c r="L209" s="121" t="e">
        <f>SUMIFS(#REF!,#REF!,Extrato!$B209,#REF!,Extrato!L$3)</f>
        <v>#REF!</v>
      </c>
      <c r="M209" s="121" t="e">
        <f>SUMIFS(#REF!,#REF!,Extrato!$B209,#REF!,Extrato!M$3)</f>
        <v>#REF!</v>
      </c>
      <c r="N209" s="121" t="e">
        <f>SUMIFS(#REF!,#REF!,Extrato!$B209,#REF!,Extrato!N$3,#REF!,"Fulltbet")</f>
        <v>#REF!</v>
      </c>
      <c r="O209" s="121" t="e">
        <f>SUMIFS(#REF!,#REF!,Extrato!$B209,#REF!,Extrato!O$3,#REF!,"Fulltbet")</f>
        <v>#REF!</v>
      </c>
      <c r="P209" s="121">
        <f>SUMIF(BetFlow!B:B,B209,BetFlow!J:J)</f>
        <v>-6.28</v>
      </c>
      <c r="Q209" s="121" t="e">
        <f>SUMIFS(#REF!,#REF!,Extrato!$B209,#REF!,Extrato!Q$3)</f>
        <v>#REF!</v>
      </c>
      <c r="R209" s="121" t="e">
        <f>SUMIFS(#REF!,#REF!,Extrato!$B209,#REF!,Extrato!R$3,#REF!,"Fulltbet")</f>
        <v>#REF!</v>
      </c>
      <c r="S209" s="121" t="e">
        <f>SUMIFS(#REF!,#REF!,Extrato!$B209,#REF!,Extrato!S$3,#REF!,"Fulltbet")</f>
        <v>#REF!</v>
      </c>
      <c r="T209" s="121" t="e">
        <f>SUMIFS(#REF!,#REF!,Extrato!$B209,#REF!,Extrato!T$3,#REF!,"Fulltbet")</f>
        <v>#REF!</v>
      </c>
      <c r="U209" s="121" t="e">
        <f>SUMIFS(#REF!,#REF!,Extrato!$B209,#REF!,Extrato!U$3)</f>
        <v>#REF!</v>
      </c>
      <c r="V209" s="121" t="e">
        <f>SUMIFS(#REF!,#REF!,Extrato!$B209,#REF!,Extrato!V$3)</f>
        <v>#REF!</v>
      </c>
      <c r="W209" s="121" t="e">
        <f>SUMIFS(#REF!,#REF!,Extrato!$B209,#REF!,Extrato!W$3,#REF!,"Fulltbet")</f>
        <v>#REF!</v>
      </c>
      <c r="X209" s="121" t="e">
        <f>SUMIFS(#REF!,#REF!,Extrato!$B209,#REF!,Extrato!X$3)</f>
        <v>#REF!</v>
      </c>
      <c r="Y209" s="121" t="e">
        <f>SUMIFS(#REF!,#REF!,Extrato!$B209,#REF!,Extrato!Y$3)</f>
        <v>#REF!</v>
      </c>
      <c r="Z209" s="121" t="e">
        <f>SUMIFS(#REF!,#REF!,Extrato!$B209,#REF!,Extrato!Z$3)</f>
        <v>#REF!</v>
      </c>
      <c r="AA209" s="121" t="e">
        <f>SUMIFS(#REF!,#REF!,Extrato!$B209,#REF!,Extrato!AA$3)</f>
        <v>#REF!</v>
      </c>
      <c r="AB209" s="121" t="e">
        <f>SUMIFS(#REF!,#REF!,Extrato!$B209,#REF!,Extrato!AB$3)</f>
        <v>#REF!</v>
      </c>
      <c r="AC209" s="121" t="e">
        <f>SUMIFS(#REF!,#REF!,Extrato!$B209,#REF!,Extrato!AC$3)</f>
        <v>#REF!</v>
      </c>
      <c r="AD209" s="121" t="e">
        <f>SUMIFS(#REF!,#REF!,Extrato!$B209,#REF!,Extrato!AD$3)</f>
        <v>#REF!</v>
      </c>
      <c r="AE209" s="121" t="e">
        <f>SUMIFS(#REF!,#REF!,Extrato!$B209,#REF!,Extrato!AE$3)</f>
        <v>#REF!</v>
      </c>
      <c r="AF209" s="121" t="e">
        <f>SUMIFS(#REF!,#REF!,Extrato!$B209,#REF!,Extrato!AF$3)</f>
        <v>#REF!</v>
      </c>
      <c r="AG209" s="121" t="e">
        <f>SUMIFS(#REF!,#REF!,Extrato!$B209,#REF!,Extrato!AG$3)</f>
        <v>#REF!</v>
      </c>
      <c r="AH209" s="121" t="e">
        <f>SUMIFS(#REF!,#REF!,Extrato!$B209,#REF!,Extrato!AH$3)</f>
        <v>#REF!</v>
      </c>
      <c r="AI209" s="121" t="e">
        <f>SUMIFS(#REF!,#REF!,Extrato!$B209,#REF!,Extrato!AI$3)</f>
        <v>#REF!</v>
      </c>
      <c r="AJ209" s="121">
        <v>0</v>
      </c>
      <c r="AK209" s="121">
        <v>0</v>
      </c>
      <c r="AL209" s="25" t="e">
        <f t="shared" si="11"/>
        <v>#REF!</v>
      </c>
      <c r="AM209" s="122"/>
      <c r="AN209" s="121" t="e">
        <f t="shared" si="9"/>
        <v>#REF!</v>
      </c>
      <c r="AO209" s="121">
        <f>SUMIF(BetFlow!B:B,Extrato!B209,BetFlow!M:M)</f>
        <v>6.4783799999999996</v>
      </c>
      <c r="AP209" s="121" t="e">
        <f>SUMIFS(#REF!,#REF!,Extrato!$B209,#REF!,Extrato!AP$3,#REF!,"Betbra")</f>
        <v>#REF!</v>
      </c>
      <c r="AQ209" s="121" t="e">
        <f>SUMIFS(#REF!,#REF!,Extrato!$B209,#REF!,Extrato!AQ$3,#REF!,"Betbra")</f>
        <v>#REF!</v>
      </c>
      <c r="AR209" s="121" t="e">
        <f>SUMIFS(#REF!,#REF!,Extrato!$B209,#REF!,Extrato!AR$3,#REF!,"Betbra")</f>
        <v>#REF!</v>
      </c>
      <c r="AS209" s="121" t="e">
        <f>SUMIFS(#REF!,#REF!,Extrato!$B209,#REF!,Extrato!AS$3,#REF!,"Betbra")</f>
        <v>#REF!</v>
      </c>
      <c r="AT209" s="121" t="e">
        <f>SUMIFS(#REF!,#REF!,Extrato!$B209,#REF!,Extrato!AT$3,#REF!,"Betbra")</f>
        <v>#REF!</v>
      </c>
      <c r="AU209" s="121" t="e">
        <f>SUMIFS(#REF!,#REF!,Extrato!$B209,#REF!,Extrato!AU$3,#REF!,"Betbra")</f>
        <v>#REF!</v>
      </c>
      <c r="AV209" s="121" t="e">
        <f>SUMIFS(#REF!,#REF!,Extrato!$B209,#REF!,Extrato!AV$3,#REF!,"Betbra")</f>
        <v>#REF!</v>
      </c>
      <c r="AW209" s="121" t="e">
        <f>SUMIFS(#REF!,#REF!,Extrato!$B209,#REF!,Extrato!AW$3,#REF!,"Betbra")</f>
        <v>#REF!</v>
      </c>
      <c r="AX209" s="121" t="e">
        <f>SUMIFS(#REF!,#REF!,Extrato!$B209,#REF!,Extrato!AX$3,#REF!,"Betbra")</f>
        <v>#REF!</v>
      </c>
      <c r="AY209" s="121" t="e">
        <f>SUMIFS(#REF!,#REF!,Extrato!$B209,#REF!,Extrato!AY$3,#REF!,"Betbra")</f>
        <v>#REF!</v>
      </c>
      <c r="AZ209" s="121" t="e">
        <f>SUMIFS(#REF!,#REF!,Extrato!$B209,#REF!,Extrato!AZ$3,#REF!,"Betbra")</f>
        <v>#REF!</v>
      </c>
      <c r="BA209" s="121" t="e">
        <f>SUMIFS(#REF!,#REF!,Extrato!$B209,#REF!,Extrato!BA$3,#REF!,"Betbra")</f>
        <v>#REF!</v>
      </c>
      <c r="BB209" s="121" t="e">
        <f>SUMIFS(#REF!,#REF!,Extrato!$B209,#REF!,Extrato!BB$3,#REF!,"Betbra")</f>
        <v>#REF!</v>
      </c>
      <c r="BC209" s="121">
        <v>0</v>
      </c>
      <c r="BD209" s="121">
        <v>-0.01</v>
      </c>
      <c r="BE209" s="25" t="e">
        <f t="shared" si="8"/>
        <v>#REF!</v>
      </c>
      <c r="BF209" s="122"/>
      <c r="BG209" s="121" t="e">
        <f t="shared" si="13"/>
        <v>#REF!</v>
      </c>
      <c r="BH209" s="121" t="e">
        <f>SUMIFS(#REF!,#REF!,Extrato!$B209,#REF!,Extrato!BH$3,#REF!,"Bolsa")</f>
        <v>#REF!</v>
      </c>
      <c r="BI209" s="121" t="e">
        <f>SUMIFS(#REF!,#REF!,Extrato!$B209,#REF!,Extrato!BI$3,#REF!,"Bolsa")</f>
        <v>#REF!</v>
      </c>
      <c r="BJ209" s="121" t="e">
        <f>SUMIFS(#REF!,#REF!,Extrato!$B209,#REF!,Extrato!BJ$3,#REF!,"Bolsa")</f>
        <v>#REF!</v>
      </c>
      <c r="BK209" s="121" t="e">
        <f>SUMIFS(#REF!,#REF!,Extrato!$B209,#REF!,Extrato!BK$3,#REF!,"Bolsa")</f>
        <v>#REF!</v>
      </c>
      <c r="BL209" s="121" t="e">
        <f>SUMIFS(#REF!,#REF!,Extrato!$B209,#REF!,Extrato!BL$3,#REF!,"Bolsa")</f>
        <v>#REF!</v>
      </c>
      <c r="BM209" s="121" t="e">
        <f>SUMIFS(#REF!,#REF!,Extrato!$B209,#REF!,Extrato!BM$3,#REF!,"Bolsa")</f>
        <v>#REF!</v>
      </c>
      <c r="BN209" s="121">
        <v>0</v>
      </c>
      <c r="BO209" s="121">
        <v>0</v>
      </c>
      <c r="BP209" s="25" t="e">
        <f t="shared" si="12"/>
        <v>#REF!</v>
      </c>
    </row>
    <row r="210" spans="2:68" ht="15" customHeight="1">
      <c r="B210" s="12">
        <v>46200</v>
      </c>
      <c r="C210" s="121" t="e">
        <f t="shared" si="10"/>
        <v>#REF!</v>
      </c>
      <c r="D210" s="121" t="e">
        <f>SUMIFS(#REF!,#REF!,Extrato!$B210,#REF!,Extrato!D$3)</f>
        <v>#REF!</v>
      </c>
      <c r="E210" s="121" t="e">
        <f>SUMIFS(#REF!,#REF!,Extrato!$B210,#REF!,Extrato!E$3,#REF!,"Fulltbet")</f>
        <v>#REF!</v>
      </c>
      <c r="F210" s="121" t="e">
        <f>SUMIFS(#REF!,#REF!,Extrato!$B210,#REF!,Extrato!F$3)</f>
        <v>#REF!</v>
      </c>
      <c r="G210" s="121" t="e">
        <f>SUMIFS(#REF!,#REF!,Extrato!$B210,#REF!,Extrato!G$3,#REF!,"Fulltbet")</f>
        <v>#REF!</v>
      </c>
      <c r="H210" s="121" t="e">
        <f>SUMIFS(#REF!,#REF!,Extrato!$B210,#REF!,Extrato!H$3)</f>
        <v>#REF!</v>
      </c>
      <c r="I210" s="121" t="e">
        <f>SUMIFS(#REF!,#REF!,Extrato!$B210,#REF!,Extrato!I$3,#REF!,"Fulltbet")</f>
        <v>#REF!</v>
      </c>
      <c r="J210" s="121" t="e">
        <f>SUMIFS(#REF!,#REF!,Extrato!$B210,#REF!,Extrato!J$3,#REF!,"Fulltbet")</f>
        <v>#REF!</v>
      </c>
      <c r="K210" s="121" t="e">
        <f>SUMIFS(#REF!,#REF!,Extrato!$B210,#REF!,Extrato!K$3,#REF!,"Fulltbet")</f>
        <v>#REF!</v>
      </c>
      <c r="L210" s="121" t="e">
        <f>SUMIFS(#REF!,#REF!,Extrato!$B210,#REF!,Extrato!L$3)</f>
        <v>#REF!</v>
      </c>
      <c r="M210" s="121" t="e">
        <f>SUMIFS(#REF!,#REF!,Extrato!$B210,#REF!,Extrato!M$3)</f>
        <v>#REF!</v>
      </c>
      <c r="N210" s="121" t="e">
        <f>SUMIFS(#REF!,#REF!,Extrato!$B210,#REF!,Extrato!N$3,#REF!,"Fulltbet")</f>
        <v>#REF!</v>
      </c>
      <c r="O210" s="121" t="e">
        <f>SUMIFS(#REF!,#REF!,Extrato!$B210,#REF!,Extrato!O$3,#REF!,"Fulltbet")</f>
        <v>#REF!</v>
      </c>
      <c r="P210" s="121">
        <f>SUMIF(BetFlow!B:B,B210,BetFlow!J:J)</f>
        <v>0</v>
      </c>
      <c r="Q210" s="121" t="e">
        <f>SUMIFS(#REF!,#REF!,Extrato!$B210,#REF!,Extrato!Q$3)</f>
        <v>#REF!</v>
      </c>
      <c r="R210" s="121" t="e">
        <f>SUMIFS(#REF!,#REF!,Extrato!$B210,#REF!,Extrato!R$3,#REF!,"Fulltbet")</f>
        <v>#REF!</v>
      </c>
      <c r="S210" s="121" t="e">
        <f>SUMIFS(#REF!,#REF!,Extrato!$B210,#REF!,Extrato!S$3,#REF!,"Fulltbet")</f>
        <v>#REF!</v>
      </c>
      <c r="T210" s="121" t="e">
        <f>SUMIFS(#REF!,#REF!,Extrato!$B210,#REF!,Extrato!T$3,#REF!,"Fulltbet")</f>
        <v>#REF!</v>
      </c>
      <c r="U210" s="121" t="e">
        <f>SUMIFS(#REF!,#REF!,Extrato!$B210,#REF!,Extrato!U$3)</f>
        <v>#REF!</v>
      </c>
      <c r="V210" s="121" t="e">
        <f>SUMIFS(#REF!,#REF!,Extrato!$B210,#REF!,Extrato!V$3)</f>
        <v>#REF!</v>
      </c>
      <c r="W210" s="121" t="e">
        <f>SUMIFS(#REF!,#REF!,Extrato!$B210,#REF!,Extrato!W$3,#REF!,"Fulltbet")</f>
        <v>#REF!</v>
      </c>
      <c r="X210" s="121" t="e">
        <f>SUMIFS(#REF!,#REF!,Extrato!$B210,#REF!,Extrato!X$3)</f>
        <v>#REF!</v>
      </c>
      <c r="Y210" s="121" t="e">
        <f>SUMIFS(#REF!,#REF!,Extrato!$B210,#REF!,Extrato!Y$3)</f>
        <v>#REF!</v>
      </c>
      <c r="Z210" s="121" t="e">
        <f>SUMIFS(#REF!,#REF!,Extrato!$B210,#REF!,Extrato!Z$3)</f>
        <v>#REF!</v>
      </c>
      <c r="AA210" s="121" t="e">
        <f>SUMIFS(#REF!,#REF!,Extrato!$B210,#REF!,Extrato!AA$3)</f>
        <v>#REF!</v>
      </c>
      <c r="AB210" s="121" t="e">
        <f>SUMIFS(#REF!,#REF!,Extrato!$B210,#REF!,Extrato!AB$3)</f>
        <v>#REF!</v>
      </c>
      <c r="AC210" s="121" t="e">
        <f>SUMIFS(#REF!,#REF!,Extrato!$B210,#REF!,Extrato!AC$3)</f>
        <v>#REF!</v>
      </c>
      <c r="AD210" s="121" t="e">
        <f>SUMIFS(#REF!,#REF!,Extrato!$B210,#REF!,Extrato!AD$3)</f>
        <v>#REF!</v>
      </c>
      <c r="AE210" s="121" t="e">
        <f>SUMIFS(#REF!,#REF!,Extrato!$B210,#REF!,Extrato!AE$3)</f>
        <v>#REF!</v>
      </c>
      <c r="AF210" s="121" t="e">
        <f>SUMIFS(#REF!,#REF!,Extrato!$B210,#REF!,Extrato!AF$3)</f>
        <v>#REF!</v>
      </c>
      <c r="AG210" s="121" t="e">
        <f>SUMIFS(#REF!,#REF!,Extrato!$B210,#REF!,Extrato!AG$3)</f>
        <v>#REF!</v>
      </c>
      <c r="AH210" s="121" t="e">
        <f>SUMIFS(#REF!,#REF!,Extrato!$B210,#REF!,Extrato!AH$3)</f>
        <v>#REF!</v>
      </c>
      <c r="AI210" s="121" t="e">
        <f>SUMIFS(#REF!,#REF!,Extrato!$B210,#REF!,Extrato!AI$3)</f>
        <v>#REF!</v>
      </c>
      <c r="AJ210" s="121">
        <v>0</v>
      </c>
      <c r="AK210" s="121">
        <v>0</v>
      </c>
      <c r="AL210" s="25" t="e">
        <f t="shared" si="11"/>
        <v>#REF!</v>
      </c>
      <c r="AM210" s="122"/>
      <c r="AN210" s="121" t="e">
        <f t="shared" si="9"/>
        <v>#REF!</v>
      </c>
      <c r="AO210" s="121">
        <f>SUMIF(BetFlow!B:B,Extrato!B210,BetFlow!M:M)</f>
        <v>0</v>
      </c>
      <c r="AP210" s="121" t="e">
        <f>SUMIFS(#REF!,#REF!,Extrato!$B210,#REF!,Extrato!AP$3,#REF!,"Betbra")</f>
        <v>#REF!</v>
      </c>
      <c r="AQ210" s="121" t="e">
        <f>SUMIFS(#REF!,#REF!,Extrato!$B210,#REF!,Extrato!AQ$3,#REF!,"Betbra")</f>
        <v>#REF!</v>
      </c>
      <c r="AR210" s="121" t="e">
        <f>SUMIFS(#REF!,#REF!,Extrato!$B210,#REF!,Extrato!AR$3,#REF!,"Betbra")</f>
        <v>#REF!</v>
      </c>
      <c r="AS210" s="121" t="e">
        <f>SUMIFS(#REF!,#REF!,Extrato!$B210,#REF!,Extrato!AS$3,#REF!,"Betbra")</f>
        <v>#REF!</v>
      </c>
      <c r="AT210" s="121" t="e">
        <f>SUMIFS(#REF!,#REF!,Extrato!$B210,#REF!,Extrato!AT$3,#REF!,"Betbra")</f>
        <v>#REF!</v>
      </c>
      <c r="AU210" s="121" t="e">
        <f>SUMIFS(#REF!,#REF!,Extrato!$B210,#REF!,Extrato!AU$3,#REF!,"Betbra")</f>
        <v>#REF!</v>
      </c>
      <c r="AV210" s="121" t="e">
        <f>SUMIFS(#REF!,#REF!,Extrato!$B210,#REF!,Extrato!AV$3,#REF!,"Betbra")</f>
        <v>#REF!</v>
      </c>
      <c r="AW210" s="121" t="e">
        <f>SUMIFS(#REF!,#REF!,Extrato!$B210,#REF!,Extrato!AW$3,#REF!,"Betbra")</f>
        <v>#REF!</v>
      </c>
      <c r="AX210" s="121" t="e">
        <f>SUMIFS(#REF!,#REF!,Extrato!$B210,#REF!,Extrato!AX$3,#REF!,"Betbra")</f>
        <v>#REF!</v>
      </c>
      <c r="AY210" s="121" t="e">
        <f>SUMIFS(#REF!,#REF!,Extrato!$B210,#REF!,Extrato!AY$3,#REF!,"Betbra")</f>
        <v>#REF!</v>
      </c>
      <c r="AZ210" s="121" t="e">
        <f>SUMIFS(#REF!,#REF!,Extrato!$B210,#REF!,Extrato!AZ$3,#REF!,"Betbra")</f>
        <v>#REF!</v>
      </c>
      <c r="BA210" s="121" t="e">
        <f>SUMIFS(#REF!,#REF!,Extrato!$B210,#REF!,Extrato!BA$3,#REF!,"Betbra")</f>
        <v>#REF!</v>
      </c>
      <c r="BB210" s="121" t="e">
        <f>SUMIFS(#REF!,#REF!,Extrato!$B210,#REF!,Extrato!BB$3,#REF!,"Betbra")</f>
        <v>#REF!</v>
      </c>
      <c r="BC210" s="121">
        <v>0</v>
      </c>
      <c r="BD210" s="121">
        <v>-0.01</v>
      </c>
      <c r="BE210" s="25" t="e">
        <f t="shared" si="8"/>
        <v>#REF!</v>
      </c>
      <c r="BF210" s="122"/>
      <c r="BG210" s="121" t="e">
        <f t="shared" si="13"/>
        <v>#REF!</v>
      </c>
      <c r="BH210" s="121" t="e">
        <f>SUMIFS(#REF!,#REF!,Extrato!$B210,#REF!,Extrato!BH$3,#REF!,"Bolsa")</f>
        <v>#REF!</v>
      </c>
      <c r="BI210" s="121" t="e">
        <f>SUMIFS(#REF!,#REF!,Extrato!$B210,#REF!,Extrato!BI$3,#REF!,"Bolsa")</f>
        <v>#REF!</v>
      </c>
      <c r="BJ210" s="121" t="e">
        <f>SUMIFS(#REF!,#REF!,Extrato!$B210,#REF!,Extrato!BJ$3,#REF!,"Bolsa")</f>
        <v>#REF!</v>
      </c>
      <c r="BK210" s="121" t="e">
        <f>SUMIFS(#REF!,#REF!,Extrato!$B210,#REF!,Extrato!BK$3,#REF!,"Bolsa")</f>
        <v>#REF!</v>
      </c>
      <c r="BL210" s="121" t="e">
        <f>SUMIFS(#REF!,#REF!,Extrato!$B210,#REF!,Extrato!BL$3,#REF!,"Bolsa")</f>
        <v>#REF!</v>
      </c>
      <c r="BM210" s="121" t="e">
        <f>SUMIFS(#REF!,#REF!,Extrato!$B210,#REF!,Extrato!BM$3,#REF!,"Bolsa")</f>
        <v>#REF!</v>
      </c>
      <c r="BN210" s="121">
        <v>0</v>
      </c>
      <c r="BO210" s="121">
        <v>0</v>
      </c>
      <c r="BP210" s="25" t="e">
        <f t="shared" si="12"/>
        <v>#REF!</v>
      </c>
    </row>
    <row r="211" spans="2:68" ht="15" customHeight="1">
      <c r="B211" s="12">
        <v>46201</v>
      </c>
      <c r="C211" s="121" t="e">
        <f t="shared" si="10"/>
        <v>#REF!</v>
      </c>
      <c r="D211" s="121" t="e">
        <f>SUMIFS(#REF!,#REF!,Extrato!$B211,#REF!,Extrato!D$3)</f>
        <v>#REF!</v>
      </c>
      <c r="E211" s="121" t="e">
        <f>SUMIFS(#REF!,#REF!,Extrato!$B211,#REF!,Extrato!E$3,#REF!,"Fulltbet")</f>
        <v>#REF!</v>
      </c>
      <c r="F211" s="121" t="e">
        <f>SUMIFS(#REF!,#REF!,Extrato!$B211,#REF!,Extrato!F$3)</f>
        <v>#REF!</v>
      </c>
      <c r="G211" s="121" t="e">
        <f>SUMIFS(#REF!,#REF!,Extrato!$B211,#REF!,Extrato!G$3,#REF!,"Fulltbet")</f>
        <v>#REF!</v>
      </c>
      <c r="H211" s="121" t="e">
        <f>SUMIFS(#REF!,#REF!,Extrato!$B211,#REF!,Extrato!H$3)</f>
        <v>#REF!</v>
      </c>
      <c r="I211" s="121" t="e">
        <f>SUMIFS(#REF!,#REF!,Extrato!$B211,#REF!,Extrato!I$3,#REF!,"Fulltbet")</f>
        <v>#REF!</v>
      </c>
      <c r="J211" s="121" t="e">
        <f>SUMIFS(#REF!,#REF!,Extrato!$B211,#REF!,Extrato!J$3,#REF!,"Fulltbet")</f>
        <v>#REF!</v>
      </c>
      <c r="K211" s="121" t="e">
        <f>SUMIFS(#REF!,#REF!,Extrato!$B211,#REF!,Extrato!K$3,#REF!,"Fulltbet")</f>
        <v>#REF!</v>
      </c>
      <c r="L211" s="121" t="e">
        <f>SUMIFS(#REF!,#REF!,Extrato!$B211,#REF!,Extrato!L$3)</f>
        <v>#REF!</v>
      </c>
      <c r="M211" s="121" t="e">
        <f>SUMIFS(#REF!,#REF!,Extrato!$B211,#REF!,Extrato!M$3)</f>
        <v>#REF!</v>
      </c>
      <c r="N211" s="121" t="e">
        <f>SUMIFS(#REF!,#REF!,Extrato!$B211,#REF!,Extrato!N$3,#REF!,"Fulltbet")</f>
        <v>#REF!</v>
      </c>
      <c r="O211" s="121" t="e">
        <f>SUMIFS(#REF!,#REF!,Extrato!$B211,#REF!,Extrato!O$3,#REF!,"Fulltbet")</f>
        <v>#REF!</v>
      </c>
      <c r="P211" s="121">
        <f>SUMIF(BetFlow!B:B,B211,BetFlow!J:J)</f>
        <v>0</v>
      </c>
      <c r="Q211" s="121" t="e">
        <f>SUMIFS(#REF!,#REF!,Extrato!$B211,#REF!,Extrato!Q$3)</f>
        <v>#REF!</v>
      </c>
      <c r="R211" s="121" t="e">
        <f>SUMIFS(#REF!,#REF!,Extrato!$B211,#REF!,Extrato!R$3,#REF!,"Fulltbet")</f>
        <v>#REF!</v>
      </c>
      <c r="S211" s="121" t="e">
        <f>SUMIFS(#REF!,#REF!,Extrato!$B211,#REF!,Extrato!S$3,#REF!,"Fulltbet")</f>
        <v>#REF!</v>
      </c>
      <c r="T211" s="121" t="e">
        <f>SUMIFS(#REF!,#REF!,Extrato!$B211,#REF!,Extrato!T$3,#REF!,"Fulltbet")</f>
        <v>#REF!</v>
      </c>
      <c r="U211" s="121" t="e">
        <f>SUMIFS(#REF!,#REF!,Extrato!$B211,#REF!,Extrato!U$3)</f>
        <v>#REF!</v>
      </c>
      <c r="V211" s="121" t="e">
        <f>SUMIFS(#REF!,#REF!,Extrato!$B211,#REF!,Extrato!V$3)</f>
        <v>#REF!</v>
      </c>
      <c r="W211" s="121" t="e">
        <f>SUMIFS(#REF!,#REF!,Extrato!$B211,#REF!,Extrato!W$3,#REF!,"Fulltbet")</f>
        <v>#REF!</v>
      </c>
      <c r="X211" s="121" t="e">
        <f>SUMIFS(#REF!,#REF!,Extrato!$B211,#REF!,Extrato!X$3)</f>
        <v>#REF!</v>
      </c>
      <c r="Y211" s="121" t="e">
        <f>SUMIFS(#REF!,#REF!,Extrato!$B211,#REF!,Extrato!Y$3)</f>
        <v>#REF!</v>
      </c>
      <c r="Z211" s="121" t="e">
        <f>SUMIFS(#REF!,#REF!,Extrato!$B211,#REF!,Extrato!Z$3)</f>
        <v>#REF!</v>
      </c>
      <c r="AA211" s="121" t="e">
        <f>SUMIFS(#REF!,#REF!,Extrato!$B211,#REF!,Extrato!AA$3)</f>
        <v>#REF!</v>
      </c>
      <c r="AB211" s="121" t="e">
        <f>SUMIFS(#REF!,#REF!,Extrato!$B211,#REF!,Extrato!AB$3)</f>
        <v>#REF!</v>
      </c>
      <c r="AC211" s="121" t="e">
        <f>SUMIFS(#REF!,#REF!,Extrato!$B211,#REF!,Extrato!AC$3)</f>
        <v>#REF!</v>
      </c>
      <c r="AD211" s="121" t="e">
        <f>SUMIFS(#REF!,#REF!,Extrato!$B211,#REF!,Extrato!AD$3)</f>
        <v>#REF!</v>
      </c>
      <c r="AE211" s="121" t="e">
        <f>SUMIFS(#REF!,#REF!,Extrato!$B211,#REF!,Extrato!AE$3)</f>
        <v>#REF!</v>
      </c>
      <c r="AF211" s="121" t="e">
        <f>SUMIFS(#REF!,#REF!,Extrato!$B211,#REF!,Extrato!AF$3)</f>
        <v>#REF!</v>
      </c>
      <c r="AG211" s="121" t="e">
        <f>SUMIFS(#REF!,#REF!,Extrato!$B211,#REF!,Extrato!AG$3)</f>
        <v>#REF!</v>
      </c>
      <c r="AH211" s="121" t="e">
        <f>SUMIFS(#REF!,#REF!,Extrato!$B211,#REF!,Extrato!AH$3)</f>
        <v>#REF!</v>
      </c>
      <c r="AI211" s="121" t="e">
        <f>SUMIFS(#REF!,#REF!,Extrato!$B211,#REF!,Extrato!AI$3)</f>
        <v>#REF!</v>
      </c>
      <c r="AJ211" s="121">
        <v>0</v>
      </c>
      <c r="AK211" s="121">
        <v>-0.01</v>
      </c>
      <c r="AL211" s="25" t="e">
        <f t="shared" si="11"/>
        <v>#REF!</v>
      </c>
      <c r="AM211" s="122"/>
      <c r="AN211" s="121" t="e">
        <f t="shared" si="9"/>
        <v>#REF!</v>
      </c>
      <c r="AO211" s="121">
        <f>SUMIF(BetFlow!B:B,Extrato!B211,BetFlow!M:M)</f>
        <v>0</v>
      </c>
      <c r="AP211" s="121" t="e">
        <f>SUMIFS(#REF!,#REF!,Extrato!$B211,#REF!,Extrato!AP$3,#REF!,"Betbra")</f>
        <v>#REF!</v>
      </c>
      <c r="AQ211" s="121" t="e">
        <f>SUMIFS(#REF!,#REF!,Extrato!$B211,#REF!,Extrato!AQ$3,#REF!,"Betbra")</f>
        <v>#REF!</v>
      </c>
      <c r="AR211" s="121" t="e">
        <f>SUMIFS(#REF!,#REF!,Extrato!$B211,#REF!,Extrato!AR$3,#REF!,"Betbra")</f>
        <v>#REF!</v>
      </c>
      <c r="AS211" s="121" t="e">
        <f>SUMIFS(#REF!,#REF!,Extrato!$B211,#REF!,Extrato!AS$3,#REF!,"Betbra")</f>
        <v>#REF!</v>
      </c>
      <c r="AT211" s="121" t="e">
        <f>SUMIFS(#REF!,#REF!,Extrato!$B211,#REF!,Extrato!AT$3,#REF!,"Betbra")</f>
        <v>#REF!</v>
      </c>
      <c r="AU211" s="121" t="e">
        <f>SUMIFS(#REF!,#REF!,Extrato!$B211,#REF!,Extrato!AU$3,#REF!,"Betbra")</f>
        <v>#REF!</v>
      </c>
      <c r="AV211" s="121" t="e">
        <f>SUMIFS(#REF!,#REF!,Extrato!$B211,#REF!,Extrato!AV$3,#REF!,"Betbra")</f>
        <v>#REF!</v>
      </c>
      <c r="AW211" s="121" t="e">
        <f>SUMIFS(#REF!,#REF!,Extrato!$B211,#REF!,Extrato!AW$3,#REF!,"Betbra")</f>
        <v>#REF!</v>
      </c>
      <c r="AX211" s="121" t="e">
        <f>SUMIFS(#REF!,#REF!,Extrato!$B211,#REF!,Extrato!AX$3,#REF!,"Betbra")</f>
        <v>#REF!</v>
      </c>
      <c r="AY211" s="121" t="e">
        <f>SUMIFS(#REF!,#REF!,Extrato!$B211,#REF!,Extrato!AY$3,#REF!,"Betbra")</f>
        <v>#REF!</v>
      </c>
      <c r="AZ211" s="121" t="e">
        <f>SUMIFS(#REF!,#REF!,Extrato!$B211,#REF!,Extrato!AZ$3,#REF!,"Betbra")</f>
        <v>#REF!</v>
      </c>
      <c r="BA211" s="121" t="e">
        <f>SUMIFS(#REF!,#REF!,Extrato!$B211,#REF!,Extrato!BA$3,#REF!,"Betbra")</f>
        <v>#REF!</v>
      </c>
      <c r="BB211" s="121" t="e">
        <f>SUMIFS(#REF!,#REF!,Extrato!$B211,#REF!,Extrato!BB$3,#REF!,"Betbra")</f>
        <v>#REF!</v>
      </c>
      <c r="BC211" s="121">
        <v>0</v>
      </c>
      <c r="BD211" s="121">
        <v>0</v>
      </c>
      <c r="BE211" s="25" t="e">
        <f t="shared" si="8"/>
        <v>#REF!</v>
      </c>
      <c r="BF211" s="122"/>
      <c r="BG211" s="121" t="e">
        <f t="shared" si="13"/>
        <v>#REF!</v>
      </c>
      <c r="BH211" s="121" t="e">
        <f>SUMIFS(#REF!,#REF!,Extrato!$B211,#REF!,Extrato!BH$3,#REF!,"Bolsa")</f>
        <v>#REF!</v>
      </c>
      <c r="BI211" s="121" t="e">
        <f>SUMIFS(#REF!,#REF!,Extrato!$B211,#REF!,Extrato!BI$3,#REF!,"Bolsa")</f>
        <v>#REF!</v>
      </c>
      <c r="BJ211" s="121" t="e">
        <f>SUMIFS(#REF!,#REF!,Extrato!$B211,#REF!,Extrato!BJ$3,#REF!,"Bolsa")</f>
        <v>#REF!</v>
      </c>
      <c r="BK211" s="121" t="e">
        <f>SUMIFS(#REF!,#REF!,Extrato!$B211,#REF!,Extrato!BK$3,#REF!,"Bolsa")</f>
        <v>#REF!</v>
      </c>
      <c r="BL211" s="121" t="e">
        <f>SUMIFS(#REF!,#REF!,Extrato!$B211,#REF!,Extrato!BL$3,#REF!,"Bolsa")</f>
        <v>#REF!</v>
      </c>
      <c r="BM211" s="121" t="e">
        <f>SUMIFS(#REF!,#REF!,Extrato!$B211,#REF!,Extrato!BM$3,#REF!,"Bolsa")</f>
        <v>#REF!</v>
      </c>
      <c r="BN211" s="121">
        <v>0</v>
      </c>
      <c r="BO211" s="121">
        <v>0</v>
      </c>
      <c r="BP211" s="25" t="e">
        <f t="shared" si="12"/>
        <v>#REF!</v>
      </c>
    </row>
    <row r="212" spans="2:68" ht="15" customHeight="1">
      <c r="B212" s="12">
        <v>46202</v>
      </c>
      <c r="C212" s="121" t="e">
        <f t="shared" si="10"/>
        <v>#REF!</v>
      </c>
      <c r="D212" s="121" t="e">
        <f>SUMIFS(#REF!,#REF!,Extrato!$B212,#REF!,Extrato!D$3)</f>
        <v>#REF!</v>
      </c>
      <c r="E212" s="121" t="e">
        <f>SUMIFS(#REF!,#REF!,Extrato!$B212,#REF!,Extrato!E$3,#REF!,"Fulltbet")</f>
        <v>#REF!</v>
      </c>
      <c r="F212" s="121" t="e">
        <f>SUMIFS(#REF!,#REF!,Extrato!$B212,#REF!,Extrato!F$3)</f>
        <v>#REF!</v>
      </c>
      <c r="G212" s="121" t="e">
        <f>SUMIFS(#REF!,#REF!,Extrato!$B212,#REF!,Extrato!G$3,#REF!,"Fulltbet")</f>
        <v>#REF!</v>
      </c>
      <c r="H212" s="121" t="e">
        <f>SUMIFS(#REF!,#REF!,Extrato!$B212,#REF!,Extrato!H$3)</f>
        <v>#REF!</v>
      </c>
      <c r="I212" s="121" t="e">
        <f>SUMIFS(#REF!,#REF!,Extrato!$B212,#REF!,Extrato!I$3,#REF!,"Fulltbet")</f>
        <v>#REF!</v>
      </c>
      <c r="J212" s="121" t="e">
        <f>SUMIFS(#REF!,#REF!,Extrato!$B212,#REF!,Extrato!J$3,#REF!,"Fulltbet")</f>
        <v>#REF!</v>
      </c>
      <c r="K212" s="121" t="e">
        <f>SUMIFS(#REF!,#REF!,Extrato!$B212,#REF!,Extrato!K$3,#REF!,"Fulltbet")</f>
        <v>#REF!</v>
      </c>
      <c r="L212" s="121" t="e">
        <f>SUMIFS(#REF!,#REF!,Extrato!$B212,#REF!,Extrato!L$3)</f>
        <v>#REF!</v>
      </c>
      <c r="M212" s="121" t="e">
        <f>SUMIFS(#REF!,#REF!,Extrato!$B212,#REF!,Extrato!M$3)</f>
        <v>#REF!</v>
      </c>
      <c r="N212" s="121" t="e">
        <f>SUMIFS(#REF!,#REF!,Extrato!$B212,#REF!,Extrato!N$3,#REF!,"Fulltbet")</f>
        <v>#REF!</v>
      </c>
      <c r="O212" s="121" t="e">
        <f>SUMIFS(#REF!,#REF!,Extrato!$B212,#REF!,Extrato!O$3,#REF!,"Fulltbet")</f>
        <v>#REF!</v>
      </c>
      <c r="P212" s="121">
        <f>SUMIF(BetFlow!B:B,B212,BetFlow!J:J)</f>
        <v>0</v>
      </c>
      <c r="Q212" s="121" t="e">
        <f>SUMIFS(#REF!,#REF!,Extrato!$B212,#REF!,Extrato!Q$3)</f>
        <v>#REF!</v>
      </c>
      <c r="R212" s="121" t="e">
        <f>SUMIFS(#REF!,#REF!,Extrato!$B212,#REF!,Extrato!R$3,#REF!,"Fulltbet")</f>
        <v>#REF!</v>
      </c>
      <c r="S212" s="121" t="e">
        <f>SUMIFS(#REF!,#REF!,Extrato!$B212,#REF!,Extrato!S$3,#REF!,"Fulltbet")</f>
        <v>#REF!</v>
      </c>
      <c r="T212" s="121" t="e">
        <f>SUMIFS(#REF!,#REF!,Extrato!$B212,#REF!,Extrato!T$3,#REF!,"Fulltbet")</f>
        <v>#REF!</v>
      </c>
      <c r="U212" s="121" t="e">
        <f>SUMIFS(#REF!,#REF!,Extrato!$B212,#REF!,Extrato!U$3)</f>
        <v>#REF!</v>
      </c>
      <c r="V212" s="121" t="e">
        <f>SUMIFS(#REF!,#REF!,Extrato!$B212,#REF!,Extrato!V$3)</f>
        <v>#REF!</v>
      </c>
      <c r="W212" s="121" t="e">
        <f>SUMIFS(#REF!,#REF!,Extrato!$B212,#REF!,Extrato!W$3,#REF!,"Fulltbet")</f>
        <v>#REF!</v>
      </c>
      <c r="X212" s="121" t="e">
        <f>SUMIFS(#REF!,#REF!,Extrato!$B212,#REF!,Extrato!X$3)</f>
        <v>#REF!</v>
      </c>
      <c r="Y212" s="121" t="e">
        <f>SUMIFS(#REF!,#REF!,Extrato!$B212,#REF!,Extrato!Y$3)</f>
        <v>#REF!</v>
      </c>
      <c r="Z212" s="121" t="e">
        <f>SUMIFS(#REF!,#REF!,Extrato!$B212,#REF!,Extrato!Z$3)</f>
        <v>#REF!</v>
      </c>
      <c r="AA212" s="121" t="e">
        <f>SUMIFS(#REF!,#REF!,Extrato!$B212,#REF!,Extrato!AA$3)</f>
        <v>#REF!</v>
      </c>
      <c r="AB212" s="121" t="e">
        <f>SUMIFS(#REF!,#REF!,Extrato!$B212,#REF!,Extrato!AB$3)</f>
        <v>#REF!</v>
      </c>
      <c r="AC212" s="121" t="e">
        <f>SUMIFS(#REF!,#REF!,Extrato!$B212,#REF!,Extrato!AC$3)</f>
        <v>#REF!</v>
      </c>
      <c r="AD212" s="121" t="e">
        <f>SUMIFS(#REF!,#REF!,Extrato!$B212,#REF!,Extrato!AD$3)</f>
        <v>#REF!</v>
      </c>
      <c r="AE212" s="121" t="e">
        <f>SUMIFS(#REF!,#REF!,Extrato!$B212,#REF!,Extrato!AE$3)</f>
        <v>#REF!</v>
      </c>
      <c r="AF212" s="121" t="e">
        <f>SUMIFS(#REF!,#REF!,Extrato!$B212,#REF!,Extrato!AF$3)</f>
        <v>#REF!</v>
      </c>
      <c r="AG212" s="121" t="e">
        <f>SUMIFS(#REF!,#REF!,Extrato!$B212,#REF!,Extrato!AG$3)</f>
        <v>#REF!</v>
      </c>
      <c r="AH212" s="121" t="e">
        <f>SUMIFS(#REF!,#REF!,Extrato!$B212,#REF!,Extrato!AH$3)</f>
        <v>#REF!</v>
      </c>
      <c r="AI212" s="121" t="e">
        <f>SUMIFS(#REF!,#REF!,Extrato!$B212,#REF!,Extrato!AI$3)</f>
        <v>#REF!</v>
      </c>
      <c r="AJ212" s="121">
        <v>0</v>
      </c>
      <c r="AK212" s="121">
        <v>0</v>
      </c>
      <c r="AL212" s="25" t="e">
        <f t="shared" si="11"/>
        <v>#REF!</v>
      </c>
      <c r="AM212" s="122"/>
      <c r="AN212" s="121" t="e">
        <f t="shared" si="9"/>
        <v>#REF!</v>
      </c>
      <c r="AO212" s="121">
        <f>SUMIF(BetFlow!B:B,Extrato!B212,BetFlow!M:M)</f>
        <v>0</v>
      </c>
      <c r="AP212" s="121" t="e">
        <f>SUMIFS(#REF!,#REF!,Extrato!$B212,#REF!,Extrato!AP$3,#REF!,"Betbra")</f>
        <v>#REF!</v>
      </c>
      <c r="AQ212" s="121" t="e">
        <f>SUMIFS(#REF!,#REF!,Extrato!$B212,#REF!,Extrato!AQ$3,#REF!,"Betbra")</f>
        <v>#REF!</v>
      </c>
      <c r="AR212" s="121" t="e">
        <f>SUMIFS(#REF!,#REF!,Extrato!$B212,#REF!,Extrato!AR$3,#REF!,"Betbra")</f>
        <v>#REF!</v>
      </c>
      <c r="AS212" s="121" t="e">
        <f>SUMIFS(#REF!,#REF!,Extrato!$B212,#REF!,Extrato!AS$3,#REF!,"Betbra")</f>
        <v>#REF!</v>
      </c>
      <c r="AT212" s="121" t="e">
        <f>SUMIFS(#REF!,#REF!,Extrato!$B212,#REF!,Extrato!AT$3,#REF!,"Betbra")</f>
        <v>#REF!</v>
      </c>
      <c r="AU212" s="121" t="e">
        <f>SUMIFS(#REF!,#REF!,Extrato!$B212,#REF!,Extrato!AU$3,#REF!,"Betbra")</f>
        <v>#REF!</v>
      </c>
      <c r="AV212" s="121" t="e">
        <f>SUMIFS(#REF!,#REF!,Extrato!$B212,#REF!,Extrato!AV$3,#REF!,"Betbra")</f>
        <v>#REF!</v>
      </c>
      <c r="AW212" s="121" t="e">
        <f>SUMIFS(#REF!,#REF!,Extrato!$B212,#REF!,Extrato!AW$3,#REF!,"Betbra")</f>
        <v>#REF!</v>
      </c>
      <c r="AX212" s="121" t="e">
        <f>SUMIFS(#REF!,#REF!,Extrato!$B212,#REF!,Extrato!AX$3,#REF!,"Betbra")</f>
        <v>#REF!</v>
      </c>
      <c r="AY212" s="121" t="e">
        <f>SUMIFS(#REF!,#REF!,Extrato!$B212,#REF!,Extrato!AY$3,#REF!,"Betbra")</f>
        <v>#REF!</v>
      </c>
      <c r="AZ212" s="121" t="e">
        <f>SUMIFS(#REF!,#REF!,Extrato!$B212,#REF!,Extrato!AZ$3,#REF!,"Betbra")</f>
        <v>#REF!</v>
      </c>
      <c r="BA212" s="121" t="e">
        <f>SUMIFS(#REF!,#REF!,Extrato!$B212,#REF!,Extrato!BA$3,#REF!,"Betbra")</f>
        <v>#REF!</v>
      </c>
      <c r="BB212" s="121" t="e">
        <f>SUMIFS(#REF!,#REF!,Extrato!$B212,#REF!,Extrato!BB$3,#REF!,"Betbra")</f>
        <v>#REF!</v>
      </c>
      <c r="BC212" s="121">
        <v>0</v>
      </c>
      <c r="BD212" s="121">
        <v>0.01</v>
      </c>
      <c r="BE212" s="25" t="e">
        <f t="shared" si="8"/>
        <v>#REF!</v>
      </c>
      <c r="BF212" s="122"/>
      <c r="BG212" s="121" t="e">
        <f t="shared" si="13"/>
        <v>#REF!</v>
      </c>
      <c r="BH212" s="121" t="e">
        <f>SUMIFS(#REF!,#REF!,Extrato!$B212,#REF!,Extrato!BH$3,#REF!,"Bolsa")</f>
        <v>#REF!</v>
      </c>
      <c r="BI212" s="121" t="e">
        <f>SUMIFS(#REF!,#REF!,Extrato!$B212,#REF!,Extrato!BI$3,#REF!,"Bolsa")</f>
        <v>#REF!</v>
      </c>
      <c r="BJ212" s="121" t="e">
        <f>SUMIFS(#REF!,#REF!,Extrato!$B212,#REF!,Extrato!BJ$3,#REF!,"Bolsa")</f>
        <v>#REF!</v>
      </c>
      <c r="BK212" s="121" t="e">
        <f>SUMIFS(#REF!,#REF!,Extrato!$B212,#REF!,Extrato!BK$3,#REF!,"Bolsa")</f>
        <v>#REF!</v>
      </c>
      <c r="BL212" s="121" t="e">
        <f>SUMIFS(#REF!,#REF!,Extrato!$B212,#REF!,Extrato!BL$3,#REF!,"Bolsa")</f>
        <v>#REF!</v>
      </c>
      <c r="BM212" s="121" t="e">
        <f>SUMIFS(#REF!,#REF!,Extrato!$B212,#REF!,Extrato!BM$3,#REF!,"Bolsa")</f>
        <v>#REF!</v>
      </c>
      <c r="BN212" s="121">
        <v>0</v>
      </c>
      <c r="BO212" s="121">
        <v>0</v>
      </c>
      <c r="BP212" s="25" t="e">
        <f t="shared" si="12"/>
        <v>#REF!</v>
      </c>
    </row>
    <row r="213" spans="2:68" ht="15" customHeight="1">
      <c r="B213" s="12">
        <v>46203</v>
      </c>
      <c r="C213" s="121" t="e">
        <f t="shared" si="10"/>
        <v>#REF!</v>
      </c>
      <c r="D213" s="121" t="e">
        <f>SUMIFS(#REF!,#REF!,Extrato!$B213,#REF!,Extrato!D$3)</f>
        <v>#REF!</v>
      </c>
      <c r="E213" s="121" t="e">
        <f>SUMIFS(#REF!,#REF!,Extrato!$B213,#REF!,Extrato!E$3,#REF!,"Fulltbet")</f>
        <v>#REF!</v>
      </c>
      <c r="F213" s="121" t="e">
        <f>SUMIFS(#REF!,#REF!,Extrato!$B213,#REF!,Extrato!F$3)</f>
        <v>#REF!</v>
      </c>
      <c r="G213" s="121" t="e">
        <f>SUMIFS(#REF!,#REF!,Extrato!$B213,#REF!,Extrato!G$3,#REF!,"Fulltbet")</f>
        <v>#REF!</v>
      </c>
      <c r="H213" s="121" t="e">
        <f>SUMIFS(#REF!,#REF!,Extrato!$B213,#REF!,Extrato!H$3)</f>
        <v>#REF!</v>
      </c>
      <c r="I213" s="121" t="e">
        <f>SUMIFS(#REF!,#REF!,Extrato!$B213,#REF!,Extrato!I$3,#REF!,"Fulltbet")</f>
        <v>#REF!</v>
      </c>
      <c r="J213" s="121" t="e">
        <f>SUMIFS(#REF!,#REF!,Extrato!$B213,#REF!,Extrato!J$3,#REF!,"Fulltbet")</f>
        <v>#REF!</v>
      </c>
      <c r="K213" s="121" t="e">
        <f>SUMIFS(#REF!,#REF!,Extrato!$B213,#REF!,Extrato!K$3,#REF!,"Fulltbet")</f>
        <v>#REF!</v>
      </c>
      <c r="L213" s="121" t="e">
        <f>SUMIFS(#REF!,#REF!,Extrato!$B213,#REF!,Extrato!L$3)</f>
        <v>#REF!</v>
      </c>
      <c r="M213" s="121" t="e">
        <f>SUMIFS(#REF!,#REF!,Extrato!$B213,#REF!,Extrato!M$3)</f>
        <v>#REF!</v>
      </c>
      <c r="N213" s="121" t="e">
        <f>SUMIFS(#REF!,#REF!,Extrato!$B213,#REF!,Extrato!N$3,#REF!,"Fulltbet")</f>
        <v>#REF!</v>
      </c>
      <c r="O213" s="121" t="e">
        <f>SUMIFS(#REF!,#REF!,Extrato!$B213,#REF!,Extrato!O$3,#REF!,"Fulltbet")</f>
        <v>#REF!</v>
      </c>
      <c r="P213" s="121">
        <f>SUMIF(BetFlow!B:B,B213,BetFlow!J:J)</f>
        <v>0</v>
      </c>
      <c r="Q213" s="121" t="e">
        <f>SUMIFS(#REF!,#REF!,Extrato!$B213,#REF!,Extrato!Q$3)</f>
        <v>#REF!</v>
      </c>
      <c r="R213" s="121" t="e">
        <f>SUMIFS(#REF!,#REF!,Extrato!$B213,#REF!,Extrato!R$3,#REF!,"Fulltbet")</f>
        <v>#REF!</v>
      </c>
      <c r="S213" s="121" t="e">
        <f>SUMIFS(#REF!,#REF!,Extrato!$B213,#REF!,Extrato!S$3,#REF!,"Fulltbet")</f>
        <v>#REF!</v>
      </c>
      <c r="T213" s="121" t="e">
        <f>SUMIFS(#REF!,#REF!,Extrato!$B213,#REF!,Extrato!T$3,#REF!,"Fulltbet")</f>
        <v>#REF!</v>
      </c>
      <c r="U213" s="121" t="e">
        <f>SUMIFS(#REF!,#REF!,Extrato!$B213,#REF!,Extrato!U$3)</f>
        <v>#REF!</v>
      </c>
      <c r="V213" s="121" t="e">
        <f>SUMIFS(#REF!,#REF!,Extrato!$B213,#REF!,Extrato!V$3)</f>
        <v>#REF!</v>
      </c>
      <c r="W213" s="121" t="e">
        <f>SUMIFS(#REF!,#REF!,Extrato!$B213,#REF!,Extrato!W$3,#REF!,"Fulltbet")</f>
        <v>#REF!</v>
      </c>
      <c r="X213" s="121" t="e">
        <f>SUMIFS(#REF!,#REF!,Extrato!$B213,#REF!,Extrato!X$3)</f>
        <v>#REF!</v>
      </c>
      <c r="Y213" s="121" t="e">
        <f>SUMIFS(#REF!,#REF!,Extrato!$B213,#REF!,Extrato!Y$3)</f>
        <v>#REF!</v>
      </c>
      <c r="Z213" s="121" t="e">
        <f>SUMIFS(#REF!,#REF!,Extrato!$B213,#REF!,Extrato!Z$3)</f>
        <v>#REF!</v>
      </c>
      <c r="AA213" s="121" t="e">
        <f>SUMIFS(#REF!,#REF!,Extrato!$B213,#REF!,Extrato!AA$3)</f>
        <v>#REF!</v>
      </c>
      <c r="AB213" s="121" t="e">
        <f>SUMIFS(#REF!,#REF!,Extrato!$B213,#REF!,Extrato!AB$3)</f>
        <v>#REF!</v>
      </c>
      <c r="AC213" s="121" t="e">
        <f>SUMIFS(#REF!,#REF!,Extrato!$B213,#REF!,Extrato!AC$3)</f>
        <v>#REF!</v>
      </c>
      <c r="AD213" s="121" t="e">
        <f>SUMIFS(#REF!,#REF!,Extrato!$B213,#REF!,Extrato!AD$3)</f>
        <v>#REF!</v>
      </c>
      <c r="AE213" s="121" t="e">
        <f>SUMIFS(#REF!,#REF!,Extrato!$B213,#REF!,Extrato!AE$3)</f>
        <v>#REF!</v>
      </c>
      <c r="AF213" s="121" t="e">
        <f>SUMIFS(#REF!,#REF!,Extrato!$B213,#REF!,Extrato!AF$3)</f>
        <v>#REF!</v>
      </c>
      <c r="AG213" s="121" t="e">
        <f>SUMIFS(#REF!,#REF!,Extrato!$B213,#REF!,Extrato!AG$3)</f>
        <v>#REF!</v>
      </c>
      <c r="AH213" s="121" t="e">
        <f>SUMIFS(#REF!,#REF!,Extrato!$B213,#REF!,Extrato!AH$3)</f>
        <v>#REF!</v>
      </c>
      <c r="AI213" s="121" t="e">
        <f>SUMIFS(#REF!,#REF!,Extrato!$B213,#REF!,Extrato!AI$3)</f>
        <v>#REF!</v>
      </c>
      <c r="AJ213" s="121">
        <v>0</v>
      </c>
      <c r="AK213" s="121">
        <v>0</v>
      </c>
      <c r="AL213" s="25" t="e">
        <f t="shared" si="11"/>
        <v>#REF!</v>
      </c>
      <c r="AM213" s="122"/>
      <c r="AN213" s="121" t="e">
        <f t="shared" si="9"/>
        <v>#REF!</v>
      </c>
      <c r="AO213" s="121">
        <f>SUMIF(BetFlow!B:B,Extrato!B213,BetFlow!M:M)</f>
        <v>0</v>
      </c>
      <c r="AP213" s="121" t="e">
        <f>SUMIFS(#REF!,#REF!,Extrato!$B213,#REF!,Extrato!AP$3,#REF!,"Betbra")</f>
        <v>#REF!</v>
      </c>
      <c r="AQ213" s="121" t="e">
        <f>SUMIFS(#REF!,#REF!,Extrato!$B213,#REF!,Extrato!AQ$3,#REF!,"Betbra")</f>
        <v>#REF!</v>
      </c>
      <c r="AR213" s="121" t="e">
        <f>SUMIFS(#REF!,#REF!,Extrato!$B213,#REF!,Extrato!AR$3,#REF!,"Betbra")</f>
        <v>#REF!</v>
      </c>
      <c r="AS213" s="121" t="e">
        <f>SUMIFS(#REF!,#REF!,Extrato!$B213,#REF!,Extrato!AS$3,#REF!,"Betbra")</f>
        <v>#REF!</v>
      </c>
      <c r="AT213" s="121" t="e">
        <f>SUMIFS(#REF!,#REF!,Extrato!$B213,#REF!,Extrato!AT$3,#REF!,"Betbra")</f>
        <v>#REF!</v>
      </c>
      <c r="AU213" s="121" t="e">
        <f>SUMIFS(#REF!,#REF!,Extrato!$B213,#REF!,Extrato!AU$3,#REF!,"Betbra")</f>
        <v>#REF!</v>
      </c>
      <c r="AV213" s="121" t="e">
        <f>SUMIFS(#REF!,#REF!,Extrato!$B213,#REF!,Extrato!AV$3,#REF!,"Betbra")</f>
        <v>#REF!</v>
      </c>
      <c r="AW213" s="121" t="e">
        <f>SUMIFS(#REF!,#REF!,Extrato!$B213,#REF!,Extrato!AW$3,#REF!,"Betbra")</f>
        <v>#REF!</v>
      </c>
      <c r="AX213" s="121" t="e">
        <f>SUMIFS(#REF!,#REF!,Extrato!$B213,#REF!,Extrato!AX$3,#REF!,"Betbra")</f>
        <v>#REF!</v>
      </c>
      <c r="AY213" s="121" t="e">
        <f>SUMIFS(#REF!,#REF!,Extrato!$B213,#REF!,Extrato!AY$3,#REF!,"Betbra")</f>
        <v>#REF!</v>
      </c>
      <c r="AZ213" s="121" t="e">
        <f>SUMIFS(#REF!,#REF!,Extrato!$B213,#REF!,Extrato!AZ$3,#REF!,"Betbra")</f>
        <v>#REF!</v>
      </c>
      <c r="BA213" s="121" t="e">
        <f>SUMIFS(#REF!,#REF!,Extrato!$B213,#REF!,Extrato!BA$3,#REF!,"Betbra")</f>
        <v>#REF!</v>
      </c>
      <c r="BB213" s="121" t="e">
        <f>SUMIFS(#REF!,#REF!,Extrato!$B213,#REF!,Extrato!BB$3,#REF!,"Betbra")</f>
        <v>#REF!</v>
      </c>
      <c r="BC213" s="121">
        <v>0</v>
      </c>
      <c r="BD213" s="121">
        <v>0</v>
      </c>
      <c r="BE213" s="25" t="e">
        <f t="shared" si="8"/>
        <v>#REF!</v>
      </c>
      <c r="BF213" s="122"/>
      <c r="BG213" s="121" t="e">
        <f t="shared" si="13"/>
        <v>#REF!</v>
      </c>
      <c r="BH213" s="121" t="e">
        <f>SUMIFS(#REF!,#REF!,Extrato!$B213,#REF!,Extrato!BH$3,#REF!,"Bolsa")</f>
        <v>#REF!</v>
      </c>
      <c r="BI213" s="121" t="e">
        <f>SUMIFS(#REF!,#REF!,Extrato!$B213,#REF!,Extrato!BI$3,#REF!,"Bolsa")</f>
        <v>#REF!</v>
      </c>
      <c r="BJ213" s="121" t="e">
        <f>SUMIFS(#REF!,#REF!,Extrato!$B213,#REF!,Extrato!BJ$3,#REF!,"Bolsa")</f>
        <v>#REF!</v>
      </c>
      <c r="BK213" s="121" t="e">
        <f>SUMIFS(#REF!,#REF!,Extrato!$B213,#REF!,Extrato!BK$3,#REF!,"Bolsa")</f>
        <v>#REF!</v>
      </c>
      <c r="BL213" s="121" t="e">
        <f>SUMIFS(#REF!,#REF!,Extrato!$B213,#REF!,Extrato!BL$3,#REF!,"Bolsa")</f>
        <v>#REF!</v>
      </c>
      <c r="BM213" s="121" t="e">
        <f>SUMIFS(#REF!,#REF!,Extrato!$B213,#REF!,Extrato!BM$3,#REF!,"Bolsa")</f>
        <v>#REF!</v>
      </c>
      <c r="BN213" s="121">
        <v>0</v>
      </c>
      <c r="BO213" s="121">
        <v>0</v>
      </c>
      <c r="BP213" s="25" t="e">
        <f t="shared" si="12"/>
        <v>#REF!</v>
      </c>
    </row>
    <row r="214" spans="2:68" ht="15" customHeight="1">
      <c r="B214" s="12">
        <v>46204</v>
      </c>
      <c r="C214" s="121" t="e">
        <f t="shared" si="10"/>
        <v>#REF!</v>
      </c>
      <c r="D214" s="121" t="e">
        <f>SUMIFS(#REF!,#REF!,Extrato!$B214,#REF!,Extrato!D$3)</f>
        <v>#REF!</v>
      </c>
      <c r="E214" s="121" t="e">
        <f>SUMIFS(#REF!,#REF!,Extrato!$B214,#REF!,Extrato!E$3,#REF!,"Fulltbet")</f>
        <v>#REF!</v>
      </c>
      <c r="F214" s="121" t="e">
        <f>SUMIFS(#REF!,#REF!,Extrato!$B214,#REF!,Extrato!F$3)</f>
        <v>#REF!</v>
      </c>
      <c r="G214" s="121" t="e">
        <f>SUMIFS(#REF!,#REF!,Extrato!$B214,#REF!,Extrato!G$3,#REF!,"Fulltbet")</f>
        <v>#REF!</v>
      </c>
      <c r="H214" s="121" t="e">
        <f>SUMIFS(#REF!,#REF!,Extrato!$B214,#REF!,Extrato!H$3)</f>
        <v>#REF!</v>
      </c>
      <c r="I214" s="121" t="e">
        <f>SUMIFS(#REF!,#REF!,Extrato!$B214,#REF!,Extrato!I$3,#REF!,"Fulltbet")</f>
        <v>#REF!</v>
      </c>
      <c r="J214" s="121" t="e">
        <f>SUMIFS(#REF!,#REF!,Extrato!$B214,#REF!,Extrato!J$3,#REF!,"Fulltbet")</f>
        <v>#REF!</v>
      </c>
      <c r="K214" s="121" t="e">
        <f>SUMIFS(#REF!,#REF!,Extrato!$B214,#REF!,Extrato!K$3,#REF!,"Fulltbet")</f>
        <v>#REF!</v>
      </c>
      <c r="L214" s="121" t="e">
        <f>SUMIFS(#REF!,#REF!,Extrato!$B214,#REF!,Extrato!L$3)</f>
        <v>#REF!</v>
      </c>
      <c r="M214" s="121" t="e">
        <f>SUMIFS(#REF!,#REF!,Extrato!$B214,#REF!,Extrato!M$3)</f>
        <v>#REF!</v>
      </c>
      <c r="N214" s="121" t="e">
        <f>SUMIFS(#REF!,#REF!,Extrato!$B214,#REF!,Extrato!N$3,#REF!,"Fulltbet")</f>
        <v>#REF!</v>
      </c>
      <c r="O214" s="121" t="e">
        <f>SUMIFS(#REF!,#REF!,Extrato!$B214,#REF!,Extrato!O$3,#REF!,"Fulltbet")</f>
        <v>#REF!</v>
      </c>
      <c r="P214" s="121">
        <f>SUMIF(BetFlow!B:B,B214,BetFlow!J:J)</f>
        <v>0</v>
      </c>
      <c r="Q214" s="121" t="e">
        <f>SUMIFS(#REF!,#REF!,Extrato!$B214,#REF!,Extrato!Q$3)</f>
        <v>#REF!</v>
      </c>
      <c r="R214" s="121" t="e">
        <f>SUMIFS(#REF!,#REF!,Extrato!$B214,#REF!,Extrato!R$3,#REF!,"Fulltbet")</f>
        <v>#REF!</v>
      </c>
      <c r="S214" s="121" t="e">
        <f>SUMIFS(#REF!,#REF!,Extrato!$B214,#REF!,Extrato!S$3,#REF!,"Fulltbet")</f>
        <v>#REF!</v>
      </c>
      <c r="T214" s="121" t="e">
        <f>SUMIFS(#REF!,#REF!,Extrato!$B214,#REF!,Extrato!T$3,#REF!,"Fulltbet")</f>
        <v>#REF!</v>
      </c>
      <c r="U214" s="121" t="e">
        <f>SUMIFS(#REF!,#REF!,Extrato!$B214,#REF!,Extrato!U$3)</f>
        <v>#REF!</v>
      </c>
      <c r="V214" s="121" t="e">
        <f>SUMIFS(#REF!,#REF!,Extrato!$B214,#REF!,Extrato!V$3)</f>
        <v>#REF!</v>
      </c>
      <c r="W214" s="121" t="e">
        <f>SUMIFS(#REF!,#REF!,Extrato!$B214,#REF!,Extrato!W$3,#REF!,"Fulltbet")</f>
        <v>#REF!</v>
      </c>
      <c r="X214" s="121" t="e">
        <f>SUMIFS(#REF!,#REF!,Extrato!$B214,#REF!,Extrato!X$3)</f>
        <v>#REF!</v>
      </c>
      <c r="Y214" s="121" t="e">
        <f>SUMIFS(#REF!,#REF!,Extrato!$B214,#REF!,Extrato!Y$3)</f>
        <v>#REF!</v>
      </c>
      <c r="Z214" s="121" t="e">
        <f>SUMIFS(#REF!,#REF!,Extrato!$B214,#REF!,Extrato!Z$3)</f>
        <v>#REF!</v>
      </c>
      <c r="AA214" s="121" t="e">
        <f>SUMIFS(#REF!,#REF!,Extrato!$B214,#REF!,Extrato!AA$3)</f>
        <v>#REF!</v>
      </c>
      <c r="AB214" s="121" t="e">
        <f>SUMIFS(#REF!,#REF!,Extrato!$B214,#REF!,Extrato!AB$3)</f>
        <v>#REF!</v>
      </c>
      <c r="AC214" s="121" t="e">
        <f>SUMIFS(#REF!,#REF!,Extrato!$B214,#REF!,Extrato!AC$3)</f>
        <v>#REF!</v>
      </c>
      <c r="AD214" s="121" t="e">
        <f>SUMIFS(#REF!,#REF!,Extrato!$B214,#REF!,Extrato!AD$3)</f>
        <v>#REF!</v>
      </c>
      <c r="AE214" s="121" t="e">
        <f>SUMIFS(#REF!,#REF!,Extrato!$B214,#REF!,Extrato!AE$3)</f>
        <v>#REF!</v>
      </c>
      <c r="AF214" s="121" t="e">
        <f>SUMIFS(#REF!,#REF!,Extrato!$B214,#REF!,Extrato!AF$3)</f>
        <v>#REF!</v>
      </c>
      <c r="AG214" s="121" t="e">
        <f>SUMIFS(#REF!,#REF!,Extrato!$B214,#REF!,Extrato!AG$3)</f>
        <v>#REF!</v>
      </c>
      <c r="AH214" s="121" t="e">
        <f>SUMIFS(#REF!,#REF!,Extrato!$B214,#REF!,Extrato!AH$3)</f>
        <v>#REF!</v>
      </c>
      <c r="AI214" s="121" t="e">
        <f>SUMIFS(#REF!,#REF!,Extrato!$B214,#REF!,Extrato!AI$3)</f>
        <v>#REF!</v>
      </c>
      <c r="AJ214" s="121">
        <v>0</v>
      </c>
      <c r="AK214" s="121">
        <v>-0.01</v>
      </c>
      <c r="AL214" s="25" t="e">
        <f t="shared" si="11"/>
        <v>#REF!</v>
      </c>
      <c r="AM214" s="122"/>
      <c r="AN214" s="121" t="e">
        <f t="shared" si="9"/>
        <v>#REF!</v>
      </c>
      <c r="AO214" s="121">
        <f>SUMIF(BetFlow!B:B,Extrato!B214,BetFlow!M:M)</f>
        <v>0</v>
      </c>
      <c r="AP214" s="121" t="e">
        <f>SUMIFS(#REF!,#REF!,Extrato!$B214,#REF!,Extrato!AP$3,#REF!,"Betbra")</f>
        <v>#REF!</v>
      </c>
      <c r="AQ214" s="121" t="e">
        <f>SUMIFS(#REF!,#REF!,Extrato!$B214,#REF!,Extrato!AQ$3,#REF!,"Betbra")</f>
        <v>#REF!</v>
      </c>
      <c r="AR214" s="121" t="e">
        <f>SUMIFS(#REF!,#REF!,Extrato!$B214,#REF!,Extrato!AR$3,#REF!,"Betbra")</f>
        <v>#REF!</v>
      </c>
      <c r="AS214" s="121" t="e">
        <f>SUMIFS(#REF!,#REF!,Extrato!$B214,#REF!,Extrato!AS$3,#REF!,"Betbra")</f>
        <v>#REF!</v>
      </c>
      <c r="AT214" s="121" t="e">
        <f>SUMIFS(#REF!,#REF!,Extrato!$B214,#REF!,Extrato!AT$3,#REF!,"Betbra")</f>
        <v>#REF!</v>
      </c>
      <c r="AU214" s="121" t="e">
        <f>SUMIFS(#REF!,#REF!,Extrato!$B214,#REF!,Extrato!AU$3,#REF!,"Betbra")</f>
        <v>#REF!</v>
      </c>
      <c r="AV214" s="121" t="e">
        <f>SUMIFS(#REF!,#REF!,Extrato!$B214,#REF!,Extrato!AV$3,#REF!,"Betbra")</f>
        <v>#REF!</v>
      </c>
      <c r="AW214" s="121" t="e">
        <f>SUMIFS(#REF!,#REF!,Extrato!$B214,#REF!,Extrato!AW$3,#REF!,"Betbra")</f>
        <v>#REF!</v>
      </c>
      <c r="AX214" s="121" t="e">
        <f>SUMIFS(#REF!,#REF!,Extrato!$B214,#REF!,Extrato!AX$3,#REF!,"Betbra")</f>
        <v>#REF!</v>
      </c>
      <c r="AY214" s="121" t="e">
        <f>SUMIFS(#REF!,#REF!,Extrato!$B214,#REF!,Extrato!AY$3,#REF!,"Betbra")</f>
        <v>#REF!</v>
      </c>
      <c r="AZ214" s="121" t="e">
        <f>SUMIFS(#REF!,#REF!,Extrato!$B214,#REF!,Extrato!AZ$3,#REF!,"Betbra")</f>
        <v>#REF!</v>
      </c>
      <c r="BA214" s="121" t="e">
        <f>SUMIFS(#REF!,#REF!,Extrato!$B214,#REF!,Extrato!BA$3,#REF!,"Betbra")</f>
        <v>#REF!</v>
      </c>
      <c r="BB214" s="121" t="e">
        <f>SUMIFS(#REF!,#REF!,Extrato!$B214,#REF!,Extrato!BB$3,#REF!,"Betbra")</f>
        <v>#REF!</v>
      </c>
      <c r="BC214" s="121">
        <v>0</v>
      </c>
      <c r="BD214" s="121">
        <v>0</v>
      </c>
      <c r="BE214" s="25" t="e">
        <f t="shared" ref="BE214:BE241" si="14">SUM(AN214:BD214)</f>
        <v>#REF!</v>
      </c>
      <c r="BF214" s="122"/>
      <c r="BG214" s="121" t="e">
        <f t="shared" si="13"/>
        <v>#REF!</v>
      </c>
      <c r="BH214" s="121" t="e">
        <f>SUMIFS(#REF!,#REF!,Extrato!$B214,#REF!,Extrato!BH$3,#REF!,"Bolsa")</f>
        <v>#REF!</v>
      </c>
      <c r="BI214" s="121" t="e">
        <f>SUMIFS(#REF!,#REF!,Extrato!$B214,#REF!,Extrato!BI$3,#REF!,"Bolsa")</f>
        <v>#REF!</v>
      </c>
      <c r="BJ214" s="121" t="e">
        <f>SUMIFS(#REF!,#REF!,Extrato!$B214,#REF!,Extrato!BJ$3,#REF!,"Bolsa")</f>
        <v>#REF!</v>
      </c>
      <c r="BK214" s="121" t="e">
        <f>SUMIFS(#REF!,#REF!,Extrato!$B214,#REF!,Extrato!BK$3,#REF!,"Bolsa")</f>
        <v>#REF!</v>
      </c>
      <c r="BL214" s="121" t="e">
        <f>SUMIFS(#REF!,#REF!,Extrato!$B214,#REF!,Extrato!BL$3,#REF!,"Bolsa")</f>
        <v>#REF!</v>
      </c>
      <c r="BM214" s="121" t="e">
        <f>SUMIFS(#REF!,#REF!,Extrato!$B214,#REF!,Extrato!BM$3,#REF!,"Bolsa")</f>
        <v>#REF!</v>
      </c>
      <c r="BN214" s="121">
        <v>0</v>
      </c>
      <c r="BO214" s="121">
        <v>0</v>
      </c>
      <c r="BP214" s="25" t="e">
        <f t="shared" si="12"/>
        <v>#REF!</v>
      </c>
    </row>
    <row r="215" spans="2:68" ht="15" customHeight="1">
      <c r="B215" s="12">
        <v>46205</v>
      </c>
      <c r="C215" s="121" t="e">
        <f t="shared" si="10"/>
        <v>#REF!</v>
      </c>
      <c r="D215" s="121" t="e">
        <f>SUMIFS(#REF!,#REF!,Extrato!$B215,#REF!,Extrato!D$3)</f>
        <v>#REF!</v>
      </c>
      <c r="E215" s="121" t="e">
        <f>SUMIFS(#REF!,#REF!,Extrato!$B215,#REF!,Extrato!E$3,#REF!,"Fulltbet")</f>
        <v>#REF!</v>
      </c>
      <c r="F215" s="121" t="e">
        <f>SUMIFS(#REF!,#REF!,Extrato!$B215,#REF!,Extrato!F$3)</f>
        <v>#REF!</v>
      </c>
      <c r="G215" s="121" t="e">
        <f>SUMIFS(#REF!,#REF!,Extrato!$B215,#REF!,Extrato!G$3,#REF!,"Fulltbet")</f>
        <v>#REF!</v>
      </c>
      <c r="H215" s="121" t="e">
        <f>SUMIFS(#REF!,#REF!,Extrato!$B215,#REF!,Extrato!H$3)</f>
        <v>#REF!</v>
      </c>
      <c r="I215" s="121" t="e">
        <f>SUMIFS(#REF!,#REF!,Extrato!$B215,#REF!,Extrato!I$3,#REF!,"Fulltbet")</f>
        <v>#REF!</v>
      </c>
      <c r="J215" s="121" t="e">
        <f>SUMIFS(#REF!,#REF!,Extrato!$B215,#REF!,Extrato!J$3,#REF!,"Fulltbet")</f>
        <v>#REF!</v>
      </c>
      <c r="K215" s="121" t="e">
        <f>SUMIFS(#REF!,#REF!,Extrato!$B215,#REF!,Extrato!K$3,#REF!,"Fulltbet")</f>
        <v>#REF!</v>
      </c>
      <c r="L215" s="121" t="e">
        <f>SUMIFS(#REF!,#REF!,Extrato!$B215,#REF!,Extrato!L$3)</f>
        <v>#REF!</v>
      </c>
      <c r="M215" s="121" t="e">
        <f>SUMIFS(#REF!,#REF!,Extrato!$B215,#REF!,Extrato!M$3)</f>
        <v>#REF!</v>
      </c>
      <c r="N215" s="121" t="e">
        <f>SUMIFS(#REF!,#REF!,Extrato!$B215,#REF!,Extrato!N$3,#REF!,"Fulltbet")</f>
        <v>#REF!</v>
      </c>
      <c r="O215" s="121" t="e">
        <f>SUMIFS(#REF!,#REF!,Extrato!$B215,#REF!,Extrato!O$3,#REF!,"Fulltbet")</f>
        <v>#REF!</v>
      </c>
      <c r="P215" s="121">
        <f>SUMIF(BetFlow!B:B,B215,BetFlow!J:J)</f>
        <v>0</v>
      </c>
      <c r="Q215" s="121" t="e">
        <f>SUMIFS(#REF!,#REF!,Extrato!$B215,#REF!,Extrato!Q$3)</f>
        <v>#REF!</v>
      </c>
      <c r="R215" s="121" t="e">
        <f>SUMIFS(#REF!,#REF!,Extrato!$B215,#REF!,Extrato!R$3,#REF!,"Fulltbet")</f>
        <v>#REF!</v>
      </c>
      <c r="S215" s="121" t="e">
        <f>SUMIFS(#REF!,#REF!,Extrato!$B215,#REF!,Extrato!S$3,#REF!,"Fulltbet")</f>
        <v>#REF!</v>
      </c>
      <c r="T215" s="121" t="e">
        <f>SUMIFS(#REF!,#REF!,Extrato!$B215,#REF!,Extrato!T$3,#REF!,"Fulltbet")</f>
        <v>#REF!</v>
      </c>
      <c r="U215" s="121" t="e">
        <f>SUMIFS(#REF!,#REF!,Extrato!$B215,#REF!,Extrato!U$3)</f>
        <v>#REF!</v>
      </c>
      <c r="V215" s="121" t="e">
        <f>SUMIFS(#REF!,#REF!,Extrato!$B215,#REF!,Extrato!V$3)</f>
        <v>#REF!</v>
      </c>
      <c r="W215" s="121" t="e">
        <f>SUMIFS(#REF!,#REF!,Extrato!$B215,#REF!,Extrato!W$3,#REF!,"Fulltbet")</f>
        <v>#REF!</v>
      </c>
      <c r="X215" s="121" t="e">
        <f>SUMIFS(#REF!,#REF!,Extrato!$B215,#REF!,Extrato!X$3)</f>
        <v>#REF!</v>
      </c>
      <c r="Y215" s="121" t="e">
        <f>SUMIFS(#REF!,#REF!,Extrato!$B215,#REF!,Extrato!Y$3)</f>
        <v>#REF!</v>
      </c>
      <c r="Z215" s="121" t="e">
        <f>SUMIFS(#REF!,#REF!,Extrato!$B215,#REF!,Extrato!Z$3)</f>
        <v>#REF!</v>
      </c>
      <c r="AA215" s="121" t="e">
        <f>SUMIFS(#REF!,#REF!,Extrato!$B215,#REF!,Extrato!AA$3)</f>
        <v>#REF!</v>
      </c>
      <c r="AB215" s="121" t="e">
        <f>SUMIFS(#REF!,#REF!,Extrato!$B215,#REF!,Extrato!AB$3)</f>
        <v>#REF!</v>
      </c>
      <c r="AC215" s="121" t="e">
        <f>SUMIFS(#REF!,#REF!,Extrato!$B215,#REF!,Extrato!AC$3)</f>
        <v>#REF!</v>
      </c>
      <c r="AD215" s="121" t="e">
        <f>SUMIFS(#REF!,#REF!,Extrato!$B215,#REF!,Extrato!AD$3)</f>
        <v>#REF!</v>
      </c>
      <c r="AE215" s="121" t="e">
        <f>SUMIFS(#REF!,#REF!,Extrato!$B215,#REF!,Extrato!AE$3)</f>
        <v>#REF!</v>
      </c>
      <c r="AF215" s="121" t="e">
        <f>SUMIFS(#REF!,#REF!,Extrato!$B215,#REF!,Extrato!AF$3)</f>
        <v>#REF!</v>
      </c>
      <c r="AG215" s="121" t="e">
        <f>SUMIFS(#REF!,#REF!,Extrato!$B215,#REF!,Extrato!AG$3)</f>
        <v>#REF!</v>
      </c>
      <c r="AH215" s="121" t="e">
        <f>SUMIFS(#REF!,#REF!,Extrato!$B215,#REF!,Extrato!AH$3)</f>
        <v>#REF!</v>
      </c>
      <c r="AI215" s="121" t="e">
        <f>SUMIFS(#REF!,#REF!,Extrato!$B215,#REF!,Extrato!AI$3)</f>
        <v>#REF!</v>
      </c>
      <c r="AJ215" s="121">
        <v>0</v>
      </c>
      <c r="AK215" s="121">
        <v>0</v>
      </c>
      <c r="AL215" s="25" t="e">
        <f t="shared" si="11"/>
        <v>#REF!</v>
      </c>
      <c r="AM215" s="122"/>
      <c r="AN215" s="121" t="e">
        <f t="shared" ref="AN215:AN241" si="15">BE214</f>
        <v>#REF!</v>
      </c>
      <c r="AO215" s="121">
        <f>SUMIF(BetFlow!B:B,Extrato!B215,BetFlow!M:M)</f>
        <v>0</v>
      </c>
      <c r="AP215" s="121" t="e">
        <f>SUMIFS(#REF!,#REF!,Extrato!$B215,#REF!,Extrato!AP$3,#REF!,"Betbra")</f>
        <v>#REF!</v>
      </c>
      <c r="AQ215" s="121" t="e">
        <f>SUMIFS(#REF!,#REF!,Extrato!$B215,#REF!,Extrato!AQ$3,#REF!,"Betbra")</f>
        <v>#REF!</v>
      </c>
      <c r="AR215" s="121" t="e">
        <f>SUMIFS(#REF!,#REF!,Extrato!$B215,#REF!,Extrato!AR$3,#REF!,"Betbra")</f>
        <v>#REF!</v>
      </c>
      <c r="AS215" s="121" t="e">
        <f>SUMIFS(#REF!,#REF!,Extrato!$B215,#REF!,Extrato!AS$3,#REF!,"Betbra")</f>
        <v>#REF!</v>
      </c>
      <c r="AT215" s="121" t="e">
        <f>SUMIFS(#REF!,#REF!,Extrato!$B215,#REF!,Extrato!AT$3,#REF!,"Betbra")</f>
        <v>#REF!</v>
      </c>
      <c r="AU215" s="121" t="e">
        <f>SUMIFS(#REF!,#REF!,Extrato!$B215,#REF!,Extrato!AU$3,#REF!,"Betbra")</f>
        <v>#REF!</v>
      </c>
      <c r="AV215" s="121" t="e">
        <f>SUMIFS(#REF!,#REF!,Extrato!$B215,#REF!,Extrato!AV$3,#REF!,"Betbra")</f>
        <v>#REF!</v>
      </c>
      <c r="AW215" s="121" t="e">
        <f>SUMIFS(#REF!,#REF!,Extrato!$B215,#REF!,Extrato!AW$3,#REF!,"Betbra")</f>
        <v>#REF!</v>
      </c>
      <c r="AX215" s="121" t="e">
        <f>SUMIFS(#REF!,#REF!,Extrato!$B215,#REF!,Extrato!AX$3,#REF!,"Betbra")</f>
        <v>#REF!</v>
      </c>
      <c r="AY215" s="121" t="e">
        <f>SUMIFS(#REF!,#REF!,Extrato!$B215,#REF!,Extrato!AY$3,#REF!,"Betbra")</f>
        <v>#REF!</v>
      </c>
      <c r="AZ215" s="121" t="e">
        <f>SUMIFS(#REF!,#REF!,Extrato!$B215,#REF!,Extrato!AZ$3,#REF!,"Betbra")</f>
        <v>#REF!</v>
      </c>
      <c r="BA215" s="121" t="e">
        <f>SUMIFS(#REF!,#REF!,Extrato!$B215,#REF!,Extrato!BA$3,#REF!,"Betbra")</f>
        <v>#REF!</v>
      </c>
      <c r="BB215" s="121" t="e">
        <f>SUMIFS(#REF!,#REF!,Extrato!$B215,#REF!,Extrato!BB$3,#REF!,"Betbra")</f>
        <v>#REF!</v>
      </c>
      <c r="BC215" s="121">
        <v>0</v>
      </c>
      <c r="BD215" s="121">
        <v>0</v>
      </c>
      <c r="BE215" s="25" t="e">
        <f t="shared" si="14"/>
        <v>#REF!</v>
      </c>
      <c r="BF215" s="122"/>
      <c r="BG215" s="121" t="e">
        <f t="shared" si="13"/>
        <v>#REF!</v>
      </c>
      <c r="BH215" s="121" t="e">
        <f>SUMIFS(#REF!,#REF!,Extrato!$B215,#REF!,Extrato!BH$3,#REF!,"Bolsa")</f>
        <v>#REF!</v>
      </c>
      <c r="BI215" s="121" t="e">
        <f>SUMIFS(#REF!,#REF!,Extrato!$B215,#REF!,Extrato!BI$3,#REF!,"Bolsa")</f>
        <v>#REF!</v>
      </c>
      <c r="BJ215" s="121" t="e">
        <f>SUMIFS(#REF!,#REF!,Extrato!$B215,#REF!,Extrato!BJ$3,#REF!,"Bolsa")</f>
        <v>#REF!</v>
      </c>
      <c r="BK215" s="121" t="e">
        <f>SUMIFS(#REF!,#REF!,Extrato!$B215,#REF!,Extrato!BK$3,#REF!,"Bolsa")</f>
        <v>#REF!</v>
      </c>
      <c r="BL215" s="121" t="e">
        <f>SUMIFS(#REF!,#REF!,Extrato!$B215,#REF!,Extrato!BL$3,#REF!,"Bolsa")</f>
        <v>#REF!</v>
      </c>
      <c r="BM215" s="121" t="e">
        <f>SUMIFS(#REF!,#REF!,Extrato!$B215,#REF!,Extrato!BM$3,#REF!,"Bolsa")</f>
        <v>#REF!</v>
      </c>
      <c r="BN215" s="121">
        <v>0</v>
      </c>
      <c r="BO215" s="121">
        <v>0</v>
      </c>
      <c r="BP215" s="25" t="e">
        <f t="shared" si="12"/>
        <v>#REF!</v>
      </c>
    </row>
    <row r="216" spans="2:68" ht="15" customHeight="1">
      <c r="B216" s="12">
        <v>46206</v>
      </c>
      <c r="C216" s="121" t="e">
        <f t="shared" si="10"/>
        <v>#REF!</v>
      </c>
      <c r="D216" s="121" t="e">
        <f>SUMIFS(#REF!,#REF!,Extrato!$B216,#REF!,Extrato!D$3)</f>
        <v>#REF!</v>
      </c>
      <c r="E216" s="121" t="e">
        <f>SUMIFS(#REF!,#REF!,Extrato!$B216,#REF!,Extrato!E$3,#REF!,"Fulltbet")</f>
        <v>#REF!</v>
      </c>
      <c r="F216" s="121" t="e">
        <f>SUMIFS(#REF!,#REF!,Extrato!$B216,#REF!,Extrato!F$3)</f>
        <v>#REF!</v>
      </c>
      <c r="G216" s="121" t="e">
        <f>SUMIFS(#REF!,#REF!,Extrato!$B216,#REF!,Extrato!G$3,#REF!,"Fulltbet")</f>
        <v>#REF!</v>
      </c>
      <c r="H216" s="121" t="e">
        <f>SUMIFS(#REF!,#REF!,Extrato!$B216,#REF!,Extrato!H$3)</f>
        <v>#REF!</v>
      </c>
      <c r="I216" s="121" t="e">
        <f>SUMIFS(#REF!,#REF!,Extrato!$B216,#REF!,Extrato!I$3,#REF!,"Fulltbet")</f>
        <v>#REF!</v>
      </c>
      <c r="J216" s="121" t="e">
        <f>SUMIFS(#REF!,#REF!,Extrato!$B216,#REF!,Extrato!J$3,#REF!,"Fulltbet")</f>
        <v>#REF!</v>
      </c>
      <c r="K216" s="121" t="e">
        <f>SUMIFS(#REF!,#REF!,Extrato!$B216,#REF!,Extrato!K$3,#REF!,"Fulltbet")</f>
        <v>#REF!</v>
      </c>
      <c r="L216" s="121" t="e">
        <f>SUMIFS(#REF!,#REF!,Extrato!$B216,#REF!,Extrato!L$3)</f>
        <v>#REF!</v>
      </c>
      <c r="M216" s="121" t="e">
        <f>SUMIFS(#REF!,#REF!,Extrato!$B216,#REF!,Extrato!M$3)</f>
        <v>#REF!</v>
      </c>
      <c r="N216" s="121" t="e">
        <f>SUMIFS(#REF!,#REF!,Extrato!$B216,#REF!,Extrato!N$3,#REF!,"Fulltbet")</f>
        <v>#REF!</v>
      </c>
      <c r="O216" s="121" t="e">
        <f>SUMIFS(#REF!,#REF!,Extrato!$B216,#REF!,Extrato!O$3,#REF!,"Fulltbet")</f>
        <v>#REF!</v>
      </c>
      <c r="P216" s="121">
        <f>SUMIF(BetFlow!B:B,B216,BetFlow!J:J)</f>
        <v>0</v>
      </c>
      <c r="Q216" s="121" t="e">
        <f>SUMIFS(#REF!,#REF!,Extrato!$B216,#REF!,Extrato!Q$3)</f>
        <v>#REF!</v>
      </c>
      <c r="R216" s="121" t="e">
        <f>SUMIFS(#REF!,#REF!,Extrato!$B216,#REF!,Extrato!R$3,#REF!,"Fulltbet")</f>
        <v>#REF!</v>
      </c>
      <c r="S216" s="121" t="e">
        <f>SUMIFS(#REF!,#REF!,Extrato!$B216,#REF!,Extrato!S$3,#REF!,"Fulltbet")</f>
        <v>#REF!</v>
      </c>
      <c r="T216" s="121" t="e">
        <f>SUMIFS(#REF!,#REF!,Extrato!$B216,#REF!,Extrato!T$3,#REF!,"Fulltbet")</f>
        <v>#REF!</v>
      </c>
      <c r="U216" s="121" t="e">
        <f>SUMIFS(#REF!,#REF!,Extrato!$B216,#REF!,Extrato!U$3)</f>
        <v>#REF!</v>
      </c>
      <c r="V216" s="121" t="e">
        <f>SUMIFS(#REF!,#REF!,Extrato!$B216,#REF!,Extrato!V$3)</f>
        <v>#REF!</v>
      </c>
      <c r="W216" s="121" t="e">
        <f>SUMIFS(#REF!,#REF!,Extrato!$B216,#REF!,Extrato!W$3,#REF!,"Fulltbet")</f>
        <v>#REF!</v>
      </c>
      <c r="X216" s="121" t="e">
        <f>SUMIFS(#REF!,#REF!,Extrato!$B216,#REF!,Extrato!X$3)</f>
        <v>#REF!</v>
      </c>
      <c r="Y216" s="121" t="e">
        <f>SUMIFS(#REF!,#REF!,Extrato!$B216,#REF!,Extrato!Y$3)</f>
        <v>#REF!</v>
      </c>
      <c r="Z216" s="121" t="e">
        <f>SUMIFS(#REF!,#REF!,Extrato!$B216,#REF!,Extrato!Z$3)</f>
        <v>#REF!</v>
      </c>
      <c r="AA216" s="121" t="e">
        <f>SUMIFS(#REF!,#REF!,Extrato!$B216,#REF!,Extrato!AA$3)</f>
        <v>#REF!</v>
      </c>
      <c r="AB216" s="121" t="e">
        <f>SUMIFS(#REF!,#REF!,Extrato!$B216,#REF!,Extrato!AB$3)</f>
        <v>#REF!</v>
      </c>
      <c r="AC216" s="121" t="e">
        <f>SUMIFS(#REF!,#REF!,Extrato!$B216,#REF!,Extrato!AC$3)</f>
        <v>#REF!</v>
      </c>
      <c r="AD216" s="121" t="e">
        <f>SUMIFS(#REF!,#REF!,Extrato!$B216,#REF!,Extrato!AD$3)</f>
        <v>#REF!</v>
      </c>
      <c r="AE216" s="121" t="e">
        <f>SUMIFS(#REF!,#REF!,Extrato!$B216,#REF!,Extrato!AE$3)</f>
        <v>#REF!</v>
      </c>
      <c r="AF216" s="121" t="e">
        <f>SUMIFS(#REF!,#REF!,Extrato!$B216,#REF!,Extrato!AF$3)</f>
        <v>#REF!</v>
      </c>
      <c r="AG216" s="121" t="e">
        <f>SUMIFS(#REF!,#REF!,Extrato!$B216,#REF!,Extrato!AG$3)</f>
        <v>#REF!</v>
      </c>
      <c r="AH216" s="121" t="e">
        <f>SUMIFS(#REF!,#REF!,Extrato!$B216,#REF!,Extrato!AH$3)</f>
        <v>#REF!</v>
      </c>
      <c r="AI216" s="121" t="e">
        <f>SUMIFS(#REF!,#REF!,Extrato!$B216,#REF!,Extrato!AI$3)</f>
        <v>#REF!</v>
      </c>
      <c r="AJ216" s="121">
        <v>0</v>
      </c>
      <c r="AK216" s="121">
        <v>0</v>
      </c>
      <c r="AL216" s="25" t="e">
        <f t="shared" si="11"/>
        <v>#REF!</v>
      </c>
      <c r="AM216" s="122"/>
      <c r="AN216" s="121" t="e">
        <f t="shared" si="15"/>
        <v>#REF!</v>
      </c>
      <c r="AO216" s="121">
        <f>SUMIF(BetFlow!B:B,Extrato!B216,BetFlow!M:M)</f>
        <v>0</v>
      </c>
      <c r="AP216" s="121" t="e">
        <f>SUMIFS(#REF!,#REF!,Extrato!$B216,#REF!,Extrato!AP$3,#REF!,"Betbra")</f>
        <v>#REF!</v>
      </c>
      <c r="AQ216" s="121" t="e">
        <f>SUMIFS(#REF!,#REF!,Extrato!$B216,#REF!,Extrato!AQ$3,#REF!,"Betbra")</f>
        <v>#REF!</v>
      </c>
      <c r="AR216" s="121" t="e">
        <f>SUMIFS(#REF!,#REF!,Extrato!$B216,#REF!,Extrato!AR$3,#REF!,"Betbra")</f>
        <v>#REF!</v>
      </c>
      <c r="AS216" s="121" t="e">
        <f>SUMIFS(#REF!,#REF!,Extrato!$B216,#REF!,Extrato!AS$3,#REF!,"Betbra")</f>
        <v>#REF!</v>
      </c>
      <c r="AT216" s="121" t="e">
        <f>SUMIFS(#REF!,#REF!,Extrato!$B216,#REF!,Extrato!AT$3,#REF!,"Betbra")</f>
        <v>#REF!</v>
      </c>
      <c r="AU216" s="121" t="e">
        <f>SUMIFS(#REF!,#REF!,Extrato!$B216,#REF!,Extrato!AU$3,#REF!,"Betbra")</f>
        <v>#REF!</v>
      </c>
      <c r="AV216" s="121" t="e">
        <f>SUMIFS(#REF!,#REF!,Extrato!$B216,#REF!,Extrato!AV$3,#REF!,"Betbra")</f>
        <v>#REF!</v>
      </c>
      <c r="AW216" s="121" t="e">
        <f>SUMIFS(#REF!,#REF!,Extrato!$B216,#REF!,Extrato!AW$3,#REF!,"Betbra")</f>
        <v>#REF!</v>
      </c>
      <c r="AX216" s="121" t="e">
        <f>SUMIFS(#REF!,#REF!,Extrato!$B216,#REF!,Extrato!AX$3,#REF!,"Betbra")</f>
        <v>#REF!</v>
      </c>
      <c r="AY216" s="121" t="e">
        <f>SUMIFS(#REF!,#REF!,Extrato!$B216,#REF!,Extrato!AY$3,#REF!,"Betbra")</f>
        <v>#REF!</v>
      </c>
      <c r="AZ216" s="121" t="e">
        <f>SUMIFS(#REF!,#REF!,Extrato!$B216,#REF!,Extrato!AZ$3,#REF!,"Betbra")</f>
        <v>#REF!</v>
      </c>
      <c r="BA216" s="121" t="e">
        <f>SUMIFS(#REF!,#REF!,Extrato!$B216,#REF!,Extrato!BA$3,#REF!,"Betbra")</f>
        <v>#REF!</v>
      </c>
      <c r="BB216" s="121" t="e">
        <f>SUMIFS(#REF!,#REF!,Extrato!$B216,#REF!,Extrato!BB$3,#REF!,"Betbra")</f>
        <v>#REF!</v>
      </c>
      <c r="BC216" s="121">
        <v>0</v>
      </c>
      <c r="BD216" s="121">
        <v>0</v>
      </c>
      <c r="BE216" s="25" t="e">
        <f t="shared" si="14"/>
        <v>#REF!</v>
      </c>
      <c r="BF216" s="122"/>
      <c r="BG216" s="121" t="e">
        <f t="shared" si="13"/>
        <v>#REF!</v>
      </c>
      <c r="BH216" s="121" t="e">
        <f>SUMIFS(#REF!,#REF!,Extrato!$B216,#REF!,Extrato!BH$3,#REF!,"Bolsa")</f>
        <v>#REF!</v>
      </c>
      <c r="BI216" s="121" t="e">
        <f>SUMIFS(#REF!,#REF!,Extrato!$B216,#REF!,Extrato!BI$3,#REF!,"Bolsa")</f>
        <v>#REF!</v>
      </c>
      <c r="BJ216" s="121" t="e">
        <f>SUMIFS(#REF!,#REF!,Extrato!$B216,#REF!,Extrato!BJ$3,#REF!,"Bolsa")</f>
        <v>#REF!</v>
      </c>
      <c r="BK216" s="121" t="e">
        <f>SUMIFS(#REF!,#REF!,Extrato!$B216,#REF!,Extrato!BK$3,#REF!,"Bolsa")</f>
        <v>#REF!</v>
      </c>
      <c r="BL216" s="121" t="e">
        <f>SUMIFS(#REF!,#REF!,Extrato!$B216,#REF!,Extrato!BL$3,#REF!,"Bolsa")</f>
        <v>#REF!</v>
      </c>
      <c r="BM216" s="121" t="e">
        <f>SUMIFS(#REF!,#REF!,Extrato!$B216,#REF!,Extrato!BM$3,#REF!,"Bolsa")</f>
        <v>#REF!</v>
      </c>
      <c r="BN216" s="121">
        <v>0</v>
      </c>
      <c r="BO216" s="121">
        <v>0</v>
      </c>
      <c r="BP216" s="25" t="e">
        <f t="shared" si="12"/>
        <v>#REF!</v>
      </c>
    </row>
    <row r="217" spans="2:68" ht="15" customHeight="1">
      <c r="B217" s="12">
        <v>46207</v>
      </c>
      <c r="C217" s="121" t="e">
        <f t="shared" si="10"/>
        <v>#REF!</v>
      </c>
      <c r="D217" s="121" t="e">
        <f>SUMIFS(#REF!,#REF!,Extrato!$B217,#REF!,Extrato!D$3)</f>
        <v>#REF!</v>
      </c>
      <c r="E217" s="121" t="e">
        <f>SUMIFS(#REF!,#REF!,Extrato!$B217,#REF!,Extrato!E$3,#REF!,"Fulltbet")</f>
        <v>#REF!</v>
      </c>
      <c r="F217" s="121" t="e">
        <f>SUMIFS(#REF!,#REF!,Extrato!$B217,#REF!,Extrato!F$3)</f>
        <v>#REF!</v>
      </c>
      <c r="G217" s="121" t="e">
        <f>SUMIFS(#REF!,#REF!,Extrato!$B217,#REF!,Extrato!G$3,#REF!,"Fulltbet")</f>
        <v>#REF!</v>
      </c>
      <c r="H217" s="121" t="e">
        <f>SUMIFS(#REF!,#REF!,Extrato!$B217,#REF!,Extrato!H$3)</f>
        <v>#REF!</v>
      </c>
      <c r="I217" s="121" t="e">
        <f>SUMIFS(#REF!,#REF!,Extrato!$B217,#REF!,Extrato!I$3,#REF!,"Fulltbet")</f>
        <v>#REF!</v>
      </c>
      <c r="J217" s="121" t="e">
        <f>SUMIFS(#REF!,#REF!,Extrato!$B217,#REF!,Extrato!J$3,#REF!,"Fulltbet")</f>
        <v>#REF!</v>
      </c>
      <c r="K217" s="121" t="e">
        <f>SUMIFS(#REF!,#REF!,Extrato!$B217,#REF!,Extrato!K$3,#REF!,"Fulltbet")</f>
        <v>#REF!</v>
      </c>
      <c r="L217" s="121" t="e">
        <f>SUMIFS(#REF!,#REF!,Extrato!$B217,#REF!,Extrato!L$3)</f>
        <v>#REF!</v>
      </c>
      <c r="M217" s="121" t="e">
        <f>SUMIFS(#REF!,#REF!,Extrato!$B217,#REF!,Extrato!M$3)</f>
        <v>#REF!</v>
      </c>
      <c r="N217" s="121" t="e">
        <f>SUMIFS(#REF!,#REF!,Extrato!$B217,#REF!,Extrato!N$3,#REF!,"Fulltbet")</f>
        <v>#REF!</v>
      </c>
      <c r="O217" s="121" t="e">
        <f>SUMIFS(#REF!,#REF!,Extrato!$B217,#REF!,Extrato!O$3,#REF!,"Fulltbet")</f>
        <v>#REF!</v>
      </c>
      <c r="P217" s="121">
        <f>SUMIF(BetFlow!B:B,B217,BetFlow!J:J)</f>
        <v>0</v>
      </c>
      <c r="Q217" s="121" t="e">
        <f>SUMIFS(#REF!,#REF!,Extrato!$B217,#REF!,Extrato!Q$3)</f>
        <v>#REF!</v>
      </c>
      <c r="R217" s="121" t="e">
        <f>SUMIFS(#REF!,#REF!,Extrato!$B217,#REF!,Extrato!R$3,#REF!,"Fulltbet")</f>
        <v>#REF!</v>
      </c>
      <c r="S217" s="121" t="e">
        <f>SUMIFS(#REF!,#REF!,Extrato!$B217,#REF!,Extrato!S$3,#REF!,"Fulltbet")</f>
        <v>#REF!</v>
      </c>
      <c r="T217" s="121" t="e">
        <f>SUMIFS(#REF!,#REF!,Extrato!$B217,#REF!,Extrato!T$3,#REF!,"Fulltbet")</f>
        <v>#REF!</v>
      </c>
      <c r="U217" s="121" t="e">
        <f>SUMIFS(#REF!,#REF!,Extrato!$B217,#REF!,Extrato!U$3)</f>
        <v>#REF!</v>
      </c>
      <c r="V217" s="121" t="e">
        <f>SUMIFS(#REF!,#REF!,Extrato!$B217,#REF!,Extrato!V$3)</f>
        <v>#REF!</v>
      </c>
      <c r="W217" s="121" t="e">
        <f>SUMIFS(#REF!,#REF!,Extrato!$B217,#REF!,Extrato!W$3,#REF!,"Fulltbet")</f>
        <v>#REF!</v>
      </c>
      <c r="X217" s="121" t="e">
        <f>SUMIFS(#REF!,#REF!,Extrato!$B217,#REF!,Extrato!X$3)</f>
        <v>#REF!</v>
      </c>
      <c r="Y217" s="121" t="e">
        <f>SUMIFS(#REF!,#REF!,Extrato!$B217,#REF!,Extrato!Y$3)</f>
        <v>#REF!</v>
      </c>
      <c r="Z217" s="121" t="e">
        <f>SUMIFS(#REF!,#REF!,Extrato!$B217,#REF!,Extrato!Z$3)</f>
        <v>#REF!</v>
      </c>
      <c r="AA217" s="121" t="e">
        <f>SUMIFS(#REF!,#REF!,Extrato!$B217,#REF!,Extrato!AA$3)</f>
        <v>#REF!</v>
      </c>
      <c r="AB217" s="121" t="e">
        <f>SUMIFS(#REF!,#REF!,Extrato!$B217,#REF!,Extrato!AB$3)</f>
        <v>#REF!</v>
      </c>
      <c r="AC217" s="121" t="e">
        <f>SUMIFS(#REF!,#REF!,Extrato!$B217,#REF!,Extrato!AC$3)</f>
        <v>#REF!</v>
      </c>
      <c r="AD217" s="121" t="e">
        <f>SUMIFS(#REF!,#REF!,Extrato!$B217,#REF!,Extrato!AD$3)</f>
        <v>#REF!</v>
      </c>
      <c r="AE217" s="121" t="e">
        <f>SUMIFS(#REF!,#REF!,Extrato!$B217,#REF!,Extrato!AE$3)</f>
        <v>#REF!</v>
      </c>
      <c r="AF217" s="121" t="e">
        <f>SUMIFS(#REF!,#REF!,Extrato!$B217,#REF!,Extrato!AF$3)</f>
        <v>#REF!</v>
      </c>
      <c r="AG217" s="121" t="e">
        <f>SUMIFS(#REF!,#REF!,Extrato!$B217,#REF!,Extrato!AG$3)</f>
        <v>#REF!</v>
      </c>
      <c r="AH217" s="121" t="e">
        <f>SUMIFS(#REF!,#REF!,Extrato!$B217,#REF!,Extrato!AH$3)</f>
        <v>#REF!</v>
      </c>
      <c r="AI217" s="121" t="e">
        <f>SUMIFS(#REF!,#REF!,Extrato!$B217,#REF!,Extrato!AI$3)</f>
        <v>#REF!</v>
      </c>
      <c r="AJ217" s="121">
        <v>0</v>
      </c>
      <c r="AK217" s="121">
        <v>0</v>
      </c>
      <c r="AL217" s="25" t="e">
        <f t="shared" si="11"/>
        <v>#REF!</v>
      </c>
      <c r="AM217" s="122"/>
      <c r="AN217" s="121" t="e">
        <f t="shared" si="15"/>
        <v>#REF!</v>
      </c>
      <c r="AO217" s="121">
        <f>SUMIF(BetFlow!B:B,Extrato!B217,BetFlow!M:M)</f>
        <v>0</v>
      </c>
      <c r="AP217" s="121" t="e">
        <f>SUMIFS(#REF!,#REF!,Extrato!$B217,#REF!,Extrato!AP$3,#REF!,"Betbra")</f>
        <v>#REF!</v>
      </c>
      <c r="AQ217" s="121" t="e">
        <f>SUMIFS(#REF!,#REF!,Extrato!$B217,#REF!,Extrato!AQ$3,#REF!,"Betbra")</f>
        <v>#REF!</v>
      </c>
      <c r="AR217" s="121" t="e">
        <f>SUMIFS(#REF!,#REF!,Extrato!$B217,#REF!,Extrato!AR$3,#REF!,"Betbra")</f>
        <v>#REF!</v>
      </c>
      <c r="AS217" s="121" t="e">
        <f>SUMIFS(#REF!,#REF!,Extrato!$B217,#REF!,Extrato!AS$3,#REF!,"Betbra")</f>
        <v>#REF!</v>
      </c>
      <c r="AT217" s="121" t="e">
        <f>SUMIFS(#REF!,#REF!,Extrato!$B217,#REF!,Extrato!AT$3,#REF!,"Betbra")</f>
        <v>#REF!</v>
      </c>
      <c r="AU217" s="121" t="e">
        <f>SUMIFS(#REF!,#REF!,Extrato!$B217,#REF!,Extrato!AU$3,#REF!,"Betbra")</f>
        <v>#REF!</v>
      </c>
      <c r="AV217" s="121" t="e">
        <f>SUMIFS(#REF!,#REF!,Extrato!$B217,#REF!,Extrato!AV$3,#REF!,"Betbra")</f>
        <v>#REF!</v>
      </c>
      <c r="AW217" s="121" t="e">
        <f>SUMIFS(#REF!,#REF!,Extrato!$B217,#REF!,Extrato!AW$3,#REF!,"Betbra")</f>
        <v>#REF!</v>
      </c>
      <c r="AX217" s="121" t="e">
        <f>SUMIFS(#REF!,#REF!,Extrato!$B217,#REF!,Extrato!AX$3,#REF!,"Betbra")</f>
        <v>#REF!</v>
      </c>
      <c r="AY217" s="121" t="e">
        <f>SUMIFS(#REF!,#REF!,Extrato!$B217,#REF!,Extrato!AY$3,#REF!,"Betbra")</f>
        <v>#REF!</v>
      </c>
      <c r="AZ217" s="121" t="e">
        <f>SUMIFS(#REF!,#REF!,Extrato!$B217,#REF!,Extrato!AZ$3,#REF!,"Betbra")</f>
        <v>#REF!</v>
      </c>
      <c r="BA217" s="121" t="e">
        <f>SUMIFS(#REF!,#REF!,Extrato!$B217,#REF!,Extrato!BA$3,#REF!,"Betbra")</f>
        <v>#REF!</v>
      </c>
      <c r="BB217" s="121" t="e">
        <f>SUMIFS(#REF!,#REF!,Extrato!$B217,#REF!,Extrato!BB$3,#REF!,"Betbra")</f>
        <v>#REF!</v>
      </c>
      <c r="BC217" s="121">
        <v>0</v>
      </c>
      <c r="BD217" s="121">
        <v>-0.01</v>
      </c>
      <c r="BE217" s="25" t="e">
        <f t="shared" si="14"/>
        <v>#REF!</v>
      </c>
      <c r="BF217" s="122"/>
      <c r="BG217" s="121" t="e">
        <f t="shared" si="13"/>
        <v>#REF!</v>
      </c>
      <c r="BH217" s="121" t="e">
        <f>SUMIFS(#REF!,#REF!,Extrato!$B217,#REF!,Extrato!BH$3,#REF!,"Bolsa")</f>
        <v>#REF!</v>
      </c>
      <c r="BI217" s="121" t="e">
        <f>SUMIFS(#REF!,#REF!,Extrato!$B217,#REF!,Extrato!BI$3,#REF!,"Bolsa")</f>
        <v>#REF!</v>
      </c>
      <c r="BJ217" s="121" t="e">
        <f>SUMIFS(#REF!,#REF!,Extrato!$B217,#REF!,Extrato!BJ$3,#REF!,"Bolsa")</f>
        <v>#REF!</v>
      </c>
      <c r="BK217" s="121" t="e">
        <f>SUMIFS(#REF!,#REF!,Extrato!$B217,#REF!,Extrato!BK$3,#REF!,"Bolsa")</f>
        <v>#REF!</v>
      </c>
      <c r="BL217" s="121" t="e">
        <f>SUMIFS(#REF!,#REF!,Extrato!$B217,#REF!,Extrato!BL$3,#REF!,"Bolsa")</f>
        <v>#REF!</v>
      </c>
      <c r="BM217" s="121" t="e">
        <f>SUMIFS(#REF!,#REF!,Extrato!$B217,#REF!,Extrato!BM$3,#REF!,"Bolsa")</f>
        <v>#REF!</v>
      </c>
      <c r="BN217" s="121">
        <v>0</v>
      </c>
      <c r="BO217" s="121">
        <v>0</v>
      </c>
      <c r="BP217" s="25" t="e">
        <f t="shared" si="12"/>
        <v>#REF!</v>
      </c>
    </row>
    <row r="218" spans="2:68" ht="15" customHeight="1">
      <c r="B218" s="12">
        <v>46208</v>
      </c>
      <c r="C218" s="121" t="e">
        <f t="shared" si="10"/>
        <v>#REF!</v>
      </c>
      <c r="D218" s="121" t="e">
        <f>SUMIFS(#REF!,#REF!,Extrato!$B218,#REF!,Extrato!D$3)</f>
        <v>#REF!</v>
      </c>
      <c r="E218" s="121" t="e">
        <f>SUMIFS(#REF!,#REF!,Extrato!$B218,#REF!,Extrato!E$3,#REF!,"Fulltbet")</f>
        <v>#REF!</v>
      </c>
      <c r="F218" s="121" t="e">
        <f>SUMIFS(#REF!,#REF!,Extrato!$B218,#REF!,Extrato!F$3)</f>
        <v>#REF!</v>
      </c>
      <c r="G218" s="121" t="e">
        <f>SUMIFS(#REF!,#REF!,Extrato!$B218,#REF!,Extrato!G$3,#REF!,"Fulltbet")</f>
        <v>#REF!</v>
      </c>
      <c r="H218" s="121" t="e">
        <f>SUMIFS(#REF!,#REF!,Extrato!$B218,#REF!,Extrato!H$3)</f>
        <v>#REF!</v>
      </c>
      <c r="I218" s="121" t="e">
        <f>SUMIFS(#REF!,#REF!,Extrato!$B218,#REF!,Extrato!I$3,#REF!,"Fulltbet")</f>
        <v>#REF!</v>
      </c>
      <c r="J218" s="121" t="e">
        <f>SUMIFS(#REF!,#REF!,Extrato!$B218,#REF!,Extrato!J$3,#REF!,"Fulltbet")</f>
        <v>#REF!</v>
      </c>
      <c r="K218" s="121" t="e">
        <f>SUMIFS(#REF!,#REF!,Extrato!$B218,#REF!,Extrato!K$3,#REF!,"Fulltbet")</f>
        <v>#REF!</v>
      </c>
      <c r="L218" s="121" t="e">
        <f>SUMIFS(#REF!,#REF!,Extrato!$B218,#REF!,Extrato!L$3)</f>
        <v>#REF!</v>
      </c>
      <c r="M218" s="121" t="e">
        <f>SUMIFS(#REF!,#REF!,Extrato!$B218,#REF!,Extrato!M$3)</f>
        <v>#REF!</v>
      </c>
      <c r="N218" s="121" t="e">
        <f>SUMIFS(#REF!,#REF!,Extrato!$B218,#REF!,Extrato!N$3,#REF!,"Fulltbet")</f>
        <v>#REF!</v>
      </c>
      <c r="O218" s="121" t="e">
        <f>SUMIFS(#REF!,#REF!,Extrato!$B218,#REF!,Extrato!O$3,#REF!,"Fulltbet")</f>
        <v>#REF!</v>
      </c>
      <c r="P218" s="121">
        <f>SUMIF(BetFlow!B:B,B218,BetFlow!J:J)</f>
        <v>0</v>
      </c>
      <c r="Q218" s="121" t="e">
        <f>SUMIFS(#REF!,#REF!,Extrato!$B218,#REF!,Extrato!Q$3)</f>
        <v>#REF!</v>
      </c>
      <c r="R218" s="121" t="e">
        <f>SUMIFS(#REF!,#REF!,Extrato!$B218,#REF!,Extrato!R$3,#REF!,"Fulltbet")</f>
        <v>#REF!</v>
      </c>
      <c r="S218" s="121" t="e">
        <f>SUMIFS(#REF!,#REF!,Extrato!$B218,#REF!,Extrato!S$3,#REF!,"Fulltbet")</f>
        <v>#REF!</v>
      </c>
      <c r="T218" s="121" t="e">
        <f>SUMIFS(#REF!,#REF!,Extrato!$B218,#REF!,Extrato!T$3,#REF!,"Fulltbet")</f>
        <v>#REF!</v>
      </c>
      <c r="U218" s="121" t="e">
        <f>SUMIFS(#REF!,#REF!,Extrato!$B218,#REF!,Extrato!U$3)</f>
        <v>#REF!</v>
      </c>
      <c r="V218" s="121" t="e">
        <f>SUMIFS(#REF!,#REF!,Extrato!$B218,#REF!,Extrato!V$3)</f>
        <v>#REF!</v>
      </c>
      <c r="W218" s="121" t="e">
        <f>SUMIFS(#REF!,#REF!,Extrato!$B218,#REF!,Extrato!W$3,#REF!,"Fulltbet")</f>
        <v>#REF!</v>
      </c>
      <c r="X218" s="121" t="e">
        <f>SUMIFS(#REF!,#REF!,Extrato!$B218,#REF!,Extrato!X$3)</f>
        <v>#REF!</v>
      </c>
      <c r="Y218" s="121" t="e">
        <f>SUMIFS(#REF!,#REF!,Extrato!$B218,#REF!,Extrato!Y$3)</f>
        <v>#REF!</v>
      </c>
      <c r="Z218" s="121" t="e">
        <f>SUMIFS(#REF!,#REF!,Extrato!$B218,#REF!,Extrato!Z$3)</f>
        <v>#REF!</v>
      </c>
      <c r="AA218" s="121" t="e">
        <f>SUMIFS(#REF!,#REF!,Extrato!$B218,#REF!,Extrato!AA$3)</f>
        <v>#REF!</v>
      </c>
      <c r="AB218" s="121" t="e">
        <f>SUMIFS(#REF!,#REF!,Extrato!$B218,#REF!,Extrato!AB$3)</f>
        <v>#REF!</v>
      </c>
      <c r="AC218" s="121" t="e">
        <f>SUMIFS(#REF!,#REF!,Extrato!$B218,#REF!,Extrato!AC$3)</f>
        <v>#REF!</v>
      </c>
      <c r="AD218" s="121" t="e">
        <f>SUMIFS(#REF!,#REF!,Extrato!$B218,#REF!,Extrato!AD$3)</f>
        <v>#REF!</v>
      </c>
      <c r="AE218" s="121" t="e">
        <f>SUMIFS(#REF!,#REF!,Extrato!$B218,#REF!,Extrato!AE$3)</f>
        <v>#REF!</v>
      </c>
      <c r="AF218" s="121" t="e">
        <f>SUMIFS(#REF!,#REF!,Extrato!$B218,#REF!,Extrato!AF$3)</f>
        <v>#REF!</v>
      </c>
      <c r="AG218" s="121" t="e">
        <f>SUMIFS(#REF!,#REF!,Extrato!$B218,#REF!,Extrato!AG$3)</f>
        <v>#REF!</v>
      </c>
      <c r="AH218" s="121" t="e">
        <f>SUMIFS(#REF!,#REF!,Extrato!$B218,#REF!,Extrato!AH$3)</f>
        <v>#REF!</v>
      </c>
      <c r="AI218" s="121" t="e">
        <f>SUMIFS(#REF!,#REF!,Extrato!$B218,#REF!,Extrato!AI$3)</f>
        <v>#REF!</v>
      </c>
      <c r="AJ218" s="121">
        <v>0</v>
      </c>
      <c r="AK218" s="121">
        <v>0</v>
      </c>
      <c r="AL218" s="25" t="e">
        <f t="shared" si="11"/>
        <v>#REF!</v>
      </c>
      <c r="AM218" s="122"/>
      <c r="AN218" s="121" t="e">
        <f t="shared" si="15"/>
        <v>#REF!</v>
      </c>
      <c r="AO218" s="121">
        <f>SUMIF(BetFlow!B:B,Extrato!B218,BetFlow!M:M)</f>
        <v>0</v>
      </c>
      <c r="AP218" s="121" t="e">
        <f>SUMIFS(#REF!,#REF!,Extrato!$B218,#REF!,Extrato!AP$3,#REF!,"Betbra")</f>
        <v>#REF!</v>
      </c>
      <c r="AQ218" s="121" t="e">
        <f>SUMIFS(#REF!,#REF!,Extrato!$B218,#REF!,Extrato!AQ$3,#REF!,"Betbra")</f>
        <v>#REF!</v>
      </c>
      <c r="AR218" s="121" t="e">
        <f>SUMIFS(#REF!,#REF!,Extrato!$B218,#REF!,Extrato!AR$3,#REF!,"Betbra")</f>
        <v>#REF!</v>
      </c>
      <c r="AS218" s="121" t="e">
        <f>SUMIFS(#REF!,#REF!,Extrato!$B218,#REF!,Extrato!AS$3,#REF!,"Betbra")</f>
        <v>#REF!</v>
      </c>
      <c r="AT218" s="121" t="e">
        <f>SUMIFS(#REF!,#REF!,Extrato!$B218,#REF!,Extrato!AT$3,#REF!,"Betbra")</f>
        <v>#REF!</v>
      </c>
      <c r="AU218" s="121" t="e">
        <f>SUMIFS(#REF!,#REF!,Extrato!$B218,#REF!,Extrato!AU$3,#REF!,"Betbra")</f>
        <v>#REF!</v>
      </c>
      <c r="AV218" s="121" t="e">
        <f>SUMIFS(#REF!,#REF!,Extrato!$B218,#REF!,Extrato!AV$3,#REF!,"Betbra")</f>
        <v>#REF!</v>
      </c>
      <c r="AW218" s="121" t="e">
        <f>SUMIFS(#REF!,#REF!,Extrato!$B218,#REF!,Extrato!AW$3,#REF!,"Betbra")</f>
        <v>#REF!</v>
      </c>
      <c r="AX218" s="121" t="e">
        <f>SUMIFS(#REF!,#REF!,Extrato!$B218,#REF!,Extrato!AX$3,#REF!,"Betbra")</f>
        <v>#REF!</v>
      </c>
      <c r="AY218" s="121" t="e">
        <f>SUMIFS(#REF!,#REF!,Extrato!$B218,#REF!,Extrato!AY$3,#REF!,"Betbra")</f>
        <v>#REF!</v>
      </c>
      <c r="AZ218" s="121" t="e">
        <f>SUMIFS(#REF!,#REF!,Extrato!$B218,#REF!,Extrato!AZ$3,#REF!,"Betbra")</f>
        <v>#REF!</v>
      </c>
      <c r="BA218" s="121" t="e">
        <f>SUMIFS(#REF!,#REF!,Extrato!$B218,#REF!,Extrato!BA$3,#REF!,"Betbra")</f>
        <v>#REF!</v>
      </c>
      <c r="BB218" s="121" t="e">
        <f>SUMIFS(#REF!,#REF!,Extrato!$B218,#REF!,Extrato!BB$3,#REF!,"Betbra")</f>
        <v>#REF!</v>
      </c>
      <c r="BC218" s="121">
        <v>0</v>
      </c>
      <c r="BD218" s="121">
        <v>0</v>
      </c>
      <c r="BE218" s="25" t="e">
        <f t="shared" si="14"/>
        <v>#REF!</v>
      </c>
      <c r="BF218" s="122"/>
      <c r="BG218" s="121" t="e">
        <f t="shared" si="13"/>
        <v>#REF!</v>
      </c>
      <c r="BH218" s="121" t="e">
        <f>SUMIFS(#REF!,#REF!,Extrato!$B218,#REF!,Extrato!BH$3,#REF!,"Bolsa")</f>
        <v>#REF!</v>
      </c>
      <c r="BI218" s="121" t="e">
        <f>SUMIFS(#REF!,#REF!,Extrato!$B218,#REF!,Extrato!BI$3,#REF!,"Bolsa")</f>
        <v>#REF!</v>
      </c>
      <c r="BJ218" s="121" t="e">
        <f>SUMIFS(#REF!,#REF!,Extrato!$B218,#REF!,Extrato!BJ$3,#REF!,"Bolsa")</f>
        <v>#REF!</v>
      </c>
      <c r="BK218" s="121" t="e">
        <f>SUMIFS(#REF!,#REF!,Extrato!$B218,#REF!,Extrato!BK$3,#REF!,"Bolsa")</f>
        <v>#REF!</v>
      </c>
      <c r="BL218" s="121" t="e">
        <f>SUMIFS(#REF!,#REF!,Extrato!$B218,#REF!,Extrato!BL$3,#REF!,"Bolsa")</f>
        <v>#REF!</v>
      </c>
      <c r="BM218" s="121" t="e">
        <f>SUMIFS(#REF!,#REF!,Extrato!$B218,#REF!,Extrato!BM$3,#REF!,"Bolsa")</f>
        <v>#REF!</v>
      </c>
      <c r="BN218" s="121">
        <v>0</v>
      </c>
      <c r="BO218" s="121">
        <v>0</v>
      </c>
      <c r="BP218" s="25" t="e">
        <f t="shared" si="12"/>
        <v>#REF!</v>
      </c>
    </row>
    <row r="219" spans="2:68" ht="15" customHeight="1">
      <c r="B219" s="12">
        <v>46209</v>
      </c>
      <c r="C219" s="121" t="e">
        <f t="shared" si="10"/>
        <v>#REF!</v>
      </c>
      <c r="D219" s="121" t="e">
        <f>SUMIFS(#REF!,#REF!,Extrato!$B219,#REF!,Extrato!D$3)</f>
        <v>#REF!</v>
      </c>
      <c r="E219" s="121" t="e">
        <f>SUMIFS(#REF!,#REF!,Extrato!$B219,#REF!,Extrato!E$3,#REF!,"Fulltbet")</f>
        <v>#REF!</v>
      </c>
      <c r="F219" s="121" t="e">
        <f>SUMIFS(#REF!,#REF!,Extrato!$B219,#REF!,Extrato!F$3)</f>
        <v>#REF!</v>
      </c>
      <c r="G219" s="121" t="e">
        <f>SUMIFS(#REF!,#REF!,Extrato!$B219,#REF!,Extrato!G$3,#REF!,"Fulltbet")</f>
        <v>#REF!</v>
      </c>
      <c r="H219" s="121" t="e">
        <f>SUMIFS(#REF!,#REF!,Extrato!$B219,#REF!,Extrato!H$3)</f>
        <v>#REF!</v>
      </c>
      <c r="I219" s="121" t="e">
        <f>SUMIFS(#REF!,#REF!,Extrato!$B219,#REF!,Extrato!I$3,#REF!,"Fulltbet")</f>
        <v>#REF!</v>
      </c>
      <c r="J219" s="121" t="e">
        <f>SUMIFS(#REF!,#REF!,Extrato!$B219,#REF!,Extrato!J$3,#REF!,"Fulltbet")</f>
        <v>#REF!</v>
      </c>
      <c r="K219" s="121" t="e">
        <f>SUMIFS(#REF!,#REF!,Extrato!$B219,#REF!,Extrato!K$3,#REF!,"Fulltbet")</f>
        <v>#REF!</v>
      </c>
      <c r="L219" s="121" t="e">
        <f>SUMIFS(#REF!,#REF!,Extrato!$B219,#REF!,Extrato!L$3)</f>
        <v>#REF!</v>
      </c>
      <c r="M219" s="121" t="e">
        <f>SUMIFS(#REF!,#REF!,Extrato!$B219,#REF!,Extrato!M$3)</f>
        <v>#REF!</v>
      </c>
      <c r="N219" s="121" t="e">
        <f>SUMIFS(#REF!,#REF!,Extrato!$B219,#REF!,Extrato!N$3,#REF!,"Fulltbet")</f>
        <v>#REF!</v>
      </c>
      <c r="O219" s="121" t="e">
        <f>SUMIFS(#REF!,#REF!,Extrato!$B219,#REF!,Extrato!O$3,#REF!,"Fulltbet")</f>
        <v>#REF!</v>
      </c>
      <c r="P219" s="121">
        <f>SUMIF(BetFlow!B:B,B219,BetFlow!J:J)</f>
        <v>0</v>
      </c>
      <c r="Q219" s="121" t="e">
        <f>SUMIFS(#REF!,#REF!,Extrato!$B219,#REF!,Extrato!Q$3)</f>
        <v>#REF!</v>
      </c>
      <c r="R219" s="121" t="e">
        <f>SUMIFS(#REF!,#REF!,Extrato!$B219,#REF!,Extrato!R$3,#REF!,"Fulltbet")</f>
        <v>#REF!</v>
      </c>
      <c r="S219" s="121" t="e">
        <f>SUMIFS(#REF!,#REF!,Extrato!$B219,#REF!,Extrato!S$3,#REF!,"Fulltbet")</f>
        <v>#REF!</v>
      </c>
      <c r="T219" s="121" t="e">
        <f>SUMIFS(#REF!,#REF!,Extrato!$B219,#REF!,Extrato!T$3,#REF!,"Fulltbet")</f>
        <v>#REF!</v>
      </c>
      <c r="U219" s="121" t="e">
        <f>SUMIFS(#REF!,#REF!,Extrato!$B219,#REF!,Extrato!U$3)</f>
        <v>#REF!</v>
      </c>
      <c r="V219" s="121" t="e">
        <f>SUMIFS(#REF!,#REF!,Extrato!$B219,#REF!,Extrato!V$3)</f>
        <v>#REF!</v>
      </c>
      <c r="W219" s="121" t="e">
        <f>SUMIFS(#REF!,#REF!,Extrato!$B219,#REF!,Extrato!W$3,#REF!,"Fulltbet")</f>
        <v>#REF!</v>
      </c>
      <c r="X219" s="121" t="e">
        <f>SUMIFS(#REF!,#REF!,Extrato!$B219,#REF!,Extrato!X$3)</f>
        <v>#REF!</v>
      </c>
      <c r="Y219" s="121" t="e">
        <f>SUMIFS(#REF!,#REF!,Extrato!$B219,#REF!,Extrato!Y$3)</f>
        <v>#REF!</v>
      </c>
      <c r="Z219" s="121" t="e">
        <f>SUMIFS(#REF!,#REF!,Extrato!$B219,#REF!,Extrato!Z$3)</f>
        <v>#REF!</v>
      </c>
      <c r="AA219" s="121" t="e">
        <f>SUMIFS(#REF!,#REF!,Extrato!$B219,#REF!,Extrato!AA$3)</f>
        <v>#REF!</v>
      </c>
      <c r="AB219" s="121" t="e">
        <f>SUMIFS(#REF!,#REF!,Extrato!$B219,#REF!,Extrato!AB$3)</f>
        <v>#REF!</v>
      </c>
      <c r="AC219" s="121" t="e">
        <f>SUMIFS(#REF!,#REF!,Extrato!$B219,#REF!,Extrato!AC$3)</f>
        <v>#REF!</v>
      </c>
      <c r="AD219" s="121" t="e">
        <f>SUMIFS(#REF!,#REF!,Extrato!$B219,#REF!,Extrato!AD$3)</f>
        <v>#REF!</v>
      </c>
      <c r="AE219" s="121" t="e">
        <f>SUMIFS(#REF!,#REF!,Extrato!$B219,#REF!,Extrato!AE$3)</f>
        <v>#REF!</v>
      </c>
      <c r="AF219" s="121" t="e">
        <f>SUMIFS(#REF!,#REF!,Extrato!$B219,#REF!,Extrato!AF$3)</f>
        <v>#REF!</v>
      </c>
      <c r="AG219" s="121" t="e">
        <f>SUMIFS(#REF!,#REF!,Extrato!$B219,#REF!,Extrato!AG$3)</f>
        <v>#REF!</v>
      </c>
      <c r="AH219" s="121" t="e">
        <f>SUMIFS(#REF!,#REF!,Extrato!$B219,#REF!,Extrato!AH$3)</f>
        <v>#REF!</v>
      </c>
      <c r="AI219" s="121" t="e">
        <f>SUMIFS(#REF!,#REF!,Extrato!$B219,#REF!,Extrato!AI$3)</f>
        <v>#REF!</v>
      </c>
      <c r="AJ219" s="121">
        <v>0</v>
      </c>
      <c r="AK219" s="121">
        <v>0</v>
      </c>
      <c r="AL219" s="25" t="e">
        <f t="shared" si="11"/>
        <v>#REF!</v>
      </c>
      <c r="AM219" s="122"/>
      <c r="AN219" s="121" t="e">
        <f t="shared" si="15"/>
        <v>#REF!</v>
      </c>
      <c r="AO219" s="121">
        <f>SUMIF(BetFlow!B:B,Extrato!B219,BetFlow!M:M)</f>
        <v>0</v>
      </c>
      <c r="AP219" s="121" t="e">
        <f>SUMIFS(#REF!,#REF!,Extrato!$B219,#REF!,Extrato!AP$3,#REF!,"Betbra")</f>
        <v>#REF!</v>
      </c>
      <c r="AQ219" s="121" t="e">
        <f>SUMIFS(#REF!,#REF!,Extrato!$B219,#REF!,Extrato!AQ$3,#REF!,"Betbra")</f>
        <v>#REF!</v>
      </c>
      <c r="AR219" s="121" t="e">
        <f>SUMIFS(#REF!,#REF!,Extrato!$B219,#REF!,Extrato!AR$3,#REF!,"Betbra")</f>
        <v>#REF!</v>
      </c>
      <c r="AS219" s="121" t="e">
        <f>SUMIFS(#REF!,#REF!,Extrato!$B219,#REF!,Extrato!AS$3,#REF!,"Betbra")</f>
        <v>#REF!</v>
      </c>
      <c r="AT219" s="121" t="e">
        <f>SUMIFS(#REF!,#REF!,Extrato!$B219,#REF!,Extrato!AT$3,#REF!,"Betbra")</f>
        <v>#REF!</v>
      </c>
      <c r="AU219" s="121" t="e">
        <f>SUMIFS(#REF!,#REF!,Extrato!$B219,#REF!,Extrato!AU$3,#REF!,"Betbra")</f>
        <v>#REF!</v>
      </c>
      <c r="AV219" s="121" t="e">
        <f>SUMIFS(#REF!,#REF!,Extrato!$B219,#REF!,Extrato!AV$3,#REF!,"Betbra")</f>
        <v>#REF!</v>
      </c>
      <c r="AW219" s="121" t="e">
        <f>SUMIFS(#REF!,#REF!,Extrato!$B219,#REF!,Extrato!AW$3,#REF!,"Betbra")</f>
        <v>#REF!</v>
      </c>
      <c r="AX219" s="121" t="e">
        <f>SUMIFS(#REF!,#REF!,Extrato!$B219,#REF!,Extrato!AX$3,#REF!,"Betbra")</f>
        <v>#REF!</v>
      </c>
      <c r="AY219" s="121" t="e">
        <f>SUMIFS(#REF!,#REF!,Extrato!$B219,#REF!,Extrato!AY$3,#REF!,"Betbra")</f>
        <v>#REF!</v>
      </c>
      <c r="AZ219" s="121" t="e">
        <f>SUMIFS(#REF!,#REF!,Extrato!$B219,#REF!,Extrato!AZ$3,#REF!,"Betbra")</f>
        <v>#REF!</v>
      </c>
      <c r="BA219" s="121" t="e">
        <f>SUMIFS(#REF!,#REF!,Extrato!$B219,#REF!,Extrato!BA$3,#REF!,"Betbra")</f>
        <v>#REF!</v>
      </c>
      <c r="BB219" s="121" t="e">
        <f>SUMIFS(#REF!,#REF!,Extrato!$B219,#REF!,Extrato!BB$3,#REF!,"Betbra")</f>
        <v>#REF!</v>
      </c>
      <c r="BC219" s="121">
        <v>0</v>
      </c>
      <c r="BD219" s="121">
        <v>0</v>
      </c>
      <c r="BE219" s="25" t="e">
        <f t="shared" si="14"/>
        <v>#REF!</v>
      </c>
      <c r="BF219" s="122"/>
      <c r="BG219" s="121" t="e">
        <f t="shared" si="13"/>
        <v>#REF!</v>
      </c>
      <c r="BH219" s="121" t="e">
        <f>SUMIFS(#REF!,#REF!,Extrato!$B219,#REF!,Extrato!BH$3,#REF!,"Bolsa")</f>
        <v>#REF!</v>
      </c>
      <c r="BI219" s="121" t="e">
        <f>SUMIFS(#REF!,#REF!,Extrato!$B219,#REF!,Extrato!BI$3,#REF!,"Bolsa")</f>
        <v>#REF!</v>
      </c>
      <c r="BJ219" s="121" t="e">
        <f>SUMIFS(#REF!,#REF!,Extrato!$B219,#REF!,Extrato!BJ$3,#REF!,"Bolsa")</f>
        <v>#REF!</v>
      </c>
      <c r="BK219" s="121" t="e">
        <f>SUMIFS(#REF!,#REF!,Extrato!$B219,#REF!,Extrato!BK$3,#REF!,"Bolsa")</f>
        <v>#REF!</v>
      </c>
      <c r="BL219" s="121" t="e">
        <f>SUMIFS(#REF!,#REF!,Extrato!$B219,#REF!,Extrato!BL$3,#REF!,"Bolsa")</f>
        <v>#REF!</v>
      </c>
      <c r="BM219" s="121" t="e">
        <f>SUMIFS(#REF!,#REF!,Extrato!$B219,#REF!,Extrato!BM$3,#REF!,"Bolsa")</f>
        <v>#REF!</v>
      </c>
      <c r="BN219" s="121">
        <v>0</v>
      </c>
      <c r="BO219" s="121">
        <v>0</v>
      </c>
      <c r="BP219" s="25" t="e">
        <f t="shared" si="12"/>
        <v>#REF!</v>
      </c>
    </row>
    <row r="220" spans="2:68" ht="15" customHeight="1">
      <c r="B220" s="12">
        <v>46210</v>
      </c>
      <c r="C220" s="121" t="e">
        <f t="shared" si="10"/>
        <v>#REF!</v>
      </c>
      <c r="D220" s="121" t="e">
        <f>SUMIFS(#REF!,#REF!,Extrato!$B220,#REF!,Extrato!D$3)</f>
        <v>#REF!</v>
      </c>
      <c r="E220" s="121" t="e">
        <f>SUMIFS(#REF!,#REF!,Extrato!$B220,#REF!,Extrato!E$3,#REF!,"Fulltbet")</f>
        <v>#REF!</v>
      </c>
      <c r="F220" s="121" t="e">
        <f>SUMIFS(#REF!,#REF!,Extrato!$B220,#REF!,Extrato!F$3)</f>
        <v>#REF!</v>
      </c>
      <c r="G220" s="121" t="e">
        <f>SUMIFS(#REF!,#REF!,Extrato!$B220,#REF!,Extrato!G$3,#REF!,"Fulltbet")</f>
        <v>#REF!</v>
      </c>
      <c r="H220" s="121" t="e">
        <f>SUMIFS(#REF!,#REF!,Extrato!$B220,#REF!,Extrato!H$3)</f>
        <v>#REF!</v>
      </c>
      <c r="I220" s="121" t="e">
        <f>SUMIFS(#REF!,#REF!,Extrato!$B220,#REF!,Extrato!I$3,#REF!,"Fulltbet")</f>
        <v>#REF!</v>
      </c>
      <c r="J220" s="121" t="e">
        <f>SUMIFS(#REF!,#REF!,Extrato!$B220,#REF!,Extrato!J$3,#REF!,"Fulltbet")</f>
        <v>#REF!</v>
      </c>
      <c r="K220" s="121" t="e">
        <f>SUMIFS(#REF!,#REF!,Extrato!$B220,#REF!,Extrato!K$3,#REF!,"Fulltbet")</f>
        <v>#REF!</v>
      </c>
      <c r="L220" s="121" t="e">
        <f>SUMIFS(#REF!,#REF!,Extrato!$B220,#REF!,Extrato!L$3)</f>
        <v>#REF!</v>
      </c>
      <c r="M220" s="121" t="e">
        <f>SUMIFS(#REF!,#REF!,Extrato!$B220,#REF!,Extrato!M$3)</f>
        <v>#REF!</v>
      </c>
      <c r="N220" s="121" t="e">
        <f>SUMIFS(#REF!,#REF!,Extrato!$B220,#REF!,Extrato!N$3,#REF!,"Fulltbet")</f>
        <v>#REF!</v>
      </c>
      <c r="O220" s="121" t="e">
        <f>SUMIFS(#REF!,#REF!,Extrato!$B220,#REF!,Extrato!O$3,#REF!,"Fulltbet")</f>
        <v>#REF!</v>
      </c>
      <c r="P220" s="121">
        <f>SUMIF(BetFlow!B:B,B220,BetFlow!J:J)</f>
        <v>0</v>
      </c>
      <c r="Q220" s="121" t="e">
        <f>SUMIFS(#REF!,#REF!,Extrato!$B220,#REF!,Extrato!Q$3)</f>
        <v>#REF!</v>
      </c>
      <c r="R220" s="121" t="e">
        <f>SUMIFS(#REF!,#REF!,Extrato!$B220,#REF!,Extrato!R$3,#REF!,"Fulltbet")</f>
        <v>#REF!</v>
      </c>
      <c r="S220" s="121" t="e">
        <f>SUMIFS(#REF!,#REF!,Extrato!$B220,#REF!,Extrato!S$3,#REF!,"Fulltbet")</f>
        <v>#REF!</v>
      </c>
      <c r="T220" s="121" t="e">
        <f>SUMIFS(#REF!,#REF!,Extrato!$B220,#REF!,Extrato!T$3,#REF!,"Fulltbet")</f>
        <v>#REF!</v>
      </c>
      <c r="U220" s="121" t="e">
        <f>SUMIFS(#REF!,#REF!,Extrato!$B220,#REF!,Extrato!U$3)</f>
        <v>#REF!</v>
      </c>
      <c r="V220" s="121" t="e">
        <f>SUMIFS(#REF!,#REF!,Extrato!$B220,#REF!,Extrato!V$3)</f>
        <v>#REF!</v>
      </c>
      <c r="W220" s="121" t="e">
        <f>SUMIFS(#REF!,#REF!,Extrato!$B220,#REF!,Extrato!W$3,#REF!,"Fulltbet")</f>
        <v>#REF!</v>
      </c>
      <c r="X220" s="121" t="e">
        <f>SUMIFS(#REF!,#REF!,Extrato!$B220,#REF!,Extrato!X$3)</f>
        <v>#REF!</v>
      </c>
      <c r="Y220" s="121" t="e">
        <f>SUMIFS(#REF!,#REF!,Extrato!$B220,#REF!,Extrato!Y$3)</f>
        <v>#REF!</v>
      </c>
      <c r="Z220" s="121" t="e">
        <f>SUMIFS(#REF!,#REF!,Extrato!$B220,#REF!,Extrato!Z$3)</f>
        <v>#REF!</v>
      </c>
      <c r="AA220" s="121" t="e">
        <f>SUMIFS(#REF!,#REF!,Extrato!$B220,#REF!,Extrato!AA$3)</f>
        <v>#REF!</v>
      </c>
      <c r="AB220" s="121" t="e">
        <f>SUMIFS(#REF!,#REF!,Extrato!$B220,#REF!,Extrato!AB$3)</f>
        <v>#REF!</v>
      </c>
      <c r="AC220" s="121" t="e">
        <f>SUMIFS(#REF!,#REF!,Extrato!$B220,#REF!,Extrato!AC$3)</f>
        <v>#REF!</v>
      </c>
      <c r="AD220" s="121" t="e">
        <f>SUMIFS(#REF!,#REF!,Extrato!$B220,#REF!,Extrato!AD$3)</f>
        <v>#REF!</v>
      </c>
      <c r="AE220" s="121" t="e">
        <f>SUMIFS(#REF!,#REF!,Extrato!$B220,#REF!,Extrato!AE$3)</f>
        <v>#REF!</v>
      </c>
      <c r="AF220" s="121" t="e">
        <f>SUMIFS(#REF!,#REF!,Extrato!$B220,#REF!,Extrato!AF$3)</f>
        <v>#REF!</v>
      </c>
      <c r="AG220" s="121" t="e">
        <f>SUMIFS(#REF!,#REF!,Extrato!$B220,#REF!,Extrato!AG$3)</f>
        <v>#REF!</v>
      </c>
      <c r="AH220" s="121" t="e">
        <f>SUMIFS(#REF!,#REF!,Extrato!$B220,#REF!,Extrato!AH$3)</f>
        <v>#REF!</v>
      </c>
      <c r="AI220" s="121" t="e">
        <f>SUMIFS(#REF!,#REF!,Extrato!$B220,#REF!,Extrato!AI$3)</f>
        <v>#REF!</v>
      </c>
      <c r="AJ220" s="121">
        <v>0</v>
      </c>
      <c r="AK220" s="121">
        <v>0</v>
      </c>
      <c r="AL220" s="25" t="e">
        <f t="shared" si="11"/>
        <v>#REF!</v>
      </c>
      <c r="AM220" s="122"/>
      <c r="AN220" s="121" t="e">
        <f t="shared" si="15"/>
        <v>#REF!</v>
      </c>
      <c r="AO220" s="121">
        <f>SUMIF(BetFlow!B:B,Extrato!B220,BetFlow!M:M)</f>
        <v>0</v>
      </c>
      <c r="AP220" s="121" t="e">
        <f>SUMIFS(#REF!,#REF!,Extrato!$B220,#REF!,Extrato!AP$3,#REF!,"Betbra")</f>
        <v>#REF!</v>
      </c>
      <c r="AQ220" s="121" t="e">
        <f>SUMIFS(#REF!,#REF!,Extrato!$B220,#REF!,Extrato!AQ$3,#REF!,"Betbra")</f>
        <v>#REF!</v>
      </c>
      <c r="AR220" s="121" t="e">
        <f>SUMIFS(#REF!,#REF!,Extrato!$B220,#REF!,Extrato!AR$3,#REF!,"Betbra")</f>
        <v>#REF!</v>
      </c>
      <c r="AS220" s="121" t="e">
        <f>SUMIFS(#REF!,#REF!,Extrato!$B220,#REF!,Extrato!AS$3,#REF!,"Betbra")</f>
        <v>#REF!</v>
      </c>
      <c r="AT220" s="121" t="e">
        <f>SUMIFS(#REF!,#REF!,Extrato!$B220,#REF!,Extrato!AT$3,#REF!,"Betbra")</f>
        <v>#REF!</v>
      </c>
      <c r="AU220" s="121" t="e">
        <f>SUMIFS(#REF!,#REF!,Extrato!$B220,#REF!,Extrato!AU$3,#REF!,"Betbra")</f>
        <v>#REF!</v>
      </c>
      <c r="AV220" s="121" t="e">
        <f>SUMIFS(#REF!,#REF!,Extrato!$B220,#REF!,Extrato!AV$3,#REF!,"Betbra")</f>
        <v>#REF!</v>
      </c>
      <c r="AW220" s="121" t="e">
        <f>SUMIFS(#REF!,#REF!,Extrato!$B220,#REF!,Extrato!AW$3,#REF!,"Betbra")</f>
        <v>#REF!</v>
      </c>
      <c r="AX220" s="121" t="e">
        <f>SUMIFS(#REF!,#REF!,Extrato!$B220,#REF!,Extrato!AX$3,#REF!,"Betbra")</f>
        <v>#REF!</v>
      </c>
      <c r="AY220" s="121" t="e">
        <f>SUMIFS(#REF!,#REF!,Extrato!$B220,#REF!,Extrato!AY$3,#REF!,"Betbra")</f>
        <v>#REF!</v>
      </c>
      <c r="AZ220" s="121" t="e">
        <f>SUMIFS(#REF!,#REF!,Extrato!$B220,#REF!,Extrato!AZ$3,#REF!,"Betbra")</f>
        <v>#REF!</v>
      </c>
      <c r="BA220" s="121" t="e">
        <f>SUMIFS(#REF!,#REF!,Extrato!$B220,#REF!,Extrato!BA$3,#REF!,"Betbra")</f>
        <v>#REF!</v>
      </c>
      <c r="BB220" s="121" t="e">
        <f>SUMIFS(#REF!,#REF!,Extrato!$B220,#REF!,Extrato!BB$3,#REF!,"Betbra")</f>
        <v>#REF!</v>
      </c>
      <c r="BC220" s="121">
        <v>0</v>
      </c>
      <c r="BD220" s="121">
        <v>0</v>
      </c>
      <c r="BE220" s="25" t="e">
        <f t="shared" si="14"/>
        <v>#REF!</v>
      </c>
      <c r="BF220" s="122"/>
      <c r="BG220" s="121" t="e">
        <f t="shared" si="13"/>
        <v>#REF!</v>
      </c>
      <c r="BH220" s="121" t="e">
        <f>SUMIFS(#REF!,#REF!,Extrato!$B220,#REF!,Extrato!BH$3,#REF!,"Bolsa")</f>
        <v>#REF!</v>
      </c>
      <c r="BI220" s="121" t="e">
        <f>SUMIFS(#REF!,#REF!,Extrato!$B220,#REF!,Extrato!BI$3,#REF!,"Bolsa")</f>
        <v>#REF!</v>
      </c>
      <c r="BJ220" s="121" t="e">
        <f>SUMIFS(#REF!,#REF!,Extrato!$B220,#REF!,Extrato!BJ$3,#REF!,"Bolsa")</f>
        <v>#REF!</v>
      </c>
      <c r="BK220" s="121" t="e">
        <f>SUMIFS(#REF!,#REF!,Extrato!$B220,#REF!,Extrato!BK$3,#REF!,"Bolsa")</f>
        <v>#REF!</v>
      </c>
      <c r="BL220" s="121" t="e">
        <f>SUMIFS(#REF!,#REF!,Extrato!$B220,#REF!,Extrato!BL$3,#REF!,"Bolsa")</f>
        <v>#REF!</v>
      </c>
      <c r="BM220" s="121" t="e">
        <f>SUMIFS(#REF!,#REF!,Extrato!$B220,#REF!,Extrato!BM$3,#REF!,"Bolsa")</f>
        <v>#REF!</v>
      </c>
      <c r="BN220" s="121">
        <v>0</v>
      </c>
      <c r="BO220" s="121">
        <v>0</v>
      </c>
      <c r="BP220" s="25" t="e">
        <f t="shared" si="12"/>
        <v>#REF!</v>
      </c>
    </row>
    <row r="221" spans="2:68" ht="15" customHeight="1">
      <c r="B221" s="12">
        <v>46211</v>
      </c>
      <c r="C221" s="121" t="e">
        <f t="shared" si="10"/>
        <v>#REF!</v>
      </c>
      <c r="D221" s="121" t="e">
        <f>SUMIFS(#REF!,#REF!,Extrato!$B221,#REF!,Extrato!D$3)</f>
        <v>#REF!</v>
      </c>
      <c r="E221" s="121" t="e">
        <f>SUMIFS(#REF!,#REF!,Extrato!$B221,#REF!,Extrato!E$3,#REF!,"Fulltbet")</f>
        <v>#REF!</v>
      </c>
      <c r="F221" s="121" t="e">
        <f>SUMIFS(#REF!,#REF!,Extrato!$B221,#REF!,Extrato!F$3)</f>
        <v>#REF!</v>
      </c>
      <c r="G221" s="121" t="e">
        <f>SUMIFS(#REF!,#REF!,Extrato!$B221,#REF!,Extrato!G$3,#REF!,"Fulltbet")</f>
        <v>#REF!</v>
      </c>
      <c r="H221" s="121" t="e">
        <f>SUMIFS(#REF!,#REF!,Extrato!$B221,#REF!,Extrato!H$3)</f>
        <v>#REF!</v>
      </c>
      <c r="I221" s="121" t="e">
        <f>SUMIFS(#REF!,#REF!,Extrato!$B221,#REF!,Extrato!I$3,#REF!,"Fulltbet")</f>
        <v>#REF!</v>
      </c>
      <c r="J221" s="121" t="e">
        <f>SUMIFS(#REF!,#REF!,Extrato!$B221,#REF!,Extrato!J$3,#REF!,"Fulltbet")</f>
        <v>#REF!</v>
      </c>
      <c r="K221" s="121" t="e">
        <f>SUMIFS(#REF!,#REF!,Extrato!$B221,#REF!,Extrato!K$3,#REF!,"Fulltbet")</f>
        <v>#REF!</v>
      </c>
      <c r="L221" s="121" t="e">
        <f>SUMIFS(#REF!,#REF!,Extrato!$B221,#REF!,Extrato!L$3)</f>
        <v>#REF!</v>
      </c>
      <c r="M221" s="121" t="e">
        <f>SUMIFS(#REF!,#REF!,Extrato!$B221,#REF!,Extrato!M$3)</f>
        <v>#REF!</v>
      </c>
      <c r="N221" s="121" t="e">
        <f>SUMIFS(#REF!,#REF!,Extrato!$B221,#REF!,Extrato!N$3,#REF!,"Fulltbet")</f>
        <v>#REF!</v>
      </c>
      <c r="O221" s="121" t="e">
        <f>SUMIFS(#REF!,#REF!,Extrato!$B221,#REF!,Extrato!O$3,#REF!,"Fulltbet")</f>
        <v>#REF!</v>
      </c>
      <c r="P221" s="121">
        <f>SUMIF(BetFlow!B:B,B221,BetFlow!J:J)</f>
        <v>0</v>
      </c>
      <c r="Q221" s="121" t="e">
        <f>SUMIFS(#REF!,#REF!,Extrato!$B221,#REF!,Extrato!Q$3)</f>
        <v>#REF!</v>
      </c>
      <c r="R221" s="121" t="e">
        <f>SUMIFS(#REF!,#REF!,Extrato!$B221,#REF!,Extrato!R$3,#REF!,"Fulltbet")</f>
        <v>#REF!</v>
      </c>
      <c r="S221" s="121" t="e">
        <f>SUMIFS(#REF!,#REF!,Extrato!$B221,#REF!,Extrato!S$3,#REF!,"Fulltbet")</f>
        <v>#REF!</v>
      </c>
      <c r="T221" s="121" t="e">
        <f>SUMIFS(#REF!,#REF!,Extrato!$B221,#REF!,Extrato!T$3,#REF!,"Fulltbet")</f>
        <v>#REF!</v>
      </c>
      <c r="U221" s="121" t="e">
        <f>SUMIFS(#REF!,#REF!,Extrato!$B221,#REF!,Extrato!U$3)</f>
        <v>#REF!</v>
      </c>
      <c r="V221" s="121" t="e">
        <f>SUMIFS(#REF!,#REF!,Extrato!$B221,#REF!,Extrato!V$3)</f>
        <v>#REF!</v>
      </c>
      <c r="W221" s="121" t="e">
        <f>SUMIFS(#REF!,#REF!,Extrato!$B221,#REF!,Extrato!W$3,#REF!,"Fulltbet")</f>
        <v>#REF!</v>
      </c>
      <c r="X221" s="121" t="e">
        <f>SUMIFS(#REF!,#REF!,Extrato!$B221,#REF!,Extrato!X$3)</f>
        <v>#REF!</v>
      </c>
      <c r="Y221" s="121" t="e">
        <f>SUMIFS(#REF!,#REF!,Extrato!$B221,#REF!,Extrato!Y$3)</f>
        <v>#REF!</v>
      </c>
      <c r="Z221" s="121" t="e">
        <f>SUMIFS(#REF!,#REF!,Extrato!$B221,#REF!,Extrato!Z$3)</f>
        <v>#REF!</v>
      </c>
      <c r="AA221" s="121" t="e">
        <f>SUMIFS(#REF!,#REF!,Extrato!$B221,#REF!,Extrato!AA$3)</f>
        <v>#REF!</v>
      </c>
      <c r="AB221" s="121" t="e">
        <f>SUMIFS(#REF!,#REF!,Extrato!$B221,#REF!,Extrato!AB$3)</f>
        <v>#REF!</v>
      </c>
      <c r="AC221" s="121" t="e">
        <f>SUMIFS(#REF!,#REF!,Extrato!$B221,#REF!,Extrato!AC$3)</f>
        <v>#REF!</v>
      </c>
      <c r="AD221" s="121" t="e">
        <f>SUMIFS(#REF!,#REF!,Extrato!$B221,#REF!,Extrato!AD$3)</f>
        <v>#REF!</v>
      </c>
      <c r="AE221" s="121" t="e">
        <f>SUMIFS(#REF!,#REF!,Extrato!$B221,#REF!,Extrato!AE$3)</f>
        <v>#REF!</v>
      </c>
      <c r="AF221" s="121" t="e">
        <f>SUMIFS(#REF!,#REF!,Extrato!$B221,#REF!,Extrato!AF$3)</f>
        <v>#REF!</v>
      </c>
      <c r="AG221" s="121" t="e">
        <f>SUMIFS(#REF!,#REF!,Extrato!$B221,#REF!,Extrato!AG$3)</f>
        <v>#REF!</v>
      </c>
      <c r="AH221" s="121" t="e">
        <f>SUMIFS(#REF!,#REF!,Extrato!$B221,#REF!,Extrato!AH$3)</f>
        <v>#REF!</v>
      </c>
      <c r="AI221" s="121" t="e">
        <f>SUMIFS(#REF!,#REF!,Extrato!$B221,#REF!,Extrato!AI$3)</f>
        <v>#REF!</v>
      </c>
      <c r="AJ221" s="121">
        <v>0</v>
      </c>
      <c r="AK221" s="121">
        <v>-0.01</v>
      </c>
      <c r="AL221" s="25" t="e">
        <f t="shared" si="11"/>
        <v>#REF!</v>
      </c>
      <c r="AM221" s="122"/>
      <c r="AN221" s="121" t="e">
        <f t="shared" si="15"/>
        <v>#REF!</v>
      </c>
      <c r="AO221" s="121">
        <f>SUMIF(BetFlow!B:B,Extrato!B221,BetFlow!M:M)</f>
        <v>0</v>
      </c>
      <c r="AP221" s="121" t="e">
        <f>SUMIFS(#REF!,#REF!,Extrato!$B221,#REF!,Extrato!AP$3,#REF!,"Betbra")</f>
        <v>#REF!</v>
      </c>
      <c r="AQ221" s="121" t="e">
        <f>SUMIFS(#REF!,#REF!,Extrato!$B221,#REF!,Extrato!AQ$3,#REF!,"Betbra")</f>
        <v>#REF!</v>
      </c>
      <c r="AR221" s="121" t="e">
        <f>SUMIFS(#REF!,#REF!,Extrato!$B221,#REF!,Extrato!AR$3,#REF!,"Betbra")</f>
        <v>#REF!</v>
      </c>
      <c r="AS221" s="121" t="e">
        <f>SUMIFS(#REF!,#REF!,Extrato!$B221,#REF!,Extrato!AS$3,#REF!,"Betbra")</f>
        <v>#REF!</v>
      </c>
      <c r="AT221" s="121" t="e">
        <f>SUMIFS(#REF!,#REF!,Extrato!$B221,#REF!,Extrato!AT$3,#REF!,"Betbra")</f>
        <v>#REF!</v>
      </c>
      <c r="AU221" s="121" t="e">
        <f>SUMIFS(#REF!,#REF!,Extrato!$B221,#REF!,Extrato!AU$3,#REF!,"Betbra")</f>
        <v>#REF!</v>
      </c>
      <c r="AV221" s="121" t="e">
        <f>SUMIFS(#REF!,#REF!,Extrato!$B221,#REF!,Extrato!AV$3,#REF!,"Betbra")</f>
        <v>#REF!</v>
      </c>
      <c r="AW221" s="121" t="e">
        <f>SUMIFS(#REF!,#REF!,Extrato!$B221,#REF!,Extrato!AW$3,#REF!,"Betbra")</f>
        <v>#REF!</v>
      </c>
      <c r="AX221" s="121" t="e">
        <f>SUMIFS(#REF!,#REF!,Extrato!$B221,#REF!,Extrato!AX$3,#REF!,"Betbra")</f>
        <v>#REF!</v>
      </c>
      <c r="AY221" s="121" t="e">
        <f>SUMIFS(#REF!,#REF!,Extrato!$B221,#REF!,Extrato!AY$3,#REF!,"Betbra")</f>
        <v>#REF!</v>
      </c>
      <c r="AZ221" s="121" t="e">
        <f>SUMIFS(#REF!,#REF!,Extrato!$B221,#REF!,Extrato!AZ$3,#REF!,"Betbra")</f>
        <v>#REF!</v>
      </c>
      <c r="BA221" s="121" t="e">
        <f>SUMIFS(#REF!,#REF!,Extrato!$B221,#REF!,Extrato!BA$3,#REF!,"Betbra")</f>
        <v>#REF!</v>
      </c>
      <c r="BB221" s="121" t="e">
        <f>SUMIFS(#REF!,#REF!,Extrato!$B221,#REF!,Extrato!BB$3,#REF!,"Betbra")</f>
        <v>#REF!</v>
      </c>
      <c r="BC221" s="121">
        <v>0</v>
      </c>
      <c r="BD221" s="121">
        <v>0</v>
      </c>
      <c r="BE221" s="25" t="e">
        <f t="shared" si="14"/>
        <v>#REF!</v>
      </c>
      <c r="BF221" s="122"/>
      <c r="BG221" s="121" t="e">
        <f t="shared" si="13"/>
        <v>#REF!</v>
      </c>
      <c r="BH221" s="121" t="e">
        <f>SUMIFS(#REF!,#REF!,Extrato!$B221,#REF!,Extrato!BH$3,#REF!,"Bolsa")</f>
        <v>#REF!</v>
      </c>
      <c r="BI221" s="121" t="e">
        <f>SUMIFS(#REF!,#REF!,Extrato!$B221,#REF!,Extrato!BI$3,#REF!,"Bolsa")</f>
        <v>#REF!</v>
      </c>
      <c r="BJ221" s="121" t="e">
        <f>SUMIFS(#REF!,#REF!,Extrato!$B221,#REF!,Extrato!BJ$3,#REF!,"Bolsa")</f>
        <v>#REF!</v>
      </c>
      <c r="BK221" s="121" t="e">
        <f>SUMIFS(#REF!,#REF!,Extrato!$B221,#REF!,Extrato!BK$3,#REF!,"Bolsa")</f>
        <v>#REF!</v>
      </c>
      <c r="BL221" s="121" t="e">
        <f>SUMIFS(#REF!,#REF!,Extrato!$B221,#REF!,Extrato!BL$3,#REF!,"Bolsa")</f>
        <v>#REF!</v>
      </c>
      <c r="BM221" s="121" t="e">
        <f>SUMIFS(#REF!,#REF!,Extrato!$B221,#REF!,Extrato!BM$3,#REF!,"Bolsa")</f>
        <v>#REF!</v>
      </c>
      <c r="BN221" s="121">
        <v>0</v>
      </c>
      <c r="BO221" s="121">
        <v>0</v>
      </c>
      <c r="BP221" s="25" t="e">
        <f t="shared" si="12"/>
        <v>#REF!</v>
      </c>
    </row>
    <row r="222" spans="2:68" ht="15" customHeight="1">
      <c r="B222" s="12">
        <v>46212</v>
      </c>
      <c r="C222" s="121" t="e">
        <f t="shared" si="10"/>
        <v>#REF!</v>
      </c>
      <c r="D222" s="121" t="e">
        <f>SUMIFS(#REF!,#REF!,Extrato!$B222,#REF!,Extrato!D$3)</f>
        <v>#REF!</v>
      </c>
      <c r="E222" s="121" t="e">
        <f>SUMIFS(#REF!,#REF!,Extrato!$B222,#REF!,Extrato!E$3,#REF!,"Fulltbet")</f>
        <v>#REF!</v>
      </c>
      <c r="F222" s="121" t="e">
        <f>SUMIFS(#REF!,#REF!,Extrato!$B222,#REF!,Extrato!F$3)</f>
        <v>#REF!</v>
      </c>
      <c r="G222" s="121" t="e">
        <f>SUMIFS(#REF!,#REF!,Extrato!$B222,#REF!,Extrato!G$3,#REF!,"Fulltbet")</f>
        <v>#REF!</v>
      </c>
      <c r="H222" s="121" t="e">
        <f>SUMIFS(#REF!,#REF!,Extrato!$B222,#REF!,Extrato!H$3)</f>
        <v>#REF!</v>
      </c>
      <c r="I222" s="121" t="e">
        <f>SUMIFS(#REF!,#REF!,Extrato!$B222,#REF!,Extrato!I$3,#REF!,"Fulltbet")</f>
        <v>#REF!</v>
      </c>
      <c r="J222" s="121" t="e">
        <f>SUMIFS(#REF!,#REF!,Extrato!$B222,#REF!,Extrato!J$3,#REF!,"Fulltbet")</f>
        <v>#REF!</v>
      </c>
      <c r="K222" s="121" t="e">
        <f>SUMIFS(#REF!,#REF!,Extrato!$B222,#REF!,Extrato!K$3,#REF!,"Fulltbet")</f>
        <v>#REF!</v>
      </c>
      <c r="L222" s="121" t="e">
        <f>SUMIFS(#REF!,#REF!,Extrato!$B222,#REF!,Extrato!L$3)</f>
        <v>#REF!</v>
      </c>
      <c r="M222" s="121" t="e">
        <f>SUMIFS(#REF!,#REF!,Extrato!$B222,#REF!,Extrato!M$3)</f>
        <v>#REF!</v>
      </c>
      <c r="N222" s="121" t="e">
        <f>SUMIFS(#REF!,#REF!,Extrato!$B222,#REF!,Extrato!N$3,#REF!,"Fulltbet")</f>
        <v>#REF!</v>
      </c>
      <c r="O222" s="121" t="e">
        <f>SUMIFS(#REF!,#REF!,Extrato!$B222,#REF!,Extrato!O$3,#REF!,"Fulltbet")</f>
        <v>#REF!</v>
      </c>
      <c r="P222" s="121">
        <f>SUMIF(BetFlow!B:B,B222,BetFlow!J:J)</f>
        <v>-6.98</v>
      </c>
      <c r="Q222" s="121" t="e">
        <f>SUMIFS(#REF!,#REF!,Extrato!$B222,#REF!,Extrato!Q$3)</f>
        <v>#REF!</v>
      </c>
      <c r="R222" s="121" t="e">
        <f>SUMIFS(#REF!,#REF!,Extrato!$B222,#REF!,Extrato!R$3,#REF!,"Fulltbet")</f>
        <v>#REF!</v>
      </c>
      <c r="S222" s="121" t="e">
        <f>SUMIFS(#REF!,#REF!,Extrato!$B222,#REF!,Extrato!S$3,#REF!,"Fulltbet")</f>
        <v>#REF!</v>
      </c>
      <c r="T222" s="121" t="e">
        <f>SUMIFS(#REF!,#REF!,Extrato!$B222,#REF!,Extrato!T$3,#REF!,"Fulltbet")</f>
        <v>#REF!</v>
      </c>
      <c r="U222" s="121" t="e">
        <f>SUMIFS(#REF!,#REF!,Extrato!$B222,#REF!,Extrato!U$3)</f>
        <v>#REF!</v>
      </c>
      <c r="V222" s="121" t="e">
        <f>SUMIFS(#REF!,#REF!,Extrato!$B222,#REF!,Extrato!V$3)</f>
        <v>#REF!</v>
      </c>
      <c r="W222" s="121" t="e">
        <f>SUMIFS(#REF!,#REF!,Extrato!$B222,#REF!,Extrato!W$3,#REF!,"Fulltbet")</f>
        <v>#REF!</v>
      </c>
      <c r="X222" s="121" t="e">
        <f>SUMIFS(#REF!,#REF!,Extrato!$B222,#REF!,Extrato!X$3)</f>
        <v>#REF!</v>
      </c>
      <c r="Y222" s="121" t="e">
        <f>SUMIFS(#REF!,#REF!,Extrato!$B222,#REF!,Extrato!Y$3)</f>
        <v>#REF!</v>
      </c>
      <c r="Z222" s="121" t="e">
        <f>SUMIFS(#REF!,#REF!,Extrato!$B222,#REF!,Extrato!Z$3)</f>
        <v>#REF!</v>
      </c>
      <c r="AA222" s="121" t="e">
        <f>SUMIFS(#REF!,#REF!,Extrato!$B222,#REF!,Extrato!AA$3)</f>
        <v>#REF!</v>
      </c>
      <c r="AB222" s="121" t="e">
        <f>SUMIFS(#REF!,#REF!,Extrato!$B222,#REF!,Extrato!AB$3)</f>
        <v>#REF!</v>
      </c>
      <c r="AC222" s="121" t="e">
        <f>SUMIFS(#REF!,#REF!,Extrato!$B222,#REF!,Extrato!AC$3)</f>
        <v>#REF!</v>
      </c>
      <c r="AD222" s="121" t="e">
        <f>SUMIFS(#REF!,#REF!,Extrato!$B222,#REF!,Extrato!AD$3)</f>
        <v>#REF!</v>
      </c>
      <c r="AE222" s="121" t="e">
        <f>SUMIFS(#REF!,#REF!,Extrato!$B222,#REF!,Extrato!AE$3)</f>
        <v>#REF!</v>
      </c>
      <c r="AF222" s="121" t="e">
        <f>SUMIFS(#REF!,#REF!,Extrato!$B222,#REF!,Extrato!AF$3)</f>
        <v>#REF!</v>
      </c>
      <c r="AG222" s="121" t="e">
        <f>SUMIFS(#REF!,#REF!,Extrato!$B222,#REF!,Extrato!AG$3)</f>
        <v>#REF!</v>
      </c>
      <c r="AH222" s="121" t="e">
        <f>SUMIFS(#REF!,#REF!,Extrato!$B222,#REF!,Extrato!AH$3)</f>
        <v>#REF!</v>
      </c>
      <c r="AI222" s="121" t="e">
        <f>SUMIFS(#REF!,#REF!,Extrato!$B222,#REF!,Extrato!AI$3)</f>
        <v>#REF!</v>
      </c>
      <c r="AJ222" s="121">
        <v>0</v>
      </c>
      <c r="AK222" s="121">
        <v>0</v>
      </c>
      <c r="AL222" s="25" t="e">
        <f t="shared" si="11"/>
        <v>#REF!</v>
      </c>
      <c r="AM222" s="122"/>
      <c r="AN222" s="121" t="e">
        <f t="shared" si="15"/>
        <v>#REF!</v>
      </c>
      <c r="AO222" s="121">
        <f>SUMIF(BetFlow!B:B,Extrato!B222,BetFlow!M:M)</f>
        <v>7.2265283999999985</v>
      </c>
      <c r="AP222" s="121" t="e">
        <f>SUMIFS(#REF!,#REF!,Extrato!$B222,#REF!,Extrato!AP$3,#REF!,"Betbra")</f>
        <v>#REF!</v>
      </c>
      <c r="AQ222" s="121" t="e">
        <f>SUMIFS(#REF!,#REF!,Extrato!$B222,#REF!,Extrato!AQ$3,#REF!,"Betbra")</f>
        <v>#REF!</v>
      </c>
      <c r="AR222" s="121" t="e">
        <f>SUMIFS(#REF!,#REF!,Extrato!$B222,#REF!,Extrato!AR$3,#REF!,"Betbra")</f>
        <v>#REF!</v>
      </c>
      <c r="AS222" s="121" t="e">
        <f>SUMIFS(#REF!,#REF!,Extrato!$B222,#REF!,Extrato!AS$3,#REF!,"Betbra")</f>
        <v>#REF!</v>
      </c>
      <c r="AT222" s="121" t="e">
        <f>SUMIFS(#REF!,#REF!,Extrato!$B222,#REF!,Extrato!AT$3,#REF!,"Betbra")</f>
        <v>#REF!</v>
      </c>
      <c r="AU222" s="121" t="e">
        <f>SUMIFS(#REF!,#REF!,Extrato!$B222,#REF!,Extrato!AU$3,#REF!,"Betbra")</f>
        <v>#REF!</v>
      </c>
      <c r="AV222" s="121" t="e">
        <f>SUMIFS(#REF!,#REF!,Extrato!$B222,#REF!,Extrato!AV$3,#REF!,"Betbra")</f>
        <v>#REF!</v>
      </c>
      <c r="AW222" s="121" t="e">
        <f>SUMIFS(#REF!,#REF!,Extrato!$B222,#REF!,Extrato!AW$3,#REF!,"Betbra")</f>
        <v>#REF!</v>
      </c>
      <c r="AX222" s="121" t="e">
        <f>SUMIFS(#REF!,#REF!,Extrato!$B222,#REF!,Extrato!AX$3,#REF!,"Betbra")</f>
        <v>#REF!</v>
      </c>
      <c r="AY222" s="121" t="e">
        <f>SUMIFS(#REF!,#REF!,Extrato!$B222,#REF!,Extrato!AY$3,#REF!,"Betbra")</f>
        <v>#REF!</v>
      </c>
      <c r="AZ222" s="121" t="e">
        <f>SUMIFS(#REF!,#REF!,Extrato!$B222,#REF!,Extrato!AZ$3,#REF!,"Betbra")</f>
        <v>#REF!</v>
      </c>
      <c r="BA222" s="121" t="e">
        <f>SUMIFS(#REF!,#REF!,Extrato!$B222,#REF!,Extrato!BA$3,#REF!,"Betbra")</f>
        <v>#REF!</v>
      </c>
      <c r="BB222" s="121" t="e">
        <f>SUMIFS(#REF!,#REF!,Extrato!$B222,#REF!,Extrato!BB$3,#REF!,"Betbra")</f>
        <v>#REF!</v>
      </c>
      <c r="BC222" s="121">
        <v>0</v>
      </c>
      <c r="BD222" s="121">
        <v>0</v>
      </c>
      <c r="BE222" s="25" t="e">
        <f t="shared" si="14"/>
        <v>#REF!</v>
      </c>
      <c r="BF222" s="122"/>
      <c r="BG222" s="121" t="e">
        <f t="shared" si="13"/>
        <v>#REF!</v>
      </c>
      <c r="BH222" s="121" t="e">
        <f>SUMIFS(#REF!,#REF!,Extrato!$B222,#REF!,Extrato!BH$3,#REF!,"Bolsa")</f>
        <v>#REF!</v>
      </c>
      <c r="BI222" s="121" t="e">
        <f>SUMIFS(#REF!,#REF!,Extrato!$B222,#REF!,Extrato!BI$3,#REF!,"Bolsa")</f>
        <v>#REF!</v>
      </c>
      <c r="BJ222" s="121" t="e">
        <f>SUMIFS(#REF!,#REF!,Extrato!$B222,#REF!,Extrato!BJ$3,#REF!,"Bolsa")</f>
        <v>#REF!</v>
      </c>
      <c r="BK222" s="121" t="e">
        <f>SUMIFS(#REF!,#REF!,Extrato!$B222,#REF!,Extrato!BK$3,#REF!,"Bolsa")</f>
        <v>#REF!</v>
      </c>
      <c r="BL222" s="121" t="e">
        <f>SUMIFS(#REF!,#REF!,Extrato!$B222,#REF!,Extrato!BL$3,#REF!,"Bolsa")</f>
        <v>#REF!</v>
      </c>
      <c r="BM222" s="121" t="e">
        <f>SUMIFS(#REF!,#REF!,Extrato!$B222,#REF!,Extrato!BM$3,#REF!,"Bolsa")</f>
        <v>#REF!</v>
      </c>
      <c r="BN222" s="121">
        <v>0</v>
      </c>
      <c r="BO222" s="121">
        <v>0</v>
      </c>
      <c r="BP222" s="25" t="e">
        <f t="shared" si="12"/>
        <v>#REF!</v>
      </c>
    </row>
    <row r="223" spans="2:68" ht="15" customHeight="1">
      <c r="B223" s="12">
        <v>46213</v>
      </c>
      <c r="C223" s="121" t="e">
        <f t="shared" si="10"/>
        <v>#REF!</v>
      </c>
      <c r="D223" s="121" t="e">
        <f>SUMIFS(#REF!,#REF!,Extrato!$B223,#REF!,Extrato!D$3)</f>
        <v>#REF!</v>
      </c>
      <c r="E223" s="121" t="e">
        <f>SUMIFS(#REF!,#REF!,Extrato!$B223,#REF!,Extrato!E$3,#REF!,"Fulltbet")</f>
        <v>#REF!</v>
      </c>
      <c r="F223" s="121" t="e">
        <f>SUMIFS(#REF!,#REF!,Extrato!$B223,#REF!,Extrato!F$3)</f>
        <v>#REF!</v>
      </c>
      <c r="G223" s="121" t="e">
        <f>SUMIFS(#REF!,#REF!,Extrato!$B223,#REF!,Extrato!G$3,#REF!,"Fulltbet")</f>
        <v>#REF!</v>
      </c>
      <c r="H223" s="121" t="e">
        <f>SUMIFS(#REF!,#REF!,Extrato!$B223,#REF!,Extrato!H$3,#REF!,"Fulltbet")</f>
        <v>#REF!</v>
      </c>
      <c r="I223" s="121" t="e">
        <f>SUMIFS(#REF!,#REF!,Extrato!$B223,#REF!,Extrato!I$3,#REF!,"Fulltbet")</f>
        <v>#REF!</v>
      </c>
      <c r="J223" s="121" t="e">
        <f>SUMIFS(#REF!,#REF!,Extrato!$B223,#REF!,Extrato!J$3,#REF!,"Fulltbet")</f>
        <v>#REF!</v>
      </c>
      <c r="K223" s="121" t="e">
        <f>SUMIFS(#REF!,#REF!,Extrato!$B223,#REF!,Extrato!K$3,#REF!,"Fulltbet")</f>
        <v>#REF!</v>
      </c>
      <c r="L223" s="121" t="e">
        <f>SUMIFS(#REF!,#REF!,Extrato!$B223,#REF!,Extrato!L$3)</f>
        <v>#REF!</v>
      </c>
      <c r="M223" s="121" t="e">
        <f>SUMIFS(#REF!,#REF!,Extrato!$B223,#REF!,Extrato!M$3)</f>
        <v>#REF!</v>
      </c>
      <c r="N223" s="121" t="e">
        <f>SUMIFS(#REF!,#REF!,Extrato!$B223,#REF!,Extrato!N$3,#REF!,"Fulltbet")</f>
        <v>#REF!</v>
      </c>
      <c r="O223" s="121" t="e">
        <f>SUMIFS(#REF!,#REF!,Extrato!$B223,#REF!,Extrato!O$3,#REF!,"Fulltbet")</f>
        <v>#REF!</v>
      </c>
      <c r="P223" s="121">
        <f>SUMIF(BetFlow!B:B,B223,BetFlow!J:J)</f>
        <v>0</v>
      </c>
      <c r="Q223" s="121" t="e">
        <f>SUMIFS(#REF!,#REF!,Extrato!$B223,#REF!,Extrato!Q$3)</f>
        <v>#REF!</v>
      </c>
      <c r="R223" s="121" t="e">
        <f>SUMIFS(#REF!,#REF!,Extrato!$B223,#REF!,Extrato!R$3,#REF!,"Fulltbet")</f>
        <v>#REF!</v>
      </c>
      <c r="S223" s="121" t="e">
        <f>SUMIFS(#REF!,#REF!,Extrato!$B223,#REF!,Extrato!S$3,#REF!,"Fulltbet")</f>
        <v>#REF!</v>
      </c>
      <c r="T223" s="121" t="e">
        <f>SUMIFS(#REF!,#REF!,Extrato!$B223,#REF!,Extrato!T$3,#REF!,"Fulltbet")</f>
        <v>#REF!</v>
      </c>
      <c r="U223" s="121" t="e">
        <f>SUMIFS(#REF!,#REF!,Extrato!$B223,#REF!,Extrato!U$3)</f>
        <v>#REF!</v>
      </c>
      <c r="V223" s="121" t="e">
        <f>SUMIFS(#REF!,#REF!,Extrato!$B223,#REF!,Extrato!V$3)</f>
        <v>#REF!</v>
      </c>
      <c r="W223" s="121" t="e">
        <f>SUMIFS(#REF!,#REF!,Extrato!$B223,#REF!,Extrato!W$3,#REF!,"Fulltbet")</f>
        <v>#REF!</v>
      </c>
      <c r="X223" s="121" t="e">
        <f>SUMIFS(#REF!,#REF!,Extrato!$B223,#REF!,Extrato!X$3)</f>
        <v>#REF!</v>
      </c>
      <c r="Y223" s="121" t="e">
        <f>SUMIFS(#REF!,#REF!,Extrato!$B223,#REF!,Extrato!Y$3)</f>
        <v>#REF!</v>
      </c>
      <c r="Z223" s="121" t="e">
        <f>SUMIFS(#REF!,#REF!,Extrato!$B223,#REF!,Extrato!Z$3)</f>
        <v>#REF!</v>
      </c>
      <c r="AA223" s="121" t="e">
        <f>SUMIFS(#REF!,#REF!,Extrato!$B223,#REF!,Extrato!AA$3)</f>
        <v>#REF!</v>
      </c>
      <c r="AB223" s="121" t="e">
        <f>SUMIFS(#REF!,#REF!,Extrato!$B223,#REF!,Extrato!AB$3)</f>
        <v>#REF!</v>
      </c>
      <c r="AC223" s="121" t="e">
        <f>SUMIFS(#REF!,#REF!,Extrato!$B223,#REF!,Extrato!AC$3)</f>
        <v>#REF!</v>
      </c>
      <c r="AD223" s="121" t="e">
        <f>SUMIFS(#REF!,#REF!,Extrato!$B223,#REF!,Extrato!AD$3)</f>
        <v>#REF!</v>
      </c>
      <c r="AE223" s="121" t="e">
        <f>SUMIFS(#REF!,#REF!,Extrato!$B223,#REF!,Extrato!AE$3)</f>
        <v>#REF!</v>
      </c>
      <c r="AF223" s="121" t="e">
        <f>SUMIFS(#REF!,#REF!,Extrato!$B223,#REF!,Extrato!AF$3)</f>
        <v>#REF!</v>
      </c>
      <c r="AG223" s="121" t="e">
        <f>SUMIFS(#REF!,#REF!,Extrato!$B223,#REF!,Extrato!AG$3)</f>
        <v>#REF!</v>
      </c>
      <c r="AH223" s="121" t="e">
        <f>SUMIFS(#REF!,#REF!,Extrato!$B223,#REF!,Extrato!AH$3)</f>
        <v>#REF!</v>
      </c>
      <c r="AI223" s="121" t="e">
        <f>SUMIFS(#REF!,#REF!,Extrato!$B223,#REF!,Extrato!AI$3)</f>
        <v>#REF!</v>
      </c>
      <c r="AJ223" s="121">
        <v>0</v>
      </c>
      <c r="AK223" s="121">
        <v>0</v>
      </c>
      <c r="AL223" s="25" t="e">
        <f t="shared" si="11"/>
        <v>#REF!</v>
      </c>
      <c r="AM223" s="122"/>
      <c r="AN223" s="121" t="e">
        <f t="shared" si="15"/>
        <v>#REF!</v>
      </c>
      <c r="AO223" s="121">
        <f>SUMIF(BetFlow!B:B,Extrato!B223,BetFlow!M:M)</f>
        <v>0</v>
      </c>
      <c r="AP223" s="121" t="e">
        <f>SUMIFS(#REF!,#REF!,Extrato!$B223,#REF!,Extrato!AP$3,#REF!,"Betbra")</f>
        <v>#REF!</v>
      </c>
      <c r="AQ223" s="121" t="e">
        <f>SUMIFS(#REF!,#REF!,Extrato!$B223,#REF!,Extrato!AQ$3,#REF!,"Betbra")</f>
        <v>#REF!</v>
      </c>
      <c r="AR223" s="121" t="e">
        <f>SUMIFS(#REF!,#REF!,Extrato!$B223,#REF!,Extrato!AR$3,#REF!,"Betbra")</f>
        <v>#REF!</v>
      </c>
      <c r="AS223" s="121" t="e">
        <f>SUMIFS(#REF!,#REF!,Extrato!$B223,#REF!,Extrato!AS$3,#REF!,"Betbra")</f>
        <v>#REF!</v>
      </c>
      <c r="AT223" s="121" t="e">
        <f>SUMIFS(#REF!,#REF!,Extrato!$B223,#REF!,Extrato!AT$3,#REF!,"Betbra")</f>
        <v>#REF!</v>
      </c>
      <c r="AU223" s="121" t="e">
        <f>SUMIFS(#REF!,#REF!,Extrato!$B223,#REF!,Extrato!AU$3,#REF!,"Betbra")</f>
        <v>#REF!</v>
      </c>
      <c r="AV223" s="121" t="e">
        <f>SUMIFS(#REF!,#REF!,Extrato!$B223,#REF!,Extrato!AV$3,#REF!,"Betbra")</f>
        <v>#REF!</v>
      </c>
      <c r="AW223" s="121" t="e">
        <f>SUMIFS(#REF!,#REF!,Extrato!$B223,#REF!,Extrato!AW$3,#REF!,"Betbra")</f>
        <v>#REF!</v>
      </c>
      <c r="AX223" s="121" t="e">
        <f>SUMIFS(#REF!,#REF!,Extrato!$B223,#REF!,Extrato!AX$3,#REF!,"Betbra")</f>
        <v>#REF!</v>
      </c>
      <c r="AY223" s="121" t="e">
        <f>SUMIFS(#REF!,#REF!,Extrato!$B223,#REF!,Extrato!AY$3,#REF!,"Betbra")</f>
        <v>#REF!</v>
      </c>
      <c r="AZ223" s="121" t="e">
        <f>SUMIFS(#REF!,#REF!,Extrato!$B223,#REF!,Extrato!AZ$3,#REF!,"Betbra")</f>
        <v>#REF!</v>
      </c>
      <c r="BA223" s="121" t="e">
        <f>SUMIFS(#REF!,#REF!,Extrato!$B223,#REF!,Extrato!BA$3,#REF!,"Betbra")</f>
        <v>#REF!</v>
      </c>
      <c r="BB223" s="121" t="e">
        <f>SUMIFS(#REF!,#REF!,Extrato!$B223,#REF!,Extrato!BB$3,#REF!,"Betbra")</f>
        <v>#REF!</v>
      </c>
      <c r="BC223" s="121">
        <v>0</v>
      </c>
      <c r="BD223" s="121">
        <v>0</v>
      </c>
      <c r="BE223" s="25" t="e">
        <f t="shared" si="14"/>
        <v>#REF!</v>
      </c>
      <c r="BF223" s="122"/>
      <c r="BG223" s="121" t="e">
        <f t="shared" si="13"/>
        <v>#REF!</v>
      </c>
      <c r="BH223" s="121" t="e">
        <f>SUMIFS(#REF!,#REF!,Extrato!$B223,#REF!,Extrato!BH$3,#REF!,"Bolsa")</f>
        <v>#REF!</v>
      </c>
      <c r="BI223" s="121" t="e">
        <f>SUMIFS(#REF!,#REF!,Extrato!$B223,#REF!,Extrato!BI$3,#REF!,"Bolsa")</f>
        <v>#REF!</v>
      </c>
      <c r="BJ223" s="121" t="e">
        <f>SUMIFS(#REF!,#REF!,Extrato!$B223,#REF!,Extrato!BJ$3,#REF!,"Bolsa")</f>
        <v>#REF!</v>
      </c>
      <c r="BK223" s="121" t="e">
        <f>SUMIFS(#REF!,#REF!,Extrato!$B223,#REF!,Extrato!BK$3,#REF!,"Bolsa")</f>
        <v>#REF!</v>
      </c>
      <c r="BL223" s="121" t="e">
        <f>SUMIFS(#REF!,#REF!,Extrato!$B223,#REF!,Extrato!BL$3,#REF!,"Bolsa")</f>
        <v>#REF!</v>
      </c>
      <c r="BM223" s="121" t="e">
        <f>SUMIFS(#REF!,#REF!,Extrato!$B223,#REF!,Extrato!BM$3,#REF!,"Bolsa")</f>
        <v>#REF!</v>
      </c>
      <c r="BN223" s="121">
        <v>0</v>
      </c>
      <c r="BO223" s="121">
        <v>0</v>
      </c>
      <c r="BP223" s="25" t="e">
        <f t="shared" si="12"/>
        <v>#REF!</v>
      </c>
    </row>
    <row r="224" spans="2:68" ht="15" customHeight="1">
      <c r="B224" s="12">
        <v>46214</v>
      </c>
      <c r="C224" s="121" t="e">
        <f t="shared" si="10"/>
        <v>#REF!</v>
      </c>
      <c r="D224" s="121" t="e">
        <f>SUMIFS(#REF!,#REF!,Extrato!$B224,#REF!,Extrato!D$3)</f>
        <v>#REF!</v>
      </c>
      <c r="E224" s="121" t="e">
        <f>SUMIFS(#REF!,#REF!,Extrato!$B224,#REF!,Extrato!E$3,#REF!,"Fulltbet")</f>
        <v>#REF!</v>
      </c>
      <c r="F224" s="121" t="e">
        <f>SUMIFS(#REF!,#REF!,Extrato!$B224,#REF!,Extrato!F$3)</f>
        <v>#REF!</v>
      </c>
      <c r="G224" s="121" t="e">
        <f>SUMIFS(#REF!,#REF!,Extrato!$B224,#REF!,Extrato!G$3,#REF!,"Fulltbet")</f>
        <v>#REF!</v>
      </c>
      <c r="H224" s="121" t="e">
        <f>SUMIFS(#REF!,#REF!,Extrato!$B224,#REF!,Extrato!H$3,#REF!,"Fulltbet")</f>
        <v>#REF!</v>
      </c>
      <c r="I224" s="121" t="e">
        <f>SUMIFS(#REF!,#REF!,Extrato!$B224,#REF!,Extrato!I$3,#REF!,"Fulltbet")</f>
        <v>#REF!</v>
      </c>
      <c r="J224" s="121" t="e">
        <f>SUMIFS(#REF!,#REF!,Extrato!$B224,#REF!,Extrato!J$3,#REF!,"Fulltbet")</f>
        <v>#REF!</v>
      </c>
      <c r="K224" s="121" t="e">
        <f>SUMIFS(#REF!,#REF!,Extrato!$B224,#REF!,Extrato!K$3,#REF!,"Fulltbet")</f>
        <v>#REF!</v>
      </c>
      <c r="L224" s="121" t="e">
        <f>SUMIFS(#REF!,#REF!,Extrato!$B224,#REF!,Extrato!L$3)</f>
        <v>#REF!</v>
      </c>
      <c r="M224" s="121" t="e">
        <f>SUMIFS(#REF!,#REF!,Extrato!$B224,#REF!,Extrato!M$3)</f>
        <v>#REF!</v>
      </c>
      <c r="N224" s="121" t="e">
        <f>SUMIFS(#REF!,#REF!,Extrato!$B224,#REF!,Extrato!N$3,#REF!,"Fulltbet")</f>
        <v>#REF!</v>
      </c>
      <c r="O224" s="121" t="e">
        <f>SUMIFS(#REF!,#REF!,Extrato!$B224,#REF!,Extrato!O$3,#REF!,"Fulltbet")</f>
        <v>#REF!</v>
      </c>
      <c r="P224" s="121">
        <f>SUMIF(BetFlow!B:B,B224,BetFlow!J:J)</f>
        <v>-4.16</v>
      </c>
      <c r="Q224" s="121" t="e">
        <f>SUMIFS(#REF!,#REF!,Extrato!$B224,#REF!,Extrato!Q$3)</f>
        <v>#REF!</v>
      </c>
      <c r="R224" s="121" t="e">
        <f>SUMIFS(#REF!,#REF!,Extrato!$B224,#REF!,Extrato!R$3,#REF!,"Fulltbet")</f>
        <v>#REF!</v>
      </c>
      <c r="S224" s="121" t="e">
        <f>SUMIFS(#REF!,#REF!,Extrato!$B224,#REF!,Extrato!S$3,#REF!,"Fulltbet")</f>
        <v>#REF!</v>
      </c>
      <c r="T224" s="121" t="e">
        <f>SUMIFS(#REF!,#REF!,Extrato!$B224,#REF!,Extrato!T$3,#REF!,"Fulltbet")</f>
        <v>#REF!</v>
      </c>
      <c r="U224" s="121" t="e">
        <f>SUMIFS(#REF!,#REF!,Extrato!$B224,#REF!,Extrato!U$3)</f>
        <v>#REF!</v>
      </c>
      <c r="V224" s="121" t="e">
        <f>SUMIFS(#REF!,#REF!,Extrato!$B224,#REF!,Extrato!V$3)</f>
        <v>#REF!</v>
      </c>
      <c r="W224" s="121" t="e">
        <f>SUMIFS(#REF!,#REF!,Extrato!$B224,#REF!,Extrato!W$3,#REF!,"Fulltbet")</f>
        <v>#REF!</v>
      </c>
      <c r="X224" s="121" t="e">
        <f>SUMIFS(#REF!,#REF!,Extrato!$B224,#REF!,Extrato!X$3)</f>
        <v>#REF!</v>
      </c>
      <c r="Y224" s="121" t="e">
        <f>SUMIFS(#REF!,#REF!,Extrato!$B224,#REF!,Extrato!Y$3)</f>
        <v>#REF!</v>
      </c>
      <c r="Z224" s="121" t="e">
        <f>SUMIFS(#REF!,#REF!,Extrato!$B224,#REF!,Extrato!Z$3)</f>
        <v>#REF!</v>
      </c>
      <c r="AA224" s="121" t="e">
        <f>SUMIFS(#REF!,#REF!,Extrato!$B224,#REF!,Extrato!AA$3)</f>
        <v>#REF!</v>
      </c>
      <c r="AB224" s="121" t="e">
        <f>SUMIFS(#REF!,#REF!,Extrato!$B224,#REF!,Extrato!AB$3)</f>
        <v>#REF!</v>
      </c>
      <c r="AC224" s="121" t="e">
        <f>SUMIFS(#REF!,#REF!,Extrato!$B224,#REF!,Extrato!AC$3)</f>
        <v>#REF!</v>
      </c>
      <c r="AD224" s="121" t="e">
        <f>SUMIFS(#REF!,#REF!,Extrato!$B224,#REF!,Extrato!AD$3)</f>
        <v>#REF!</v>
      </c>
      <c r="AE224" s="121" t="e">
        <f>SUMIFS(#REF!,#REF!,Extrato!$B224,#REF!,Extrato!AE$3)</f>
        <v>#REF!</v>
      </c>
      <c r="AF224" s="121" t="e">
        <f>SUMIFS(#REF!,#REF!,Extrato!$B224,#REF!,Extrato!AF$3)</f>
        <v>#REF!</v>
      </c>
      <c r="AG224" s="121" t="e">
        <f>SUMIFS(#REF!,#REF!,Extrato!$B224,#REF!,Extrato!AG$3)</f>
        <v>#REF!</v>
      </c>
      <c r="AH224" s="121" t="e">
        <f>SUMIFS(#REF!,#REF!,Extrato!$B224,#REF!,Extrato!AH$3)</f>
        <v>#REF!</v>
      </c>
      <c r="AI224" s="121" t="e">
        <f>SUMIFS(#REF!,#REF!,Extrato!$B224,#REF!,Extrato!AI$3)</f>
        <v>#REF!</v>
      </c>
      <c r="AJ224" s="121">
        <v>0</v>
      </c>
      <c r="AK224" s="121">
        <v>0</v>
      </c>
      <c r="AL224" s="25" t="e">
        <f t="shared" si="11"/>
        <v>#REF!</v>
      </c>
      <c r="AM224" s="122"/>
      <c r="AN224" s="121" t="e">
        <f t="shared" si="15"/>
        <v>#REF!</v>
      </c>
      <c r="AO224" s="121">
        <f>SUMIF(BetFlow!B:B,Extrato!B224,BetFlow!M:M)</f>
        <v>4.3903296000000003</v>
      </c>
      <c r="AP224" s="121" t="e">
        <f>SUMIFS(#REF!,#REF!,Extrato!$B224,#REF!,Extrato!AP$3,#REF!,"Betbra")</f>
        <v>#REF!</v>
      </c>
      <c r="AQ224" s="121" t="e">
        <f>SUMIFS(#REF!,#REF!,Extrato!$B224,#REF!,Extrato!AQ$3,#REF!,"Betbra")</f>
        <v>#REF!</v>
      </c>
      <c r="AR224" s="121" t="e">
        <f>SUMIFS(#REF!,#REF!,Extrato!$B224,#REF!,Extrato!AR$3,#REF!,"Betbra")</f>
        <v>#REF!</v>
      </c>
      <c r="AS224" s="121" t="e">
        <f>SUMIFS(#REF!,#REF!,Extrato!$B224,#REF!,Extrato!AS$3,#REF!,"Betbra")</f>
        <v>#REF!</v>
      </c>
      <c r="AT224" s="121" t="e">
        <f>SUMIFS(#REF!,#REF!,Extrato!$B224,#REF!,Extrato!AT$3,#REF!,"Betbra")</f>
        <v>#REF!</v>
      </c>
      <c r="AU224" s="121" t="e">
        <f>SUMIFS(#REF!,#REF!,Extrato!$B224,#REF!,Extrato!AU$3,#REF!,"Betbra")</f>
        <v>#REF!</v>
      </c>
      <c r="AV224" s="121" t="e">
        <f>SUMIFS(#REF!,#REF!,Extrato!$B224,#REF!,Extrato!AV$3,#REF!,"Betbra")</f>
        <v>#REF!</v>
      </c>
      <c r="AW224" s="121" t="e">
        <f>SUMIFS(#REF!,#REF!,Extrato!$B224,#REF!,Extrato!AW$3,#REF!,"Betbra")</f>
        <v>#REF!</v>
      </c>
      <c r="AX224" s="121" t="e">
        <f>SUMIFS(#REF!,#REF!,Extrato!$B224,#REF!,Extrato!AX$3,#REF!,"Betbra")</f>
        <v>#REF!</v>
      </c>
      <c r="AY224" s="121" t="e">
        <f>SUMIFS(#REF!,#REF!,Extrato!$B224,#REF!,Extrato!AY$3,#REF!,"Betbra")</f>
        <v>#REF!</v>
      </c>
      <c r="AZ224" s="121" t="e">
        <f>SUMIFS(#REF!,#REF!,Extrato!$B224,#REF!,Extrato!AZ$3,#REF!,"Betbra")</f>
        <v>#REF!</v>
      </c>
      <c r="BA224" s="121" t="e">
        <f>SUMIFS(#REF!,#REF!,Extrato!$B224,#REF!,Extrato!BA$3,#REF!,"Betbra")</f>
        <v>#REF!</v>
      </c>
      <c r="BB224" s="121" t="e">
        <f>SUMIFS(#REF!,#REF!,Extrato!$B224,#REF!,Extrato!BB$3,#REF!,"Betbra")</f>
        <v>#REF!</v>
      </c>
      <c r="BC224" s="121">
        <v>0</v>
      </c>
      <c r="BD224" s="121">
        <v>0</v>
      </c>
      <c r="BE224" s="25" t="e">
        <f t="shared" si="14"/>
        <v>#REF!</v>
      </c>
      <c r="BF224" s="122"/>
      <c r="BG224" s="121" t="e">
        <f t="shared" si="13"/>
        <v>#REF!</v>
      </c>
      <c r="BH224" s="121" t="e">
        <f>SUMIFS(#REF!,#REF!,Extrato!$B224,#REF!,Extrato!BH$3,#REF!,"Bolsa")</f>
        <v>#REF!</v>
      </c>
      <c r="BI224" s="121" t="e">
        <f>SUMIFS(#REF!,#REF!,Extrato!$B224,#REF!,Extrato!BI$3,#REF!,"Bolsa")</f>
        <v>#REF!</v>
      </c>
      <c r="BJ224" s="121" t="e">
        <f>SUMIFS(#REF!,#REF!,Extrato!$B224,#REF!,Extrato!BJ$3,#REF!,"Bolsa")</f>
        <v>#REF!</v>
      </c>
      <c r="BK224" s="121" t="e">
        <f>SUMIFS(#REF!,#REF!,Extrato!$B224,#REF!,Extrato!BK$3,#REF!,"Bolsa")</f>
        <v>#REF!</v>
      </c>
      <c r="BL224" s="121" t="e">
        <f>SUMIFS(#REF!,#REF!,Extrato!$B224,#REF!,Extrato!BL$3,#REF!,"Bolsa")</f>
        <v>#REF!</v>
      </c>
      <c r="BM224" s="121" t="e">
        <f>SUMIFS(#REF!,#REF!,Extrato!$B224,#REF!,Extrato!BM$3,#REF!,"Bolsa")</f>
        <v>#REF!</v>
      </c>
      <c r="BN224" s="121">
        <v>0</v>
      </c>
      <c r="BO224" s="121">
        <v>-0.01</v>
      </c>
      <c r="BP224" s="25" t="e">
        <f t="shared" si="12"/>
        <v>#REF!</v>
      </c>
    </row>
    <row r="225" spans="2:68" ht="15" customHeight="1">
      <c r="B225" s="12">
        <v>46215</v>
      </c>
      <c r="C225" s="121" t="e">
        <f t="shared" si="10"/>
        <v>#REF!</v>
      </c>
      <c r="D225" s="121" t="e">
        <f>SUMIFS(#REF!,#REF!,Extrato!$B225,#REF!,Extrato!D$3)</f>
        <v>#REF!</v>
      </c>
      <c r="E225" s="121" t="e">
        <f>SUMIFS(#REF!,#REF!,Extrato!$B225,#REF!,Extrato!E$3,#REF!,"Fulltbet")</f>
        <v>#REF!</v>
      </c>
      <c r="F225" s="121" t="e">
        <f>SUMIFS(#REF!,#REF!,Extrato!$B225,#REF!,Extrato!F$3)</f>
        <v>#REF!</v>
      </c>
      <c r="G225" s="121" t="e">
        <f>SUMIFS(#REF!,#REF!,Extrato!$B225,#REF!,Extrato!G$3,#REF!,"Fulltbet")</f>
        <v>#REF!</v>
      </c>
      <c r="H225" s="121" t="e">
        <f>SUMIFS(#REF!,#REF!,Extrato!$B225,#REF!,Extrato!H$3,#REF!,"Fulltbet")</f>
        <v>#REF!</v>
      </c>
      <c r="I225" s="121" t="e">
        <f>SUMIFS(#REF!,#REF!,Extrato!$B225,#REF!,Extrato!I$3,#REF!,"Fulltbet")</f>
        <v>#REF!</v>
      </c>
      <c r="J225" s="121" t="e">
        <f>SUMIFS(#REF!,#REF!,Extrato!$B225,#REF!,Extrato!J$3,#REF!,"Fulltbet")</f>
        <v>#REF!</v>
      </c>
      <c r="K225" s="121" t="e">
        <f>SUMIFS(#REF!,#REF!,Extrato!$B225,#REF!,Extrato!K$3,#REF!,"Fulltbet")</f>
        <v>#REF!</v>
      </c>
      <c r="L225" s="121" t="e">
        <f>SUMIFS(#REF!,#REF!,Extrato!$B225,#REF!,Extrato!L$3)</f>
        <v>#REF!</v>
      </c>
      <c r="M225" s="121" t="e">
        <f>SUMIFS(#REF!,#REF!,Extrato!$B225,#REF!,Extrato!M$3)</f>
        <v>#REF!</v>
      </c>
      <c r="N225" s="121" t="e">
        <f>SUMIFS(#REF!,#REF!,Extrato!$B225,#REF!,Extrato!N$3,#REF!,"Fulltbet")</f>
        <v>#REF!</v>
      </c>
      <c r="O225" s="121" t="e">
        <f>SUMIFS(#REF!,#REF!,Extrato!$B225,#REF!,Extrato!O$3,#REF!,"Fulltbet")</f>
        <v>#REF!</v>
      </c>
      <c r="P225" s="121">
        <f>SUMIF(BetFlow!B:B,B225,BetFlow!J:J)</f>
        <v>9.2527000000000008</v>
      </c>
      <c r="Q225" s="121" t="e">
        <f>SUMIFS(#REF!,#REF!,Extrato!$B225,#REF!,Extrato!Q$3)</f>
        <v>#REF!</v>
      </c>
      <c r="R225" s="121" t="e">
        <f>SUMIFS(#REF!,#REF!,Extrato!$B225,#REF!,Extrato!R$3,#REF!,"Fulltbet")</f>
        <v>#REF!</v>
      </c>
      <c r="S225" s="121" t="e">
        <f>SUMIFS(#REF!,#REF!,Extrato!$B225,#REF!,Extrato!S$3,#REF!,"Fulltbet")</f>
        <v>#REF!</v>
      </c>
      <c r="T225" s="121" t="e">
        <f>SUMIFS(#REF!,#REF!,Extrato!$B225,#REF!,Extrato!T$3,#REF!,"Fulltbet")</f>
        <v>#REF!</v>
      </c>
      <c r="U225" s="121" t="e">
        <f>SUMIFS(#REF!,#REF!,Extrato!$B225,#REF!,Extrato!U$3)</f>
        <v>#REF!</v>
      </c>
      <c r="V225" s="121" t="e">
        <f>SUMIFS(#REF!,#REF!,Extrato!$B225,#REF!,Extrato!V$3)</f>
        <v>#REF!</v>
      </c>
      <c r="W225" s="121" t="e">
        <f>SUMIFS(#REF!,#REF!,Extrato!$B225,#REF!,Extrato!W$3,#REF!,"Fulltbet")</f>
        <v>#REF!</v>
      </c>
      <c r="X225" s="121" t="e">
        <f>SUMIFS(#REF!,#REF!,Extrato!$B225,#REF!,Extrato!X$3)</f>
        <v>#REF!</v>
      </c>
      <c r="Y225" s="121" t="e">
        <f>SUMIFS(#REF!,#REF!,Extrato!$B225,#REF!,Extrato!Y$3)</f>
        <v>#REF!</v>
      </c>
      <c r="Z225" s="121" t="e">
        <f>SUMIFS(#REF!,#REF!,Extrato!$B225,#REF!,Extrato!Z$3)</f>
        <v>#REF!</v>
      </c>
      <c r="AA225" s="121" t="e">
        <f>SUMIFS(#REF!,#REF!,Extrato!$B225,#REF!,Extrato!AA$3)</f>
        <v>#REF!</v>
      </c>
      <c r="AB225" s="121" t="e">
        <f>SUMIFS(#REF!,#REF!,Extrato!$B225,#REF!,Extrato!AB$3)</f>
        <v>#REF!</v>
      </c>
      <c r="AC225" s="121" t="e">
        <f>SUMIFS(#REF!,#REF!,Extrato!$B225,#REF!,Extrato!AC$3)</f>
        <v>#REF!</v>
      </c>
      <c r="AD225" s="121" t="e">
        <f>SUMIFS(#REF!,#REF!,Extrato!$B225,#REF!,Extrato!AD$3)</f>
        <v>#REF!</v>
      </c>
      <c r="AE225" s="121" t="e">
        <f>SUMIFS(#REF!,#REF!,Extrato!$B225,#REF!,Extrato!AE$3)</f>
        <v>#REF!</v>
      </c>
      <c r="AF225" s="121" t="e">
        <f>SUMIFS(#REF!,#REF!,Extrato!$B225,#REF!,Extrato!AF$3)</f>
        <v>#REF!</v>
      </c>
      <c r="AG225" s="121" t="e">
        <f>SUMIFS(#REF!,#REF!,Extrato!$B225,#REF!,Extrato!AG$3)</f>
        <v>#REF!</v>
      </c>
      <c r="AH225" s="121" t="e">
        <f>SUMIFS(#REF!,#REF!,Extrato!$B225,#REF!,Extrato!AH$3)</f>
        <v>#REF!</v>
      </c>
      <c r="AI225" s="121" t="e">
        <f>SUMIFS(#REF!,#REF!,Extrato!$B225,#REF!,Extrato!AI$3)</f>
        <v>#REF!</v>
      </c>
      <c r="AJ225" s="121">
        <v>0</v>
      </c>
      <c r="AK225" s="121">
        <v>-0.02</v>
      </c>
      <c r="AL225" s="25" t="e">
        <f t="shared" si="11"/>
        <v>#REF!</v>
      </c>
      <c r="AM225" s="122"/>
      <c r="AN225" s="121" t="e">
        <f t="shared" si="15"/>
        <v>#REF!</v>
      </c>
      <c r="AO225" s="121">
        <f>SUMIF(BetFlow!B:B,Extrato!B225,BetFlow!M:M)</f>
        <v>-8.3989247983999995</v>
      </c>
      <c r="AP225" s="121" t="e">
        <f>SUMIFS(#REF!,#REF!,Extrato!$B225,#REF!,Extrato!AP$3,#REF!,"Betbra")</f>
        <v>#REF!</v>
      </c>
      <c r="AQ225" s="121" t="e">
        <f>SUMIFS(#REF!,#REF!,Extrato!$B225,#REF!,Extrato!AQ$3,#REF!,"Betbra")</f>
        <v>#REF!</v>
      </c>
      <c r="AR225" s="121" t="e">
        <f>SUMIFS(#REF!,#REF!,Extrato!$B225,#REF!,Extrato!AR$3,#REF!,"Betbra")</f>
        <v>#REF!</v>
      </c>
      <c r="AS225" s="121" t="e">
        <f>SUMIFS(#REF!,#REF!,Extrato!$B225,#REF!,Extrato!AS$3,#REF!,"Betbra")</f>
        <v>#REF!</v>
      </c>
      <c r="AT225" s="121" t="e">
        <f>SUMIFS(#REF!,#REF!,Extrato!$B225,#REF!,Extrato!AT$3,#REF!,"Betbra")</f>
        <v>#REF!</v>
      </c>
      <c r="AU225" s="121" t="e">
        <f>SUMIFS(#REF!,#REF!,Extrato!$B225,#REF!,Extrato!AU$3,#REF!,"Betbra")</f>
        <v>#REF!</v>
      </c>
      <c r="AV225" s="121" t="e">
        <f>SUMIFS(#REF!,#REF!,Extrato!$B225,#REF!,Extrato!AV$3,#REF!,"Betbra")</f>
        <v>#REF!</v>
      </c>
      <c r="AW225" s="121" t="e">
        <f>SUMIFS(#REF!,#REF!,Extrato!$B225,#REF!,Extrato!AW$3,#REF!,"Betbra")</f>
        <v>#REF!</v>
      </c>
      <c r="AX225" s="121" t="e">
        <f>SUMIFS(#REF!,#REF!,Extrato!$B225,#REF!,Extrato!AX$3,#REF!,"Betbra")</f>
        <v>#REF!</v>
      </c>
      <c r="AY225" s="121" t="e">
        <f>SUMIFS(#REF!,#REF!,Extrato!$B225,#REF!,Extrato!AY$3,#REF!,"Betbra")</f>
        <v>#REF!</v>
      </c>
      <c r="AZ225" s="121" t="e">
        <f>SUMIFS(#REF!,#REF!,Extrato!$B225,#REF!,Extrato!AZ$3,#REF!,"Betbra")</f>
        <v>#REF!</v>
      </c>
      <c r="BA225" s="121" t="e">
        <f>SUMIFS(#REF!,#REF!,Extrato!$B225,#REF!,Extrato!BA$3,#REF!,"Betbra")</f>
        <v>#REF!</v>
      </c>
      <c r="BB225" s="121" t="e">
        <f>SUMIFS(#REF!,#REF!,Extrato!$B225,#REF!,Extrato!BB$3,#REF!,"Betbra")</f>
        <v>#REF!</v>
      </c>
      <c r="BC225" s="121">
        <v>0</v>
      </c>
      <c r="BD225" s="121">
        <v>0.01</v>
      </c>
      <c r="BE225" s="25" t="e">
        <f t="shared" si="14"/>
        <v>#REF!</v>
      </c>
      <c r="BF225" s="122"/>
      <c r="BG225" s="121" t="e">
        <f t="shared" si="13"/>
        <v>#REF!</v>
      </c>
      <c r="BH225" s="121" t="e">
        <f>SUMIFS(#REF!,#REF!,Extrato!$B225,#REF!,Extrato!BH$3,#REF!,"Bolsa")</f>
        <v>#REF!</v>
      </c>
      <c r="BI225" s="121" t="e">
        <f>SUMIFS(#REF!,#REF!,Extrato!$B225,#REF!,Extrato!BI$3,#REF!,"Bolsa")</f>
        <v>#REF!</v>
      </c>
      <c r="BJ225" s="121" t="e">
        <f>SUMIFS(#REF!,#REF!,Extrato!$B225,#REF!,Extrato!BJ$3,#REF!,"Bolsa")</f>
        <v>#REF!</v>
      </c>
      <c r="BK225" s="121" t="e">
        <f>SUMIFS(#REF!,#REF!,Extrato!$B225,#REF!,Extrato!BK$3,#REF!,"Bolsa")</f>
        <v>#REF!</v>
      </c>
      <c r="BL225" s="121" t="e">
        <f>SUMIFS(#REF!,#REF!,Extrato!$B225,#REF!,Extrato!BL$3,#REF!,"Bolsa")</f>
        <v>#REF!</v>
      </c>
      <c r="BM225" s="121" t="e">
        <f>SUMIFS(#REF!,#REF!,Extrato!$B225,#REF!,Extrato!BM$3,#REF!,"Bolsa")</f>
        <v>#REF!</v>
      </c>
      <c r="BN225" s="121">
        <v>0</v>
      </c>
      <c r="BO225" s="121">
        <v>0</v>
      </c>
      <c r="BP225" s="25" t="e">
        <f t="shared" si="12"/>
        <v>#REF!</v>
      </c>
    </row>
    <row r="226" spans="2:68" ht="15" customHeight="1">
      <c r="B226" s="12">
        <v>46216</v>
      </c>
      <c r="C226" s="121" t="e">
        <f t="shared" si="10"/>
        <v>#REF!</v>
      </c>
      <c r="D226" s="121" t="e">
        <f>SUMIFS(#REF!,#REF!,Extrato!$B226,#REF!,Extrato!D$3)</f>
        <v>#REF!</v>
      </c>
      <c r="E226" s="121" t="e">
        <f>SUMIFS(#REF!,#REF!,Extrato!$B226,#REF!,Extrato!E$3,#REF!,"Fulltbet")</f>
        <v>#REF!</v>
      </c>
      <c r="F226" s="121" t="e">
        <f>SUMIFS(#REF!,#REF!,Extrato!$B226,#REF!,Extrato!F$3)</f>
        <v>#REF!</v>
      </c>
      <c r="G226" s="121" t="e">
        <f>SUMIFS(#REF!,#REF!,Extrato!$B226,#REF!,Extrato!G$3,#REF!,"Fulltbet")</f>
        <v>#REF!</v>
      </c>
      <c r="H226" s="121" t="e">
        <f>SUMIFS(#REF!,#REF!,Extrato!$B226,#REF!,Extrato!H$3,#REF!,"Fulltbet")</f>
        <v>#REF!</v>
      </c>
      <c r="I226" s="121" t="e">
        <f>SUMIFS(#REF!,#REF!,Extrato!$B226,#REF!,Extrato!I$3,#REF!,"Fulltbet")</f>
        <v>#REF!</v>
      </c>
      <c r="J226" s="121" t="e">
        <f>SUMIFS(#REF!,#REF!,Extrato!$B226,#REF!,Extrato!J$3,#REF!,"Fulltbet")</f>
        <v>#REF!</v>
      </c>
      <c r="K226" s="121" t="e">
        <f>SUMIFS(#REF!,#REF!,Extrato!$B226,#REF!,Extrato!K$3,#REF!,"Fulltbet")</f>
        <v>#REF!</v>
      </c>
      <c r="L226" s="121" t="e">
        <f>SUMIFS(#REF!,#REF!,Extrato!$B226,#REF!,Extrato!L$3)</f>
        <v>#REF!</v>
      </c>
      <c r="M226" s="121" t="e">
        <f>SUMIFS(#REF!,#REF!,Extrato!$B226,#REF!,Extrato!M$3)</f>
        <v>#REF!</v>
      </c>
      <c r="N226" s="121" t="e">
        <f>SUMIFS(#REF!,#REF!,Extrato!$B226,#REF!,Extrato!N$3,#REF!,"Fulltbet")</f>
        <v>#REF!</v>
      </c>
      <c r="O226" s="121" t="e">
        <f>SUMIFS(#REF!,#REF!,Extrato!$B226,#REF!,Extrato!O$3,#REF!,"Fulltbet")</f>
        <v>#REF!</v>
      </c>
      <c r="P226" s="121">
        <f>SUMIF(BetFlow!B:B,B226,BetFlow!J:J)</f>
        <v>0</v>
      </c>
      <c r="Q226" s="121" t="e">
        <f>SUMIFS(#REF!,#REF!,Extrato!$B226,#REF!,Extrato!Q$3)</f>
        <v>#REF!</v>
      </c>
      <c r="R226" s="121" t="e">
        <f>SUMIFS(#REF!,#REF!,Extrato!$B226,#REF!,Extrato!R$3,#REF!,"Fulltbet")</f>
        <v>#REF!</v>
      </c>
      <c r="S226" s="121" t="e">
        <f>SUMIFS(#REF!,#REF!,Extrato!$B226,#REF!,Extrato!S$3,#REF!,"Fulltbet")</f>
        <v>#REF!</v>
      </c>
      <c r="T226" s="121" t="e">
        <f>SUMIFS(#REF!,#REF!,Extrato!$B226,#REF!,Extrato!T$3,#REF!,"Fulltbet")</f>
        <v>#REF!</v>
      </c>
      <c r="U226" s="121" t="e">
        <f>SUMIFS(#REF!,#REF!,Extrato!$B226,#REF!,Extrato!U$3)</f>
        <v>#REF!</v>
      </c>
      <c r="V226" s="121" t="e">
        <f>SUMIFS(#REF!,#REF!,Extrato!$B226,#REF!,Extrato!V$3)</f>
        <v>#REF!</v>
      </c>
      <c r="W226" s="121" t="e">
        <f>SUMIFS(#REF!,#REF!,Extrato!$B226,#REF!,Extrato!W$3,#REF!,"Fulltbet")</f>
        <v>#REF!</v>
      </c>
      <c r="X226" s="121" t="e">
        <f>SUMIFS(#REF!,#REF!,Extrato!$B226,#REF!,Extrato!X$3)</f>
        <v>#REF!</v>
      </c>
      <c r="Y226" s="121" t="e">
        <f>SUMIFS(#REF!,#REF!,Extrato!$B226,#REF!,Extrato!Y$3)</f>
        <v>#REF!</v>
      </c>
      <c r="Z226" s="121" t="e">
        <f>SUMIFS(#REF!,#REF!,Extrato!$B226,#REF!,Extrato!Z$3)</f>
        <v>#REF!</v>
      </c>
      <c r="AA226" s="121" t="e">
        <f>SUMIFS(#REF!,#REF!,Extrato!$B226,#REF!,Extrato!AA$3)</f>
        <v>#REF!</v>
      </c>
      <c r="AB226" s="121" t="e">
        <f>SUMIFS(#REF!,#REF!,Extrato!$B226,#REF!,Extrato!AB$3)</f>
        <v>#REF!</v>
      </c>
      <c r="AC226" s="121" t="e">
        <f>SUMIFS(#REF!,#REF!,Extrato!$B226,#REF!,Extrato!AC$3)</f>
        <v>#REF!</v>
      </c>
      <c r="AD226" s="121" t="e">
        <f>SUMIFS(#REF!,#REF!,Extrato!$B226,#REF!,Extrato!AD$3)</f>
        <v>#REF!</v>
      </c>
      <c r="AE226" s="121" t="e">
        <f>SUMIFS(#REF!,#REF!,Extrato!$B226,#REF!,Extrato!AE$3)</f>
        <v>#REF!</v>
      </c>
      <c r="AF226" s="121" t="e">
        <f>SUMIFS(#REF!,#REF!,Extrato!$B226,#REF!,Extrato!AF$3)</f>
        <v>#REF!</v>
      </c>
      <c r="AG226" s="121" t="e">
        <f>SUMIFS(#REF!,#REF!,Extrato!$B226,#REF!,Extrato!AG$3)</f>
        <v>#REF!</v>
      </c>
      <c r="AH226" s="121" t="e">
        <f>SUMIFS(#REF!,#REF!,Extrato!$B226,#REF!,Extrato!AH$3)</f>
        <v>#REF!</v>
      </c>
      <c r="AI226" s="121" t="e">
        <f>SUMIFS(#REF!,#REF!,Extrato!$B226,#REF!,Extrato!AI$3)</f>
        <v>#REF!</v>
      </c>
      <c r="AJ226" s="121">
        <v>0</v>
      </c>
      <c r="AK226" s="121">
        <v>-0.01</v>
      </c>
      <c r="AL226" s="25" t="e">
        <f t="shared" si="11"/>
        <v>#REF!</v>
      </c>
      <c r="AM226" s="122"/>
      <c r="AN226" s="121" t="e">
        <f t="shared" si="15"/>
        <v>#REF!</v>
      </c>
      <c r="AO226" s="121">
        <f>SUMIF(BetFlow!B:B,Extrato!B226,BetFlow!M:M)</f>
        <v>0</v>
      </c>
      <c r="AP226" s="121" t="e">
        <f>SUMIFS(#REF!,#REF!,Extrato!$B226,#REF!,Extrato!AP$3,#REF!,"Betbra")</f>
        <v>#REF!</v>
      </c>
      <c r="AQ226" s="121" t="e">
        <f>SUMIFS(#REF!,#REF!,Extrato!$B226,#REF!,Extrato!AQ$3,#REF!,"Betbra")</f>
        <v>#REF!</v>
      </c>
      <c r="AR226" s="121" t="e">
        <f>SUMIFS(#REF!,#REF!,Extrato!$B226,#REF!,Extrato!AR$3,#REF!,"Betbra")</f>
        <v>#REF!</v>
      </c>
      <c r="AS226" s="121" t="e">
        <f>SUMIFS(#REF!,#REF!,Extrato!$B226,#REF!,Extrato!AS$3,#REF!,"Betbra")</f>
        <v>#REF!</v>
      </c>
      <c r="AT226" s="121" t="e">
        <f>SUMIFS(#REF!,#REF!,Extrato!$B226,#REF!,Extrato!AT$3,#REF!,"Betbra")</f>
        <v>#REF!</v>
      </c>
      <c r="AU226" s="121" t="e">
        <f>SUMIFS(#REF!,#REF!,Extrato!$B226,#REF!,Extrato!AU$3,#REF!,"Betbra")</f>
        <v>#REF!</v>
      </c>
      <c r="AV226" s="121" t="e">
        <f>SUMIFS(#REF!,#REF!,Extrato!$B226,#REF!,Extrato!AV$3,#REF!,"Betbra")</f>
        <v>#REF!</v>
      </c>
      <c r="AW226" s="121" t="e">
        <f>SUMIFS(#REF!,#REF!,Extrato!$B226,#REF!,Extrato!AW$3,#REF!,"Betbra")</f>
        <v>#REF!</v>
      </c>
      <c r="AX226" s="121" t="e">
        <f>SUMIFS(#REF!,#REF!,Extrato!$B226,#REF!,Extrato!AX$3,#REF!,"Betbra")</f>
        <v>#REF!</v>
      </c>
      <c r="AY226" s="121" t="e">
        <f>SUMIFS(#REF!,#REF!,Extrato!$B226,#REF!,Extrato!AY$3,#REF!,"Betbra")</f>
        <v>#REF!</v>
      </c>
      <c r="AZ226" s="121" t="e">
        <f>SUMIFS(#REF!,#REF!,Extrato!$B226,#REF!,Extrato!AZ$3,#REF!,"Betbra")</f>
        <v>#REF!</v>
      </c>
      <c r="BA226" s="121" t="e">
        <f>SUMIFS(#REF!,#REF!,Extrato!$B226,#REF!,Extrato!BA$3,#REF!,"Betbra")</f>
        <v>#REF!</v>
      </c>
      <c r="BB226" s="121" t="e">
        <f>SUMIFS(#REF!,#REF!,Extrato!$B226,#REF!,Extrato!BB$3,#REF!,"Betbra")</f>
        <v>#REF!</v>
      </c>
      <c r="BC226" s="121">
        <v>0</v>
      </c>
      <c r="BD226" s="121">
        <v>-0.01</v>
      </c>
      <c r="BE226" s="25" t="e">
        <f t="shared" si="14"/>
        <v>#REF!</v>
      </c>
      <c r="BF226" s="122"/>
      <c r="BG226" s="121" t="e">
        <f t="shared" si="13"/>
        <v>#REF!</v>
      </c>
      <c r="BH226" s="121" t="e">
        <f>SUMIFS(#REF!,#REF!,Extrato!$B226,#REF!,Extrato!BH$3,#REF!,"Bolsa")</f>
        <v>#REF!</v>
      </c>
      <c r="BI226" s="121" t="e">
        <f>SUMIFS(#REF!,#REF!,Extrato!$B226,#REF!,Extrato!BI$3,#REF!,"Bolsa")</f>
        <v>#REF!</v>
      </c>
      <c r="BJ226" s="121" t="e">
        <f>SUMIFS(#REF!,#REF!,Extrato!$B226,#REF!,Extrato!BJ$3,#REF!,"Bolsa")</f>
        <v>#REF!</v>
      </c>
      <c r="BK226" s="121" t="e">
        <f>SUMIFS(#REF!,#REF!,Extrato!$B226,#REF!,Extrato!BK$3,#REF!,"Bolsa")</f>
        <v>#REF!</v>
      </c>
      <c r="BL226" s="121" t="e">
        <f>SUMIFS(#REF!,#REF!,Extrato!$B226,#REF!,Extrato!BL$3,#REF!,"Bolsa")</f>
        <v>#REF!</v>
      </c>
      <c r="BM226" s="121" t="e">
        <f>SUMIFS(#REF!,#REF!,Extrato!$B226,#REF!,Extrato!BM$3,#REF!,"Bolsa")</f>
        <v>#REF!</v>
      </c>
      <c r="BN226" s="121">
        <v>0</v>
      </c>
      <c r="BO226" s="121">
        <v>0</v>
      </c>
      <c r="BP226" s="25" t="e">
        <f t="shared" si="12"/>
        <v>#REF!</v>
      </c>
    </row>
    <row r="227" spans="2:68" ht="15" customHeight="1">
      <c r="B227" s="12">
        <v>46217</v>
      </c>
      <c r="C227" s="121" t="e">
        <f t="shared" si="10"/>
        <v>#REF!</v>
      </c>
      <c r="D227" s="121" t="e">
        <f>SUMIFS(#REF!,#REF!,Extrato!$B227,#REF!,Extrato!D$3)</f>
        <v>#REF!</v>
      </c>
      <c r="E227" s="121" t="e">
        <f>SUMIFS(#REF!,#REF!,Extrato!$B227,#REF!,Extrato!E$3,#REF!,"Fulltbet")</f>
        <v>#REF!</v>
      </c>
      <c r="F227" s="121" t="e">
        <f>SUMIFS(#REF!,#REF!,Extrato!$B227,#REF!,Extrato!F$3)</f>
        <v>#REF!</v>
      </c>
      <c r="G227" s="121" t="e">
        <f>SUMIFS(#REF!,#REF!,Extrato!$B227,#REF!,Extrato!G$3,#REF!,"Fulltbet")</f>
        <v>#REF!</v>
      </c>
      <c r="H227" s="121" t="e">
        <f>SUMIFS(#REF!,#REF!,Extrato!$B227,#REF!,Extrato!H$3,#REF!,"Fulltbet")</f>
        <v>#REF!</v>
      </c>
      <c r="I227" s="121" t="e">
        <f>SUMIFS(#REF!,#REF!,Extrato!$B227,#REF!,Extrato!I$3,#REF!,"Fulltbet")</f>
        <v>#REF!</v>
      </c>
      <c r="J227" s="121" t="e">
        <f>SUMIFS(#REF!,#REF!,Extrato!$B227,#REF!,Extrato!J$3,#REF!,"Fulltbet")</f>
        <v>#REF!</v>
      </c>
      <c r="K227" s="121" t="e">
        <f>SUMIFS(#REF!,#REF!,Extrato!$B227,#REF!,Extrato!K$3,#REF!,"Fulltbet")</f>
        <v>#REF!</v>
      </c>
      <c r="L227" s="121" t="e">
        <f>SUMIFS(#REF!,#REF!,Extrato!$B227,#REF!,Extrato!L$3)</f>
        <v>#REF!</v>
      </c>
      <c r="M227" s="121" t="e">
        <f>SUMIFS(#REF!,#REF!,Extrato!$B227,#REF!,Extrato!M$3)</f>
        <v>#REF!</v>
      </c>
      <c r="N227" s="121" t="e">
        <f>SUMIFS(#REF!,#REF!,Extrato!$B227,#REF!,Extrato!N$3,#REF!,"Fulltbet")</f>
        <v>#REF!</v>
      </c>
      <c r="O227" s="121" t="e">
        <f>SUMIFS(#REF!,#REF!,Extrato!$B227,#REF!,Extrato!O$3,#REF!,"Fulltbet")</f>
        <v>#REF!</v>
      </c>
      <c r="P227" s="121">
        <f>SUMIF(BetFlow!B:B,B227,BetFlow!J:J)</f>
        <v>-12.363800000000003</v>
      </c>
      <c r="Q227" s="121" t="e">
        <f>SUMIFS(#REF!,#REF!,Extrato!$B227,#REF!,Extrato!Q$3)</f>
        <v>#REF!</v>
      </c>
      <c r="R227" s="121" t="e">
        <f>SUMIFS(#REF!,#REF!,Extrato!$B227,#REF!,Extrato!R$3,#REF!,"Fulltbet")</f>
        <v>#REF!</v>
      </c>
      <c r="S227" s="121" t="e">
        <f>SUMIFS(#REF!,#REF!,Extrato!$B227,#REF!,Extrato!S$3,#REF!,"Fulltbet")</f>
        <v>#REF!</v>
      </c>
      <c r="T227" s="121" t="e">
        <f>SUMIFS(#REF!,#REF!,Extrato!$B227,#REF!,Extrato!T$3,#REF!,"Fulltbet")</f>
        <v>#REF!</v>
      </c>
      <c r="U227" s="121" t="e">
        <f>SUMIFS(#REF!,#REF!,Extrato!$B227,#REF!,Extrato!U$3)</f>
        <v>#REF!</v>
      </c>
      <c r="V227" s="121" t="e">
        <f>SUMIFS(#REF!,#REF!,Extrato!$B227,#REF!,Extrato!V$3)</f>
        <v>#REF!</v>
      </c>
      <c r="W227" s="121" t="e">
        <f>SUMIFS(#REF!,#REF!,Extrato!$B227,#REF!,Extrato!W$3,#REF!,"Fulltbet")</f>
        <v>#REF!</v>
      </c>
      <c r="X227" s="121" t="e">
        <f>SUMIFS(#REF!,#REF!,Extrato!$B227,#REF!,Extrato!X$3)</f>
        <v>#REF!</v>
      </c>
      <c r="Y227" s="121" t="e">
        <f>SUMIFS(#REF!,#REF!,Extrato!$B227,#REF!,Extrato!Y$3)</f>
        <v>#REF!</v>
      </c>
      <c r="Z227" s="121" t="e">
        <f>SUMIFS(#REF!,#REF!,Extrato!$B227,#REF!,Extrato!Z$3)</f>
        <v>#REF!</v>
      </c>
      <c r="AA227" s="121" t="e">
        <f>SUMIFS(#REF!,#REF!,Extrato!$B227,#REF!,Extrato!AA$3)</f>
        <v>#REF!</v>
      </c>
      <c r="AB227" s="121" t="e">
        <f>SUMIFS(#REF!,#REF!,Extrato!$B227,#REF!,Extrato!AB$3)</f>
        <v>#REF!</v>
      </c>
      <c r="AC227" s="121" t="e">
        <f>SUMIFS(#REF!,#REF!,Extrato!$B227,#REF!,Extrato!AC$3)</f>
        <v>#REF!</v>
      </c>
      <c r="AD227" s="121" t="e">
        <f>SUMIFS(#REF!,#REF!,Extrato!$B227,#REF!,Extrato!AD$3)</f>
        <v>#REF!</v>
      </c>
      <c r="AE227" s="121" t="e">
        <f>SUMIFS(#REF!,#REF!,Extrato!$B227,#REF!,Extrato!AE$3)</f>
        <v>#REF!</v>
      </c>
      <c r="AF227" s="121" t="e">
        <f>SUMIFS(#REF!,#REF!,Extrato!$B227,#REF!,Extrato!AF$3)</f>
        <v>#REF!</v>
      </c>
      <c r="AG227" s="121" t="e">
        <f>SUMIFS(#REF!,#REF!,Extrato!$B227,#REF!,Extrato!AG$3)</f>
        <v>#REF!</v>
      </c>
      <c r="AH227" s="121" t="e">
        <f>SUMIFS(#REF!,#REF!,Extrato!$B227,#REF!,Extrato!AH$3)</f>
        <v>#REF!</v>
      </c>
      <c r="AI227" s="121" t="e">
        <f>SUMIFS(#REF!,#REF!,Extrato!$B227,#REF!,Extrato!AI$3)</f>
        <v>#REF!</v>
      </c>
      <c r="AJ227" s="121">
        <v>0</v>
      </c>
      <c r="AK227" s="121">
        <v>0</v>
      </c>
      <c r="AL227" s="25" t="e">
        <f t="shared" si="11"/>
        <v>#REF!</v>
      </c>
      <c r="AM227" s="122"/>
      <c r="AN227" s="121" t="e">
        <f t="shared" si="15"/>
        <v>#REF!</v>
      </c>
      <c r="AO227" s="121">
        <f>SUMIF(BetFlow!B:B,Extrato!B227,BetFlow!M:M)</f>
        <v>13.653102868799998</v>
      </c>
      <c r="AP227" s="121" t="e">
        <f>SUMIFS(#REF!,#REF!,Extrato!$B227,#REF!,Extrato!AP$3,#REF!,"Betbra")</f>
        <v>#REF!</v>
      </c>
      <c r="AQ227" s="121" t="e">
        <f>SUMIFS(#REF!,#REF!,Extrato!$B227,#REF!,Extrato!AQ$3,#REF!,"Betbra")</f>
        <v>#REF!</v>
      </c>
      <c r="AR227" s="121" t="e">
        <f>SUMIFS(#REF!,#REF!,Extrato!$B227,#REF!,Extrato!AR$3,#REF!,"Betbra")</f>
        <v>#REF!</v>
      </c>
      <c r="AS227" s="121" t="e">
        <f>SUMIFS(#REF!,#REF!,Extrato!$B227,#REF!,Extrato!AS$3,#REF!,"Betbra")</f>
        <v>#REF!</v>
      </c>
      <c r="AT227" s="121" t="e">
        <f>SUMIFS(#REF!,#REF!,Extrato!$B227,#REF!,Extrato!AT$3,#REF!,"Betbra")</f>
        <v>#REF!</v>
      </c>
      <c r="AU227" s="121" t="e">
        <f>SUMIFS(#REF!,#REF!,Extrato!$B227,#REF!,Extrato!AU$3,#REF!,"Betbra")</f>
        <v>#REF!</v>
      </c>
      <c r="AV227" s="121" t="e">
        <f>SUMIFS(#REF!,#REF!,Extrato!$B227,#REF!,Extrato!AV$3,#REF!,"Betbra")</f>
        <v>#REF!</v>
      </c>
      <c r="AW227" s="121" t="e">
        <f>SUMIFS(#REF!,#REF!,Extrato!$B227,#REF!,Extrato!AW$3,#REF!,"Betbra")</f>
        <v>#REF!</v>
      </c>
      <c r="AX227" s="121" t="e">
        <f>SUMIFS(#REF!,#REF!,Extrato!$B227,#REF!,Extrato!AX$3,#REF!,"Betbra")</f>
        <v>#REF!</v>
      </c>
      <c r="AY227" s="121" t="e">
        <f>SUMIFS(#REF!,#REF!,Extrato!$B227,#REF!,Extrato!AY$3,#REF!,"Betbra")</f>
        <v>#REF!</v>
      </c>
      <c r="AZ227" s="121" t="e">
        <f>SUMIFS(#REF!,#REF!,Extrato!$B227,#REF!,Extrato!AZ$3,#REF!,"Betbra")</f>
        <v>#REF!</v>
      </c>
      <c r="BA227" s="121" t="e">
        <f>SUMIFS(#REF!,#REF!,Extrato!$B227,#REF!,Extrato!BA$3,#REF!,"Betbra")</f>
        <v>#REF!</v>
      </c>
      <c r="BB227" s="121" t="e">
        <f>SUMIFS(#REF!,#REF!,Extrato!$B227,#REF!,Extrato!BB$3,#REF!,"Betbra")</f>
        <v>#REF!</v>
      </c>
      <c r="BC227" s="121">
        <v>0</v>
      </c>
      <c r="BD227" s="121">
        <v>0.01</v>
      </c>
      <c r="BE227" s="25" t="e">
        <f t="shared" si="14"/>
        <v>#REF!</v>
      </c>
      <c r="BF227" s="122"/>
      <c r="BG227" s="121" t="e">
        <f t="shared" si="13"/>
        <v>#REF!</v>
      </c>
      <c r="BH227" s="121" t="e">
        <f>SUMIFS(#REF!,#REF!,Extrato!$B227,#REF!,Extrato!BH$3,#REF!,"Bolsa")</f>
        <v>#REF!</v>
      </c>
      <c r="BI227" s="121" t="e">
        <f>SUMIFS(#REF!,#REF!,Extrato!$B227,#REF!,Extrato!BI$3,#REF!,"Bolsa")</f>
        <v>#REF!</v>
      </c>
      <c r="BJ227" s="121" t="e">
        <f>SUMIFS(#REF!,#REF!,Extrato!$B227,#REF!,Extrato!BJ$3,#REF!,"Bolsa")</f>
        <v>#REF!</v>
      </c>
      <c r="BK227" s="121" t="e">
        <f>SUMIFS(#REF!,#REF!,Extrato!$B227,#REF!,Extrato!BK$3,#REF!,"Bolsa")</f>
        <v>#REF!</v>
      </c>
      <c r="BL227" s="121" t="e">
        <f>SUMIFS(#REF!,#REF!,Extrato!$B227,#REF!,Extrato!BL$3,#REF!,"Bolsa")</f>
        <v>#REF!</v>
      </c>
      <c r="BM227" s="121" t="e">
        <f>SUMIFS(#REF!,#REF!,Extrato!$B227,#REF!,Extrato!BM$3,#REF!,"Bolsa")</f>
        <v>#REF!</v>
      </c>
      <c r="BN227" s="121">
        <v>0</v>
      </c>
      <c r="BO227" s="121">
        <v>0</v>
      </c>
      <c r="BP227" s="25" t="e">
        <f t="shared" si="12"/>
        <v>#REF!</v>
      </c>
    </row>
    <row r="228" spans="2:68" ht="15" customHeight="1">
      <c r="B228" s="12">
        <v>46218</v>
      </c>
      <c r="C228" s="121" t="e">
        <f t="shared" si="10"/>
        <v>#REF!</v>
      </c>
      <c r="D228" s="121" t="e">
        <f>SUMIFS(#REF!,#REF!,Extrato!$B228,#REF!,Extrato!D$3)</f>
        <v>#REF!</v>
      </c>
      <c r="E228" s="121" t="e">
        <f>SUMIFS(#REF!,#REF!,Extrato!$B228,#REF!,Extrato!E$3,#REF!,"Fulltbet")</f>
        <v>#REF!</v>
      </c>
      <c r="F228" s="121" t="e">
        <f>SUMIFS(#REF!,#REF!,Extrato!$B228,#REF!,Extrato!F$3)</f>
        <v>#REF!</v>
      </c>
      <c r="G228" s="121" t="e">
        <f>SUMIFS(#REF!,#REF!,Extrato!$B228,#REF!,Extrato!G$3,#REF!,"Fulltbet")</f>
        <v>#REF!</v>
      </c>
      <c r="H228" s="121" t="e">
        <f>SUMIFS(#REF!,#REF!,Extrato!$B228,#REF!,Extrato!H$3,#REF!,"Fulltbet")</f>
        <v>#REF!</v>
      </c>
      <c r="I228" s="121" t="e">
        <f>SUMIFS(#REF!,#REF!,Extrato!$B228,#REF!,Extrato!I$3,#REF!,"Fulltbet")</f>
        <v>#REF!</v>
      </c>
      <c r="J228" s="121" t="e">
        <f>SUMIFS(#REF!,#REF!,Extrato!$B228,#REF!,Extrato!J$3,#REF!,"Fulltbet")</f>
        <v>#REF!</v>
      </c>
      <c r="K228" s="121" t="e">
        <f>SUMIFS(#REF!,#REF!,Extrato!$B228,#REF!,Extrato!K$3,#REF!,"Fulltbet")</f>
        <v>#REF!</v>
      </c>
      <c r="L228" s="121" t="e">
        <f>SUMIFS(#REF!,#REF!,Extrato!$B228,#REF!,Extrato!L$3)</f>
        <v>#REF!</v>
      </c>
      <c r="M228" s="121" t="e">
        <f>SUMIFS(#REF!,#REF!,Extrato!$B228,#REF!,Extrato!M$3)</f>
        <v>#REF!</v>
      </c>
      <c r="N228" s="121" t="e">
        <f>SUMIFS(#REF!,#REF!,Extrato!$B228,#REF!,Extrato!N$3,#REF!,"Fulltbet")</f>
        <v>#REF!</v>
      </c>
      <c r="O228" s="121" t="e">
        <f>SUMIFS(#REF!,#REF!,Extrato!$B228,#REF!,Extrato!O$3,#REF!,"Fulltbet")</f>
        <v>#REF!</v>
      </c>
      <c r="P228" s="121">
        <f>SUMIF(BetFlow!B:B,B228,BetFlow!J:J)</f>
        <v>-18.510000000000002</v>
      </c>
      <c r="Q228" s="121" t="e">
        <f>SUMIFS(#REF!,#REF!,Extrato!$B228,#REF!,Extrato!Q$3)</f>
        <v>#REF!</v>
      </c>
      <c r="R228" s="121" t="e">
        <f>SUMIFS(#REF!,#REF!,Extrato!$B228,#REF!,Extrato!R$3,#REF!,"Fulltbet")</f>
        <v>#REF!</v>
      </c>
      <c r="S228" s="121" t="e">
        <f>SUMIFS(#REF!,#REF!,Extrato!$B228,#REF!,Extrato!S$3,#REF!,"Fulltbet")</f>
        <v>#REF!</v>
      </c>
      <c r="T228" s="121" t="e">
        <f>SUMIFS(#REF!,#REF!,Extrato!$B228,#REF!,Extrato!T$3,#REF!,"Fulltbet")</f>
        <v>#REF!</v>
      </c>
      <c r="U228" s="121" t="e">
        <f>SUMIFS(#REF!,#REF!,Extrato!$B228,#REF!,Extrato!U$3)</f>
        <v>#REF!</v>
      </c>
      <c r="V228" s="121" t="e">
        <f>SUMIFS(#REF!,#REF!,Extrato!$B228,#REF!,Extrato!V$3)</f>
        <v>#REF!</v>
      </c>
      <c r="W228" s="121" t="e">
        <f>SUMIFS(#REF!,#REF!,Extrato!$B228,#REF!,Extrato!W$3,#REF!,"Fulltbet")</f>
        <v>#REF!</v>
      </c>
      <c r="X228" s="121" t="e">
        <f>SUMIFS(#REF!,#REF!,Extrato!$B228,#REF!,Extrato!X$3)</f>
        <v>#REF!</v>
      </c>
      <c r="Y228" s="121" t="e">
        <f>SUMIFS(#REF!,#REF!,Extrato!$B228,#REF!,Extrato!Y$3)</f>
        <v>#REF!</v>
      </c>
      <c r="Z228" s="121" t="e">
        <f>SUMIFS(#REF!,#REF!,Extrato!$B228,#REF!,Extrato!Z$3)</f>
        <v>#REF!</v>
      </c>
      <c r="AA228" s="121" t="e">
        <f>SUMIFS(#REF!,#REF!,Extrato!$B228,#REF!,Extrato!AA$3)</f>
        <v>#REF!</v>
      </c>
      <c r="AB228" s="121" t="e">
        <f>SUMIFS(#REF!,#REF!,Extrato!$B228,#REF!,Extrato!AB$3)</f>
        <v>#REF!</v>
      </c>
      <c r="AC228" s="121" t="e">
        <f>SUMIFS(#REF!,#REF!,Extrato!$B228,#REF!,Extrato!AC$3)</f>
        <v>#REF!</v>
      </c>
      <c r="AD228" s="121" t="e">
        <f>SUMIFS(#REF!,#REF!,Extrato!$B228,#REF!,Extrato!AD$3)</f>
        <v>#REF!</v>
      </c>
      <c r="AE228" s="121" t="e">
        <f>SUMIFS(#REF!,#REF!,Extrato!$B228,#REF!,Extrato!AE$3)</f>
        <v>#REF!</v>
      </c>
      <c r="AF228" s="121" t="e">
        <f>SUMIFS(#REF!,#REF!,Extrato!$B228,#REF!,Extrato!AF$3)</f>
        <v>#REF!</v>
      </c>
      <c r="AG228" s="121" t="e">
        <f>SUMIFS(#REF!,#REF!,Extrato!$B228,#REF!,Extrato!AG$3)</f>
        <v>#REF!</v>
      </c>
      <c r="AH228" s="121" t="e">
        <f>SUMIFS(#REF!,#REF!,Extrato!$B228,#REF!,Extrato!AH$3)</f>
        <v>#REF!</v>
      </c>
      <c r="AI228" s="121" t="e">
        <f>SUMIFS(#REF!,#REF!,Extrato!$B228,#REF!,Extrato!AI$3)</f>
        <v>#REF!</v>
      </c>
      <c r="AJ228" s="121">
        <v>0</v>
      </c>
      <c r="AK228" s="121">
        <f>18.51+0.01</f>
        <v>18.520000000000003</v>
      </c>
      <c r="AL228" s="25" t="e">
        <f t="shared" si="11"/>
        <v>#REF!</v>
      </c>
      <c r="AM228" s="122"/>
      <c r="AN228" s="121" t="e">
        <f t="shared" si="15"/>
        <v>#REF!</v>
      </c>
      <c r="AO228" s="121">
        <f>SUMIF(BetFlow!B:B,Extrato!B228,BetFlow!M:M)</f>
        <v>19.257746112</v>
      </c>
      <c r="AP228" s="121" t="e">
        <f>SUMIFS(#REF!,#REF!,Extrato!$B228,#REF!,Extrato!AP$3,#REF!,"Betbra")</f>
        <v>#REF!</v>
      </c>
      <c r="AQ228" s="121" t="e">
        <f>SUMIFS(#REF!,#REF!,Extrato!$B228,#REF!,Extrato!AQ$3,#REF!,"Betbra")</f>
        <v>#REF!</v>
      </c>
      <c r="AR228" s="121" t="e">
        <f>SUMIFS(#REF!,#REF!,Extrato!$B228,#REF!,Extrato!AR$3,#REF!,"Betbra")</f>
        <v>#REF!</v>
      </c>
      <c r="AS228" s="121" t="e">
        <f>SUMIFS(#REF!,#REF!,Extrato!$B228,#REF!,Extrato!AS$3,#REF!,"Betbra")</f>
        <v>#REF!</v>
      </c>
      <c r="AT228" s="121" t="e">
        <f>SUMIFS(#REF!,#REF!,Extrato!$B228,#REF!,Extrato!AT$3,#REF!,"Betbra")</f>
        <v>#REF!</v>
      </c>
      <c r="AU228" s="121" t="e">
        <f>SUMIFS(#REF!,#REF!,Extrato!$B228,#REF!,Extrato!AU$3,#REF!,"Betbra")</f>
        <v>#REF!</v>
      </c>
      <c r="AV228" s="121" t="e">
        <f>SUMIFS(#REF!,#REF!,Extrato!$B228,#REF!,Extrato!AV$3,#REF!,"Betbra")</f>
        <v>#REF!</v>
      </c>
      <c r="AW228" s="121" t="e">
        <f>SUMIFS(#REF!,#REF!,Extrato!$B228,#REF!,Extrato!AW$3,#REF!,"Betbra")</f>
        <v>#REF!</v>
      </c>
      <c r="AX228" s="121" t="e">
        <f>SUMIFS(#REF!,#REF!,Extrato!$B228,#REF!,Extrato!AX$3,#REF!,"Betbra")</f>
        <v>#REF!</v>
      </c>
      <c r="AY228" s="121" t="e">
        <f>SUMIFS(#REF!,#REF!,Extrato!$B228,#REF!,Extrato!AY$3,#REF!,"Betbra")</f>
        <v>#REF!</v>
      </c>
      <c r="AZ228" s="121" t="e">
        <f>SUMIFS(#REF!,#REF!,Extrato!$B228,#REF!,Extrato!AZ$3,#REF!,"Betbra")</f>
        <v>#REF!</v>
      </c>
      <c r="BA228" s="121" t="e">
        <f>SUMIFS(#REF!,#REF!,Extrato!$B228,#REF!,Extrato!BA$3,#REF!,"Betbra")</f>
        <v>#REF!</v>
      </c>
      <c r="BB228" s="121" t="e">
        <f>SUMIFS(#REF!,#REF!,Extrato!$B228,#REF!,Extrato!BB$3,#REF!,"Betbra")</f>
        <v>#REF!</v>
      </c>
      <c r="BC228" s="121">
        <v>0</v>
      </c>
      <c r="BD228" s="121">
        <v>0.01</v>
      </c>
      <c r="BE228" s="25" t="e">
        <f t="shared" si="14"/>
        <v>#REF!</v>
      </c>
      <c r="BF228" s="122"/>
      <c r="BG228" s="121" t="e">
        <f t="shared" si="13"/>
        <v>#REF!</v>
      </c>
      <c r="BH228" s="121" t="e">
        <f>SUMIFS(#REF!,#REF!,Extrato!$B228,#REF!,Extrato!BH$3,#REF!,"Bolsa")</f>
        <v>#REF!</v>
      </c>
      <c r="BI228" s="121" t="e">
        <f>SUMIFS(#REF!,#REF!,Extrato!$B228,#REF!,Extrato!BI$3,#REF!,"Bolsa")</f>
        <v>#REF!</v>
      </c>
      <c r="BJ228" s="121" t="e">
        <f>SUMIFS(#REF!,#REF!,Extrato!$B228,#REF!,Extrato!BJ$3,#REF!,"Bolsa")</f>
        <v>#REF!</v>
      </c>
      <c r="BK228" s="121" t="e">
        <f>SUMIFS(#REF!,#REF!,Extrato!$B228,#REF!,Extrato!BK$3,#REF!,"Bolsa")</f>
        <v>#REF!</v>
      </c>
      <c r="BL228" s="121" t="e">
        <f>SUMIFS(#REF!,#REF!,Extrato!$B228,#REF!,Extrato!BL$3,#REF!,"Bolsa")</f>
        <v>#REF!</v>
      </c>
      <c r="BM228" s="121" t="e">
        <f>SUMIFS(#REF!,#REF!,Extrato!$B228,#REF!,Extrato!BM$3,#REF!,"Bolsa")</f>
        <v>#REF!</v>
      </c>
      <c r="BN228" s="121">
        <v>0</v>
      </c>
      <c r="BO228" s="121">
        <v>0</v>
      </c>
      <c r="BP228" s="25" t="e">
        <f t="shared" si="12"/>
        <v>#REF!</v>
      </c>
    </row>
    <row r="229" spans="2:68" ht="15" customHeight="1">
      <c r="B229" s="12">
        <v>46219</v>
      </c>
      <c r="C229" s="121" t="e">
        <f t="shared" si="10"/>
        <v>#REF!</v>
      </c>
      <c r="D229" s="121" t="e">
        <f>SUMIFS(#REF!,#REF!,Extrato!$B229,#REF!,Extrato!D$3)</f>
        <v>#REF!</v>
      </c>
      <c r="E229" s="121" t="e">
        <f>SUMIFS(#REF!,#REF!,Extrato!$B229,#REF!,Extrato!E$3,#REF!,"Fulltbet")</f>
        <v>#REF!</v>
      </c>
      <c r="F229" s="121" t="e">
        <f>SUMIFS(#REF!,#REF!,Extrato!$B229,#REF!,Extrato!F$3)</f>
        <v>#REF!</v>
      </c>
      <c r="G229" s="121" t="e">
        <f>SUMIFS(#REF!,#REF!,Extrato!$B229,#REF!,Extrato!G$3,#REF!,"Fulltbet")</f>
        <v>#REF!</v>
      </c>
      <c r="H229" s="121" t="e">
        <f>SUMIFS(#REF!,#REF!,Extrato!$B229,#REF!,Extrato!H$3,#REF!,"Fulltbet")</f>
        <v>#REF!</v>
      </c>
      <c r="I229" s="121" t="e">
        <f>SUMIFS(#REF!,#REF!,Extrato!$B229,#REF!,Extrato!I$3,#REF!,"Fulltbet")</f>
        <v>#REF!</v>
      </c>
      <c r="J229" s="121" t="e">
        <f>SUMIFS(#REF!,#REF!,Extrato!$B229,#REF!,Extrato!J$3,#REF!,"Fulltbet")</f>
        <v>#REF!</v>
      </c>
      <c r="K229" s="121" t="e">
        <f>SUMIFS(#REF!,#REF!,Extrato!$B229,#REF!,Extrato!K$3,#REF!,"Fulltbet")</f>
        <v>#REF!</v>
      </c>
      <c r="L229" s="121" t="e">
        <f>SUMIFS(#REF!,#REF!,Extrato!$B229,#REF!,Extrato!L$3)</f>
        <v>#REF!</v>
      </c>
      <c r="M229" s="121" t="e">
        <f>SUMIFS(#REF!,#REF!,Extrato!$B229,#REF!,Extrato!M$3)</f>
        <v>#REF!</v>
      </c>
      <c r="N229" s="121" t="e">
        <f>SUMIFS(#REF!,#REF!,Extrato!$B229,#REF!,Extrato!N$3,#REF!,"Fulltbet")</f>
        <v>#REF!</v>
      </c>
      <c r="O229" s="121" t="e">
        <f>SUMIFS(#REF!,#REF!,Extrato!$B229,#REF!,Extrato!O$3,#REF!,"Fulltbet")</f>
        <v>#REF!</v>
      </c>
      <c r="P229" s="121">
        <f>SUMIF(BetFlow!B:B,B229,BetFlow!J:J)</f>
        <v>0</v>
      </c>
      <c r="Q229" s="121" t="e">
        <f>SUMIFS(#REF!,#REF!,Extrato!$B229,#REF!,Extrato!Q$3)</f>
        <v>#REF!</v>
      </c>
      <c r="R229" s="121" t="e">
        <f>SUMIFS(#REF!,#REF!,Extrato!$B229,#REF!,Extrato!R$3,#REF!,"Fulltbet")</f>
        <v>#REF!</v>
      </c>
      <c r="S229" s="121" t="e">
        <f>SUMIFS(#REF!,#REF!,Extrato!$B229,#REF!,Extrato!S$3,#REF!,"Fulltbet")</f>
        <v>#REF!</v>
      </c>
      <c r="T229" s="121" t="e">
        <f>SUMIFS(#REF!,#REF!,Extrato!$B229,#REF!,Extrato!T$3,#REF!,"Fulltbet")</f>
        <v>#REF!</v>
      </c>
      <c r="U229" s="121" t="e">
        <f>SUMIFS(#REF!,#REF!,Extrato!$B229,#REF!,Extrato!U$3)</f>
        <v>#REF!</v>
      </c>
      <c r="V229" s="121" t="e">
        <f>SUMIFS(#REF!,#REF!,Extrato!$B229,#REF!,Extrato!V$3)</f>
        <v>#REF!</v>
      </c>
      <c r="W229" s="121" t="e">
        <f>SUMIFS(#REF!,#REF!,Extrato!$B229,#REF!,Extrato!W$3,#REF!,"Fulltbet")</f>
        <v>#REF!</v>
      </c>
      <c r="X229" s="121" t="e">
        <f>SUMIFS(#REF!,#REF!,Extrato!$B229,#REF!,Extrato!X$3)</f>
        <v>#REF!</v>
      </c>
      <c r="Y229" s="121" t="e">
        <f>SUMIFS(#REF!,#REF!,Extrato!$B229,#REF!,Extrato!Y$3)</f>
        <v>#REF!</v>
      </c>
      <c r="Z229" s="121" t="e">
        <f>SUMIFS(#REF!,#REF!,Extrato!$B229,#REF!,Extrato!Z$3)</f>
        <v>#REF!</v>
      </c>
      <c r="AA229" s="121" t="e">
        <f>SUMIFS(#REF!,#REF!,Extrato!$B229,#REF!,Extrato!AA$3)</f>
        <v>#REF!</v>
      </c>
      <c r="AB229" s="121" t="e">
        <f>SUMIFS(#REF!,#REF!,Extrato!$B229,#REF!,Extrato!AB$3)</f>
        <v>#REF!</v>
      </c>
      <c r="AC229" s="121" t="e">
        <f>SUMIFS(#REF!,#REF!,Extrato!$B229,#REF!,Extrato!AC$3)</f>
        <v>#REF!</v>
      </c>
      <c r="AD229" s="121" t="e">
        <f>SUMIFS(#REF!,#REF!,Extrato!$B229,#REF!,Extrato!AD$3)</f>
        <v>#REF!</v>
      </c>
      <c r="AE229" s="121" t="e">
        <f>SUMIFS(#REF!,#REF!,Extrato!$B229,#REF!,Extrato!AE$3)</f>
        <v>#REF!</v>
      </c>
      <c r="AF229" s="121" t="e">
        <f>SUMIFS(#REF!,#REF!,Extrato!$B229,#REF!,Extrato!AF$3)</f>
        <v>#REF!</v>
      </c>
      <c r="AG229" s="121" t="e">
        <f>SUMIFS(#REF!,#REF!,Extrato!$B229,#REF!,Extrato!AG$3)</f>
        <v>#REF!</v>
      </c>
      <c r="AH229" s="121" t="e">
        <f>SUMIFS(#REF!,#REF!,Extrato!$B229,#REF!,Extrato!AH$3)</f>
        <v>#REF!</v>
      </c>
      <c r="AI229" s="121" t="e">
        <f>SUMIFS(#REF!,#REF!,Extrato!$B229,#REF!,Extrato!AI$3)</f>
        <v>#REF!</v>
      </c>
      <c r="AJ229" s="121">
        <v>0</v>
      </c>
      <c r="AK229" s="121">
        <v>0</v>
      </c>
      <c r="AL229" s="25" t="e">
        <f t="shared" si="11"/>
        <v>#REF!</v>
      </c>
      <c r="AM229" s="122"/>
      <c r="AN229" s="121" t="e">
        <f t="shared" si="15"/>
        <v>#REF!</v>
      </c>
      <c r="AO229" s="121">
        <f>SUMIF(BetFlow!B:B,Extrato!B229,BetFlow!M:M)</f>
        <v>0</v>
      </c>
      <c r="AP229" s="121" t="e">
        <f>SUMIFS(#REF!,#REF!,Extrato!$B229,#REF!,Extrato!AP$3,#REF!,"Betbra")</f>
        <v>#REF!</v>
      </c>
      <c r="AQ229" s="121" t="e">
        <f>SUMIFS(#REF!,#REF!,Extrato!$B229,#REF!,Extrato!AQ$3,#REF!,"Betbra")</f>
        <v>#REF!</v>
      </c>
      <c r="AR229" s="121" t="e">
        <f>SUMIFS(#REF!,#REF!,Extrato!$B229,#REF!,Extrato!AR$3,#REF!,"Betbra")</f>
        <v>#REF!</v>
      </c>
      <c r="AS229" s="121" t="e">
        <f>SUMIFS(#REF!,#REF!,Extrato!$B229,#REF!,Extrato!AS$3,#REF!,"Betbra")</f>
        <v>#REF!</v>
      </c>
      <c r="AT229" s="121" t="e">
        <f>SUMIFS(#REF!,#REF!,Extrato!$B229,#REF!,Extrato!AT$3,#REF!,"Betbra")</f>
        <v>#REF!</v>
      </c>
      <c r="AU229" s="121" t="e">
        <f>SUMIFS(#REF!,#REF!,Extrato!$B229,#REF!,Extrato!AU$3,#REF!,"Betbra")</f>
        <v>#REF!</v>
      </c>
      <c r="AV229" s="121" t="e">
        <f>SUMIFS(#REF!,#REF!,Extrato!$B229,#REF!,Extrato!AV$3,#REF!,"Betbra")</f>
        <v>#REF!</v>
      </c>
      <c r="AW229" s="121" t="e">
        <f>SUMIFS(#REF!,#REF!,Extrato!$B229,#REF!,Extrato!AW$3,#REF!,"Betbra")</f>
        <v>#REF!</v>
      </c>
      <c r="AX229" s="121" t="e">
        <f>SUMIFS(#REF!,#REF!,Extrato!$B229,#REF!,Extrato!AX$3,#REF!,"Betbra")</f>
        <v>#REF!</v>
      </c>
      <c r="AY229" s="121" t="e">
        <f>SUMIFS(#REF!,#REF!,Extrato!$B229,#REF!,Extrato!AY$3,#REF!,"Betbra")</f>
        <v>#REF!</v>
      </c>
      <c r="AZ229" s="121" t="e">
        <f>SUMIFS(#REF!,#REF!,Extrato!$B229,#REF!,Extrato!AZ$3,#REF!,"Betbra")</f>
        <v>#REF!</v>
      </c>
      <c r="BA229" s="121" t="e">
        <f>SUMIFS(#REF!,#REF!,Extrato!$B229,#REF!,Extrato!BA$3,#REF!,"Betbra")</f>
        <v>#REF!</v>
      </c>
      <c r="BB229" s="121" t="e">
        <f>SUMIFS(#REF!,#REF!,Extrato!$B229,#REF!,Extrato!BB$3,#REF!,"Betbra")</f>
        <v>#REF!</v>
      </c>
      <c r="BC229" s="121">
        <v>0</v>
      </c>
      <c r="BD229" s="121">
        <v>-0.01</v>
      </c>
      <c r="BE229" s="25" t="e">
        <f t="shared" si="14"/>
        <v>#REF!</v>
      </c>
      <c r="BF229" s="122"/>
      <c r="BG229" s="121" t="e">
        <f t="shared" si="13"/>
        <v>#REF!</v>
      </c>
      <c r="BH229" s="121" t="e">
        <f>SUMIFS(#REF!,#REF!,Extrato!$B229,#REF!,Extrato!BH$3,#REF!,"Bolsa")</f>
        <v>#REF!</v>
      </c>
      <c r="BI229" s="121" t="e">
        <f>SUMIFS(#REF!,#REF!,Extrato!$B229,#REF!,Extrato!BI$3,#REF!,"Bolsa")</f>
        <v>#REF!</v>
      </c>
      <c r="BJ229" s="121" t="e">
        <f>SUMIFS(#REF!,#REF!,Extrato!$B229,#REF!,Extrato!BJ$3,#REF!,"Bolsa")</f>
        <v>#REF!</v>
      </c>
      <c r="BK229" s="121" t="e">
        <f>SUMIFS(#REF!,#REF!,Extrato!$B229,#REF!,Extrato!BK$3,#REF!,"Bolsa")</f>
        <v>#REF!</v>
      </c>
      <c r="BL229" s="121" t="e">
        <f>SUMIFS(#REF!,#REF!,Extrato!$B229,#REF!,Extrato!BL$3,#REF!,"Bolsa")</f>
        <v>#REF!</v>
      </c>
      <c r="BM229" s="121" t="e">
        <f>SUMIFS(#REF!,#REF!,Extrato!$B229,#REF!,Extrato!BM$3,#REF!,"Bolsa")</f>
        <v>#REF!</v>
      </c>
      <c r="BN229" s="121">
        <v>0</v>
      </c>
      <c r="BO229" s="121">
        <v>0</v>
      </c>
      <c r="BP229" s="25" t="e">
        <f t="shared" si="12"/>
        <v>#REF!</v>
      </c>
    </row>
    <row r="230" spans="2:68" ht="15" customHeight="1">
      <c r="B230" s="12">
        <v>46220</v>
      </c>
      <c r="C230" s="121" t="e">
        <f t="shared" si="10"/>
        <v>#REF!</v>
      </c>
      <c r="D230" s="121" t="e">
        <f>SUMIFS(#REF!,#REF!,Extrato!$B230,#REF!,Extrato!D$3)</f>
        <v>#REF!</v>
      </c>
      <c r="E230" s="121" t="e">
        <f>SUMIFS(#REF!,#REF!,Extrato!$B230,#REF!,Extrato!E$3,#REF!,"Fulltbet")</f>
        <v>#REF!</v>
      </c>
      <c r="F230" s="121" t="e">
        <f>SUMIFS(#REF!,#REF!,Extrato!$B230,#REF!,Extrato!F$3)</f>
        <v>#REF!</v>
      </c>
      <c r="G230" s="121" t="e">
        <f>SUMIFS(#REF!,#REF!,Extrato!$B230,#REF!,Extrato!G$3,#REF!,"Fulltbet")</f>
        <v>#REF!</v>
      </c>
      <c r="H230" s="121" t="e">
        <f>SUMIFS(#REF!,#REF!,Extrato!$B230,#REF!,Extrato!H$3,#REF!,"Fulltbet")</f>
        <v>#REF!</v>
      </c>
      <c r="I230" s="121" t="e">
        <f>SUMIFS(#REF!,#REF!,Extrato!$B230,#REF!,Extrato!I$3,#REF!,"Fulltbet")</f>
        <v>#REF!</v>
      </c>
      <c r="J230" s="121" t="e">
        <f>SUMIFS(#REF!,#REF!,Extrato!$B230,#REF!,Extrato!J$3,#REF!,"Fulltbet")</f>
        <v>#REF!</v>
      </c>
      <c r="K230" s="121" t="e">
        <f>SUMIFS(#REF!,#REF!,Extrato!$B230,#REF!,Extrato!K$3,#REF!,"Fulltbet")</f>
        <v>#REF!</v>
      </c>
      <c r="L230" s="121" t="e">
        <f>SUMIFS(#REF!,#REF!,Extrato!$B230,#REF!,Extrato!L$3,#REF!,"Fulltbet")</f>
        <v>#REF!</v>
      </c>
      <c r="M230" s="121" t="e">
        <f>SUMIFS(#REF!,#REF!,Extrato!$B230,#REF!,Extrato!M$3,#REF!,"Fulltbet")</f>
        <v>#REF!</v>
      </c>
      <c r="N230" s="121" t="e">
        <f>SUMIFS(#REF!,#REF!,Extrato!$B230,#REF!,Extrato!N$3,#REF!,"Fulltbet")</f>
        <v>#REF!</v>
      </c>
      <c r="O230" s="121" t="e">
        <f>SUMIFS(#REF!,#REF!,Extrato!$B230,#REF!,Extrato!O$3,#REF!,"Fulltbet")</f>
        <v>#REF!</v>
      </c>
      <c r="P230" s="121">
        <f>SUMIF(BetFlow!B:B,B230,BetFlow!J:J)</f>
        <v>0</v>
      </c>
      <c r="Q230" s="121" t="e">
        <f>SUMIFS(#REF!,#REF!,Extrato!$B230,#REF!,Extrato!Q$3)</f>
        <v>#REF!</v>
      </c>
      <c r="R230" s="121" t="e">
        <f>SUMIFS(#REF!,#REF!,Extrato!$B230,#REF!,Extrato!R$3,#REF!,"Fulltbet")</f>
        <v>#REF!</v>
      </c>
      <c r="S230" s="121" t="e">
        <f>SUMIFS(#REF!,#REF!,Extrato!$B230,#REF!,Extrato!S$3,#REF!,"Fulltbet")</f>
        <v>#REF!</v>
      </c>
      <c r="T230" s="121" t="e">
        <f>SUMIFS(#REF!,#REF!,Extrato!$B230,#REF!,Extrato!T$3,#REF!,"Fulltbet")</f>
        <v>#REF!</v>
      </c>
      <c r="U230" s="121" t="e">
        <f>SUMIFS(#REF!,#REF!,Extrato!$B230,#REF!,Extrato!U$3)</f>
        <v>#REF!</v>
      </c>
      <c r="V230" s="121" t="e">
        <f>SUMIFS(#REF!,#REF!,Extrato!$B230,#REF!,Extrato!V$3)</f>
        <v>#REF!</v>
      </c>
      <c r="W230" s="121" t="e">
        <f>SUMIFS(#REF!,#REF!,Extrato!$B230,#REF!,Extrato!W$3,#REF!,"Fulltbet")</f>
        <v>#REF!</v>
      </c>
      <c r="X230" s="121" t="e">
        <f>SUMIFS(#REF!,#REF!,Extrato!$B230,#REF!,Extrato!X$3)</f>
        <v>#REF!</v>
      </c>
      <c r="Y230" s="121" t="e">
        <f>SUMIFS(#REF!,#REF!,Extrato!$B230,#REF!,Extrato!Y$3)</f>
        <v>#REF!</v>
      </c>
      <c r="Z230" s="121" t="e">
        <f>SUMIFS(#REF!,#REF!,Extrato!$B230,#REF!,Extrato!Z$3)</f>
        <v>#REF!</v>
      </c>
      <c r="AA230" s="121" t="e">
        <f>SUMIFS(#REF!,#REF!,Extrato!$B230,#REF!,Extrato!AA$3)</f>
        <v>#REF!</v>
      </c>
      <c r="AB230" s="121" t="e">
        <f>SUMIFS(#REF!,#REF!,Extrato!$B230,#REF!,Extrato!AB$3)</f>
        <v>#REF!</v>
      </c>
      <c r="AC230" s="121" t="e">
        <f>SUMIFS(#REF!,#REF!,Extrato!$B230,#REF!,Extrato!AC$3)</f>
        <v>#REF!</v>
      </c>
      <c r="AD230" s="121" t="e">
        <f>SUMIFS(#REF!,#REF!,Extrato!$B230,#REF!,Extrato!AD$3)</f>
        <v>#REF!</v>
      </c>
      <c r="AE230" s="121" t="e">
        <f>SUMIFS(#REF!,#REF!,Extrato!$B230,#REF!,Extrato!AE$3)</f>
        <v>#REF!</v>
      </c>
      <c r="AF230" s="121" t="e">
        <f>SUMIFS(#REF!,#REF!,Extrato!$B230,#REF!,Extrato!AF$3)</f>
        <v>#REF!</v>
      </c>
      <c r="AG230" s="121" t="e">
        <f>SUMIFS(#REF!,#REF!,Extrato!$B230,#REF!,Extrato!AG$3)</f>
        <v>#REF!</v>
      </c>
      <c r="AH230" s="121" t="e">
        <f>SUMIFS(#REF!,#REF!,Extrato!$B230,#REF!,Extrato!AH$3)</f>
        <v>#REF!</v>
      </c>
      <c r="AI230" s="121" t="e">
        <f>SUMIFS(#REF!,#REF!,Extrato!$B230,#REF!,Extrato!AI$3)</f>
        <v>#REF!</v>
      </c>
      <c r="AJ230" s="121">
        <v>0</v>
      </c>
      <c r="AK230" s="121">
        <v>0</v>
      </c>
      <c r="AL230" s="25" t="e">
        <f t="shared" si="11"/>
        <v>#REF!</v>
      </c>
      <c r="AM230" s="122"/>
      <c r="AN230" s="121" t="e">
        <f t="shared" si="15"/>
        <v>#REF!</v>
      </c>
      <c r="AO230" s="121">
        <f>SUMIF(BetFlow!B:B,Extrato!B230,BetFlow!M:M)</f>
        <v>0</v>
      </c>
      <c r="AP230" s="121" t="e">
        <f>SUMIFS(#REF!,#REF!,Extrato!$B230,#REF!,Extrato!AP$3,#REF!,"Betbra")</f>
        <v>#REF!</v>
      </c>
      <c r="AQ230" s="121" t="e">
        <f>SUMIFS(#REF!,#REF!,Extrato!$B230,#REF!,Extrato!AQ$3,#REF!,"Betbra")</f>
        <v>#REF!</v>
      </c>
      <c r="AR230" s="121" t="e">
        <f>SUMIFS(#REF!,#REF!,Extrato!$B230,#REF!,Extrato!AR$3,#REF!,"Betbra")</f>
        <v>#REF!</v>
      </c>
      <c r="AS230" s="121" t="e">
        <f>SUMIFS(#REF!,#REF!,Extrato!$B230,#REF!,Extrato!AS$3,#REF!,"Betbra")</f>
        <v>#REF!</v>
      </c>
      <c r="AT230" s="121" t="e">
        <f>SUMIFS(#REF!,#REF!,Extrato!$B230,#REF!,Extrato!AT$3,#REF!,"Betbra")</f>
        <v>#REF!</v>
      </c>
      <c r="AU230" s="121" t="e">
        <f>SUMIFS(#REF!,#REF!,Extrato!$B230,#REF!,Extrato!AU$3,#REF!,"Betbra")</f>
        <v>#REF!</v>
      </c>
      <c r="AV230" s="121" t="e">
        <f>SUMIFS(#REF!,#REF!,Extrato!$B230,#REF!,Extrato!AV$3,#REF!,"Betbra")</f>
        <v>#REF!</v>
      </c>
      <c r="AW230" s="121" t="e">
        <f>SUMIFS(#REF!,#REF!,Extrato!$B230,#REF!,Extrato!AW$3,#REF!,"Betbra")</f>
        <v>#REF!</v>
      </c>
      <c r="AX230" s="121" t="e">
        <f>SUMIFS(#REF!,#REF!,Extrato!$B230,#REF!,Extrato!AX$3,#REF!,"Betbra")</f>
        <v>#REF!</v>
      </c>
      <c r="AY230" s="121" t="e">
        <f>SUMIFS(#REF!,#REF!,Extrato!$B230,#REF!,Extrato!AY$3,#REF!,"Betbra")</f>
        <v>#REF!</v>
      </c>
      <c r="AZ230" s="121" t="e">
        <f>SUMIFS(#REF!,#REF!,Extrato!$B230,#REF!,Extrato!AZ$3,#REF!,"Betbra")</f>
        <v>#REF!</v>
      </c>
      <c r="BA230" s="121" t="e">
        <f>SUMIFS(#REF!,#REF!,Extrato!$B230,#REF!,Extrato!BA$3,#REF!,"Betbra")</f>
        <v>#REF!</v>
      </c>
      <c r="BB230" s="121" t="e">
        <f>SUMIFS(#REF!,#REF!,Extrato!$B230,#REF!,Extrato!BB$3,#REF!,"Betbra")</f>
        <v>#REF!</v>
      </c>
      <c r="BC230" s="121">
        <v>0</v>
      </c>
      <c r="BD230" s="121">
        <v>0</v>
      </c>
      <c r="BE230" s="25" t="e">
        <f t="shared" si="14"/>
        <v>#REF!</v>
      </c>
      <c r="BF230" s="122"/>
      <c r="BG230" s="121" t="e">
        <f t="shared" si="13"/>
        <v>#REF!</v>
      </c>
      <c r="BH230" s="121" t="e">
        <f>SUMIFS(#REF!,#REF!,Extrato!$B230,#REF!,Extrato!BH$3,#REF!,"Bolsa")</f>
        <v>#REF!</v>
      </c>
      <c r="BI230" s="121" t="e">
        <f>SUMIFS(#REF!,#REF!,Extrato!$B230,#REF!,Extrato!BI$3,#REF!,"Bolsa")</f>
        <v>#REF!</v>
      </c>
      <c r="BJ230" s="121" t="e">
        <f>SUMIFS(#REF!,#REF!,Extrato!$B230,#REF!,Extrato!BJ$3,#REF!,"Bolsa")</f>
        <v>#REF!</v>
      </c>
      <c r="BK230" s="121" t="e">
        <f>SUMIFS(#REF!,#REF!,Extrato!$B230,#REF!,Extrato!BK$3,#REF!,"Bolsa")</f>
        <v>#REF!</v>
      </c>
      <c r="BL230" s="121" t="e">
        <f>SUMIFS(#REF!,#REF!,Extrato!$B230,#REF!,Extrato!BL$3,#REF!,"Bolsa")</f>
        <v>#REF!</v>
      </c>
      <c r="BM230" s="121" t="e">
        <f>SUMIFS(#REF!,#REF!,Extrato!$B230,#REF!,Extrato!BM$3,#REF!,"Bolsa")</f>
        <v>#REF!</v>
      </c>
      <c r="BN230" s="121">
        <v>0</v>
      </c>
      <c r="BO230" s="121">
        <v>0</v>
      </c>
      <c r="BP230" s="25" t="e">
        <f t="shared" si="12"/>
        <v>#REF!</v>
      </c>
    </row>
    <row r="231" spans="2:68" ht="15" customHeight="1">
      <c r="B231" s="12">
        <v>46221</v>
      </c>
      <c r="C231" s="121" t="e">
        <f t="shared" si="10"/>
        <v>#REF!</v>
      </c>
      <c r="D231" s="121" t="e">
        <f>SUMIFS(#REF!,#REF!,Extrato!$B231,#REF!,Extrato!D$3)</f>
        <v>#REF!</v>
      </c>
      <c r="E231" s="121" t="e">
        <f>SUMIFS(#REF!,#REF!,Extrato!$B231,#REF!,Extrato!E$3,#REF!,"Fulltbet")</f>
        <v>#REF!</v>
      </c>
      <c r="F231" s="121" t="e">
        <f>SUMIFS(#REF!,#REF!,Extrato!$B231,#REF!,Extrato!F$3)</f>
        <v>#REF!</v>
      </c>
      <c r="G231" s="121" t="e">
        <f>SUMIFS(#REF!,#REF!,Extrato!$B231,#REF!,Extrato!G$3,#REF!,"Fulltbet")</f>
        <v>#REF!</v>
      </c>
      <c r="H231" s="121" t="e">
        <f>SUMIFS(#REF!,#REF!,Extrato!$B231,#REF!,Extrato!H$3,#REF!,"Fulltbet")</f>
        <v>#REF!</v>
      </c>
      <c r="I231" s="121" t="e">
        <f>SUMIFS(#REF!,#REF!,Extrato!$B231,#REF!,Extrato!I$3,#REF!,"Fulltbet")</f>
        <v>#REF!</v>
      </c>
      <c r="J231" s="121" t="e">
        <f>SUMIFS(#REF!,#REF!,Extrato!$B231,#REF!,Extrato!J$3,#REF!,"Fulltbet")</f>
        <v>#REF!</v>
      </c>
      <c r="K231" s="121" t="e">
        <f>SUMIFS(#REF!,#REF!,Extrato!$B231,#REF!,Extrato!K$3,#REF!,"Fulltbet")</f>
        <v>#REF!</v>
      </c>
      <c r="L231" s="121" t="e">
        <f>SUMIFS(#REF!,#REF!,Extrato!$B231,#REF!,Extrato!L$3,#REF!,"Fulltbet")</f>
        <v>#REF!</v>
      </c>
      <c r="M231" s="121" t="e">
        <f>SUMIFS(#REF!,#REF!,Extrato!$B231,#REF!,Extrato!M$3,#REF!,"Fulltbet")</f>
        <v>#REF!</v>
      </c>
      <c r="N231" s="121" t="e">
        <f>SUMIFS(#REF!,#REF!,Extrato!$B231,#REF!,Extrato!N$3,#REF!,"Fulltbet")</f>
        <v>#REF!</v>
      </c>
      <c r="O231" s="121" t="e">
        <f>SUMIFS(#REF!,#REF!,Extrato!$B231,#REF!,Extrato!O$3,#REF!,"Fulltbet")</f>
        <v>#REF!</v>
      </c>
      <c r="P231" s="121">
        <f>SUMIF(BetFlow!B:B,B231,BetFlow!J:J)</f>
        <v>0</v>
      </c>
      <c r="Q231" s="121" t="e">
        <f>SUMIFS(#REF!,#REF!,Extrato!$B231,#REF!,Extrato!Q$3)</f>
        <v>#REF!</v>
      </c>
      <c r="R231" s="121" t="e">
        <f>SUMIFS(#REF!,#REF!,Extrato!$B231,#REF!,Extrato!R$3,#REF!,"Fulltbet")</f>
        <v>#REF!</v>
      </c>
      <c r="S231" s="121" t="e">
        <f>SUMIFS(#REF!,#REF!,Extrato!$B231,#REF!,Extrato!S$3,#REF!,"Fulltbet")</f>
        <v>#REF!</v>
      </c>
      <c r="T231" s="121" t="e">
        <f>SUMIFS(#REF!,#REF!,Extrato!$B231,#REF!,Extrato!T$3,#REF!,"Fulltbet")</f>
        <v>#REF!</v>
      </c>
      <c r="U231" s="121" t="e">
        <f>SUMIFS(#REF!,#REF!,Extrato!$B231,#REF!,Extrato!U$3)</f>
        <v>#REF!</v>
      </c>
      <c r="V231" s="121" t="e">
        <f>SUMIFS(#REF!,#REF!,Extrato!$B231,#REF!,Extrato!V$3)</f>
        <v>#REF!</v>
      </c>
      <c r="W231" s="121" t="e">
        <f>SUMIFS(#REF!,#REF!,Extrato!$B231,#REF!,Extrato!W$3,#REF!,"Fulltbet")</f>
        <v>#REF!</v>
      </c>
      <c r="X231" s="121" t="e">
        <f>SUMIFS(#REF!,#REF!,Extrato!$B231,#REF!,Extrato!X$3)</f>
        <v>#REF!</v>
      </c>
      <c r="Y231" s="121" t="e">
        <f>SUMIFS(#REF!,#REF!,Extrato!$B231,#REF!,Extrato!Y$3)</f>
        <v>#REF!</v>
      </c>
      <c r="Z231" s="121" t="e">
        <f>SUMIFS(#REF!,#REF!,Extrato!$B231,#REF!,Extrato!Z$3)</f>
        <v>#REF!</v>
      </c>
      <c r="AA231" s="121" t="e">
        <f>SUMIFS(#REF!,#REF!,Extrato!$B231,#REF!,Extrato!AA$3)</f>
        <v>#REF!</v>
      </c>
      <c r="AB231" s="121" t="e">
        <f>SUMIFS(#REF!,#REF!,Extrato!$B231,#REF!,Extrato!AB$3)</f>
        <v>#REF!</v>
      </c>
      <c r="AC231" s="121" t="e">
        <f>SUMIFS(#REF!,#REF!,Extrato!$B231,#REF!,Extrato!AC$3)</f>
        <v>#REF!</v>
      </c>
      <c r="AD231" s="121" t="e">
        <f>SUMIFS(#REF!,#REF!,Extrato!$B231,#REF!,Extrato!AD$3)</f>
        <v>#REF!</v>
      </c>
      <c r="AE231" s="121" t="e">
        <f>SUMIFS(#REF!,#REF!,Extrato!$B231,#REF!,Extrato!AE$3)</f>
        <v>#REF!</v>
      </c>
      <c r="AF231" s="121" t="e">
        <f>SUMIFS(#REF!,#REF!,Extrato!$B231,#REF!,Extrato!AF$3)</f>
        <v>#REF!</v>
      </c>
      <c r="AG231" s="121" t="e">
        <f>SUMIFS(#REF!,#REF!,Extrato!$B231,#REF!,Extrato!AG$3)</f>
        <v>#REF!</v>
      </c>
      <c r="AH231" s="121" t="e">
        <f>SUMIFS(#REF!,#REF!,Extrato!$B231,#REF!,Extrato!AH$3)</f>
        <v>#REF!</v>
      </c>
      <c r="AI231" s="121" t="e">
        <f>SUMIFS(#REF!,#REF!,Extrato!$B231,#REF!,Extrato!AI$3)</f>
        <v>#REF!</v>
      </c>
      <c r="AJ231" s="121">
        <v>0</v>
      </c>
      <c r="AK231" s="121">
        <v>0.01</v>
      </c>
      <c r="AL231" s="25" t="e">
        <f t="shared" si="11"/>
        <v>#REF!</v>
      </c>
      <c r="AM231" s="122"/>
      <c r="AN231" s="121" t="e">
        <f t="shared" si="15"/>
        <v>#REF!</v>
      </c>
      <c r="AO231" s="121">
        <f>SUMIF(BetFlow!B:B,Extrato!B231,BetFlow!M:M)</f>
        <v>0</v>
      </c>
      <c r="AP231" s="121" t="e">
        <f>SUMIFS(#REF!,#REF!,Extrato!$B231,#REF!,Extrato!AP$3,#REF!,"Betbra")</f>
        <v>#REF!</v>
      </c>
      <c r="AQ231" s="121" t="e">
        <f>SUMIFS(#REF!,#REF!,Extrato!$B231,#REF!,Extrato!AQ$3,#REF!,"Betbra")</f>
        <v>#REF!</v>
      </c>
      <c r="AR231" s="121" t="e">
        <f>SUMIFS(#REF!,#REF!,Extrato!$B231,#REF!,Extrato!AR$3,#REF!,"Betbra")</f>
        <v>#REF!</v>
      </c>
      <c r="AS231" s="121" t="e">
        <f>SUMIFS(#REF!,#REF!,Extrato!$B231,#REF!,Extrato!AS$3,#REF!,"Betbra")</f>
        <v>#REF!</v>
      </c>
      <c r="AT231" s="121" t="e">
        <f>SUMIFS(#REF!,#REF!,Extrato!$B231,#REF!,Extrato!AT$3,#REF!,"Betbra")</f>
        <v>#REF!</v>
      </c>
      <c r="AU231" s="121" t="e">
        <f>SUMIFS(#REF!,#REF!,Extrato!$B231,#REF!,Extrato!AU$3,#REF!,"Betbra")</f>
        <v>#REF!</v>
      </c>
      <c r="AV231" s="121" t="e">
        <f>SUMIFS(#REF!,#REF!,Extrato!$B231,#REF!,Extrato!AV$3,#REF!,"Betbra")</f>
        <v>#REF!</v>
      </c>
      <c r="AW231" s="121" t="e">
        <f>SUMIFS(#REF!,#REF!,Extrato!$B231,#REF!,Extrato!AW$3,#REF!,"Betbra")</f>
        <v>#REF!</v>
      </c>
      <c r="AX231" s="121" t="e">
        <f>SUMIFS(#REF!,#REF!,Extrato!$B231,#REF!,Extrato!AX$3,#REF!,"Betbra")</f>
        <v>#REF!</v>
      </c>
      <c r="AY231" s="121" t="e">
        <f>SUMIFS(#REF!,#REF!,Extrato!$B231,#REF!,Extrato!AY$3,#REF!,"Betbra")</f>
        <v>#REF!</v>
      </c>
      <c r="AZ231" s="121" t="e">
        <f>SUMIFS(#REF!,#REF!,Extrato!$B231,#REF!,Extrato!AZ$3,#REF!,"Betbra")</f>
        <v>#REF!</v>
      </c>
      <c r="BA231" s="121" t="e">
        <f>SUMIFS(#REF!,#REF!,Extrato!$B231,#REF!,Extrato!BA$3,#REF!,"Betbra")</f>
        <v>#REF!</v>
      </c>
      <c r="BB231" s="121" t="e">
        <f>SUMIFS(#REF!,#REF!,Extrato!$B231,#REF!,Extrato!BB$3,#REF!,"Betbra")</f>
        <v>#REF!</v>
      </c>
      <c r="BC231" s="121">
        <v>0</v>
      </c>
      <c r="BD231" s="121">
        <v>0</v>
      </c>
      <c r="BE231" s="25" t="e">
        <f t="shared" si="14"/>
        <v>#REF!</v>
      </c>
      <c r="BF231" s="122"/>
      <c r="BG231" s="121" t="e">
        <f t="shared" si="13"/>
        <v>#REF!</v>
      </c>
      <c r="BH231" s="121" t="e">
        <f>SUMIFS(#REF!,#REF!,Extrato!$B231,#REF!,Extrato!BH$3,#REF!,"Bolsa")</f>
        <v>#REF!</v>
      </c>
      <c r="BI231" s="121" t="e">
        <f>SUMIFS(#REF!,#REF!,Extrato!$B231,#REF!,Extrato!BI$3,#REF!,"Bolsa")</f>
        <v>#REF!</v>
      </c>
      <c r="BJ231" s="121" t="e">
        <f>SUMIFS(#REF!,#REF!,Extrato!$B231,#REF!,Extrato!BJ$3,#REF!,"Bolsa")</f>
        <v>#REF!</v>
      </c>
      <c r="BK231" s="121" t="e">
        <f>SUMIFS(#REF!,#REF!,Extrato!$B231,#REF!,Extrato!BK$3,#REF!,"Bolsa")</f>
        <v>#REF!</v>
      </c>
      <c r="BL231" s="121" t="e">
        <f>SUMIFS(#REF!,#REF!,Extrato!$B231,#REF!,Extrato!BL$3,#REF!,"Bolsa")</f>
        <v>#REF!</v>
      </c>
      <c r="BM231" s="121" t="e">
        <f>SUMIFS(#REF!,#REF!,Extrato!$B231,#REF!,Extrato!BM$3,#REF!,"Bolsa")</f>
        <v>#REF!</v>
      </c>
      <c r="BN231" s="121">
        <v>0</v>
      </c>
      <c r="BO231" s="121">
        <v>0</v>
      </c>
      <c r="BP231" s="25" t="e">
        <f t="shared" si="12"/>
        <v>#REF!</v>
      </c>
    </row>
    <row r="232" spans="2:68" ht="15" customHeight="1">
      <c r="B232" s="12">
        <v>46222</v>
      </c>
      <c r="C232" s="121" t="e">
        <f t="shared" si="10"/>
        <v>#REF!</v>
      </c>
      <c r="D232" s="121" t="e">
        <f>SUMIFS(#REF!,#REF!,Extrato!$B232,#REF!,Extrato!D$3)</f>
        <v>#REF!</v>
      </c>
      <c r="E232" s="121" t="e">
        <f>SUMIFS(#REF!,#REF!,Extrato!$B232,#REF!,Extrato!E$3,#REF!,"Fulltbet")</f>
        <v>#REF!</v>
      </c>
      <c r="F232" s="121" t="e">
        <f>SUMIFS(#REF!,#REF!,Extrato!$B232,#REF!,Extrato!F$3)</f>
        <v>#REF!</v>
      </c>
      <c r="G232" s="121" t="e">
        <f>SUMIFS(#REF!,#REF!,Extrato!$B232,#REF!,Extrato!G$3,#REF!,"Fulltbet")</f>
        <v>#REF!</v>
      </c>
      <c r="H232" s="121" t="e">
        <f>SUMIFS(#REF!,#REF!,Extrato!$B232,#REF!,Extrato!H$3,#REF!,"Fulltbet")</f>
        <v>#REF!</v>
      </c>
      <c r="I232" s="121" t="e">
        <f>SUMIFS(#REF!,#REF!,Extrato!$B232,#REF!,Extrato!I$3,#REF!,"Fulltbet")</f>
        <v>#REF!</v>
      </c>
      <c r="J232" s="121" t="e">
        <f>SUMIFS(#REF!,#REF!,Extrato!$B232,#REF!,Extrato!J$3,#REF!,"Fulltbet")</f>
        <v>#REF!</v>
      </c>
      <c r="K232" s="121" t="e">
        <f>SUMIFS(#REF!,#REF!,Extrato!$B232,#REF!,Extrato!K$3,#REF!,"Fulltbet")</f>
        <v>#REF!</v>
      </c>
      <c r="L232" s="121" t="e">
        <f>SUMIFS(#REF!,#REF!,Extrato!$B232,#REF!,Extrato!L$3,#REF!,"Fulltbet")</f>
        <v>#REF!</v>
      </c>
      <c r="M232" s="121" t="e">
        <f>SUMIFS(#REF!,#REF!,Extrato!$B232,#REF!,Extrato!M$3,#REF!,"Fulltbet")</f>
        <v>#REF!</v>
      </c>
      <c r="N232" s="121" t="e">
        <f>SUMIFS(#REF!,#REF!,Extrato!$B232,#REF!,Extrato!N$3,#REF!,"Fulltbet")</f>
        <v>#REF!</v>
      </c>
      <c r="O232" s="121" t="e">
        <f>SUMIFS(#REF!,#REF!,Extrato!$B232,#REF!,Extrato!O$3,#REF!,"Fulltbet")</f>
        <v>#REF!</v>
      </c>
      <c r="P232" s="121">
        <f>SUMIF(BetFlow!B:B,B232,BetFlow!J:J)</f>
        <v>0</v>
      </c>
      <c r="Q232" s="121" t="e">
        <f>SUMIFS(#REF!,#REF!,Extrato!$B232,#REF!,Extrato!Q$3)</f>
        <v>#REF!</v>
      </c>
      <c r="R232" s="121" t="e">
        <f>SUMIFS(#REF!,#REF!,Extrato!$B232,#REF!,Extrato!R$3,#REF!,"Fulltbet")</f>
        <v>#REF!</v>
      </c>
      <c r="S232" s="121" t="e">
        <f>SUMIFS(#REF!,#REF!,Extrato!$B232,#REF!,Extrato!S$3,#REF!,"Fulltbet")</f>
        <v>#REF!</v>
      </c>
      <c r="T232" s="121" t="e">
        <f>SUMIFS(#REF!,#REF!,Extrato!$B232,#REF!,Extrato!T$3,#REF!,"Fulltbet")</f>
        <v>#REF!</v>
      </c>
      <c r="U232" s="121" t="e">
        <f>SUMIFS(#REF!,#REF!,Extrato!$B232,#REF!,Extrato!U$3)</f>
        <v>#REF!</v>
      </c>
      <c r="V232" s="121" t="e">
        <f>SUMIFS(#REF!,#REF!,Extrato!$B232,#REF!,Extrato!V$3)</f>
        <v>#REF!</v>
      </c>
      <c r="W232" s="121" t="e">
        <f>SUMIFS(#REF!,#REF!,Extrato!$B232,#REF!,Extrato!W$3,#REF!,"Fulltbet")</f>
        <v>#REF!</v>
      </c>
      <c r="X232" s="121" t="e">
        <f>SUMIFS(#REF!,#REF!,Extrato!$B232,#REF!,Extrato!X$3)</f>
        <v>#REF!</v>
      </c>
      <c r="Y232" s="121" t="e">
        <f>SUMIFS(#REF!,#REF!,Extrato!$B232,#REF!,Extrato!Y$3)</f>
        <v>#REF!</v>
      </c>
      <c r="Z232" s="121" t="e">
        <f>SUMIFS(#REF!,#REF!,Extrato!$B232,#REF!,Extrato!Z$3)</f>
        <v>#REF!</v>
      </c>
      <c r="AA232" s="121" t="e">
        <f>SUMIFS(#REF!,#REF!,Extrato!$B232,#REF!,Extrato!AA$3)</f>
        <v>#REF!</v>
      </c>
      <c r="AB232" s="121" t="e">
        <f>SUMIFS(#REF!,#REF!,Extrato!$B232,#REF!,Extrato!AB$3)</f>
        <v>#REF!</v>
      </c>
      <c r="AC232" s="121" t="e">
        <f>SUMIFS(#REF!,#REF!,Extrato!$B232,#REF!,Extrato!AC$3)</f>
        <v>#REF!</v>
      </c>
      <c r="AD232" s="121" t="e">
        <f>SUMIFS(#REF!,#REF!,Extrato!$B232,#REF!,Extrato!AD$3)</f>
        <v>#REF!</v>
      </c>
      <c r="AE232" s="121" t="e">
        <f>SUMIFS(#REF!,#REF!,Extrato!$B232,#REF!,Extrato!AE$3)</f>
        <v>#REF!</v>
      </c>
      <c r="AF232" s="121" t="e">
        <f>SUMIFS(#REF!,#REF!,Extrato!$B232,#REF!,Extrato!AF$3)</f>
        <v>#REF!</v>
      </c>
      <c r="AG232" s="121" t="e">
        <f>SUMIFS(#REF!,#REF!,Extrato!$B232,#REF!,Extrato!AG$3)</f>
        <v>#REF!</v>
      </c>
      <c r="AH232" s="121" t="e">
        <f>SUMIFS(#REF!,#REF!,Extrato!$B232,#REF!,Extrato!AH$3)</f>
        <v>#REF!</v>
      </c>
      <c r="AI232" s="121" t="e">
        <f>SUMIFS(#REF!,#REF!,Extrato!$B232,#REF!,Extrato!AI$3)</f>
        <v>#REF!</v>
      </c>
      <c r="AJ232" s="121">
        <v>0</v>
      </c>
      <c r="AK232" s="121">
        <v>0</v>
      </c>
      <c r="AL232" s="25" t="e">
        <f t="shared" si="11"/>
        <v>#REF!</v>
      </c>
      <c r="AM232" s="122"/>
      <c r="AN232" s="121" t="e">
        <f t="shared" si="15"/>
        <v>#REF!</v>
      </c>
      <c r="AO232" s="121">
        <f>SUMIF(BetFlow!B:B,Extrato!B232,BetFlow!M:M)</f>
        <v>0</v>
      </c>
      <c r="AP232" s="121" t="e">
        <f>SUMIFS(#REF!,#REF!,Extrato!$B232,#REF!,Extrato!AP$3,#REF!,"Betbra")</f>
        <v>#REF!</v>
      </c>
      <c r="AQ232" s="121" t="e">
        <f>SUMIFS(#REF!,#REF!,Extrato!$B232,#REF!,Extrato!AQ$3,#REF!,"Betbra")</f>
        <v>#REF!</v>
      </c>
      <c r="AR232" s="121" t="e">
        <f>SUMIFS(#REF!,#REF!,Extrato!$B232,#REF!,Extrato!AR$3,#REF!,"Betbra")</f>
        <v>#REF!</v>
      </c>
      <c r="AS232" s="121" t="e">
        <f>SUMIFS(#REF!,#REF!,Extrato!$B232,#REF!,Extrato!AS$3,#REF!,"Betbra")</f>
        <v>#REF!</v>
      </c>
      <c r="AT232" s="121" t="e">
        <f>SUMIFS(#REF!,#REF!,Extrato!$B232,#REF!,Extrato!AT$3,#REF!,"Betbra")</f>
        <v>#REF!</v>
      </c>
      <c r="AU232" s="121" t="e">
        <f>SUMIFS(#REF!,#REF!,Extrato!$B232,#REF!,Extrato!AU$3,#REF!,"Betbra")</f>
        <v>#REF!</v>
      </c>
      <c r="AV232" s="121" t="e">
        <f>SUMIFS(#REF!,#REF!,Extrato!$B232,#REF!,Extrato!AV$3,#REF!,"Betbra")</f>
        <v>#REF!</v>
      </c>
      <c r="AW232" s="121" t="e">
        <f>SUMIFS(#REF!,#REF!,Extrato!$B232,#REF!,Extrato!AW$3,#REF!,"Betbra")</f>
        <v>#REF!</v>
      </c>
      <c r="AX232" s="121" t="e">
        <f>SUMIFS(#REF!,#REF!,Extrato!$B232,#REF!,Extrato!AX$3,#REF!,"Betbra")</f>
        <v>#REF!</v>
      </c>
      <c r="AY232" s="121" t="e">
        <f>SUMIFS(#REF!,#REF!,Extrato!$B232,#REF!,Extrato!AY$3,#REF!,"Betbra")</f>
        <v>#REF!</v>
      </c>
      <c r="AZ232" s="121" t="e">
        <f>SUMIFS(#REF!,#REF!,Extrato!$B232,#REF!,Extrato!AZ$3,#REF!,"Betbra")</f>
        <v>#REF!</v>
      </c>
      <c r="BA232" s="121" t="e">
        <f>SUMIFS(#REF!,#REF!,Extrato!$B232,#REF!,Extrato!BA$3,#REF!,"Betbra")</f>
        <v>#REF!</v>
      </c>
      <c r="BB232" s="121" t="e">
        <f>SUMIFS(#REF!,#REF!,Extrato!$B232,#REF!,Extrato!BB$3,#REF!,"Betbra")</f>
        <v>#REF!</v>
      </c>
      <c r="BC232" s="121">
        <v>0</v>
      </c>
      <c r="BD232" s="121">
        <v>0</v>
      </c>
      <c r="BE232" s="25" t="e">
        <f t="shared" si="14"/>
        <v>#REF!</v>
      </c>
      <c r="BF232" s="122"/>
      <c r="BG232" s="121" t="e">
        <f t="shared" si="13"/>
        <v>#REF!</v>
      </c>
      <c r="BH232" s="121" t="e">
        <f>SUMIFS(#REF!,#REF!,Extrato!$B232,#REF!,Extrato!BH$3,#REF!,"Bolsa")</f>
        <v>#REF!</v>
      </c>
      <c r="BI232" s="121" t="e">
        <f>SUMIFS(#REF!,#REF!,Extrato!$B232,#REF!,Extrato!BI$3,#REF!,"Bolsa")</f>
        <v>#REF!</v>
      </c>
      <c r="BJ232" s="121" t="e">
        <f>SUMIFS(#REF!,#REF!,Extrato!$B232,#REF!,Extrato!BJ$3,#REF!,"Bolsa")</f>
        <v>#REF!</v>
      </c>
      <c r="BK232" s="121" t="e">
        <f>SUMIFS(#REF!,#REF!,Extrato!$B232,#REF!,Extrato!BK$3,#REF!,"Bolsa")</f>
        <v>#REF!</v>
      </c>
      <c r="BL232" s="121" t="e">
        <f>SUMIFS(#REF!,#REF!,Extrato!$B232,#REF!,Extrato!BL$3,#REF!,"Bolsa")</f>
        <v>#REF!</v>
      </c>
      <c r="BM232" s="121" t="e">
        <f>SUMIFS(#REF!,#REF!,Extrato!$B232,#REF!,Extrato!BM$3,#REF!,"Bolsa")</f>
        <v>#REF!</v>
      </c>
      <c r="BN232" s="121">
        <v>0</v>
      </c>
      <c r="BO232" s="121">
        <v>0.01</v>
      </c>
      <c r="BP232" s="25" t="e">
        <f t="shared" si="12"/>
        <v>#REF!</v>
      </c>
    </row>
    <row r="233" spans="2:68" ht="15" customHeight="1">
      <c r="B233" s="12">
        <v>46223</v>
      </c>
      <c r="C233" s="121" t="e">
        <f t="shared" si="10"/>
        <v>#REF!</v>
      </c>
      <c r="D233" s="121" t="e">
        <f>SUMIFS(#REF!,#REF!,Extrato!$B233,#REF!,Extrato!D$3)</f>
        <v>#REF!</v>
      </c>
      <c r="E233" s="121" t="e">
        <f>SUMIFS(#REF!,#REF!,Extrato!$B233,#REF!,Extrato!E$3,#REF!,"Fulltbet")</f>
        <v>#REF!</v>
      </c>
      <c r="F233" s="121" t="e">
        <f>SUMIFS(#REF!,#REF!,Extrato!$B233,#REF!,Extrato!F$3)</f>
        <v>#REF!</v>
      </c>
      <c r="G233" s="121" t="e">
        <f>SUMIFS(#REF!,#REF!,Extrato!$B233,#REF!,Extrato!G$3,#REF!,"Fulltbet")</f>
        <v>#REF!</v>
      </c>
      <c r="H233" s="121" t="e">
        <f>SUMIFS(#REF!,#REF!,Extrato!$B233,#REF!,Extrato!H$3,#REF!,"Fulltbet")</f>
        <v>#REF!</v>
      </c>
      <c r="I233" s="121" t="e">
        <f>SUMIFS(#REF!,#REF!,Extrato!$B233,#REF!,Extrato!I$3,#REF!,"Fulltbet")</f>
        <v>#REF!</v>
      </c>
      <c r="J233" s="121" t="e">
        <f>SUMIFS(#REF!,#REF!,Extrato!$B233,#REF!,Extrato!J$3,#REF!,"Fulltbet")</f>
        <v>#REF!</v>
      </c>
      <c r="K233" s="121" t="e">
        <f>SUMIFS(#REF!,#REF!,Extrato!$B233,#REF!,Extrato!K$3,#REF!,"Fulltbet")</f>
        <v>#REF!</v>
      </c>
      <c r="L233" s="121" t="e">
        <f>SUMIFS(#REF!,#REF!,Extrato!$B233,#REF!,Extrato!L$3,#REF!,"Fulltbet")</f>
        <v>#REF!</v>
      </c>
      <c r="M233" s="121" t="e">
        <f>SUMIFS(#REF!,#REF!,Extrato!$B233,#REF!,Extrato!M$3,#REF!,"Fulltbet")</f>
        <v>#REF!</v>
      </c>
      <c r="N233" s="121" t="e">
        <f>SUMIFS(#REF!,#REF!,Extrato!$B233,#REF!,Extrato!N$3,#REF!,"Fulltbet")</f>
        <v>#REF!</v>
      </c>
      <c r="O233" s="121" t="e">
        <f>SUMIFS(#REF!,#REF!,Extrato!$B233,#REF!,Extrato!O$3,#REF!,"Fulltbet")</f>
        <v>#REF!</v>
      </c>
      <c r="P233" s="121">
        <f>SUMIF(BetFlow!B:B,B233,BetFlow!J:J)</f>
        <v>0</v>
      </c>
      <c r="Q233" s="121" t="e">
        <f>SUMIFS(#REF!,#REF!,Extrato!$B233,#REF!,Extrato!Q$3)</f>
        <v>#REF!</v>
      </c>
      <c r="R233" s="121" t="e">
        <f>SUMIFS(#REF!,#REF!,Extrato!$B233,#REF!,Extrato!R$3,#REF!,"Fulltbet")</f>
        <v>#REF!</v>
      </c>
      <c r="S233" s="121" t="e">
        <f>SUMIFS(#REF!,#REF!,Extrato!$B233,#REF!,Extrato!S$3,#REF!,"Fulltbet")</f>
        <v>#REF!</v>
      </c>
      <c r="T233" s="121" t="e">
        <f>SUMIFS(#REF!,#REF!,Extrato!$B233,#REF!,Extrato!T$3,#REF!,"Fulltbet")</f>
        <v>#REF!</v>
      </c>
      <c r="U233" s="121" t="e">
        <f>SUMIFS(#REF!,#REF!,Extrato!$B233,#REF!,Extrato!U$3)</f>
        <v>#REF!</v>
      </c>
      <c r="V233" s="121" t="e">
        <f>SUMIFS(#REF!,#REF!,Extrato!$B233,#REF!,Extrato!V$3)</f>
        <v>#REF!</v>
      </c>
      <c r="W233" s="121" t="e">
        <f>SUMIFS(#REF!,#REF!,Extrato!$B233,#REF!,Extrato!W$3,#REF!,"Fulltbet")</f>
        <v>#REF!</v>
      </c>
      <c r="X233" s="121" t="e">
        <f>SUMIFS(#REF!,#REF!,Extrato!$B233,#REF!,Extrato!X$3)</f>
        <v>#REF!</v>
      </c>
      <c r="Y233" s="121" t="e">
        <f>SUMIFS(#REF!,#REF!,Extrato!$B233,#REF!,Extrato!Y$3)</f>
        <v>#REF!</v>
      </c>
      <c r="Z233" s="121" t="e">
        <f>SUMIFS(#REF!,#REF!,Extrato!$B233,#REF!,Extrato!Z$3)</f>
        <v>#REF!</v>
      </c>
      <c r="AA233" s="121" t="e">
        <f>SUMIFS(#REF!,#REF!,Extrato!$B233,#REF!,Extrato!AA$3)</f>
        <v>#REF!</v>
      </c>
      <c r="AB233" s="121" t="e">
        <f>SUMIFS(#REF!,#REF!,Extrato!$B233,#REF!,Extrato!AB$3)</f>
        <v>#REF!</v>
      </c>
      <c r="AC233" s="121" t="e">
        <f>SUMIFS(#REF!,#REF!,Extrato!$B233,#REF!,Extrato!AC$3)</f>
        <v>#REF!</v>
      </c>
      <c r="AD233" s="121" t="e">
        <f>SUMIFS(#REF!,#REF!,Extrato!$B233,#REF!,Extrato!AD$3)</f>
        <v>#REF!</v>
      </c>
      <c r="AE233" s="121" t="e">
        <f>SUMIFS(#REF!,#REF!,Extrato!$B233,#REF!,Extrato!AE$3)</f>
        <v>#REF!</v>
      </c>
      <c r="AF233" s="121" t="e">
        <f>SUMIFS(#REF!,#REF!,Extrato!$B233,#REF!,Extrato!AF$3)</f>
        <v>#REF!</v>
      </c>
      <c r="AG233" s="121" t="e">
        <f>SUMIFS(#REF!,#REF!,Extrato!$B233,#REF!,Extrato!AG$3)</f>
        <v>#REF!</v>
      </c>
      <c r="AH233" s="121" t="e">
        <f>SUMIFS(#REF!,#REF!,Extrato!$B233,#REF!,Extrato!AH$3)</f>
        <v>#REF!</v>
      </c>
      <c r="AI233" s="121" t="e">
        <f>SUMIFS(#REF!,#REF!,Extrato!$B233,#REF!,Extrato!AI$3)</f>
        <v>#REF!</v>
      </c>
      <c r="AJ233" s="121">
        <v>0</v>
      </c>
      <c r="AK233" s="121">
        <v>-0.01</v>
      </c>
      <c r="AL233" s="25" t="e">
        <f t="shared" si="11"/>
        <v>#REF!</v>
      </c>
      <c r="AM233" s="122"/>
      <c r="AN233" s="121" t="e">
        <f t="shared" si="15"/>
        <v>#REF!</v>
      </c>
      <c r="AO233" s="121">
        <f>SUMIF(BetFlow!B:B,Extrato!B233,BetFlow!M:M)</f>
        <v>0</v>
      </c>
      <c r="AP233" s="121" t="e">
        <f>SUMIFS(#REF!,#REF!,Extrato!$B233,#REF!,Extrato!AP$3,#REF!,"Betbra")</f>
        <v>#REF!</v>
      </c>
      <c r="AQ233" s="121" t="e">
        <f>SUMIFS(#REF!,#REF!,Extrato!$B233,#REF!,Extrato!AQ$3,#REF!,"Betbra")</f>
        <v>#REF!</v>
      </c>
      <c r="AR233" s="121" t="e">
        <f>SUMIFS(#REF!,#REF!,Extrato!$B233,#REF!,Extrato!AR$3,#REF!,"Betbra")</f>
        <v>#REF!</v>
      </c>
      <c r="AS233" s="121" t="e">
        <f>SUMIFS(#REF!,#REF!,Extrato!$B233,#REF!,Extrato!AS$3,#REF!,"Betbra")</f>
        <v>#REF!</v>
      </c>
      <c r="AT233" s="121" t="e">
        <f>SUMIFS(#REF!,#REF!,Extrato!$B233,#REF!,Extrato!AT$3,#REF!,"Betbra")</f>
        <v>#REF!</v>
      </c>
      <c r="AU233" s="121" t="e">
        <f>SUMIFS(#REF!,#REF!,Extrato!$B233,#REF!,Extrato!AU$3,#REF!,"Betbra")</f>
        <v>#REF!</v>
      </c>
      <c r="AV233" s="121" t="e">
        <f>SUMIFS(#REF!,#REF!,Extrato!$B233,#REF!,Extrato!AV$3,#REF!,"Betbra")</f>
        <v>#REF!</v>
      </c>
      <c r="AW233" s="121" t="e">
        <f>SUMIFS(#REF!,#REF!,Extrato!$B233,#REF!,Extrato!AW$3,#REF!,"Betbra")</f>
        <v>#REF!</v>
      </c>
      <c r="AX233" s="121" t="e">
        <f>SUMIFS(#REF!,#REF!,Extrato!$B233,#REF!,Extrato!AX$3,#REF!,"Betbra")</f>
        <v>#REF!</v>
      </c>
      <c r="AY233" s="121" t="e">
        <f>SUMIFS(#REF!,#REF!,Extrato!$B233,#REF!,Extrato!AY$3,#REF!,"Betbra")</f>
        <v>#REF!</v>
      </c>
      <c r="AZ233" s="121" t="e">
        <f>SUMIFS(#REF!,#REF!,Extrato!$B233,#REF!,Extrato!AZ$3,#REF!,"Betbra")</f>
        <v>#REF!</v>
      </c>
      <c r="BA233" s="121" t="e">
        <f>SUMIFS(#REF!,#REF!,Extrato!$B233,#REF!,Extrato!BA$3,#REF!,"Betbra")</f>
        <v>#REF!</v>
      </c>
      <c r="BB233" s="121" t="e">
        <f>SUMIFS(#REF!,#REF!,Extrato!$B233,#REF!,Extrato!BB$3,#REF!,"Betbra")</f>
        <v>#REF!</v>
      </c>
      <c r="BC233" s="121">
        <v>0</v>
      </c>
      <c r="BD233" s="121">
        <v>0</v>
      </c>
      <c r="BE233" s="25" t="e">
        <f t="shared" si="14"/>
        <v>#REF!</v>
      </c>
      <c r="BF233" s="122"/>
      <c r="BG233" s="121" t="e">
        <f t="shared" si="13"/>
        <v>#REF!</v>
      </c>
      <c r="BH233" s="121" t="e">
        <f>SUMIFS(#REF!,#REF!,Extrato!$B233,#REF!,Extrato!BH$3,#REF!,"Bolsa")</f>
        <v>#REF!</v>
      </c>
      <c r="BI233" s="121" t="e">
        <f>SUMIFS(#REF!,#REF!,Extrato!$B233,#REF!,Extrato!BI$3,#REF!,"Bolsa")</f>
        <v>#REF!</v>
      </c>
      <c r="BJ233" s="121" t="e">
        <f>SUMIFS(#REF!,#REF!,Extrato!$B233,#REF!,Extrato!BJ$3,#REF!,"Bolsa")</f>
        <v>#REF!</v>
      </c>
      <c r="BK233" s="121" t="e">
        <f>SUMIFS(#REF!,#REF!,Extrato!$B233,#REF!,Extrato!BK$3,#REF!,"Bolsa")</f>
        <v>#REF!</v>
      </c>
      <c r="BL233" s="121" t="e">
        <f>SUMIFS(#REF!,#REF!,Extrato!$B233,#REF!,Extrato!BL$3,#REF!,"Bolsa")</f>
        <v>#REF!</v>
      </c>
      <c r="BM233" s="121" t="e">
        <f>SUMIFS(#REF!,#REF!,Extrato!$B233,#REF!,Extrato!BM$3,#REF!,"Bolsa")</f>
        <v>#REF!</v>
      </c>
      <c r="BN233" s="121">
        <v>0</v>
      </c>
      <c r="BO233" s="121">
        <v>0</v>
      </c>
      <c r="BP233" s="25" t="e">
        <f t="shared" si="12"/>
        <v>#REF!</v>
      </c>
    </row>
    <row r="234" spans="2:68" ht="15" customHeight="1">
      <c r="B234" s="12">
        <v>46224</v>
      </c>
      <c r="C234" s="121" t="e">
        <f t="shared" si="10"/>
        <v>#REF!</v>
      </c>
      <c r="D234" s="121" t="e">
        <f>SUMIFS(#REF!,#REF!,Extrato!$B234,#REF!,Extrato!D$3)</f>
        <v>#REF!</v>
      </c>
      <c r="E234" s="121" t="e">
        <f>SUMIFS(#REF!,#REF!,Extrato!$B234,#REF!,Extrato!E$3,#REF!,"Fulltbet")</f>
        <v>#REF!</v>
      </c>
      <c r="F234" s="121" t="e">
        <f>SUMIFS(#REF!,#REF!,Extrato!$B234,#REF!,Extrato!F$3)</f>
        <v>#REF!</v>
      </c>
      <c r="G234" s="121" t="e">
        <f>SUMIFS(#REF!,#REF!,Extrato!$B234,#REF!,Extrato!G$3,#REF!,"Fulltbet")</f>
        <v>#REF!</v>
      </c>
      <c r="H234" s="121" t="e">
        <f>SUMIFS(#REF!,#REF!,Extrato!$B234,#REF!,Extrato!H$3,#REF!,"Fulltbet")</f>
        <v>#REF!</v>
      </c>
      <c r="I234" s="121" t="e">
        <f>SUMIFS(#REF!,#REF!,Extrato!$B234,#REF!,Extrato!I$3,#REF!,"Fulltbet")</f>
        <v>#REF!</v>
      </c>
      <c r="J234" s="121" t="e">
        <f>SUMIFS(#REF!,#REF!,Extrato!$B234,#REF!,Extrato!J$3,#REF!,"Fulltbet")</f>
        <v>#REF!</v>
      </c>
      <c r="K234" s="121" t="e">
        <f>SUMIFS(#REF!,#REF!,Extrato!$B234,#REF!,Extrato!K$3,#REF!,"Fulltbet")</f>
        <v>#REF!</v>
      </c>
      <c r="L234" s="121" t="e">
        <f>SUMIFS(#REF!,#REF!,Extrato!$B234,#REF!,Extrato!L$3,#REF!,"Fulltbet")</f>
        <v>#REF!</v>
      </c>
      <c r="M234" s="121" t="e">
        <f>SUMIFS(#REF!,#REF!,Extrato!$B234,#REF!,Extrato!M$3,#REF!,"Fulltbet")</f>
        <v>#REF!</v>
      </c>
      <c r="N234" s="121" t="e">
        <f>SUMIFS(#REF!,#REF!,Extrato!$B234,#REF!,Extrato!N$3,#REF!,"Fulltbet")</f>
        <v>#REF!</v>
      </c>
      <c r="O234" s="121" t="e">
        <f>SUMIFS(#REF!,#REF!,Extrato!$B234,#REF!,Extrato!O$3,#REF!,"Fulltbet")</f>
        <v>#REF!</v>
      </c>
      <c r="P234" s="121">
        <f>SUMIF(BetFlow!B:B,B234,BetFlow!J:J)</f>
        <v>0</v>
      </c>
      <c r="Q234" s="121" t="e">
        <f>SUMIFS(#REF!,#REF!,Extrato!$B234,#REF!,Extrato!Q$3)</f>
        <v>#REF!</v>
      </c>
      <c r="R234" s="121" t="e">
        <f>SUMIFS(#REF!,#REF!,Extrato!$B234,#REF!,Extrato!R$3,#REF!,"Fulltbet")</f>
        <v>#REF!</v>
      </c>
      <c r="S234" s="121" t="e">
        <f>SUMIFS(#REF!,#REF!,Extrato!$B234,#REF!,Extrato!S$3,#REF!,"Fulltbet")</f>
        <v>#REF!</v>
      </c>
      <c r="T234" s="121" t="e">
        <f>SUMIFS(#REF!,#REF!,Extrato!$B234,#REF!,Extrato!T$3,#REF!,"Fulltbet")</f>
        <v>#REF!</v>
      </c>
      <c r="U234" s="121" t="e">
        <f>SUMIFS(#REF!,#REF!,Extrato!$B234,#REF!,Extrato!U$3)</f>
        <v>#REF!</v>
      </c>
      <c r="V234" s="121" t="e">
        <f>SUMIFS(#REF!,#REF!,Extrato!$B234,#REF!,Extrato!V$3)</f>
        <v>#REF!</v>
      </c>
      <c r="W234" s="121" t="e">
        <f>SUMIFS(#REF!,#REF!,Extrato!$B234,#REF!,Extrato!W$3,#REF!,"Fulltbet")</f>
        <v>#REF!</v>
      </c>
      <c r="X234" s="121" t="e">
        <f>SUMIFS(#REF!,#REF!,Extrato!$B234,#REF!,Extrato!X$3)</f>
        <v>#REF!</v>
      </c>
      <c r="Y234" s="121" t="e">
        <f>SUMIFS(#REF!,#REF!,Extrato!$B234,#REF!,Extrato!Y$3)</f>
        <v>#REF!</v>
      </c>
      <c r="Z234" s="121" t="e">
        <f>SUMIFS(#REF!,#REF!,Extrato!$B234,#REF!,Extrato!Z$3)</f>
        <v>#REF!</v>
      </c>
      <c r="AA234" s="121" t="e">
        <f>SUMIFS(#REF!,#REF!,Extrato!$B234,#REF!,Extrato!AA$3)</f>
        <v>#REF!</v>
      </c>
      <c r="AB234" s="121" t="e">
        <f>SUMIFS(#REF!,#REF!,Extrato!$B234,#REF!,Extrato!AB$3)</f>
        <v>#REF!</v>
      </c>
      <c r="AC234" s="121" t="e">
        <f>SUMIFS(#REF!,#REF!,Extrato!$B234,#REF!,Extrato!AC$3)</f>
        <v>#REF!</v>
      </c>
      <c r="AD234" s="121" t="e">
        <f>SUMIFS(#REF!,#REF!,Extrato!$B234,#REF!,Extrato!AD$3)</f>
        <v>#REF!</v>
      </c>
      <c r="AE234" s="121" t="e">
        <f>SUMIFS(#REF!,#REF!,Extrato!$B234,#REF!,Extrato!AE$3)</f>
        <v>#REF!</v>
      </c>
      <c r="AF234" s="121" t="e">
        <f>SUMIFS(#REF!,#REF!,Extrato!$B234,#REF!,Extrato!AF$3)</f>
        <v>#REF!</v>
      </c>
      <c r="AG234" s="121" t="e">
        <f>SUMIFS(#REF!,#REF!,Extrato!$B234,#REF!,Extrato!AG$3)</f>
        <v>#REF!</v>
      </c>
      <c r="AH234" s="121" t="e">
        <f>SUMIFS(#REF!,#REF!,Extrato!$B234,#REF!,Extrato!AH$3)</f>
        <v>#REF!</v>
      </c>
      <c r="AI234" s="121" t="e">
        <f>SUMIFS(#REF!,#REF!,Extrato!$B234,#REF!,Extrato!AI$3)</f>
        <v>#REF!</v>
      </c>
      <c r="AJ234" s="121">
        <v>0</v>
      </c>
      <c r="AK234" s="121">
        <v>0.01</v>
      </c>
      <c r="AL234" s="25" t="e">
        <f t="shared" si="11"/>
        <v>#REF!</v>
      </c>
      <c r="AM234" s="122"/>
      <c r="AN234" s="121" t="e">
        <f t="shared" si="15"/>
        <v>#REF!</v>
      </c>
      <c r="AO234" s="121">
        <f>SUMIF(BetFlow!B:B,Extrato!B234,BetFlow!M:M)</f>
        <v>0</v>
      </c>
      <c r="AP234" s="121" t="e">
        <f>SUMIFS(#REF!,#REF!,Extrato!$B234,#REF!,Extrato!AP$3,#REF!,"Betbra")</f>
        <v>#REF!</v>
      </c>
      <c r="AQ234" s="121" t="e">
        <f>SUMIFS(#REF!,#REF!,Extrato!$B234,#REF!,Extrato!AQ$3,#REF!,"Betbra")</f>
        <v>#REF!</v>
      </c>
      <c r="AR234" s="121" t="e">
        <f>SUMIFS(#REF!,#REF!,Extrato!$B234,#REF!,Extrato!AR$3,#REF!,"Betbra")</f>
        <v>#REF!</v>
      </c>
      <c r="AS234" s="121" t="e">
        <f>SUMIFS(#REF!,#REF!,Extrato!$B234,#REF!,Extrato!AS$3,#REF!,"Betbra")</f>
        <v>#REF!</v>
      </c>
      <c r="AT234" s="121" t="e">
        <f>SUMIFS(#REF!,#REF!,Extrato!$B234,#REF!,Extrato!AT$3,#REF!,"Betbra")</f>
        <v>#REF!</v>
      </c>
      <c r="AU234" s="121" t="e">
        <f>SUMIFS(#REF!,#REF!,Extrato!$B234,#REF!,Extrato!AU$3,#REF!,"Betbra")</f>
        <v>#REF!</v>
      </c>
      <c r="AV234" s="121" t="e">
        <f>SUMIFS(#REF!,#REF!,Extrato!$B234,#REF!,Extrato!AV$3,#REF!,"Betbra")</f>
        <v>#REF!</v>
      </c>
      <c r="AW234" s="121" t="e">
        <f>SUMIFS(#REF!,#REF!,Extrato!$B234,#REF!,Extrato!AW$3,#REF!,"Betbra")</f>
        <v>#REF!</v>
      </c>
      <c r="AX234" s="121" t="e">
        <f>SUMIFS(#REF!,#REF!,Extrato!$B234,#REF!,Extrato!AX$3,#REF!,"Betbra")</f>
        <v>#REF!</v>
      </c>
      <c r="AY234" s="121" t="e">
        <f>SUMIFS(#REF!,#REF!,Extrato!$B234,#REF!,Extrato!AY$3,#REF!,"Betbra")</f>
        <v>#REF!</v>
      </c>
      <c r="AZ234" s="121" t="e">
        <f>SUMIFS(#REF!,#REF!,Extrato!$B234,#REF!,Extrato!AZ$3,#REF!,"Betbra")</f>
        <v>#REF!</v>
      </c>
      <c r="BA234" s="121" t="e">
        <f>SUMIFS(#REF!,#REF!,Extrato!$B234,#REF!,Extrato!BA$3,#REF!,"Betbra")</f>
        <v>#REF!</v>
      </c>
      <c r="BB234" s="121" t="e">
        <f>SUMIFS(#REF!,#REF!,Extrato!$B234,#REF!,Extrato!BB$3,#REF!,"Betbra")</f>
        <v>#REF!</v>
      </c>
      <c r="BC234" s="121">
        <v>0</v>
      </c>
      <c r="BD234" s="121">
        <v>0</v>
      </c>
      <c r="BE234" s="25" t="e">
        <f t="shared" si="14"/>
        <v>#REF!</v>
      </c>
      <c r="BF234" s="122"/>
      <c r="BG234" s="121" t="e">
        <f t="shared" si="13"/>
        <v>#REF!</v>
      </c>
      <c r="BH234" s="121" t="e">
        <f>SUMIFS(#REF!,#REF!,Extrato!$B234,#REF!,Extrato!BH$3,#REF!,"Bolsa")</f>
        <v>#REF!</v>
      </c>
      <c r="BI234" s="121" t="e">
        <f>SUMIFS(#REF!,#REF!,Extrato!$B234,#REF!,Extrato!BI$3,#REF!,"Bolsa")</f>
        <v>#REF!</v>
      </c>
      <c r="BJ234" s="121" t="e">
        <f>SUMIFS(#REF!,#REF!,Extrato!$B234,#REF!,Extrato!BJ$3,#REF!,"Bolsa")</f>
        <v>#REF!</v>
      </c>
      <c r="BK234" s="121" t="e">
        <f>SUMIFS(#REF!,#REF!,Extrato!$B234,#REF!,Extrato!BK$3,#REF!,"Bolsa")</f>
        <v>#REF!</v>
      </c>
      <c r="BL234" s="121" t="e">
        <f>SUMIFS(#REF!,#REF!,Extrato!$B234,#REF!,Extrato!BL$3,#REF!,"Bolsa")</f>
        <v>#REF!</v>
      </c>
      <c r="BM234" s="121" t="e">
        <f>SUMIFS(#REF!,#REF!,Extrato!$B234,#REF!,Extrato!BM$3,#REF!,"Bolsa")</f>
        <v>#REF!</v>
      </c>
      <c r="BN234" s="121">
        <v>0</v>
      </c>
      <c r="BO234" s="121">
        <v>0</v>
      </c>
      <c r="BP234" s="25" t="e">
        <f t="shared" si="12"/>
        <v>#REF!</v>
      </c>
    </row>
    <row r="235" spans="2:68" ht="15" customHeight="1">
      <c r="B235" s="12">
        <v>46225</v>
      </c>
      <c r="C235" s="121" t="e">
        <f t="shared" si="10"/>
        <v>#REF!</v>
      </c>
      <c r="D235" s="121" t="e">
        <f>SUMIFS(#REF!,#REF!,Extrato!$B235,#REF!,Extrato!D$3)</f>
        <v>#REF!</v>
      </c>
      <c r="E235" s="121" t="e">
        <f>SUMIFS(#REF!,#REF!,Extrato!$B235,#REF!,Extrato!E$3,#REF!,"Fulltbet")</f>
        <v>#REF!</v>
      </c>
      <c r="F235" s="121" t="e">
        <f>SUMIFS(#REF!,#REF!,Extrato!$B235,#REF!,Extrato!F$3)</f>
        <v>#REF!</v>
      </c>
      <c r="G235" s="121" t="e">
        <f>SUMIFS(#REF!,#REF!,Extrato!$B235,#REF!,Extrato!G$3,#REF!,"Fulltbet")</f>
        <v>#REF!</v>
      </c>
      <c r="H235" s="121" t="e">
        <f>SUMIFS(#REF!,#REF!,Extrato!$B235,#REF!,Extrato!H$3,#REF!,"Fulltbet")</f>
        <v>#REF!</v>
      </c>
      <c r="I235" s="121" t="e">
        <f>SUMIFS(#REF!,#REF!,Extrato!$B235,#REF!,Extrato!I$3,#REF!,"Fulltbet")</f>
        <v>#REF!</v>
      </c>
      <c r="J235" s="121" t="e">
        <f>SUMIFS(#REF!,#REF!,Extrato!$B235,#REF!,Extrato!J$3,#REF!,"Fulltbet")</f>
        <v>#REF!</v>
      </c>
      <c r="K235" s="121" t="e">
        <f>SUMIFS(#REF!,#REF!,Extrato!$B235,#REF!,Extrato!K$3,#REF!,"Fulltbet")</f>
        <v>#REF!</v>
      </c>
      <c r="L235" s="121" t="e">
        <f>SUMIFS(#REF!,#REF!,Extrato!$B235,#REF!,Extrato!L$3,#REF!,"Fulltbet")</f>
        <v>#REF!</v>
      </c>
      <c r="M235" s="121" t="e">
        <f>SUMIFS(#REF!,#REF!,Extrato!$B235,#REF!,Extrato!M$3,#REF!,"Fulltbet")</f>
        <v>#REF!</v>
      </c>
      <c r="N235" s="121" t="e">
        <f>SUMIFS(#REF!,#REF!,Extrato!$B235,#REF!,Extrato!N$3,#REF!,"Fulltbet")</f>
        <v>#REF!</v>
      </c>
      <c r="O235" s="121" t="e">
        <f>SUMIFS(#REF!,#REF!,Extrato!$B235,#REF!,Extrato!O$3,#REF!,"Fulltbet")</f>
        <v>#REF!</v>
      </c>
      <c r="P235" s="121">
        <f>SUMIF(BetFlow!B:B,B235,BetFlow!J:J)</f>
        <v>0</v>
      </c>
      <c r="Q235" s="121" t="e">
        <f>SUMIFS(#REF!,#REF!,Extrato!$B235,#REF!,Extrato!Q$3)</f>
        <v>#REF!</v>
      </c>
      <c r="R235" s="121" t="e">
        <f>SUMIFS(#REF!,#REF!,Extrato!$B235,#REF!,Extrato!R$3,#REF!,"Fulltbet")</f>
        <v>#REF!</v>
      </c>
      <c r="S235" s="121" t="e">
        <f>SUMIFS(#REF!,#REF!,Extrato!$B235,#REF!,Extrato!S$3,#REF!,"Fulltbet")</f>
        <v>#REF!</v>
      </c>
      <c r="T235" s="121" t="e">
        <f>SUMIFS(#REF!,#REF!,Extrato!$B235,#REF!,Extrato!T$3,#REF!,"Fulltbet")</f>
        <v>#REF!</v>
      </c>
      <c r="U235" s="121" t="e">
        <f>SUMIFS(#REF!,#REF!,Extrato!$B235,#REF!,Extrato!U$3)</f>
        <v>#REF!</v>
      </c>
      <c r="V235" s="121" t="e">
        <f>SUMIFS(#REF!,#REF!,Extrato!$B235,#REF!,Extrato!V$3)</f>
        <v>#REF!</v>
      </c>
      <c r="W235" s="121" t="e">
        <f>SUMIFS(#REF!,#REF!,Extrato!$B235,#REF!,Extrato!W$3,#REF!,"Fulltbet")</f>
        <v>#REF!</v>
      </c>
      <c r="X235" s="121" t="e">
        <f>SUMIFS(#REF!,#REF!,Extrato!$B235,#REF!,Extrato!X$3)</f>
        <v>#REF!</v>
      </c>
      <c r="Y235" s="121" t="e">
        <f>SUMIFS(#REF!,#REF!,Extrato!$B235,#REF!,Extrato!Y$3)</f>
        <v>#REF!</v>
      </c>
      <c r="Z235" s="121" t="e">
        <f>SUMIFS(#REF!,#REF!,Extrato!$B235,#REF!,Extrato!Z$3)</f>
        <v>#REF!</v>
      </c>
      <c r="AA235" s="121" t="e">
        <f>SUMIFS(#REF!,#REF!,Extrato!$B235,#REF!,Extrato!AA$3)</f>
        <v>#REF!</v>
      </c>
      <c r="AB235" s="121" t="e">
        <f>SUMIFS(#REF!,#REF!,Extrato!$B235,#REF!,Extrato!AB$3)</f>
        <v>#REF!</v>
      </c>
      <c r="AC235" s="121" t="e">
        <f>SUMIFS(#REF!,#REF!,Extrato!$B235,#REF!,Extrato!AC$3)</f>
        <v>#REF!</v>
      </c>
      <c r="AD235" s="121" t="e">
        <f>SUMIFS(#REF!,#REF!,Extrato!$B235,#REF!,Extrato!AD$3)</f>
        <v>#REF!</v>
      </c>
      <c r="AE235" s="121" t="e">
        <f>SUMIFS(#REF!,#REF!,Extrato!$B235,#REF!,Extrato!AE$3)</f>
        <v>#REF!</v>
      </c>
      <c r="AF235" s="121" t="e">
        <f>SUMIFS(#REF!,#REF!,Extrato!$B235,#REF!,Extrato!AF$3)</f>
        <v>#REF!</v>
      </c>
      <c r="AG235" s="121" t="e">
        <f>SUMIFS(#REF!,#REF!,Extrato!$B235,#REF!,Extrato!AG$3)</f>
        <v>#REF!</v>
      </c>
      <c r="AH235" s="121" t="e">
        <f>SUMIFS(#REF!,#REF!,Extrato!$B235,#REF!,Extrato!AH$3)</f>
        <v>#REF!</v>
      </c>
      <c r="AI235" s="121" t="e">
        <f>SUMIFS(#REF!,#REF!,Extrato!$B235,#REF!,Extrato!AI$3)</f>
        <v>#REF!</v>
      </c>
      <c r="AJ235" s="121">
        <v>0</v>
      </c>
      <c r="AK235" s="121">
        <v>-0.01</v>
      </c>
      <c r="AL235" s="25" t="e">
        <f t="shared" si="11"/>
        <v>#REF!</v>
      </c>
      <c r="AM235" s="122"/>
      <c r="AN235" s="121" t="e">
        <f t="shared" si="15"/>
        <v>#REF!</v>
      </c>
      <c r="AO235" s="121">
        <f>SUMIF(BetFlow!B:B,Extrato!B235,BetFlow!M:M)</f>
        <v>0</v>
      </c>
      <c r="AP235" s="121" t="e">
        <f>SUMIFS(#REF!,#REF!,Extrato!$B235,#REF!,Extrato!AP$3,#REF!,"Betbra")</f>
        <v>#REF!</v>
      </c>
      <c r="AQ235" s="121" t="e">
        <f>SUMIFS(#REF!,#REF!,Extrato!$B235,#REF!,Extrato!AQ$3,#REF!,"Betbra")</f>
        <v>#REF!</v>
      </c>
      <c r="AR235" s="121" t="e">
        <f>SUMIFS(#REF!,#REF!,Extrato!$B235,#REF!,Extrato!AR$3,#REF!,"Betbra")</f>
        <v>#REF!</v>
      </c>
      <c r="AS235" s="121" t="e">
        <f>SUMIFS(#REF!,#REF!,Extrato!$B235,#REF!,Extrato!AS$3,#REF!,"Betbra")</f>
        <v>#REF!</v>
      </c>
      <c r="AT235" s="121" t="e">
        <f>SUMIFS(#REF!,#REF!,Extrato!$B235,#REF!,Extrato!AT$3,#REF!,"Betbra")</f>
        <v>#REF!</v>
      </c>
      <c r="AU235" s="121" t="e">
        <f>SUMIFS(#REF!,#REF!,Extrato!$B235,#REF!,Extrato!AU$3,#REF!,"Betbra")</f>
        <v>#REF!</v>
      </c>
      <c r="AV235" s="121" t="e">
        <f>SUMIFS(#REF!,#REF!,Extrato!$B235,#REF!,Extrato!AV$3,#REF!,"Betbra")</f>
        <v>#REF!</v>
      </c>
      <c r="AW235" s="121" t="e">
        <f>SUMIFS(#REF!,#REF!,Extrato!$B235,#REF!,Extrato!AW$3,#REF!,"Betbra")</f>
        <v>#REF!</v>
      </c>
      <c r="AX235" s="121" t="e">
        <f>SUMIFS(#REF!,#REF!,Extrato!$B235,#REF!,Extrato!AX$3,#REF!,"Betbra")</f>
        <v>#REF!</v>
      </c>
      <c r="AY235" s="121" t="e">
        <f>SUMIFS(#REF!,#REF!,Extrato!$B235,#REF!,Extrato!AY$3,#REF!,"Betbra")</f>
        <v>#REF!</v>
      </c>
      <c r="AZ235" s="121" t="e">
        <f>SUMIFS(#REF!,#REF!,Extrato!$B235,#REF!,Extrato!AZ$3,#REF!,"Betbra")</f>
        <v>#REF!</v>
      </c>
      <c r="BA235" s="121" t="e">
        <f>SUMIFS(#REF!,#REF!,Extrato!$B235,#REF!,Extrato!BA$3,#REF!,"Betbra")</f>
        <v>#REF!</v>
      </c>
      <c r="BB235" s="121" t="e">
        <f>SUMIFS(#REF!,#REF!,Extrato!$B235,#REF!,Extrato!BB$3,#REF!,"Betbra")</f>
        <v>#REF!</v>
      </c>
      <c r="BC235" s="121">
        <v>0</v>
      </c>
      <c r="BD235" s="121">
        <v>-0.01</v>
      </c>
      <c r="BE235" s="25" t="e">
        <f t="shared" si="14"/>
        <v>#REF!</v>
      </c>
      <c r="BF235" s="122"/>
      <c r="BG235" s="121" t="e">
        <f t="shared" si="13"/>
        <v>#REF!</v>
      </c>
      <c r="BH235" s="121" t="e">
        <f>SUMIFS(#REF!,#REF!,Extrato!$B235,#REF!,Extrato!BH$3,#REF!,"Bolsa")</f>
        <v>#REF!</v>
      </c>
      <c r="BI235" s="121" t="e">
        <f>SUMIFS(#REF!,#REF!,Extrato!$B235,#REF!,Extrato!BI$3,#REF!,"Bolsa")</f>
        <v>#REF!</v>
      </c>
      <c r="BJ235" s="121" t="e">
        <f>SUMIFS(#REF!,#REF!,Extrato!$B235,#REF!,Extrato!BJ$3,#REF!,"Bolsa")</f>
        <v>#REF!</v>
      </c>
      <c r="BK235" s="121" t="e">
        <f>SUMIFS(#REF!,#REF!,Extrato!$B235,#REF!,Extrato!BK$3,#REF!,"Bolsa")</f>
        <v>#REF!</v>
      </c>
      <c r="BL235" s="121" t="e">
        <f>SUMIFS(#REF!,#REF!,Extrato!$B235,#REF!,Extrato!BL$3,#REF!,"Bolsa")</f>
        <v>#REF!</v>
      </c>
      <c r="BM235" s="121" t="e">
        <f>SUMIFS(#REF!,#REF!,Extrato!$B235,#REF!,Extrato!BM$3,#REF!,"Bolsa")</f>
        <v>#REF!</v>
      </c>
      <c r="BN235" s="121">
        <v>0</v>
      </c>
      <c r="BO235" s="121">
        <v>0</v>
      </c>
      <c r="BP235" s="25" t="e">
        <f t="shared" si="12"/>
        <v>#REF!</v>
      </c>
    </row>
    <row r="236" spans="2:68" ht="15" customHeight="1">
      <c r="B236" s="12">
        <v>46226</v>
      </c>
      <c r="C236" s="121" t="e">
        <f t="shared" si="10"/>
        <v>#REF!</v>
      </c>
      <c r="D236" s="121" t="e">
        <f>SUMIFS(#REF!,#REF!,Extrato!$B236,#REF!,Extrato!D$3)</f>
        <v>#REF!</v>
      </c>
      <c r="E236" s="121" t="e">
        <f>SUMIFS(#REF!,#REF!,Extrato!$B236,#REF!,Extrato!E$3,#REF!,"Fulltbet")</f>
        <v>#REF!</v>
      </c>
      <c r="F236" s="121" t="e">
        <f>SUMIFS(#REF!,#REF!,Extrato!$B236,#REF!,Extrato!F$3)</f>
        <v>#REF!</v>
      </c>
      <c r="G236" s="121" t="e">
        <f>SUMIFS(#REF!,#REF!,Extrato!$B236,#REF!,Extrato!G$3,#REF!,"Fulltbet")</f>
        <v>#REF!</v>
      </c>
      <c r="H236" s="121" t="e">
        <f>SUMIFS(#REF!,#REF!,Extrato!$B236,#REF!,Extrato!H$3,#REF!,"Fulltbet")</f>
        <v>#REF!</v>
      </c>
      <c r="I236" s="121" t="e">
        <f>SUMIFS(#REF!,#REF!,Extrato!$B236,#REF!,Extrato!I$3,#REF!,"Fulltbet")</f>
        <v>#REF!</v>
      </c>
      <c r="J236" s="121" t="e">
        <f>SUMIFS(#REF!,#REF!,Extrato!$B236,#REF!,Extrato!J$3,#REF!,"Fulltbet")</f>
        <v>#REF!</v>
      </c>
      <c r="K236" s="121" t="e">
        <f>SUMIFS(#REF!,#REF!,Extrato!$B236,#REF!,Extrato!K$3,#REF!,"Fulltbet")</f>
        <v>#REF!</v>
      </c>
      <c r="L236" s="121" t="e">
        <f>SUMIFS(#REF!,#REF!,Extrato!$B236,#REF!,Extrato!L$3,#REF!,"Fulltbet")</f>
        <v>#REF!</v>
      </c>
      <c r="M236" s="121" t="e">
        <f>SUMIFS(#REF!,#REF!,Extrato!$B236,#REF!,Extrato!M$3,#REF!,"Fulltbet")</f>
        <v>#REF!</v>
      </c>
      <c r="N236" s="121" t="e">
        <f>SUMIFS(#REF!,#REF!,Extrato!$B236,#REF!,Extrato!N$3,#REF!,"Fulltbet")</f>
        <v>#REF!</v>
      </c>
      <c r="O236" s="121" t="e">
        <f>SUMIFS(#REF!,#REF!,Extrato!$B236,#REF!,Extrato!O$3,#REF!,"Fulltbet")</f>
        <v>#REF!</v>
      </c>
      <c r="P236" s="121">
        <f>SUMIF(BetFlow!B:B,B236,BetFlow!J:J)</f>
        <v>0</v>
      </c>
      <c r="Q236" s="121" t="e">
        <f>SUMIFS(#REF!,#REF!,Extrato!$B236,#REF!,Extrato!Q$3)</f>
        <v>#REF!</v>
      </c>
      <c r="R236" s="121" t="e">
        <f>SUMIFS(#REF!,#REF!,Extrato!$B236,#REF!,Extrato!R$3,#REF!,"Fulltbet")</f>
        <v>#REF!</v>
      </c>
      <c r="S236" s="121" t="e">
        <f>SUMIFS(#REF!,#REF!,Extrato!$B236,#REF!,Extrato!S$3,#REF!,"Fulltbet")</f>
        <v>#REF!</v>
      </c>
      <c r="T236" s="121" t="e">
        <f>SUMIFS(#REF!,#REF!,Extrato!$B236,#REF!,Extrato!T$3,#REF!,"Fulltbet")</f>
        <v>#REF!</v>
      </c>
      <c r="U236" s="121" t="e">
        <f>SUMIFS(#REF!,#REF!,Extrato!$B236,#REF!,Extrato!U$3)</f>
        <v>#REF!</v>
      </c>
      <c r="V236" s="121" t="e">
        <f>SUMIFS(#REF!,#REF!,Extrato!$B236,#REF!,Extrato!V$3)</f>
        <v>#REF!</v>
      </c>
      <c r="W236" s="121" t="e">
        <f>SUMIFS(#REF!,#REF!,Extrato!$B236,#REF!,Extrato!W$3,#REF!,"Fulltbet")</f>
        <v>#REF!</v>
      </c>
      <c r="X236" s="121" t="e">
        <f>SUMIFS(#REF!,#REF!,Extrato!$B236,#REF!,Extrato!X$3)</f>
        <v>#REF!</v>
      </c>
      <c r="Y236" s="121" t="e">
        <f>SUMIFS(#REF!,#REF!,Extrato!$B236,#REF!,Extrato!Y$3)</f>
        <v>#REF!</v>
      </c>
      <c r="Z236" s="121" t="e">
        <f>SUMIFS(#REF!,#REF!,Extrato!$B236,#REF!,Extrato!Z$3)</f>
        <v>#REF!</v>
      </c>
      <c r="AA236" s="121" t="e">
        <f>SUMIFS(#REF!,#REF!,Extrato!$B236,#REF!,Extrato!AA$3)</f>
        <v>#REF!</v>
      </c>
      <c r="AB236" s="121" t="e">
        <f>SUMIFS(#REF!,#REF!,Extrato!$B236,#REF!,Extrato!AB$3)</f>
        <v>#REF!</v>
      </c>
      <c r="AC236" s="121" t="e">
        <f>SUMIFS(#REF!,#REF!,Extrato!$B236,#REF!,Extrato!AC$3)</f>
        <v>#REF!</v>
      </c>
      <c r="AD236" s="121" t="e">
        <f>SUMIFS(#REF!,#REF!,Extrato!$B236,#REF!,Extrato!AD$3)</f>
        <v>#REF!</v>
      </c>
      <c r="AE236" s="121" t="e">
        <f>SUMIFS(#REF!,#REF!,Extrato!$B236,#REF!,Extrato!AE$3)</f>
        <v>#REF!</v>
      </c>
      <c r="AF236" s="121" t="e">
        <f>SUMIFS(#REF!,#REF!,Extrato!$B236,#REF!,Extrato!AF$3)</f>
        <v>#REF!</v>
      </c>
      <c r="AG236" s="121" t="e">
        <f>SUMIFS(#REF!,#REF!,Extrato!$B236,#REF!,Extrato!AG$3)</f>
        <v>#REF!</v>
      </c>
      <c r="AH236" s="121" t="e">
        <f>SUMIFS(#REF!,#REF!,Extrato!$B236,#REF!,Extrato!AH$3)</f>
        <v>#REF!</v>
      </c>
      <c r="AI236" s="121" t="e">
        <f>SUMIFS(#REF!,#REF!,Extrato!$B236,#REF!,Extrato!AI$3)</f>
        <v>#REF!</v>
      </c>
      <c r="AJ236" s="121">
        <v>0</v>
      </c>
      <c r="AK236" s="121">
        <v>0.01</v>
      </c>
      <c r="AL236" s="25" t="e">
        <f t="shared" si="11"/>
        <v>#REF!</v>
      </c>
      <c r="AM236" s="122"/>
      <c r="AN236" s="121" t="e">
        <f t="shared" si="15"/>
        <v>#REF!</v>
      </c>
      <c r="AO236" s="121">
        <f>SUMIF(BetFlow!B:B,Extrato!B236,BetFlow!M:M)</f>
        <v>0</v>
      </c>
      <c r="AP236" s="121" t="e">
        <f>SUMIFS(#REF!,#REF!,Extrato!$B236,#REF!,Extrato!AP$3,#REF!,"Betbra")</f>
        <v>#REF!</v>
      </c>
      <c r="AQ236" s="121" t="e">
        <f>SUMIFS(#REF!,#REF!,Extrato!$B236,#REF!,Extrato!AQ$3,#REF!,"Betbra")</f>
        <v>#REF!</v>
      </c>
      <c r="AR236" s="121" t="e">
        <f>SUMIFS(#REF!,#REF!,Extrato!$B236,#REF!,Extrato!AR$3,#REF!,"Betbra")</f>
        <v>#REF!</v>
      </c>
      <c r="AS236" s="121" t="e">
        <f>SUMIFS(#REF!,#REF!,Extrato!$B236,#REF!,Extrato!AS$3,#REF!,"Betbra")</f>
        <v>#REF!</v>
      </c>
      <c r="AT236" s="121" t="e">
        <f>SUMIFS(#REF!,#REF!,Extrato!$B236,#REF!,Extrato!AT$3,#REF!,"Betbra")</f>
        <v>#REF!</v>
      </c>
      <c r="AU236" s="121" t="e">
        <f>SUMIFS(#REF!,#REF!,Extrato!$B236,#REF!,Extrato!AU$3,#REF!,"Betbra")</f>
        <v>#REF!</v>
      </c>
      <c r="AV236" s="121" t="e">
        <f>SUMIFS(#REF!,#REF!,Extrato!$B236,#REF!,Extrato!AV$3,#REF!,"Betbra")</f>
        <v>#REF!</v>
      </c>
      <c r="AW236" s="121" t="e">
        <f>SUMIFS(#REF!,#REF!,Extrato!$B236,#REF!,Extrato!AW$3,#REF!,"Betbra")</f>
        <v>#REF!</v>
      </c>
      <c r="AX236" s="121" t="e">
        <f>SUMIFS(#REF!,#REF!,Extrato!$B236,#REF!,Extrato!AX$3,#REF!,"Betbra")</f>
        <v>#REF!</v>
      </c>
      <c r="AY236" s="121" t="e">
        <f>SUMIFS(#REF!,#REF!,Extrato!$B236,#REF!,Extrato!AY$3,#REF!,"Betbra")</f>
        <v>#REF!</v>
      </c>
      <c r="AZ236" s="121" t="e">
        <f>SUMIFS(#REF!,#REF!,Extrato!$B236,#REF!,Extrato!AZ$3,#REF!,"Betbra")</f>
        <v>#REF!</v>
      </c>
      <c r="BA236" s="121" t="e">
        <f>SUMIFS(#REF!,#REF!,Extrato!$B236,#REF!,Extrato!BA$3,#REF!,"Betbra")</f>
        <v>#REF!</v>
      </c>
      <c r="BB236" s="121" t="e">
        <f>SUMIFS(#REF!,#REF!,Extrato!$B236,#REF!,Extrato!BB$3,#REF!,"Betbra")</f>
        <v>#REF!</v>
      </c>
      <c r="BC236" s="121">
        <v>0</v>
      </c>
      <c r="BD236" s="121">
        <v>0</v>
      </c>
      <c r="BE236" s="25" t="e">
        <f t="shared" si="14"/>
        <v>#REF!</v>
      </c>
      <c r="BF236" s="122"/>
      <c r="BG236" s="121" t="e">
        <f t="shared" si="13"/>
        <v>#REF!</v>
      </c>
      <c r="BH236" s="121" t="e">
        <f>SUMIFS(#REF!,#REF!,Extrato!$B236,#REF!,Extrato!BH$3,#REF!,"Bolsa")</f>
        <v>#REF!</v>
      </c>
      <c r="BI236" s="121" t="e">
        <f>SUMIFS(#REF!,#REF!,Extrato!$B236,#REF!,Extrato!BI$3,#REF!,"Bolsa")</f>
        <v>#REF!</v>
      </c>
      <c r="BJ236" s="121" t="e">
        <f>SUMIFS(#REF!,#REF!,Extrato!$B236,#REF!,Extrato!BJ$3,#REF!,"Bolsa")</f>
        <v>#REF!</v>
      </c>
      <c r="BK236" s="121" t="e">
        <f>SUMIFS(#REF!,#REF!,Extrato!$B236,#REF!,Extrato!BK$3,#REF!,"Bolsa")</f>
        <v>#REF!</v>
      </c>
      <c r="BL236" s="121" t="e">
        <f>SUMIFS(#REF!,#REF!,Extrato!$B236,#REF!,Extrato!BL$3,#REF!,"Bolsa")</f>
        <v>#REF!</v>
      </c>
      <c r="BM236" s="121" t="e">
        <f>SUMIFS(#REF!,#REF!,Extrato!$B236,#REF!,Extrato!BM$3,#REF!,"Bolsa")</f>
        <v>#REF!</v>
      </c>
      <c r="BN236" s="121">
        <v>0</v>
      </c>
      <c r="BO236" s="121">
        <v>0</v>
      </c>
      <c r="BP236" s="25" t="e">
        <f t="shared" si="12"/>
        <v>#REF!</v>
      </c>
    </row>
    <row r="237" spans="2:68" ht="15" customHeight="1">
      <c r="B237" s="12">
        <v>46227</v>
      </c>
      <c r="C237" s="121" t="e">
        <f t="shared" si="10"/>
        <v>#REF!</v>
      </c>
      <c r="D237" s="121" t="e">
        <f>SUMIFS(#REF!,#REF!,Extrato!$B237,#REF!,Extrato!D$3)</f>
        <v>#REF!</v>
      </c>
      <c r="E237" s="121" t="e">
        <f>SUMIFS(#REF!,#REF!,Extrato!$B237,#REF!,Extrato!E$3,#REF!,"Fulltbet")</f>
        <v>#REF!</v>
      </c>
      <c r="F237" s="121" t="e">
        <f>SUMIFS(#REF!,#REF!,Extrato!$B237,#REF!,Extrato!F$3)</f>
        <v>#REF!</v>
      </c>
      <c r="G237" s="121" t="e">
        <f>SUMIFS(#REF!,#REF!,Extrato!$B237,#REF!,Extrato!G$3,#REF!,"Fulltbet")</f>
        <v>#REF!</v>
      </c>
      <c r="H237" s="121" t="e">
        <f>SUMIFS(#REF!,#REF!,Extrato!$B237,#REF!,Extrato!H$3,#REF!,"Fulltbet")</f>
        <v>#REF!</v>
      </c>
      <c r="I237" s="121" t="e">
        <f>SUMIFS(#REF!,#REF!,Extrato!$B237,#REF!,Extrato!I$3,#REF!,"Fulltbet")</f>
        <v>#REF!</v>
      </c>
      <c r="J237" s="121" t="e">
        <f>SUMIFS(#REF!,#REF!,Extrato!$B237,#REF!,Extrato!J$3,#REF!,"Fulltbet")</f>
        <v>#REF!</v>
      </c>
      <c r="K237" s="121" t="e">
        <f>SUMIFS(#REF!,#REF!,Extrato!$B237,#REF!,Extrato!K$3,#REF!,"Fulltbet")</f>
        <v>#REF!</v>
      </c>
      <c r="L237" s="121" t="e">
        <f>SUMIFS(#REF!,#REF!,Extrato!$B237,#REF!,Extrato!L$3,#REF!,"Fulltbet")</f>
        <v>#REF!</v>
      </c>
      <c r="M237" s="121" t="e">
        <f>SUMIFS(#REF!,#REF!,Extrato!$B237,#REF!,Extrato!M$3,#REF!,"Fulltbet")</f>
        <v>#REF!</v>
      </c>
      <c r="N237" s="121" t="e">
        <f>SUMIFS(#REF!,#REF!,Extrato!$B237,#REF!,Extrato!N$3,#REF!,"Fulltbet")</f>
        <v>#REF!</v>
      </c>
      <c r="O237" s="121" t="e">
        <f>SUMIFS(#REF!,#REF!,Extrato!$B237,#REF!,Extrato!O$3,#REF!,"Fulltbet")</f>
        <v>#REF!</v>
      </c>
      <c r="P237" s="121">
        <f>SUMIF(BetFlow!B:B,B237,BetFlow!J:J)</f>
        <v>0</v>
      </c>
      <c r="Q237" s="121" t="e">
        <f>SUMIFS(#REF!,#REF!,Extrato!$B237,#REF!,Extrato!Q$3)</f>
        <v>#REF!</v>
      </c>
      <c r="R237" s="121" t="e">
        <f>SUMIFS(#REF!,#REF!,Extrato!$B237,#REF!,Extrato!R$3,#REF!,"Fulltbet")</f>
        <v>#REF!</v>
      </c>
      <c r="S237" s="121" t="e">
        <f>SUMIFS(#REF!,#REF!,Extrato!$B237,#REF!,Extrato!S$3,#REF!,"Fulltbet")</f>
        <v>#REF!</v>
      </c>
      <c r="T237" s="121" t="e">
        <f>SUMIFS(#REF!,#REF!,Extrato!$B237,#REF!,Extrato!T$3,#REF!,"Fulltbet")</f>
        <v>#REF!</v>
      </c>
      <c r="U237" s="121" t="e">
        <f>SUMIFS(#REF!,#REF!,Extrato!$B237,#REF!,Extrato!U$3)</f>
        <v>#REF!</v>
      </c>
      <c r="V237" s="121" t="e">
        <f>SUMIFS(#REF!,#REF!,Extrato!$B237,#REF!,Extrato!V$3)</f>
        <v>#REF!</v>
      </c>
      <c r="W237" s="121" t="e">
        <f>SUMIFS(#REF!,#REF!,Extrato!$B237,#REF!,Extrato!W$3,#REF!,"Fulltbet")</f>
        <v>#REF!</v>
      </c>
      <c r="X237" s="121" t="e">
        <f>SUMIFS(#REF!,#REF!,Extrato!$B237,#REF!,Extrato!X$3)</f>
        <v>#REF!</v>
      </c>
      <c r="Y237" s="121" t="e">
        <f>SUMIFS(#REF!,#REF!,Extrato!$B237,#REF!,Extrato!Y$3)</f>
        <v>#REF!</v>
      </c>
      <c r="Z237" s="121" t="e">
        <f>SUMIFS(#REF!,#REF!,Extrato!$B237,#REF!,Extrato!Z$3)</f>
        <v>#REF!</v>
      </c>
      <c r="AA237" s="121" t="e">
        <f>SUMIFS(#REF!,#REF!,Extrato!$B237,#REF!,Extrato!AA$3)</f>
        <v>#REF!</v>
      </c>
      <c r="AB237" s="121" t="e">
        <f>SUMIFS(#REF!,#REF!,Extrato!$B237,#REF!,Extrato!AB$3)</f>
        <v>#REF!</v>
      </c>
      <c r="AC237" s="121" t="e">
        <f>SUMIFS(#REF!,#REF!,Extrato!$B237,#REF!,Extrato!AC$3)</f>
        <v>#REF!</v>
      </c>
      <c r="AD237" s="121" t="e">
        <f>SUMIFS(#REF!,#REF!,Extrato!$B237,#REF!,Extrato!AD$3)</f>
        <v>#REF!</v>
      </c>
      <c r="AE237" s="121" t="e">
        <f>SUMIFS(#REF!,#REF!,Extrato!$B237,#REF!,Extrato!AE$3)</f>
        <v>#REF!</v>
      </c>
      <c r="AF237" s="121" t="e">
        <f>SUMIFS(#REF!,#REF!,Extrato!$B237,#REF!,Extrato!AF$3)</f>
        <v>#REF!</v>
      </c>
      <c r="AG237" s="121" t="e">
        <f>SUMIFS(#REF!,#REF!,Extrato!$B237,#REF!,Extrato!AG$3)</f>
        <v>#REF!</v>
      </c>
      <c r="AH237" s="121" t="e">
        <f>SUMIFS(#REF!,#REF!,Extrato!$B237,#REF!,Extrato!AH$3)</f>
        <v>#REF!</v>
      </c>
      <c r="AI237" s="121" t="e">
        <f>SUMIFS(#REF!,#REF!,Extrato!$B237,#REF!,Extrato!AI$3)</f>
        <v>#REF!</v>
      </c>
      <c r="AJ237" s="121">
        <v>0</v>
      </c>
      <c r="AK237" s="121">
        <v>0</v>
      </c>
      <c r="AL237" s="25" t="e">
        <f t="shared" si="11"/>
        <v>#REF!</v>
      </c>
      <c r="AM237" s="122"/>
      <c r="AN237" s="121" t="e">
        <f t="shared" si="15"/>
        <v>#REF!</v>
      </c>
      <c r="AO237" s="121">
        <f>SUMIF(BetFlow!B:B,Extrato!B237,BetFlow!M:M)</f>
        <v>0</v>
      </c>
      <c r="AP237" s="121" t="e">
        <f>SUMIFS(#REF!,#REF!,Extrato!$B237,#REF!,Extrato!AP$3,#REF!,"Betbra")</f>
        <v>#REF!</v>
      </c>
      <c r="AQ237" s="121" t="e">
        <f>SUMIFS(#REF!,#REF!,Extrato!$B237,#REF!,Extrato!AQ$3,#REF!,"Betbra")</f>
        <v>#REF!</v>
      </c>
      <c r="AR237" s="121" t="e">
        <f>SUMIFS(#REF!,#REF!,Extrato!$B237,#REF!,Extrato!AR$3,#REF!,"Betbra")</f>
        <v>#REF!</v>
      </c>
      <c r="AS237" s="121" t="e">
        <f>SUMIFS(#REF!,#REF!,Extrato!$B237,#REF!,Extrato!AS$3,#REF!,"Betbra")</f>
        <v>#REF!</v>
      </c>
      <c r="AT237" s="121" t="e">
        <f>SUMIFS(#REF!,#REF!,Extrato!$B237,#REF!,Extrato!AT$3,#REF!,"Betbra")</f>
        <v>#REF!</v>
      </c>
      <c r="AU237" s="121" t="e">
        <f>SUMIFS(#REF!,#REF!,Extrato!$B237,#REF!,Extrato!AU$3,#REF!,"Betbra")</f>
        <v>#REF!</v>
      </c>
      <c r="AV237" s="121" t="e">
        <f>SUMIFS(#REF!,#REF!,Extrato!$B237,#REF!,Extrato!AV$3,#REF!,"Betbra")</f>
        <v>#REF!</v>
      </c>
      <c r="AW237" s="121" t="e">
        <f>SUMIFS(#REF!,#REF!,Extrato!$B237,#REF!,Extrato!AW$3,#REF!,"Betbra")</f>
        <v>#REF!</v>
      </c>
      <c r="AX237" s="121" t="e">
        <f>SUMIFS(#REF!,#REF!,Extrato!$B237,#REF!,Extrato!AX$3,#REF!,"Betbra")</f>
        <v>#REF!</v>
      </c>
      <c r="AY237" s="121" t="e">
        <f>SUMIFS(#REF!,#REF!,Extrato!$B237,#REF!,Extrato!AY$3,#REF!,"Betbra")</f>
        <v>#REF!</v>
      </c>
      <c r="AZ237" s="121" t="e">
        <f>SUMIFS(#REF!,#REF!,Extrato!$B237,#REF!,Extrato!AZ$3,#REF!,"Betbra")</f>
        <v>#REF!</v>
      </c>
      <c r="BA237" s="121" t="e">
        <f>SUMIFS(#REF!,#REF!,Extrato!$B237,#REF!,Extrato!BA$3,#REF!,"Betbra")</f>
        <v>#REF!</v>
      </c>
      <c r="BB237" s="121" t="e">
        <f>SUMIFS(#REF!,#REF!,Extrato!$B237,#REF!,Extrato!BB$3,#REF!,"Betbra")</f>
        <v>#REF!</v>
      </c>
      <c r="BC237" s="121">
        <v>0</v>
      </c>
      <c r="BD237" s="121">
        <v>0.01</v>
      </c>
      <c r="BE237" s="25" t="e">
        <f t="shared" si="14"/>
        <v>#REF!</v>
      </c>
      <c r="BF237" s="122"/>
      <c r="BG237" s="121" t="e">
        <f t="shared" si="13"/>
        <v>#REF!</v>
      </c>
      <c r="BH237" s="121" t="e">
        <f>SUMIFS(#REF!,#REF!,Extrato!$B237,#REF!,Extrato!BH$3,#REF!,"Bolsa")</f>
        <v>#REF!</v>
      </c>
      <c r="BI237" s="121" t="e">
        <f>SUMIFS(#REF!,#REF!,Extrato!$B237,#REF!,Extrato!BI$3,#REF!,"Bolsa")</f>
        <v>#REF!</v>
      </c>
      <c r="BJ237" s="121" t="e">
        <f>SUMIFS(#REF!,#REF!,Extrato!$B237,#REF!,Extrato!BJ$3,#REF!,"Bolsa")</f>
        <v>#REF!</v>
      </c>
      <c r="BK237" s="121" t="e">
        <f>SUMIFS(#REF!,#REF!,Extrato!$B237,#REF!,Extrato!BK$3,#REF!,"Bolsa")</f>
        <v>#REF!</v>
      </c>
      <c r="BL237" s="121" t="e">
        <f>SUMIFS(#REF!,#REF!,Extrato!$B237,#REF!,Extrato!BL$3,#REF!,"Bolsa")</f>
        <v>#REF!</v>
      </c>
      <c r="BM237" s="121" t="e">
        <f>SUMIFS(#REF!,#REF!,Extrato!$B237,#REF!,Extrato!BM$3,#REF!,"Bolsa")</f>
        <v>#REF!</v>
      </c>
      <c r="BN237" s="121">
        <v>0</v>
      </c>
      <c r="BO237" s="121">
        <v>0</v>
      </c>
      <c r="BP237" s="25" t="e">
        <f t="shared" si="12"/>
        <v>#REF!</v>
      </c>
    </row>
    <row r="238" spans="2:68" ht="15" customHeight="1">
      <c r="B238" s="12">
        <v>46228</v>
      </c>
      <c r="C238" s="121" t="e">
        <f t="shared" si="10"/>
        <v>#REF!</v>
      </c>
      <c r="D238" s="121" t="e">
        <f>SUMIFS(#REF!,#REF!,Extrato!$B238,#REF!,Extrato!D$3)</f>
        <v>#REF!</v>
      </c>
      <c r="E238" s="121" t="e">
        <f>SUMIFS(#REF!,#REF!,Extrato!$B238,#REF!,Extrato!E$3,#REF!,"Fulltbet")</f>
        <v>#REF!</v>
      </c>
      <c r="F238" s="121" t="e">
        <f>SUMIFS(#REF!,#REF!,Extrato!$B238,#REF!,Extrato!F$3)</f>
        <v>#REF!</v>
      </c>
      <c r="G238" s="121" t="e">
        <f>SUMIFS(#REF!,#REF!,Extrato!$B238,#REF!,Extrato!G$3,#REF!,"Fulltbet")</f>
        <v>#REF!</v>
      </c>
      <c r="H238" s="121" t="e">
        <f>SUMIFS(#REF!,#REF!,Extrato!$B238,#REF!,Extrato!H$3,#REF!,"Fulltbet")</f>
        <v>#REF!</v>
      </c>
      <c r="I238" s="121" t="e">
        <f>SUMIFS(#REF!,#REF!,Extrato!$B238,#REF!,Extrato!I$3,#REF!,"Fulltbet")</f>
        <v>#REF!</v>
      </c>
      <c r="J238" s="121" t="e">
        <f>SUMIFS(#REF!,#REF!,Extrato!$B238,#REF!,Extrato!J$3,#REF!,"Fulltbet")</f>
        <v>#REF!</v>
      </c>
      <c r="K238" s="121" t="e">
        <f>SUMIFS(#REF!,#REF!,Extrato!$B238,#REF!,Extrato!K$3,#REF!,"Fulltbet")</f>
        <v>#REF!</v>
      </c>
      <c r="L238" s="121" t="e">
        <f>SUMIFS(#REF!,#REF!,Extrato!$B238,#REF!,Extrato!L$3,#REF!,"Fulltbet")</f>
        <v>#REF!</v>
      </c>
      <c r="M238" s="121" t="e">
        <f>SUMIFS(#REF!,#REF!,Extrato!$B238,#REF!,Extrato!M$3,#REF!,"Fulltbet")</f>
        <v>#REF!</v>
      </c>
      <c r="N238" s="121" t="e">
        <f>SUMIFS(#REF!,#REF!,Extrato!$B238,#REF!,Extrato!N$3,#REF!,"Fulltbet")</f>
        <v>#REF!</v>
      </c>
      <c r="O238" s="121" t="e">
        <f>SUMIFS(#REF!,#REF!,Extrato!$B238,#REF!,Extrato!O$3,#REF!,"Fulltbet")</f>
        <v>#REF!</v>
      </c>
      <c r="P238" s="121">
        <f>SUMIF(BetFlow!B:B,B238,BetFlow!J:J)</f>
        <v>0</v>
      </c>
      <c r="Q238" s="121" t="e">
        <f>SUMIFS(#REF!,#REF!,Extrato!$B238,#REF!,Extrato!Q$3)</f>
        <v>#REF!</v>
      </c>
      <c r="R238" s="121" t="e">
        <f>SUMIFS(#REF!,#REF!,Extrato!$B238,#REF!,Extrato!R$3,#REF!,"Fulltbet")</f>
        <v>#REF!</v>
      </c>
      <c r="S238" s="121" t="e">
        <f>SUMIFS(#REF!,#REF!,Extrato!$B238,#REF!,Extrato!S$3,#REF!,"Fulltbet")</f>
        <v>#REF!</v>
      </c>
      <c r="T238" s="121" t="e">
        <f>SUMIFS(#REF!,#REF!,Extrato!$B238,#REF!,Extrato!T$3,#REF!,"Fulltbet")</f>
        <v>#REF!</v>
      </c>
      <c r="U238" s="121" t="e">
        <f>SUMIFS(#REF!,#REF!,Extrato!$B238,#REF!,Extrato!U$3)</f>
        <v>#REF!</v>
      </c>
      <c r="V238" s="121" t="e">
        <f>SUMIFS(#REF!,#REF!,Extrato!$B238,#REF!,Extrato!V$3)</f>
        <v>#REF!</v>
      </c>
      <c r="W238" s="121" t="e">
        <f>SUMIFS(#REF!,#REF!,Extrato!$B238,#REF!,Extrato!W$3,#REF!,"Fulltbet")</f>
        <v>#REF!</v>
      </c>
      <c r="X238" s="121" t="e">
        <f>SUMIFS(#REF!,#REF!,Extrato!$B238,#REF!,Extrato!X$3)</f>
        <v>#REF!</v>
      </c>
      <c r="Y238" s="121" t="e">
        <f>SUMIFS(#REF!,#REF!,Extrato!$B238,#REF!,Extrato!Y$3)</f>
        <v>#REF!</v>
      </c>
      <c r="Z238" s="121" t="e">
        <f>SUMIFS(#REF!,#REF!,Extrato!$B238,#REF!,Extrato!Z$3)</f>
        <v>#REF!</v>
      </c>
      <c r="AA238" s="121" t="e">
        <f>SUMIFS(#REF!,#REF!,Extrato!$B238,#REF!,Extrato!AA$3)</f>
        <v>#REF!</v>
      </c>
      <c r="AB238" s="121" t="e">
        <f>SUMIFS(#REF!,#REF!,Extrato!$B238,#REF!,Extrato!AB$3)</f>
        <v>#REF!</v>
      </c>
      <c r="AC238" s="121" t="e">
        <f>SUMIFS(#REF!,#REF!,Extrato!$B238,#REF!,Extrato!AC$3)</f>
        <v>#REF!</v>
      </c>
      <c r="AD238" s="121" t="e">
        <f>SUMIFS(#REF!,#REF!,Extrato!$B238,#REF!,Extrato!AD$3)</f>
        <v>#REF!</v>
      </c>
      <c r="AE238" s="121" t="e">
        <f>SUMIFS(#REF!,#REF!,Extrato!$B238,#REF!,Extrato!AE$3)</f>
        <v>#REF!</v>
      </c>
      <c r="AF238" s="121" t="e">
        <f>SUMIFS(#REF!,#REF!,Extrato!$B238,#REF!,Extrato!AF$3)</f>
        <v>#REF!</v>
      </c>
      <c r="AG238" s="121" t="e">
        <f>SUMIFS(#REF!,#REF!,Extrato!$B238,#REF!,Extrato!AG$3)</f>
        <v>#REF!</v>
      </c>
      <c r="AH238" s="121" t="e">
        <f>SUMIFS(#REF!,#REF!,Extrato!$B238,#REF!,Extrato!AH$3)</f>
        <v>#REF!</v>
      </c>
      <c r="AI238" s="121" t="e">
        <f>SUMIFS(#REF!,#REF!,Extrato!$B238,#REF!,Extrato!AI$3)</f>
        <v>#REF!</v>
      </c>
      <c r="AJ238" s="121">
        <v>0</v>
      </c>
      <c r="AK238" s="121">
        <v>0.01</v>
      </c>
      <c r="AL238" s="25" t="e">
        <f t="shared" si="11"/>
        <v>#REF!</v>
      </c>
      <c r="AM238" s="122"/>
      <c r="AN238" s="121" t="e">
        <f t="shared" si="15"/>
        <v>#REF!</v>
      </c>
      <c r="AO238" s="121">
        <f>SUMIF(BetFlow!B:B,Extrato!B238,BetFlow!M:M)</f>
        <v>0</v>
      </c>
      <c r="AP238" s="121" t="e">
        <f>SUMIFS(#REF!,#REF!,Extrato!$B238,#REF!,Extrato!AP$3,#REF!,"Betbra")</f>
        <v>#REF!</v>
      </c>
      <c r="AQ238" s="121" t="e">
        <f>SUMIFS(#REF!,#REF!,Extrato!$B238,#REF!,Extrato!AQ$3,#REF!,"Betbra")</f>
        <v>#REF!</v>
      </c>
      <c r="AR238" s="121" t="e">
        <f>SUMIFS(#REF!,#REF!,Extrato!$B238,#REF!,Extrato!AR$3,#REF!,"Betbra")</f>
        <v>#REF!</v>
      </c>
      <c r="AS238" s="121" t="e">
        <f>SUMIFS(#REF!,#REF!,Extrato!$B238,#REF!,Extrato!AS$3,#REF!,"Betbra")</f>
        <v>#REF!</v>
      </c>
      <c r="AT238" s="121" t="e">
        <f>SUMIFS(#REF!,#REF!,Extrato!$B238,#REF!,Extrato!AT$3,#REF!,"Betbra")</f>
        <v>#REF!</v>
      </c>
      <c r="AU238" s="121" t="e">
        <f>SUMIFS(#REF!,#REF!,Extrato!$B238,#REF!,Extrato!AU$3,#REF!,"Betbra")</f>
        <v>#REF!</v>
      </c>
      <c r="AV238" s="121" t="e">
        <f>SUMIFS(#REF!,#REF!,Extrato!$B238,#REF!,Extrato!AV$3,#REF!,"Betbra")</f>
        <v>#REF!</v>
      </c>
      <c r="AW238" s="121" t="e">
        <f>SUMIFS(#REF!,#REF!,Extrato!$B238,#REF!,Extrato!AW$3,#REF!,"Betbra")</f>
        <v>#REF!</v>
      </c>
      <c r="AX238" s="121" t="e">
        <f>SUMIFS(#REF!,#REF!,Extrato!$B238,#REF!,Extrato!AX$3,#REF!,"Betbra")</f>
        <v>#REF!</v>
      </c>
      <c r="AY238" s="121" t="e">
        <f>SUMIFS(#REF!,#REF!,Extrato!$B238,#REF!,Extrato!AY$3,#REF!,"Betbra")</f>
        <v>#REF!</v>
      </c>
      <c r="AZ238" s="121" t="e">
        <f>SUMIFS(#REF!,#REF!,Extrato!$B238,#REF!,Extrato!AZ$3,#REF!,"Betbra")</f>
        <v>#REF!</v>
      </c>
      <c r="BA238" s="121" t="e">
        <f>SUMIFS(#REF!,#REF!,Extrato!$B238,#REF!,Extrato!BA$3,#REF!,"Betbra")</f>
        <v>#REF!</v>
      </c>
      <c r="BB238" s="121" t="e">
        <f>SUMIFS(#REF!,#REF!,Extrato!$B238,#REF!,Extrato!BB$3,#REF!,"Betbra")</f>
        <v>#REF!</v>
      </c>
      <c r="BC238" s="121">
        <v>0</v>
      </c>
      <c r="BD238" s="121">
        <v>-0.02</v>
      </c>
      <c r="BE238" s="25" t="e">
        <f t="shared" si="14"/>
        <v>#REF!</v>
      </c>
      <c r="BF238" s="122"/>
      <c r="BG238" s="121" t="e">
        <f t="shared" si="13"/>
        <v>#REF!</v>
      </c>
      <c r="BH238" s="121" t="e">
        <f>SUMIFS(#REF!,#REF!,Extrato!$B238,#REF!,Extrato!BH$3,#REF!,"Bolsa")</f>
        <v>#REF!</v>
      </c>
      <c r="BI238" s="121" t="e">
        <f>SUMIFS(#REF!,#REF!,Extrato!$B238,#REF!,Extrato!BI$3,#REF!,"Bolsa")</f>
        <v>#REF!</v>
      </c>
      <c r="BJ238" s="121" t="e">
        <f>SUMIFS(#REF!,#REF!,Extrato!$B238,#REF!,Extrato!BJ$3,#REF!,"Bolsa")</f>
        <v>#REF!</v>
      </c>
      <c r="BK238" s="121" t="e">
        <f>SUMIFS(#REF!,#REF!,Extrato!$B238,#REF!,Extrato!BK$3,#REF!,"Bolsa")</f>
        <v>#REF!</v>
      </c>
      <c r="BL238" s="121" t="e">
        <f>SUMIFS(#REF!,#REF!,Extrato!$B238,#REF!,Extrato!BL$3,#REF!,"Bolsa")</f>
        <v>#REF!</v>
      </c>
      <c r="BM238" s="121" t="e">
        <f>SUMIFS(#REF!,#REF!,Extrato!$B238,#REF!,Extrato!BM$3,#REF!,"Bolsa")</f>
        <v>#REF!</v>
      </c>
      <c r="BN238" s="121">
        <v>0</v>
      </c>
      <c r="BO238" s="121">
        <v>-0.01</v>
      </c>
      <c r="BP238" s="25" t="e">
        <f t="shared" si="12"/>
        <v>#REF!</v>
      </c>
    </row>
    <row r="239" spans="2:68" ht="15" customHeight="1">
      <c r="B239" s="12">
        <v>46229</v>
      </c>
      <c r="C239" s="121" t="e">
        <f t="shared" si="10"/>
        <v>#REF!</v>
      </c>
      <c r="D239" s="121" t="e">
        <f>SUMIFS(#REF!,#REF!,Extrato!$B239,#REF!,Extrato!D$3)</f>
        <v>#REF!</v>
      </c>
      <c r="E239" s="121" t="e">
        <f>SUMIFS(#REF!,#REF!,Extrato!$B239,#REF!,Extrato!E$3,#REF!,"Fulltbet")</f>
        <v>#REF!</v>
      </c>
      <c r="F239" s="121" t="e">
        <f>SUMIFS(#REF!,#REF!,Extrato!$B239,#REF!,Extrato!F$3)</f>
        <v>#REF!</v>
      </c>
      <c r="G239" s="121" t="e">
        <f>SUMIFS(#REF!,#REF!,Extrato!$B239,#REF!,Extrato!G$3,#REF!,"Fulltbet")</f>
        <v>#REF!</v>
      </c>
      <c r="H239" s="121" t="e">
        <f>SUMIFS(#REF!,#REF!,Extrato!$B239,#REF!,Extrato!H$3,#REF!,"Fulltbet")</f>
        <v>#REF!</v>
      </c>
      <c r="I239" s="121" t="e">
        <f>SUMIFS(#REF!,#REF!,Extrato!$B239,#REF!,Extrato!I$3,#REF!,"Fulltbet")</f>
        <v>#REF!</v>
      </c>
      <c r="J239" s="121" t="e">
        <f>SUMIFS(#REF!,#REF!,Extrato!$B239,#REF!,Extrato!J$3,#REF!,"Fulltbet")</f>
        <v>#REF!</v>
      </c>
      <c r="K239" s="121" t="e">
        <f>SUMIFS(#REF!,#REF!,Extrato!$B239,#REF!,Extrato!K$3,#REF!,"Fulltbet")</f>
        <v>#REF!</v>
      </c>
      <c r="L239" s="121" t="e">
        <f>SUMIFS(#REF!,#REF!,Extrato!$B239,#REF!,Extrato!L$3,#REF!,"Fulltbet")</f>
        <v>#REF!</v>
      </c>
      <c r="M239" s="121" t="e">
        <f>SUMIFS(#REF!,#REF!,Extrato!$B239,#REF!,Extrato!M$3,#REF!,"Fulltbet")</f>
        <v>#REF!</v>
      </c>
      <c r="N239" s="121" t="e">
        <f>SUMIFS(#REF!,#REF!,Extrato!$B239,#REF!,Extrato!N$3,#REF!,"Fulltbet")</f>
        <v>#REF!</v>
      </c>
      <c r="O239" s="121" t="e">
        <f>SUMIFS(#REF!,#REF!,Extrato!$B239,#REF!,Extrato!O$3,#REF!,"Fulltbet")</f>
        <v>#REF!</v>
      </c>
      <c r="P239" s="121">
        <f>SUMIF(BetFlow!B:B,B239,BetFlow!J:J)</f>
        <v>0</v>
      </c>
      <c r="Q239" s="121" t="e">
        <f>SUMIFS(#REF!,#REF!,Extrato!$B239,#REF!,Extrato!Q$3)</f>
        <v>#REF!</v>
      </c>
      <c r="R239" s="121" t="e">
        <f>SUMIFS(#REF!,#REF!,Extrato!$B239,#REF!,Extrato!R$3,#REF!,"Fulltbet")</f>
        <v>#REF!</v>
      </c>
      <c r="S239" s="121" t="e">
        <f>SUMIFS(#REF!,#REF!,Extrato!$B239,#REF!,Extrato!S$3,#REF!,"Fulltbet")</f>
        <v>#REF!</v>
      </c>
      <c r="T239" s="121" t="e">
        <f>SUMIFS(#REF!,#REF!,Extrato!$B239,#REF!,Extrato!T$3,#REF!,"Fulltbet")</f>
        <v>#REF!</v>
      </c>
      <c r="U239" s="121" t="e">
        <f>SUMIFS(#REF!,#REF!,Extrato!$B239,#REF!,Extrato!U$3)</f>
        <v>#REF!</v>
      </c>
      <c r="V239" s="121" t="e">
        <f>SUMIFS(#REF!,#REF!,Extrato!$B239,#REF!,Extrato!V$3)</f>
        <v>#REF!</v>
      </c>
      <c r="W239" s="121" t="e">
        <f>SUMIFS(#REF!,#REF!,Extrato!$B239,#REF!,Extrato!W$3,#REF!,"Fulltbet")</f>
        <v>#REF!</v>
      </c>
      <c r="X239" s="121" t="e">
        <f>SUMIFS(#REF!,#REF!,Extrato!$B239,#REF!,Extrato!X$3)</f>
        <v>#REF!</v>
      </c>
      <c r="Y239" s="121" t="e">
        <f>SUMIFS(#REF!,#REF!,Extrato!$B239,#REF!,Extrato!Y$3)</f>
        <v>#REF!</v>
      </c>
      <c r="Z239" s="121" t="e">
        <f>SUMIFS(#REF!,#REF!,Extrato!$B239,#REF!,Extrato!Z$3)</f>
        <v>#REF!</v>
      </c>
      <c r="AA239" s="121" t="e">
        <f>SUMIFS(#REF!,#REF!,Extrato!$B239,#REF!,Extrato!AA$3)</f>
        <v>#REF!</v>
      </c>
      <c r="AB239" s="121" t="e">
        <f>SUMIFS(#REF!,#REF!,Extrato!$B239,#REF!,Extrato!AB$3)</f>
        <v>#REF!</v>
      </c>
      <c r="AC239" s="121" t="e">
        <f>SUMIFS(#REF!,#REF!,Extrato!$B239,#REF!,Extrato!AC$3)</f>
        <v>#REF!</v>
      </c>
      <c r="AD239" s="121" t="e">
        <f>SUMIFS(#REF!,#REF!,Extrato!$B239,#REF!,Extrato!AD$3)</f>
        <v>#REF!</v>
      </c>
      <c r="AE239" s="121" t="e">
        <f>SUMIFS(#REF!,#REF!,Extrato!$B239,#REF!,Extrato!AE$3)</f>
        <v>#REF!</v>
      </c>
      <c r="AF239" s="121" t="e">
        <f>SUMIFS(#REF!,#REF!,Extrato!$B239,#REF!,Extrato!AF$3)</f>
        <v>#REF!</v>
      </c>
      <c r="AG239" s="121" t="e">
        <f>SUMIFS(#REF!,#REF!,Extrato!$B239,#REF!,Extrato!AG$3)</f>
        <v>#REF!</v>
      </c>
      <c r="AH239" s="121" t="e">
        <f>SUMIFS(#REF!,#REF!,Extrato!$B239,#REF!,Extrato!AH$3)</f>
        <v>#REF!</v>
      </c>
      <c r="AI239" s="121" t="e">
        <f>SUMIFS(#REF!,#REF!,Extrato!$B239,#REF!,Extrato!AI$3)</f>
        <v>#REF!</v>
      </c>
      <c r="AJ239" s="121">
        <v>0</v>
      </c>
      <c r="AK239" s="121">
        <v>-0.02</v>
      </c>
      <c r="AL239" s="25" t="e">
        <f t="shared" si="11"/>
        <v>#REF!</v>
      </c>
      <c r="AM239" s="122"/>
      <c r="AN239" s="121" t="e">
        <f t="shared" si="15"/>
        <v>#REF!</v>
      </c>
      <c r="AO239" s="121">
        <f>SUMIF(BetFlow!B:B,Extrato!B239,BetFlow!M:M)</f>
        <v>0</v>
      </c>
      <c r="AP239" s="121" t="e">
        <f>SUMIFS(#REF!,#REF!,Extrato!$B239,#REF!,Extrato!AP$3,#REF!,"Betbra")</f>
        <v>#REF!</v>
      </c>
      <c r="AQ239" s="121" t="e">
        <f>SUMIFS(#REF!,#REF!,Extrato!$B239,#REF!,Extrato!AQ$3,#REF!,"Betbra")</f>
        <v>#REF!</v>
      </c>
      <c r="AR239" s="121" t="e">
        <f>SUMIFS(#REF!,#REF!,Extrato!$B239,#REF!,Extrato!AR$3,#REF!,"Betbra")</f>
        <v>#REF!</v>
      </c>
      <c r="AS239" s="121" t="e">
        <f>SUMIFS(#REF!,#REF!,Extrato!$B239,#REF!,Extrato!AS$3,#REF!,"Betbra")</f>
        <v>#REF!</v>
      </c>
      <c r="AT239" s="121" t="e">
        <f>SUMIFS(#REF!,#REF!,Extrato!$B239,#REF!,Extrato!AT$3,#REF!,"Betbra")</f>
        <v>#REF!</v>
      </c>
      <c r="AU239" s="121" t="e">
        <f>SUMIFS(#REF!,#REF!,Extrato!$B239,#REF!,Extrato!AU$3,#REF!,"Betbra")</f>
        <v>#REF!</v>
      </c>
      <c r="AV239" s="121" t="e">
        <f>SUMIFS(#REF!,#REF!,Extrato!$B239,#REF!,Extrato!AV$3,#REF!,"Betbra")</f>
        <v>#REF!</v>
      </c>
      <c r="AW239" s="121" t="e">
        <f>SUMIFS(#REF!,#REF!,Extrato!$B239,#REF!,Extrato!AW$3,#REF!,"Betbra")</f>
        <v>#REF!</v>
      </c>
      <c r="AX239" s="121" t="e">
        <f>SUMIFS(#REF!,#REF!,Extrato!$B239,#REF!,Extrato!AX$3,#REF!,"Betbra")</f>
        <v>#REF!</v>
      </c>
      <c r="AY239" s="121" t="e">
        <f>SUMIFS(#REF!,#REF!,Extrato!$B239,#REF!,Extrato!AY$3,#REF!,"Betbra")</f>
        <v>#REF!</v>
      </c>
      <c r="AZ239" s="121" t="e">
        <f>SUMIFS(#REF!,#REF!,Extrato!$B239,#REF!,Extrato!AZ$3,#REF!,"Betbra")</f>
        <v>#REF!</v>
      </c>
      <c r="BA239" s="121" t="e">
        <f>SUMIFS(#REF!,#REF!,Extrato!$B239,#REF!,Extrato!BA$3,#REF!,"Betbra")</f>
        <v>#REF!</v>
      </c>
      <c r="BB239" s="121" t="e">
        <f>SUMIFS(#REF!,#REF!,Extrato!$B239,#REF!,Extrato!BB$3,#REF!,"Betbra")</f>
        <v>#REF!</v>
      </c>
      <c r="BC239" s="121">
        <v>0</v>
      </c>
      <c r="BD239" s="121">
        <v>0</v>
      </c>
      <c r="BE239" s="25" t="e">
        <f t="shared" si="14"/>
        <v>#REF!</v>
      </c>
      <c r="BF239" s="122"/>
      <c r="BG239" s="121" t="e">
        <f t="shared" si="13"/>
        <v>#REF!</v>
      </c>
      <c r="BH239" s="121" t="e">
        <f>SUMIFS(#REF!,#REF!,Extrato!$B239,#REF!,Extrato!BH$3,#REF!,"Bolsa")</f>
        <v>#REF!</v>
      </c>
      <c r="BI239" s="121" t="e">
        <f>SUMIFS(#REF!,#REF!,Extrato!$B239,#REF!,Extrato!BI$3,#REF!,"Bolsa")</f>
        <v>#REF!</v>
      </c>
      <c r="BJ239" s="121" t="e">
        <f>SUMIFS(#REF!,#REF!,Extrato!$B239,#REF!,Extrato!BJ$3,#REF!,"Bolsa")</f>
        <v>#REF!</v>
      </c>
      <c r="BK239" s="121" t="e">
        <f>SUMIFS(#REF!,#REF!,Extrato!$B239,#REF!,Extrato!BK$3,#REF!,"Bolsa")</f>
        <v>#REF!</v>
      </c>
      <c r="BL239" s="121" t="e">
        <f>SUMIFS(#REF!,#REF!,Extrato!$B239,#REF!,Extrato!BL$3,#REF!,"Bolsa")</f>
        <v>#REF!</v>
      </c>
      <c r="BM239" s="121" t="e">
        <f>SUMIFS(#REF!,#REF!,Extrato!$B239,#REF!,Extrato!BM$3,#REF!,"Bolsa")</f>
        <v>#REF!</v>
      </c>
      <c r="BN239" s="121">
        <v>0</v>
      </c>
      <c r="BO239" s="121">
        <v>0.01</v>
      </c>
      <c r="BP239" s="25" t="e">
        <f t="shared" si="12"/>
        <v>#REF!</v>
      </c>
    </row>
    <row r="240" spans="2:68" ht="15" customHeight="1">
      <c r="B240" s="12">
        <v>46230</v>
      </c>
      <c r="C240" s="121" t="e">
        <f t="shared" si="10"/>
        <v>#REF!</v>
      </c>
      <c r="D240" s="121" t="e">
        <f>SUMIFS(#REF!,#REF!,Extrato!$B240,#REF!,Extrato!D$3)</f>
        <v>#REF!</v>
      </c>
      <c r="E240" s="121" t="e">
        <f>SUMIFS(#REF!,#REF!,Extrato!$B240,#REF!,Extrato!E$3,#REF!,"Fulltbet")</f>
        <v>#REF!</v>
      </c>
      <c r="F240" s="121" t="e">
        <f>SUMIFS(#REF!,#REF!,Extrato!$B240,#REF!,Extrato!F$3)</f>
        <v>#REF!</v>
      </c>
      <c r="G240" s="121" t="e">
        <f>SUMIFS(#REF!,#REF!,Extrato!$B240,#REF!,Extrato!G$3,#REF!,"Fulltbet")</f>
        <v>#REF!</v>
      </c>
      <c r="H240" s="121" t="e">
        <f>SUMIFS(#REF!,#REF!,Extrato!$B240,#REF!,Extrato!H$3,#REF!,"Fulltbet")</f>
        <v>#REF!</v>
      </c>
      <c r="I240" s="121" t="e">
        <f>SUMIFS(#REF!,#REF!,Extrato!$B240,#REF!,Extrato!I$3,#REF!,"Fulltbet")</f>
        <v>#REF!</v>
      </c>
      <c r="J240" s="121" t="e">
        <f>SUMIFS(#REF!,#REF!,Extrato!$B240,#REF!,Extrato!J$3,#REF!,"Fulltbet")</f>
        <v>#REF!</v>
      </c>
      <c r="K240" s="121" t="e">
        <f>SUMIFS(#REF!,#REF!,Extrato!$B240,#REF!,Extrato!K$3,#REF!,"Fulltbet")</f>
        <v>#REF!</v>
      </c>
      <c r="L240" s="121" t="e">
        <f>SUMIFS(#REF!,#REF!,Extrato!$B240,#REF!,Extrato!L$3,#REF!,"Fulltbet")</f>
        <v>#REF!</v>
      </c>
      <c r="M240" s="121" t="e">
        <f>SUMIFS(#REF!,#REF!,Extrato!$B240,#REF!,Extrato!M$3,#REF!,"Fulltbet")</f>
        <v>#REF!</v>
      </c>
      <c r="N240" s="121" t="e">
        <f>SUMIFS(#REF!,#REF!,Extrato!$B240,#REF!,Extrato!N$3,#REF!,"Fulltbet")</f>
        <v>#REF!</v>
      </c>
      <c r="O240" s="121" t="e">
        <f>SUMIFS(#REF!,#REF!,Extrato!$B240,#REF!,Extrato!O$3,#REF!,"Fulltbet")</f>
        <v>#REF!</v>
      </c>
      <c r="P240" s="121">
        <f>SUMIF(BetFlow!B:B,B240,BetFlow!J:J)</f>
        <v>0</v>
      </c>
      <c r="Q240" s="121" t="e">
        <f>SUMIFS(#REF!,#REF!,Extrato!$B240,#REF!,Extrato!Q$3)</f>
        <v>#REF!</v>
      </c>
      <c r="R240" s="121" t="e">
        <f>SUMIFS(#REF!,#REF!,Extrato!$B240,#REF!,Extrato!R$3,#REF!,"Fulltbet")</f>
        <v>#REF!</v>
      </c>
      <c r="S240" s="121" t="e">
        <f>SUMIFS(#REF!,#REF!,Extrato!$B240,#REF!,Extrato!S$3,#REF!,"Fulltbet")</f>
        <v>#REF!</v>
      </c>
      <c r="T240" s="121" t="e">
        <f>SUMIFS(#REF!,#REF!,Extrato!$B240,#REF!,Extrato!T$3,#REF!,"Fulltbet")</f>
        <v>#REF!</v>
      </c>
      <c r="U240" s="121" t="e">
        <f>SUMIFS(#REF!,#REF!,Extrato!$B240,#REF!,Extrato!U$3)</f>
        <v>#REF!</v>
      </c>
      <c r="V240" s="121" t="e">
        <f>SUMIFS(#REF!,#REF!,Extrato!$B240,#REF!,Extrato!V$3)</f>
        <v>#REF!</v>
      </c>
      <c r="W240" s="121" t="e">
        <f>SUMIFS(#REF!,#REF!,Extrato!$B240,#REF!,Extrato!W$3,#REF!,"Fulltbet")</f>
        <v>#REF!</v>
      </c>
      <c r="X240" s="121" t="e">
        <f>SUMIFS(#REF!,#REF!,Extrato!$B240,#REF!,Extrato!X$3)</f>
        <v>#REF!</v>
      </c>
      <c r="Y240" s="121" t="e">
        <f>SUMIFS(#REF!,#REF!,Extrato!$B240,#REF!,Extrato!Y$3)</f>
        <v>#REF!</v>
      </c>
      <c r="Z240" s="121" t="e">
        <f>SUMIFS(#REF!,#REF!,Extrato!$B240,#REF!,Extrato!Z$3)</f>
        <v>#REF!</v>
      </c>
      <c r="AA240" s="121" t="e">
        <f>SUMIFS(#REF!,#REF!,Extrato!$B240,#REF!,Extrato!AA$3)</f>
        <v>#REF!</v>
      </c>
      <c r="AB240" s="121" t="e">
        <f>SUMIFS(#REF!,#REF!,Extrato!$B240,#REF!,Extrato!AB$3)</f>
        <v>#REF!</v>
      </c>
      <c r="AC240" s="121" t="e">
        <f>SUMIFS(#REF!,#REF!,Extrato!$B240,#REF!,Extrato!AC$3)</f>
        <v>#REF!</v>
      </c>
      <c r="AD240" s="121" t="e">
        <f>SUMIFS(#REF!,#REF!,Extrato!$B240,#REF!,Extrato!AD$3)</f>
        <v>#REF!</v>
      </c>
      <c r="AE240" s="121" t="e">
        <f>SUMIFS(#REF!,#REF!,Extrato!$B240,#REF!,Extrato!AE$3)</f>
        <v>#REF!</v>
      </c>
      <c r="AF240" s="121" t="e">
        <f>SUMIFS(#REF!,#REF!,Extrato!$B240,#REF!,Extrato!AF$3)</f>
        <v>#REF!</v>
      </c>
      <c r="AG240" s="121" t="e">
        <f>SUMIFS(#REF!,#REF!,Extrato!$B240,#REF!,Extrato!AG$3)</f>
        <v>#REF!</v>
      </c>
      <c r="AH240" s="121" t="e">
        <f>SUMIFS(#REF!,#REF!,Extrato!$B240,#REF!,Extrato!AH$3)</f>
        <v>#REF!</v>
      </c>
      <c r="AI240" s="121" t="e">
        <f>SUMIFS(#REF!,#REF!,Extrato!$B240,#REF!,Extrato!AI$3)</f>
        <v>#REF!</v>
      </c>
      <c r="AJ240" s="121">
        <v>0</v>
      </c>
      <c r="AK240" s="121">
        <v>-0.01</v>
      </c>
      <c r="AL240" s="25" t="e">
        <f t="shared" si="11"/>
        <v>#REF!</v>
      </c>
      <c r="AM240" s="122"/>
      <c r="AN240" s="121" t="e">
        <f t="shared" si="15"/>
        <v>#REF!</v>
      </c>
      <c r="AO240" s="121">
        <f>SUMIF(BetFlow!B:B,Extrato!B240,BetFlow!M:M)</f>
        <v>0</v>
      </c>
      <c r="AP240" s="121" t="e">
        <f>SUMIFS(#REF!,#REF!,Extrato!$B240,#REF!,Extrato!AP$3,#REF!,"Betbra")</f>
        <v>#REF!</v>
      </c>
      <c r="AQ240" s="121" t="e">
        <f>SUMIFS(#REF!,#REF!,Extrato!$B240,#REF!,Extrato!AQ$3,#REF!,"Betbra")</f>
        <v>#REF!</v>
      </c>
      <c r="AR240" s="121" t="e">
        <f>SUMIFS(#REF!,#REF!,Extrato!$B240,#REF!,Extrato!AR$3,#REF!,"Betbra")</f>
        <v>#REF!</v>
      </c>
      <c r="AS240" s="121" t="e">
        <f>SUMIFS(#REF!,#REF!,Extrato!$B240,#REF!,Extrato!AS$3,#REF!,"Betbra")</f>
        <v>#REF!</v>
      </c>
      <c r="AT240" s="121" t="e">
        <f>SUMIFS(#REF!,#REF!,Extrato!$B240,#REF!,Extrato!AT$3,#REF!,"Betbra")</f>
        <v>#REF!</v>
      </c>
      <c r="AU240" s="121" t="e">
        <f>SUMIFS(#REF!,#REF!,Extrato!$B240,#REF!,Extrato!AU$3,#REF!,"Betbra")</f>
        <v>#REF!</v>
      </c>
      <c r="AV240" s="121" t="e">
        <f>SUMIFS(#REF!,#REF!,Extrato!$B240,#REF!,Extrato!AV$3,#REF!,"Betbra")</f>
        <v>#REF!</v>
      </c>
      <c r="AW240" s="121" t="e">
        <f>SUMIFS(#REF!,#REF!,Extrato!$B240,#REF!,Extrato!AW$3,#REF!,"Betbra")</f>
        <v>#REF!</v>
      </c>
      <c r="AX240" s="121" t="e">
        <f>SUMIFS(#REF!,#REF!,Extrato!$B240,#REF!,Extrato!AX$3,#REF!,"Betbra")</f>
        <v>#REF!</v>
      </c>
      <c r="AY240" s="121" t="e">
        <f>SUMIFS(#REF!,#REF!,Extrato!$B240,#REF!,Extrato!AY$3,#REF!,"Betbra")</f>
        <v>#REF!</v>
      </c>
      <c r="AZ240" s="121" t="e">
        <f>SUMIFS(#REF!,#REF!,Extrato!$B240,#REF!,Extrato!AZ$3,#REF!,"Betbra")</f>
        <v>#REF!</v>
      </c>
      <c r="BA240" s="121" t="e">
        <f>SUMIFS(#REF!,#REF!,Extrato!$B240,#REF!,Extrato!BA$3,#REF!,"Betbra")</f>
        <v>#REF!</v>
      </c>
      <c r="BB240" s="121" t="e">
        <f>SUMIFS(#REF!,#REF!,Extrato!$B240,#REF!,Extrato!BB$3,#REF!,"Betbra")</f>
        <v>#REF!</v>
      </c>
      <c r="BC240" s="121">
        <v>0</v>
      </c>
      <c r="BD240" s="121">
        <v>0</v>
      </c>
      <c r="BE240" s="25" t="e">
        <f t="shared" si="14"/>
        <v>#REF!</v>
      </c>
      <c r="BF240" s="122"/>
      <c r="BG240" s="121" t="e">
        <f t="shared" si="13"/>
        <v>#REF!</v>
      </c>
      <c r="BH240" s="121" t="e">
        <f>SUMIFS(#REF!,#REF!,Extrato!$B240,#REF!,Extrato!BH$3,#REF!,"Bolsa")</f>
        <v>#REF!</v>
      </c>
      <c r="BI240" s="121" t="e">
        <f>SUMIFS(#REF!,#REF!,Extrato!$B240,#REF!,Extrato!BI$3,#REF!,"Bolsa")</f>
        <v>#REF!</v>
      </c>
      <c r="BJ240" s="121" t="e">
        <f>SUMIFS(#REF!,#REF!,Extrato!$B240,#REF!,Extrato!BJ$3,#REF!,"Bolsa")</f>
        <v>#REF!</v>
      </c>
      <c r="BK240" s="121" t="e">
        <f>SUMIFS(#REF!,#REF!,Extrato!$B240,#REF!,Extrato!BK$3,#REF!,"Bolsa")</f>
        <v>#REF!</v>
      </c>
      <c r="BL240" s="121" t="e">
        <f>SUMIFS(#REF!,#REF!,Extrato!$B240,#REF!,Extrato!BL$3,#REF!,"Bolsa")</f>
        <v>#REF!</v>
      </c>
      <c r="BM240" s="121" t="e">
        <f>SUMIFS(#REF!,#REF!,Extrato!$B240,#REF!,Extrato!BM$3,#REF!,"Bolsa")</f>
        <v>#REF!</v>
      </c>
      <c r="BN240" s="121">
        <v>0</v>
      </c>
      <c r="BO240" s="121">
        <v>0</v>
      </c>
      <c r="BP240" s="25" t="e">
        <f t="shared" si="12"/>
        <v>#REF!</v>
      </c>
    </row>
    <row r="241" spans="2:68" ht="15" customHeight="1">
      <c r="B241" s="12">
        <v>46231</v>
      </c>
      <c r="C241" s="121" t="e">
        <f t="shared" si="10"/>
        <v>#REF!</v>
      </c>
      <c r="D241" s="121" t="e">
        <f>SUMIFS(#REF!,#REF!,Extrato!$B241,#REF!,Extrato!D$3)</f>
        <v>#REF!</v>
      </c>
      <c r="E241" s="121" t="e">
        <f>SUMIFS(#REF!,#REF!,Extrato!$B241,#REF!,Extrato!E$3,#REF!,"Fulltbet")</f>
        <v>#REF!</v>
      </c>
      <c r="F241" s="121" t="e">
        <f>SUMIFS(#REF!,#REF!,Extrato!$B241,#REF!,Extrato!F$3)</f>
        <v>#REF!</v>
      </c>
      <c r="G241" s="121" t="e">
        <f>SUMIFS(#REF!,#REF!,Extrato!$B241,#REF!,Extrato!G$3,#REF!,"Fulltbet")</f>
        <v>#REF!</v>
      </c>
      <c r="H241" s="121" t="e">
        <f>SUMIFS(#REF!,#REF!,Extrato!$B241,#REF!,Extrato!H$3,#REF!,"Fulltbet")</f>
        <v>#REF!</v>
      </c>
      <c r="I241" s="121" t="e">
        <f>SUMIFS(#REF!,#REF!,Extrato!$B241,#REF!,Extrato!I$3,#REF!,"Fulltbet")</f>
        <v>#REF!</v>
      </c>
      <c r="J241" s="121" t="e">
        <f>SUMIFS(#REF!,#REF!,Extrato!$B241,#REF!,Extrato!J$3,#REF!,"Fulltbet")</f>
        <v>#REF!</v>
      </c>
      <c r="K241" s="121" t="e">
        <f>SUMIFS(#REF!,#REF!,Extrato!$B241,#REF!,Extrato!K$3,#REF!,"Fulltbet")</f>
        <v>#REF!</v>
      </c>
      <c r="L241" s="121" t="e">
        <f>SUMIFS(#REF!,#REF!,Extrato!$B241,#REF!,Extrato!L$3,#REF!,"Fulltbet")</f>
        <v>#REF!</v>
      </c>
      <c r="M241" s="121" t="e">
        <f>SUMIFS(#REF!,#REF!,Extrato!$B241,#REF!,Extrato!M$3,#REF!,"Fulltbet")</f>
        <v>#REF!</v>
      </c>
      <c r="N241" s="121" t="e">
        <f>SUMIFS(#REF!,#REF!,Extrato!$B241,#REF!,Extrato!N$3,#REF!,"Fulltbet")</f>
        <v>#REF!</v>
      </c>
      <c r="O241" s="121" t="e">
        <f>SUMIFS(#REF!,#REF!,Extrato!$B241,#REF!,Extrato!O$3,#REF!,"Fulltbet")</f>
        <v>#REF!</v>
      </c>
      <c r="P241" s="121">
        <f>SUMIF(BetFlow!B:B,B241,BetFlow!J:J)</f>
        <v>0</v>
      </c>
      <c r="Q241" s="121" t="e">
        <f>SUMIFS(#REF!,#REF!,Extrato!$B241,#REF!,Extrato!Q$3)</f>
        <v>#REF!</v>
      </c>
      <c r="R241" s="121" t="e">
        <f>SUMIFS(#REF!,#REF!,Extrato!$B241,#REF!,Extrato!R$3,#REF!,"Fulltbet")</f>
        <v>#REF!</v>
      </c>
      <c r="S241" s="121" t="e">
        <f>SUMIFS(#REF!,#REF!,Extrato!$B241,#REF!,Extrato!S$3,#REF!,"Fulltbet")</f>
        <v>#REF!</v>
      </c>
      <c r="T241" s="121" t="e">
        <f>SUMIFS(#REF!,#REF!,Extrato!$B241,#REF!,Extrato!T$3,#REF!,"Fulltbet")</f>
        <v>#REF!</v>
      </c>
      <c r="U241" s="121" t="e">
        <f>SUMIFS(#REF!,#REF!,Extrato!$B241,#REF!,Extrato!U$3)</f>
        <v>#REF!</v>
      </c>
      <c r="V241" s="121" t="e">
        <f>SUMIFS(#REF!,#REF!,Extrato!$B241,#REF!,Extrato!V$3)</f>
        <v>#REF!</v>
      </c>
      <c r="W241" s="121" t="e">
        <f>SUMIFS(#REF!,#REF!,Extrato!$B241,#REF!,Extrato!W$3,#REF!,"Fulltbet")</f>
        <v>#REF!</v>
      </c>
      <c r="X241" s="121" t="e">
        <f>SUMIFS(#REF!,#REF!,Extrato!$B241,#REF!,Extrato!X$3)</f>
        <v>#REF!</v>
      </c>
      <c r="Y241" s="121" t="e">
        <f>SUMIFS(#REF!,#REF!,Extrato!$B241,#REF!,Extrato!Y$3)</f>
        <v>#REF!</v>
      </c>
      <c r="Z241" s="121" t="e">
        <f>SUMIFS(#REF!,#REF!,Extrato!$B241,#REF!,Extrato!Z$3)</f>
        <v>#REF!</v>
      </c>
      <c r="AA241" s="121" t="e">
        <f>SUMIFS(#REF!,#REF!,Extrato!$B241,#REF!,Extrato!AA$3)</f>
        <v>#REF!</v>
      </c>
      <c r="AB241" s="121" t="e">
        <f>SUMIFS(#REF!,#REF!,Extrato!$B241,#REF!,Extrato!AB$3)</f>
        <v>#REF!</v>
      </c>
      <c r="AC241" s="121" t="e">
        <f>SUMIFS(#REF!,#REF!,Extrato!$B241,#REF!,Extrato!AC$3)</f>
        <v>#REF!</v>
      </c>
      <c r="AD241" s="121" t="e">
        <f>SUMIFS(#REF!,#REF!,Extrato!$B241,#REF!,Extrato!AD$3)</f>
        <v>#REF!</v>
      </c>
      <c r="AE241" s="121" t="e">
        <f>SUMIFS(#REF!,#REF!,Extrato!$B241,#REF!,Extrato!AE$3)</f>
        <v>#REF!</v>
      </c>
      <c r="AF241" s="121" t="e">
        <f>SUMIFS(#REF!,#REF!,Extrato!$B241,#REF!,Extrato!AF$3)</f>
        <v>#REF!</v>
      </c>
      <c r="AG241" s="121" t="e">
        <f>SUMIFS(#REF!,#REF!,Extrato!$B241,#REF!,Extrato!AG$3)</f>
        <v>#REF!</v>
      </c>
      <c r="AH241" s="121" t="e">
        <f>SUMIFS(#REF!,#REF!,Extrato!$B241,#REF!,Extrato!AH$3)</f>
        <v>#REF!</v>
      </c>
      <c r="AI241" s="121" t="e">
        <f>SUMIFS(#REF!,#REF!,Extrato!$B241,#REF!,Extrato!AI$3)</f>
        <v>#REF!</v>
      </c>
      <c r="AJ241" s="121">
        <v>0</v>
      </c>
      <c r="AK241" s="121">
        <v>0</v>
      </c>
      <c r="AL241" s="25" t="e">
        <f t="shared" si="11"/>
        <v>#REF!</v>
      </c>
      <c r="AM241" s="122"/>
      <c r="AN241" s="121" t="e">
        <f t="shared" si="15"/>
        <v>#REF!</v>
      </c>
      <c r="AO241" s="121">
        <f>SUMIF(BetFlow!B:B,Extrato!B241,BetFlow!M:M)</f>
        <v>0</v>
      </c>
      <c r="AP241" s="121" t="e">
        <f>SUMIFS(#REF!,#REF!,Extrato!$B241,#REF!,Extrato!AP$3,#REF!,"Betbra")</f>
        <v>#REF!</v>
      </c>
      <c r="AQ241" s="121" t="e">
        <f>SUMIFS(#REF!,#REF!,Extrato!$B241,#REF!,Extrato!AQ$3,#REF!,"Betbra")</f>
        <v>#REF!</v>
      </c>
      <c r="AR241" s="121" t="e">
        <f>SUMIFS(#REF!,#REF!,Extrato!$B241,#REF!,Extrato!AR$3,#REF!,"Betbra")</f>
        <v>#REF!</v>
      </c>
      <c r="AS241" s="121" t="e">
        <f>SUMIFS(#REF!,#REF!,Extrato!$B241,#REF!,Extrato!AS$3,#REF!,"Betbra")</f>
        <v>#REF!</v>
      </c>
      <c r="AT241" s="121" t="e">
        <f>SUMIFS(#REF!,#REF!,Extrato!$B241,#REF!,Extrato!AT$3,#REF!,"Betbra")</f>
        <v>#REF!</v>
      </c>
      <c r="AU241" s="121" t="e">
        <f>SUMIFS(#REF!,#REF!,Extrato!$B241,#REF!,Extrato!AU$3,#REF!,"Betbra")</f>
        <v>#REF!</v>
      </c>
      <c r="AV241" s="121" t="e">
        <f>SUMIFS(#REF!,#REF!,Extrato!$B241,#REF!,Extrato!AV$3,#REF!,"Betbra")</f>
        <v>#REF!</v>
      </c>
      <c r="AW241" s="121" t="e">
        <f>SUMIFS(#REF!,#REF!,Extrato!$B241,#REF!,Extrato!AW$3,#REF!,"Betbra")</f>
        <v>#REF!</v>
      </c>
      <c r="AX241" s="121" t="e">
        <f>SUMIFS(#REF!,#REF!,Extrato!$B241,#REF!,Extrato!AX$3,#REF!,"Betbra")</f>
        <v>#REF!</v>
      </c>
      <c r="AY241" s="121" t="e">
        <f>SUMIFS(#REF!,#REF!,Extrato!$B241,#REF!,Extrato!AY$3,#REF!,"Betbra")</f>
        <v>#REF!</v>
      </c>
      <c r="AZ241" s="121" t="e">
        <f>SUMIFS(#REF!,#REF!,Extrato!$B241,#REF!,Extrato!AZ$3,#REF!,"Betbra")</f>
        <v>#REF!</v>
      </c>
      <c r="BA241" s="121" t="e">
        <f>SUMIFS(#REF!,#REF!,Extrato!$B241,#REF!,Extrato!BA$3,#REF!,"Betbra")</f>
        <v>#REF!</v>
      </c>
      <c r="BB241" s="121" t="e">
        <f>SUMIFS(#REF!,#REF!,Extrato!$B241,#REF!,Extrato!BB$3,#REF!,"Betbra")</f>
        <v>#REF!</v>
      </c>
      <c r="BC241" s="121">
        <v>0</v>
      </c>
      <c r="BD241" s="121">
        <v>0</v>
      </c>
      <c r="BE241" s="25" t="e">
        <f t="shared" si="14"/>
        <v>#REF!</v>
      </c>
      <c r="BF241" s="122"/>
      <c r="BG241" s="121" t="e">
        <f t="shared" si="13"/>
        <v>#REF!</v>
      </c>
      <c r="BH241" s="121" t="e">
        <f>SUMIFS(#REF!,#REF!,Extrato!$B241,#REF!,Extrato!BH$3,#REF!,"Bolsa")</f>
        <v>#REF!</v>
      </c>
      <c r="BI241" s="121" t="e">
        <f>SUMIFS(#REF!,#REF!,Extrato!$B241,#REF!,Extrato!BI$3,#REF!,"Bolsa")</f>
        <v>#REF!</v>
      </c>
      <c r="BJ241" s="121" t="e">
        <f>SUMIFS(#REF!,#REF!,Extrato!$B241,#REF!,Extrato!BJ$3,#REF!,"Bolsa")</f>
        <v>#REF!</v>
      </c>
      <c r="BK241" s="121" t="e">
        <f>SUMIFS(#REF!,#REF!,Extrato!$B241,#REF!,Extrato!BK$3,#REF!,"Bolsa")</f>
        <v>#REF!</v>
      </c>
      <c r="BL241" s="121" t="e">
        <f>SUMIFS(#REF!,#REF!,Extrato!$B241,#REF!,Extrato!BL$3,#REF!,"Bolsa")</f>
        <v>#REF!</v>
      </c>
      <c r="BM241" s="121" t="e">
        <f>SUMIFS(#REF!,#REF!,Extrato!$B241,#REF!,Extrato!BM$3,#REF!,"Bolsa")</f>
        <v>#REF!</v>
      </c>
      <c r="BN241" s="121">
        <v>0</v>
      </c>
      <c r="BO241" s="121">
        <v>0</v>
      </c>
      <c r="BP241" s="25" t="e">
        <f t="shared" si="12"/>
        <v>#REF!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547"/>
  <sheetViews>
    <sheetView showGridLines="0" zoomScale="60" zoomScaleNormal="60" workbookViewId="0">
      <pane ySplit="2" topLeftCell="A3" activePane="bottomLeft" state="frozen"/>
      <selection pane="bottomLeft" activeCell="B13" sqref="B13"/>
    </sheetView>
  </sheetViews>
  <sheetFormatPr defaultRowHeight="15" customHeight="1"/>
  <cols>
    <col min="1" max="1" width="3.296875" style="8" customWidth="1"/>
    <col min="2" max="2" width="52.3984375" style="8" bestFit="1" customWidth="1"/>
    <col min="3" max="3" width="9.8984375" style="10" bestFit="1" customWidth="1"/>
    <col min="4" max="4" width="18.5" style="8" bestFit="1" customWidth="1"/>
    <col min="5" max="5" width="12.5" style="8" bestFit="1" customWidth="1"/>
    <col min="6" max="6" width="11" style="8" bestFit="1" customWidth="1"/>
    <col min="7" max="7" width="10.69921875" style="8" bestFit="1" customWidth="1"/>
    <col min="8" max="8" width="19.8984375" style="8" bestFit="1" customWidth="1"/>
    <col min="9" max="9" width="21.796875" style="8" bestFit="1" customWidth="1"/>
    <col min="10" max="10" width="22.69921875" style="8" bestFit="1" customWidth="1"/>
    <col min="11" max="11" width="8.796875" style="8"/>
    <col min="12" max="12" width="9.796875" style="8" bestFit="1" customWidth="1"/>
    <col min="13" max="15" width="9.09765625" style="8" customWidth="1"/>
    <col min="16" max="16" width="16.3984375" style="8" bestFit="1" customWidth="1"/>
    <col min="17" max="17" width="28.09765625" style="8" bestFit="1" customWidth="1"/>
    <col min="18" max="18" width="34.59765625" style="8" bestFit="1" customWidth="1"/>
    <col min="19" max="19" width="52.3984375" style="8" bestFit="1" customWidth="1"/>
    <col min="20" max="21" width="8.796875" style="8"/>
    <col min="22" max="22" width="10.59765625" style="8" bestFit="1" customWidth="1"/>
    <col min="23" max="16384" width="8.796875" style="8"/>
  </cols>
  <sheetData>
    <row r="2" spans="2:21" ht="15" customHeight="1">
      <c r="B2" s="126" t="s">
        <v>3323</v>
      </c>
      <c r="C2" s="127" t="s">
        <v>3324</v>
      </c>
      <c r="D2" s="127" t="s">
        <v>7</v>
      </c>
      <c r="E2" s="127" t="s">
        <v>9</v>
      </c>
      <c r="F2" s="127" t="s">
        <v>539</v>
      </c>
      <c r="G2" s="127" t="s">
        <v>10</v>
      </c>
      <c r="H2" s="127" t="s">
        <v>3</v>
      </c>
      <c r="I2" s="127" t="s">
        <v>72</v>
      </c>
      <c r="J2" s="127" t="s">
        <v>12</v>
      </c>
      <c r="K2" s="127" t="s">
        <v>11</v>
      </c>
      <c r="L2" s="127" t="s">
        <v>0</v>
      </c>
      <c r="M2" s="127" t="s">
        <v>538</v>
      </c>
      <c r="N2" s="127" t="s">
        <v>540</v>
      </c>
      <c r="O2" s="127" t="s">
        <v>339</v>
      </c>
      <c r="P2" s="127" t="s">
        <v>959</v>
      </c>
      <c r="Q2" s="127" t="s">
        <v>300</v>
      </c>
      <c r="R2" s="127" t="s">
        <v>301</v>
      </c>
      <c r="S2" s="127" t="s">
        <v>3343</v>
      </c>
      <c r="T2" s="118"/>
    </row>
    <row r="3" spans="2:21" ht="15" customHeight="1">
      <c r="B3" s="128" t="s">
        <v>48</v>
      </c>
      <c r="C3" s="128" t="s">
        <v>2982</v>
      </c>
      <c r="D3" s="129">
        <v>45990.764884259261</v>
      </c>
      <c r="E3" s="130">
        <v>11.3645</v>
      </c>
      <c r="F3" s="131">
        <v>4.4999999999999998E-2</v>
      </c>
      <c r="G3" s="126">
        <f t="shared" ref="G3:G66" si="0">IF(E3&gt;0,E3/(1-F3),E3)</f>
        <v>11.9</v>
      </c>
      <c r="H3" s="126" t="s">
        <v>73</v>
      </c>
      <c r="I3" s="127" t="s">
        <v>13</v>
      </c>
      <c r="J3" s="126">
        <v>9.4</v>
      </c>
      <c r="K3" s="126">
        <v>99.96</v>
      </c>
      <c r="L3" s="129">
        <f>INT(base[[#This Row],[Data de liquidação]])</f>
        <v>45990</v>
      </c>
      <c r="M3" s="126">
        <f>base[[#This Row],[L/P Bruto]]-base[[#This Row],[L/P Líquido]]</f>
        <v>0.53550000000000075</v>
      </c>
      <c r="N3" s="126">
        <f>base[[#This Row],[L/P Líquido]]/base[[#This Row],[Stake/Responsabilidade]]</f>
        <v>0.11369047619047619</v>
      </c>
      <c r="O3" s="132">
        <f>IF(base[[#This Row],[L/P Líquido]]&gt;0,1,0)</f>
        <v>1</v>
      </c>
      <c r="P3" s="132"/>
      <c r="Q3" s="132" t="str">
        <f>LEFT(base[[#This Row],[Evento / Mercado]],FIND("vs",base[[#This Row],[Evento / Mercado]])-2)</f>
        <v>FC Luzern</v>
      </c>
      <c r="R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Winterthur</v>
      </c>
      <c r="S3" s="132" t="str">
        <f>LEFT(base[[#This Row],[Evento / Mercado]],FIND("/",base[[#This Row],[Evento / Mercado]])-2)</f>
        <v>FC Luzern vs FC Winterthur</v>
      </c>
      <c r="T3" s="8">
        <v>11.9</v>
      </c>
      <c r="U3" s="9">
        <f>T3*0.955</f>
        <v>11.3645</v>
      </c>
    </row>
    <row r="4" spans="2:21" ht="15" customHeight="1">
      <c r="B4" s="128" t="s">
        <v>48</v>
      </c>
      <c r="C4" s="128" t="s">
        <v>2982</v>
      </c>
      <c r="D4" s="129">
        <v>45990.764884259261</v>
      </c>
      <c r="E4" s="130">
        <v>19.099999999999998</v>
      </c>
      <c r="F4" s="131">
        <v>4.4999999999999998E-2</v>
      </c>
      <c r="G4" s="126">
        <f t="shared" si="0"/>
        <v>20</v>
      </c>
      <c r="H4" s="126" t="s">
        <v>73</v>
      </c>
      <c r="I4" s="127" t="s">
        <v>16</v>
      </c>
      <c r="J4" s="126">
        <v>6</v>
      </c>
      <c r="K4" s="126">
        <v>100</v>
      </c>
      <c r="L4" s="129">
        <f>INT(base[[#This Row],[Data de liquidação]])</f>
        <v>45990</v>
      </c>
      <c r="M4" s="126">
        <f>base[[#This Row],[L/P Bruto]]-base[[#This Row],[L/P Líquido]]</f>
        <v>0.90000000000000213</v>
      </c>
      <c r="N4" s="126">
        <f>base[[#This Row],[L/P Líquido]]/base[[#This Row],[Stake/Responsabilidade]]</f>
        <v>0.19099999999999998</v>
      </c>
      <c r="O4" s="132">
        <f>IF(base[[#This Row],[L/P Líquido]]&gt;0,1,0)</f>
        <v>1</v>
      </c>
      <c r="P4" s="132"/>
      <c r="Q4" s="132" t="str">
        <f>LEFT(base[[#This Row],[Evento / Mercado]],FIND("vs",base[[#This Row],[Evento / Mercado]])-2)</f>
        <v>FC Luzern</v>
      </c>
      <c r="R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Winterthur</v>
      </c>
      <c r="S4" s="132" t="str">
        <f>LEFT(base[[#This Row],[Evento / Mercado]],FIND("/",base[[#This Row],[Evento / Mercado]])-2)</f>
        <v>FC Luzern vs FC Winterthur</v>
      </c>
      <c r="T4" s="8">
        <v>20</v>
      </c>
      <c r="U4" s="9">
        <f>T4*0.955</f>
        <v>19.099999999999998</v>
      </c>
    </row>
    <row r="5" spans="2:21" s="4" customFormat="1" ht="15" customHeight="1">
      <c r="B5" s="133" t="s">
        <v>47</v>
      </c>
      <c r="C5" s="128" t="s">
        <v>2982</v>
      </c>
      <c r="D5" s="134">
        <v>45990.785810185182</v>
      </c>
      <c r="E5" s="135">
        <v>8.68</v>
      </c>
      <c r="F5" s="136">
        <v>4.4999999999999998E-2</v>
      </c>
      <c r="G5" s="137">
        <f t="shared" si="0"/>
        <v>9.0890052356020945</v>
      </c>
      <c r="H5" s="137" t="s">
        <v>73</v>
      </c>
      <c r="I5" s="127" t="s">
        <v>13</v>
      </c>
      <c r="J5" s="137">
        <v>12</v>
      </c>
      <c r="K5" s="137">
        <v>99.99</v>
      </c>
      <c r="L5" s="134">
        <f>INT(base[[#This Row],[Data de liquidação]])</f>
        <v>45990</v>
      </c>
      <c r="M5" s="137">
        <f>base[[#This Row],[L/P Bruto]]-base[[#This Row],[L/P Líquido]]</f>
        <v>0.40900523560209479</v>
      </c>
      <c r="N5" s="137">
        <f>base[[#This Row],[L/P Líquido]]/base[[#This Row],[Stake/Responsabilidade]]</f>
        <v>8.680868086808681E-2</v>
      </c>
      <c r="O5" s="138">
        <f>IF(base[[#This Row],[L/P Líquido]]&gt;0,1,0)</f>
        <v>1</v>
      </c>
      <c r="P5" s="138"/>
      <c r="Q5" s="138" t="str">
        <f>LEFT(base[[#This Row],[Evento / Mercado]],FIND("vs",base[[#This Row],[Evento / Mercado]])-2)</f>
        <v>AC Milan</v>
      </c>
      <c r="R5" s="13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Lazio</v>
      </c>
      <c r="S5" s="138" t="str">
        <f>LEFT(base[[#This Row],[Evento / Mercado]],FIND("/",base[[#This Row],[Evento / Mercado]])-2)</f>
        <v>AC Milan vs Lazio</v>
      </c>
    </row>
    <row r="6" spans="2:21" ht="15" customHeight="1">
      <c r="B6" s="128" t="s">
        <v>46</v>
      </c>
      <c r="C6" s="128" t="s">
        <v>2982</v>
      </c>
      <c r="D6" s="129">
        <v>45990.791944444441</v>
      </c>
      <c r="E6" s="130">
        <v>11.10665</v>
      </c>
      <c r="F6" s="131">
        <v>4.4999999999999998E-2</v>
      </c>
      <c r="G6" s="126">
        <f t="shared" si="0"/>
        <v>11.63</v>
      </c>
      <c r="H6" s="126" t="s">
        <v>73</v>
      </c>
      <c r="I6" s="127" t="s">
        <v>16</v>
      </c>
      <c r="J6" s="126">
        <v>9.6</v>
      </c>
      <c r="K6" s="126">
        <v>100.02</v>
      </c>
      <c r="L6" s="129">
        <f>INT(base[[#This Row],[Data de liquidação]])</f>
        <v>45990</v>
      </c>
      <c r="M6" s="126">
        <f>base[[#This Row],[L/P Bruto]]-base[[#This Row],[L/P Líquido]]</f>
        <v>0.52335000000000065</v>
      </c>
      <c r="N6" s="126">
        <f>base[[#This Row],[L/P Líquido]]/base[[#This Row],[Stake/Responsabilidade]]</f>
        <v>0.11104429114177165</v>
      </c>
      <c r="O6" s="132">
        <f>IF(base[[#This Row],[L/P Líquido]]&gt;0,1,0)</f>
        <v>1</v>
      </c>
      <c r="P6" s="132"/>
      <c r="Q6" s="132" t="str">
        <f>LEFT(base[[#This Row],[Evento / Mercado]],FIND("vs",base[[#This Row],[Evento / Mercado]])-2)</f>
        <v>Olympique Marseille</v>
      </c>
      <c r="R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Toulouse FC</v>
      </c>
      <c r="S6" s="132" t="str">
        <f>LEFT(base[[#This Row],[Evento / Mercado]],FIND("/",base[[#This Row],[Evento / Mercado]])-2)</f>
        <v>Olympique Marseille vs Toulouse FC</v>
      </c>
      <c r="T6" s="8">
        <v>11.63</v>
      </c>
      <c r="U6" s="9">
        <f>T6*0.955</f>
        <v>11.10665</v>
      </c>
    </row>
    <row r="7" spans="2:21" ht="15" customHeight="1">
      <c r="B7" s="128" t="s">
        <v>46</v>
      </c>
      <c r="C7" s="128" t="s">
        <v>2982</v>
      </c>
      <c r="D7" s="129">
        <v>45990.791944444441</v>
      </c>
      <c r="E7" s="130">
        <v>4.5457999999999998</v>
      </c>
      <c r="F7" s="131">
        <v>4.4999999999999998E-2</v>
      </c>
      <c r="G7" s="126">
        <f t="shared" si="0"/>
        <v>4.76</v>
      </c>
      <c r="H7" s="126" t="s">
        <v>73</v>
      </c>
      <c r="I7" s="127" t="s">
        <v>13</v>
      </c>
      <c r="J7" s="126">
        <v>22</v>
      </c>
      <c r="K7" s="126">
        <v>99.96</v>
      </c>
      <c r="L7" s="129">
        <f>INT(base[[#This Row],[Data de liquidação]])</f>
        <v>45990</v>
      </c>
      <c r="M7" s="126">
        <f>base[[#This Row],[L/P Bruto]]-base[[#This Row],[L/P Líquido]]</f>
        <v>0.21419999999999995</v>
      </c>
      <c r="N7" s="126">
        <f>base[[#This Row],[L/P Líquido]]/base[[#This Row],[Stake/Responsabilidade]]</f>
        <v>4.5476190476190476E-2</v>
      </c>
      <c r="O7" s="132">
        <f>IF(base[[#This Row],[L/P Líquido]]&gt;0,1,0)</f>
        <v>1</v>
      </c>
      <c r="P7" s="132"/>
      <c r="Q7" s="132" t="str">
        <f>LEFT(base[[#This Row],[Evento / Mercado]],FIND("vs",base[[#This Row],[Evento / Mercado]])-2)</f>
        <v>Olympique Marseille</v>
      </c>
      <c r="R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Toulouse FC</v>
      </c>
      <c r="S7" s="132" t="str">
        <f>LEFT(base[[#This Row],[Evento / Mercado]],FIND("/",base[[#This Row],[Evento / Mercado]])-2)</f>
        <v>Olympique Marseille vs Toulouse FC</v>
      </c>
      <c r="T7" s="8">
        <v>4.76</v>
      </c>
      <c r="U7" s="9">
        <f>T7*0.955</f>
        <v>4.5457999999999998</v>
      </c>
    </row>
    <row r="8" spans="2:21" ht="15" customHeight="1">
      <c r="B8" s="128" t="s">
        <v>45</v>
      </c>
      <c r="C8" s="128" t="s">
        <v>2982</v>
      </c>
      <c r="D8" s="129">
        <v>45990.794189814813</v>
      </c>
      <c r="E8" s="130">
        <v>7.96</v>
      </c>
      <c r="F8" s="131">
        <v>4.4999999999999998E-2</v>
      </c>
      <c r="G8" s="126">
        <f t="shared" si="0"/>
        <v>8.335078534031414</v>
      </c>
      <c r="H8" s="126" t="s">
        <v>73</v>
      </c>
      <c r="I8" s="127" t="s">
        <v>16</v>
      </c>
      <c r="J8" s="126">
        <v>13</v>
      </c>
      <c r="K8" s="126">
        <v>99.96</v>
      </c>
      <c r="L8" s="129">
        <f>INT(base[[#This Row],[Data de liquidação]])</f>
        <v>45990</v>
      </c>
      <c r="M8" s="126">
        <f>base[[#This Row],[L/P Bruto]]-base[[#This Row],[L/P Líquido]]</f>
        <v>0.375078534031414</v>
      </c>
      <c r="N8" s="126">
        <f>base[[#This Row],[L/P Líquido]]/base[[#This Row],[Stake/Responsabilidade]]</f>
        <v>7.9631852741096437E-2</v>
      </c>
      <c r="O8" s="132">
        <f>IF(base[[#This Row],[L/P Líquido]]&gt;0,1,0)</f>
        <v>1</v>
      </c>
      <c r="P8" s="132"/>
      <c r="Q8" s="132" t="str">
        <f>LEFT(base[[#This Row],[Evento / Mercado]],FIND("vs",base[[#This Row],[Evento / Mercado]])-2)</f>
        <v>NEC</v>
      </c>
      <c r="R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Sparta Rotterdam</v>
      </c>
      <c r="S8" s="132" t="str">
        <f>LEFT(base[[#This Row],[Evento / Mercado]],FIND("/",base[[#This Row],[Evento / Mercado]])-2)</f>
        <v>NEC vs Sparta Rotterdam</v>
      </c>
    </row>
    <row r="9" spans="2:21" ht="15" customHeight="1">
      <c r="B9" s="128" t="s">
        <v>44</v>
      </c>
      <c r="C9" s="128" t="s">
        <v>2982</v>
      </c>
      <c r="D9" s="129">
        <v>45990.812858796293</v>
      </c>
      <c r="E9" s="130">
        <v>-99.98</v>
      </c>
      <c r="F9" s="131">
        <v>4.4999999999999998E-2</v>
      </c>
      <c r="G9" s="126">
        <f t="shared" si="0"/>
        <v>-99.98</v>
      </c>
      <c r="H9" s="126" t="s">
        <v>73</v>
      </c>
      <c r="I9" s="127" t="s">
        <v>13</v>
      </c>
      <c r="J9" s="126">
        <v>16.5</v>
      </c>
      <c r="K9" s="126">
        <v>99.98</v>
      </c>
      <c r="L9" s="129">
        <f>INT(base[[#This Row],[Data de liquidação]])</f>
        <v>45990</v>
      </c>
      <c r="M9" s="126">
        <f>base[[#This Row],[L/P Bruto]]-base[[#This Row],[L/P Líquido]]</f>
        <v>0</v>
      </c>
      <c r="N9" s="126">
        <f>base[[#This Row],[L/P Líquido]]/base[[#This Row],[Stake/Responsabilidade]]</f>
        <v>-1</v>
      </c>
      <c r="O9" s="132">
        <f>IF(base[[#This Row],[L/P Líquido]]&gt;0,1,0)</f>
        <v>0</v>
      </c>
      <c r="P9" s="132"/>
      <c r="Q9" s="132" t="str">
        <f>LEFT(base[[#This Row],[Evento / Mercado]],FIND("vs",base[[#This Row],[Evento / Mercado]])-2)</f>
        <v>Gil Vicente</v>
      </c>
      <c r="R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Tondela</v>
      </c>
      <c r="S9" s="132" t="str">
        <f>LEFT(base[[#This Row],[Evento / Mercado]],FIND("/",base[[#This Row],[Evento / Mercado]])-2)</f>
        <v>Gil Vicente vs Tondela</v>
      </c>
    </row>
    <row r="10" spans="2:21" ht="15" customHeight="1">
      <c r="B10" s="128" t="s">
        <v>43</v>
      </c>
      <c r="C10" s="128" t="s">
        <v>2982</v>
      </c>
      <c r="D10" s="129">
        <v>45990.85601851852</v>
      </c>
      <c r="E10" s="130">
        <v>4.3499999999999996</v>
      </c>
      <c r="F10" s="131">
        <v>4.4999999999999998E-2</v>
      </c>
      <c r="G10" s="126">
        <f t="shared" si="0"/>
        <v>4.5549738219895284</v>
      </c>
      <c r="H10" s="126" t="s">
        <v>73</v>
      </c>
      <c r="I10" s="127" t="s">
        <v>13</v>
      </c>
      <c r="J10" s="126">
        <v>23</v>
      </c>
      <c r="K10" s="126">
        <v>100.1</v>
      </c>
      <c r="L10" s="129">
        <f>INT(base[[#This Row],[Data de liquidação]])</f>
        <v>45990</v>
      </c>
      <c r="M10" s="126">
        <f>base[[#This Row],[L/P Bruto]]-base[[#This Row],[L/P Líquido]]</f>
        <v>0.20497382198952874</v>
      </c>
      <c r="N10" s="126">
        <f>base[[#This Row],[L/P Líquido]]/base[[#This Row],[Stake/Responsabilidade]]</f>
        <v>4.3456543456543456E-2</v>
      </c>
      <c r="O10" s="132">
        <f>IF(base[[#This Row],[L/P Líquido]]&gt;0,1,0)</f>
        <v>1</v>
      </c>
      <c r="P10" s="132"/>
      <c r="Q10" s="132" t="str">
        <f>LEFT(base[[#This Row],[Evento / Mercado]],FIND("vs",base[[#This Row],[Evento / Mercado]])-2)</f>
        <v>Universidad Católica del Ecuador</v>
      </c>
      <c r="R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Orense SC</v>
      </c>
      <c r="S10" s="132" t="str">
        <f>LEFT(base[[#This Row],[Evento / Mercado]],FIND("/",base[[#This Row],[Evento / Mercado]])-2)</f>
        <v>Universidad Católica del Ecuador vs Orense SC</v>
      </c>
    </row>
    <row r="11" spans="2:21" ht="15" customHeight="1">
      <c r="B11" s="128" t="s">
        <v>42</v>
      </c>
      <c r="C11" s="128" t="s">
        <v>2982</v>
      </c>
      <c r="D11" s="129">
        <v>45991.392083333332</v>
      </c>
      <c r="E11" s="130">
        <v>6.13</v>
      </c>
      <c r="F11" s="131">
        <v>4.4999999999999998E-2</v>
      </c>
      <c r="G11" s="126">
        <f t="shared" si="0"/>
        <v>6.4188481675392675</v>
      </c>
      <c r="H11" s="126" t="s">
        <v>73</v>
      </c>
      <c r="I11" s="127" t="s">
        <v>13</v>
      </c>
      <c r="J11" s="126">
        <v>14</v>
      </c>
      <c r="K11" s="126">
        <v>100.23</v>
      </c>
      <c r="L11" s="129">
        <f>INT(base[[#This Row],[Data de liquidação]])</f>
        <v>45991</v>
      </c>
      <c r="M11" s="126">
        <f>base[[#This Row],[L/P Bruto]]-base[[#This Row],[L/P Líquido]]</f>
        <v>0.28884816753926756</v>
      </c>
      <c r="N11" s="126">
        <f>base[[#This Row],[L/P Líquido]]/base[[#This Row],[Stake/Responsabilidade]]</f>
        <v>6.1159333532874387E-2</v>
      </c>
      <c r="O11" s="132">
        <f>IF(base[[#This Row],[L/P Líquido]]&gt;0,1,0)</f>
        <v>1</v>
      </c>
      <c r="P11" s="132"/>
      <c r="Q11" s="132" t="str">
        <f>LEFT(base[[#This Row],[Evento / Mercado]],FIND("vs",base[[#This Row],[Evento / Mercado]])-2)</f>
        <v>Slavia Sofia</v>
      </c>
      <c r="R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PFC Dobrudzha Dobrich</v>
      </c>
      <c r="S11" s="132" t="str">
        <f>LEFT(base[[#This Row],[Evento / Mercado]],FIND("/",base[[#This Row],[Evento / Mercado]])-2)</f>
        <v>Slavia Sofia vs PFC Dobrudzha Dobrich</v>
      </c>
    </row>
    <row r="12" spans="2:21" ht="15" customHeight="1">
      <c r="B12" s="128" t="s">
        <v>41</v>
      </c>
      <c r="C12" s="128" t="s">
        <v>2982</v>
      </c>
      <c r="D12" s="129">
        <v>45991.424212962964</v>
      </c>
      <c r="E12" s="130">
        <v>7.36</v>
      </c>
      <c r="F12" s="131">
        <v>4.4999999999999998E-2</v>
      </c>
      <c r="G12" s="126">
        <f t="shared" si="0"/>
        <v>7.7068062827225141</v>
      </c>
      <c r="H12" s="126" t="s">
        <v>73</v>
      </c>
      <c r="I12" s="127" t="s">
        <v>13</v>
      </c>
      <c r="J12" s="126">
        <v>14</v>
      </c>
      <c r="K12" s="126">
        <v>100.23</v>
      </c>
      <c r="L12" s="129">
        <f>INT(base[[#This Row],[Data de liquidação]])</f>
        <v>45991</v>
      </c>
      <c r="M12" s="126">
        <f>base[[#This Row],[L/P Bruto]]-base[[#This Row],[L/P Líquido]]</f>
        <v>0.34680628272251379</v>
      </c>
      <c r="N12" s="126">
        <f>base[[#This Row],[L/P Líquido]]/base[[#This Row],[Stake/Responsabilidade]]</f>
        <v>7.3431108450563706E-2</v>
      </c>
      <c r="O12" s="132">
        <f>IF(base[[#This Row],[L/P Líquido]]&gt;0,1,0)</f>
        <v>1</v>
      </c>
      <c r="P12" s="132"/>
      <c r="Q12" s="132" t="str">
        <f>LEFT(base[[#This Row],[Evento / Mercado]],FIND("vs",base[[#This Row],[Evento / Mercado]])-2)</f>
        <v>UD Ibiza</v>
      </c>
      <c r="R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Algeciras</v>
      </c>
      <c r="S12" s="132" t="str">
        <f>LEFT(base[[#This Row],[Evento / Mercado]],FIND("/",base[[#This Row],[Evento / Mercado]])-2)</f>
        <v>UD Ibiza vs Algeciras</v>
      </c>
    </row>
    <row r="13" spans="2:21" ht="15" customHeight="1">
      <c r="B13" s="128" t="s">
        <v>40</v>
      </c>
      <c r="C13" s="128" t="s">
        <v>2982</v>
      </c>
      <c r="D13" s="129">
        <v>45991.45820601852</v>
      </c>
      <c r="E13" s="130">
        <v>-99.97</v>
      </c>
      <c r="F13" s="131">
        <v>4.4999999999999998E-2</v>
      </c>
      <c r="G13" s="126">
        <f t="shared" si="0"/>
        <v>-99.97</v>
      </c>
      <c r="H13" s="126" t="s">
        <v>73</v>
      </c>
      <c r="I13" s="127" t="s">
        <v>13</v>
      </c>
      <c r="J13" s="126">
        <v>14</v>
      </c>
      <c r="K13" s="126">
        <v>99.97</v>
      </c>
      <c r="L13" s="129">
        <f>INT(base[[#This Row],[Data de liquidação]])</f>
        <v>45991</v>
      </c>
      <c r="M13" s="126">
        <f>base[[#This Row],[L/P Bruto]]-base[[#This Row],[L/P Líquido]]</f>
        <v>0</v>
      </c>
      <c r="N13" s="126">
        <f>base[[#This Row],[L/P Líquido]]/base[[#This Row],[Stake/Responsabilidade]]</f>
        <v>-1</v>
      </c>
      <c r="O13" s="132">
        <f>IF(base[[#This Row],[L/P Líquido]]&gt;0,1,0)</f>
        <v>0</v>
      </c>
      <c r="P13" s="132"/>
      <c r="Q13" s="132" t="str">
        <f>LEFT(base[[#This Row],[Evento / Mercado]],FIND("vs",base[[#This Row],[Evento / Mercado]])-2)</f>
        <v>Bohemians 1905</v>
      </c>
      <c r="R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Teplice</v>
      </c>
      <c r="S13" s="132" t="str">
        <f>LEFT(base[[#This Row],[Evento / Mercado]],FIND("/",base[[#This Row],[Evento / Mercado]])-2)</f>
        <v>Bohemians 1905 vs FK Teplice</v>
      </c>
    </row>
    <row r="14" spans="2:21" ht="15" customHeight="1">
      <c r="B14" s="128" t="s">
        <v>39</v>
      </c>
      <c r="C14" s="128" t="s">
        <v>2982</v>
      </c>
      <c r="D14" s="129">
        <v>45991.479502314818</v>
      </c>
      <c r="E14" s="130">
        <v>13.646949999999999</v>
      </c>
      <c r="F14" s="131">
        <v>4.4999999999999998E-2</v>
      </c>
      <c r="G14" s="126">
        <f t="shared" si="0"/>
        <v>14.29</v>
      </c>
      <c r="H14" s="126" t="s">
        <v>73</v>
      </c>
      <c r="I14" s="127" t="s">
        <v>16</v>
      </c>
      <c r="J14" s="126">
        <v>8</v>
      </c>
      <c r="K14" s="126">
        <v>100.03</v>
      </c>
      <c r="L14" s="129">
        <f>INT(base[[#This Row],[Data de liquidação]])</f>
        <v>45991</v>
      </c>
      <c r="M14" s="126">
        <f>base[[#This Row],[L/P Bruto]]-base[[#This Row],[L/P Líquido]]</f>
        <v>0.64305000000000057</v>
      </c>
      <c r="N14" s="126">
        <f>base[[#This Row],[L/P Líquido]]/base[[#This Row],[Stake/Responsabilidade]]</f>
        <v>0.1364285714285714</v>
      </c>
      <c r="O14" s="132">
        <f>IF(base[[#This Row],[L/P Líquido]]&gt;0,1,0)</f>
        <v>1</v>
      </c>
      <c r="P14" s="132"/>
      <c r="Q14" s="132" t="str">
        <f>LEFT(base[[#This Row],[Evento / Mercado]],FIND("vs",base[[#This Row],[Evento / Mercado]])-2)</f>
        <v>US Avranches</v>
      </c>
      <c r="R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Aubervilliers</v>
      </c>
      <c r="S14" s="132" t="str">
        <f>LEFT(base[[#This Row],[Evento / Mercado]],FIND("/",base[[#This Row],[Evento / Mercado]])-2)</f>
        <v>US Avranches vs Aubervilliers</v>
      </c>
      <c r="T14" s="8">
        <v>14.29</v>
      </c>
      <c r="U14" s="9">
        <f>T14*0.955</f>
        <v>13.646949999999999</v>
      </c>
    </row>
    <row r="15" spans="2:21" ht="15" customHeight="1">
      <c r="B15" s="128" t="s">
        <v>39</v>
      </c>
      <c r="C15" s="128" t="s">
        <v>2982</v>
      </c>
      <c r="D15" s="129">
        <v>45991.479502314818</v>
      </c>
      <c r="E15" s="130">
        <v>5.96875</v>
      </c>
      <c r="F15" s="131">
        <v>4.4999999999999998E-2</v>
      </c>
      <c r="G15" s="126">
        <f t="shared" si="0"/>
        <v>6.25</v>
      </c>
      <c r="H15" s="126" t="s">
        <v>73</v>
      </c>
      <c r="I15" s="127" t="s">
        <v>13</v>
      </c>
      <c r="J15" s="126">
        <v>17</v>
      </c>
      <c r="K15" s="126">
        <v>100</v>
      </c>
      <c r="L15" s="129">
        <f>INT(base[[#This Row],[Data de liquidação]])</f>
        <v>45991</v>
      </c>
      <c r="M15" s="126">
        <f>base[[#This Row],[L/P Bruto]]-base[[#This Row],[L/P Líquido]]</f>
        <v>0.28125</v>
      </c>
      <c r="N15" s="126">
        <f>base[[#This Row],[L/P Líquido]]/base[[#This Row],[Stake/Responsabilidade]]</f>
        <v>5.9687499999999998E-2</v>
      </c>
      <c r="O15" s="132">
        <f>IF(base[[#This Row],[L/P Líquido]]&gt;0,1,0)</f>
        <v>1</v>
      </c>
      <c r="P15" s="132"/>
      <c r="Q15" s="132" t="str">
        <f>LEFT(base[[#This Row],[Evento / Mercado]],FIND("vs",base[[#This Row],[Evento / Mercado]])-2)</f>
        <v>US Avranches</v>
      </c>
      <c r="R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Aubervilliers</v>
      </c>
      <c r="S15" s="132" t="str">
        <f>LEFT(base[[#This Row],[Evento / Mercado]],FIND("/",base[[#This Row],[Evento / Mercado]])-2)</f>
        <v>US Avranches vs Aubervilliers</v>
      </c>
      <c r="T15" s="8">
        <v>6.25</v>
      </c>
      <c r="U15" s="9">
        <f>T15*0.955</f>
        <v>5.96875</v>
      </c>
    </row>
    <row r="16" spans="2:21" ht="15" customHeight="1">
      <c r="B16" s="128" t="s">
        <v>38</v>
      </c>
      <c r="C16" s="128" t="s">
        <v>2982</v>
      </c>
      <c r="D16" s="129">
        <v>45991.494872685187</v>
      </c>
      <c r="E16" s="130">
        <v>4.78</v>
      </c>
      <c r="F16" s="131">
        <v>4.4999999999999998E-2</v>
      </c>
      <c r="G16" s="126">
        <f t="shared" si="0"/>
        <v>5.005235602094241</v>
      </c>
      <c r="H16" s="126" t="s">
        <v>73</v>
      </c>
      <c r="I16" s="127" t="s">
        <v>13</v>
      </c>
      <c r="J16" s="126">
        <v>21</v>
      </c>
      <c r="K16" s="126">
        <v>100</v>
      </c>
      <c r="L16" s="129">
        <f>INT(base[[#This Row],[Data de liquidação]])</f>
        <v>45991</v>
      </c>
      <c r="M16" s="126">
        <f>base[[#This Row],[L/P Bruto]]-base[[#This Row],[L/P Líquido]]</f>
        <v>0.22523560209424076</v>
      </c>
      <c r="N16" s="126">
        <f>base[[#This Row],[L/P Líquido]]/base[[#This Row],[Stake/Responsabilidade]]</f>
        <v>4.7800000000000002E-2</v>
      </c>
      <c r="O16" s="132">
        <f>IF(base[[#This Row],[L/P Líquido]]&gt;0,1,0)</f>
        <v>1</v>
      </c>
      <c r="P16" s="132"/>
      <c r="Q16" s="132" t="str">
        <f>LEFT(base[[#This Row],[Evento / Mercado]],FIND("vs",base[[#This Row],[Evento / Mercado]])-2)</f>
        <v>FC Yverdon-Sport</v>
      </c>
      <c r="R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Etoile-Carouge FC</v>
      </c>
      <c r="S16" s="132" t="str">
        <f>LEFT(base[[#This Row],[Evento / Mercado]],FIND("/",base[[#This Row],[Evento / Mercado]])-2)</f>
        <v>FC Yverdon-Sport vs Etoile-Carouge FC</v>
      </c>
    </row>
    <row r="17" spans="2:21" ht="15" customHeight="1">
      <c r="B17" s="128" t="s">
        <v>37</v>
      </c>
      <c r="C17" s="128" t="s">
        <v>2982</v>
      </c>
      <c r="D17" s="129">
        <v>45991.519236111111</v>
      </c>
      <c r="E17" s="130">
        <v>8.31</v>
      </c>
      <c r="F17" s="131">
        <v>4.4999999999999998E-2</v>
      </c>
      <c r="G17" s="126">
        <f t="shared" si="0"/>
        <v>8.701570680628274</v>
      </c>
      <c r="H17" s="126" t="s">
        <v>73</v>
      </c>
      <c r="I17" s="127" t="s">
        <v>13</v>
      </c>
      <c r="J17" s="126">
        <v>12.5</v>
      </c>
      <c r="K17" s="126">
        <v>100.05</v>
      </c>
      <c r="L17" s="129">
        <f>INT(base[[#This Row],[Data de liquidação]])</f>
        <v>45991</v>
      </c>
      <c r="M17" s="126">
        <f>base[[#This Row],[L/P Bruto]]-base[[#This Row],[L/P Líquido]]</f>
        <v>0.39157068062827349</v>
      </c>
      <c r="N17" s="126">
        <f>base[[#This Row],[L/P Líquido]]/base[[#This Row],[Stake/Responsabilidade]]</f>
        <v>8.3058470764617698E-2</v>
      </c>
      <c r="O17" s="132">
        <f>IF(base[[#This Row],[L/P Líquido]]&gt;0,1,0)</f>
        <v>1</v>
      </c>
      <c r="P17" s="132"/>
      <c r="Q17" s="132" t="str">
        <f>LEFT(base[[#This Row],[Evento / Mercado]],FIND("vs",base[[#This Row],[Evento / Mercado]])-2)</f>
        <v>Trapani</v>
      </c>
      <c r="R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S.S. Monopoli 1966</v>
      </c>
      <c r="S17" s="132" t="str">
        <f>LEFT(base[[#This Row],[Evento / Mercado]],FIND("/",base[[#This Row],[Evento / Mercado]])-2)</f>
        <v>Trapani vs S.S. Monopoli 1966</v>
      </c>
    </row>
    <row r="18" spans="2:21" ht="15" customHeight="1">
      <c r="B18" s="128" t="s">
        <v>36</v>
      </c>
      <c r="C18" s="128" t="s">
        <v>2982</v>
      </c>
      <c r="D18" s="129">
        <v>45991.536354166667</v>
      </c>
      <c r="E18" s="130">
        <v>13.646949999999999</v>
      </c>
      <c r="F18" s="131">
        <v>4.4999999999999998E-2</v>
      </c>
      <c r="G18" s="126">
        <f t="shared" si="0"/>
        <v>14.29</v>
      </c>
      <c r="H18" s="126" t="s">
        <v>73</v>
      </c>
      <c r="I18" s="127" t="s">
        <v>13</v>
      </c>
      <c r="J18" s="126">
        <v>23</v>
      </c>
      <c r="K18" s="126">
        <v>100.1</v>
      </c>
      <c r="L18" s="129">
        <f>INT(base[[#This Row],[Data de liquidação]])</f>
        <v>45991</v>
      </c>
      <c r="M18" s="126">
        <f>base[[#This Row],[L/P Bruto]]-base[[#This Row],[L/P Líquido]]</f>
        <v>0.64305000000000057</v>
      </c>
      <c r="N18" s="126">
        <f>base[[#This Row],[L/P Líquido]]/base[[#This Row],[Stake/Responsabilidade]]</f>
        <v>0.13633316683316682</v>
      </c>
      <c r="O18" s="132">
        <f>IF(base[[#This Row],[L/P Líquido]]&gt;0,1,0)</f>
        <v>1</v>
      </c>
      <c r="P18" s="132"/>
      <c r="Q18" s="132" t="str">
        <f>LEFT(base[[#This Row],[Evento / Mercado]],FIND("vs",base[[#This Row],[Evento / Mercado]])-2)</f>
        <v>Rangers</v>
      </c>
      <c r="R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Falkirk</v>
      </c>
      <c r="S18" s="132" t="str">
        <f>LEFT(base[[#This Row],[Evento / Mercado]],FIND("/",base[[#This Row],[Evento / Mercado]])-2)</f>
        <v>Rangers vs Falkirk</v>
      </c>
      <c r="T18" s="8">
        <v>14.29</v>
      </c>
      <c r="U18" s="9">
        <f>T18*0.955</f>
        <v>13.646949999999999</v>
      </c>
    </row>
    <row r="19" spans="2:21" ht="15" customHeight="1">
      <c r="B19" s="128" t="s">
        <v>36</v>
      </c>
      <c r="C19" s="128" t="s">
        <v>2982</v>
      </c>
      <c r="D19" s="129">
        <v>45991.536354166667</v>
      </c>
      <c r="E19" s="130">
        <v>5.96875</v>
      </c>
      <c r="F19" s="131">
        <v>4.4999999999999998E-2</v>
      </c>
      <c r="G19" s="126">
        <f t="shared" si="0"/>
        <v>6.25</v>
      </c>
      <c r="H19" s="126" t="s">
        <v>73</v>
      </c>
      <c r="I19" s="127" t="s">
        <v>16</v>
      </c>
      <c r="J19" s="126">
        <v>10</v>
      </c>
      <c r="K19" s="126">
        <v>99.99</v>
      </c>
      <c r="L19" s="129">
        <f>INT(base[[#This Row],[Data de liquidação]])</f>
        <v>45991</v>
      </c>
      <c r="M19" s="126">
        <f>base[[#This Row],[L/P Bruto]]-base[[#This Row],[L/P Líquido]]</f>
        <v>0.28125</v>
      </c>
      <c r="N19" s="126">
        <f>base[[#This Row],[L/P Líquido]]/base[[#This Row],[Stake/Responsabilidade]]</f>
        <v>5.9693469346934695E-2</v>
      </c>
      <c r="O19" s="132">
        <f>IF(base[[#This Row],[L/P Líquido]]&gt;0,1,0)</f>
        <v>1</v>
      </c>
      <c r="P19" s="132"/>
      <c r="Q19" s="132" t="str">
        <f>LEFT(base[[#This Row],[Evento / Mercado]],FIND("vs",base[[#This Row],[Evento / Mercado]])-2)</f>
        <v>Rangers</v>
      </c>
      <c r="R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Falkirk</v>
      </c>
      <c r="S19" s="132" t="str">
        <f>LEFT(base[[#This Row],[Evento / Mercado]],FIND("/",base[[#This Row],[Evento / Mercado]])-2)</f>
        <v>Rangers vs Falkirk</v>
      </c>
      <c r="T19" s="8">
        <v>6.25</v>
      </c>
      <c r="U19" s="9">
        <f>T19*0.955</f>
        <v>5.96875</v>
      </c>
    </row>
    <row r="20" spans="2:21" ht="15" customHeight="1">
      <c r="B20" s="128" t="s">
        <v>35</v>
      </c>
      <c r="C20" s="128" t="s">
        <v>2982</v>
      </c>
      <c r="D20" s="129">
        <v>45991.538275462961</v>
      </c>
      <c r="E20" s="130">
        <v>10.06</v>
      </c>
      <c r="F20" s="131">
        <v>4.4999999999999998E-2</v>
      </c>
      <c r="G20" s="126">
        <f t="shared" si="0"/>
        <v>10.534031413612567</v>
      </c>
      <c r="H20" s="126" t="s">
        <v>73</v>
      </c>
      <c r="I20" s="127" t="s">
        <v>16</v>
      </c>
      <c r="J20" s="126">
        <v>10.5</v>
      </c>
      <c r="K20" s="126">
        <v>100.04</v>
      </c>
      <c r="L20" s="129">
        <f>INT(base[[#This Row],[Data de liquidação]])</f>
        <v>45991</v>
      </c>
      <c r="M20" s="126">
        <f>base[[#This Row],[L/P Bruto]]-base[[#This Row],[L/P Líquido]]</f>
        <v>0.47403141361256651</v>
      </c>
      <c r="N20" s="126">
        <f>base[[#This Row],[L/P Líquido]]/base[[#This Row],[Stake/Responsabilidade]]</f>
        <v>0.10055977608956418</v>
      </c>
      <c r="O20" s="132">
        <f>IF(base[[#This Row],[L/P Líquido]]&gt;0,1,0)</f>
        <v>1</v>
      </c>
      <c r="P20" s="132"/>
      <c r="Q20" s="132" t="str">
        <f>LEFT(base[[#This Row],[Evento / Mercado]],FIND("vs",base[[#This Row],[Evento / Mercado]])-2)</f>
        <v>RC Strasbourg</v>
      </c>
      <c r="R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20" s="132" t="str">
        <f>LEFT(base[[#This Row],[Evento / Mercado]],FIND("/",base[[#This Row],[Evento / Mercado]])-2)</f>
        <v>RC Strasbourg vs Stade Brestois 29</v>
      </c>
    </row>
    <row r="21" spans="2:21" ht="15" customHeight="1">
      <c r="B21" s="128" t="s">
        <v>34</v>
      </c>
      <c r="C21" s="128" t="s">
        <v>2982</v>
      </c>
      <c r="D21" s="129">
        <v>45991.544120370374</v>
      </c>
      <c r="E21" s="130">
        <v>4.3499999999999996</v>
      </c>
      <c r="F21" s="131">
        <v>4.4999999999999998E-2</v>
      </c>
      <c r="G21" s="126">
        <f t="shared" si="0"/>
        <v>4.5549738219895284</v>
      </c>
      <c r="H21" s="126" t="s">
        <v>73</v>
      </c>
      <c r="I21" s="127" t="s">
        <v>13</v>
      </c>
      <c r="J21" s="126">
        <v>23</v>
      </c>
      <c r="K21" s="126">
        <v>100.1</v>
      </c>
      <c r="L21" s="129">
        <f>INT(base[[#This Row],[Data de liquidação]])</f>
        <v>45991</v>
      </c>
      <c r="M21" s="126">
        <f>base[[#This Row],[L/P Bruto]]-base[[#This Row],[L/P Líquido]]</f>
        <v>0.20497382198952874</v>
      </c>
      <c r="N21" s="126">
        <f>base[[#This Row],[L/P Líquido]]/base[[#This Row],[Stake/Responsabilidade]]</f>
        <v>4.3456543456543456E-2</v>
      </c>
      <c r="O21" s="132">
        <f>IF(base[[#This Row],[L/P Líquido]]&gt;0,1,0)</f>
        <v>1</v>
      </c>
      <c r="P21" s="132"/>
      <c r="Q21" s="132" t="str">
        <f>LEFT(base[[#This Row],[Evento / Mercado]],FIND("vs",base[[#This Row],[Evento / Mercado]])-2)</f>
        <v>Aston Villa</v>
      </c>
      <c r="R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Wolverhampton Wanderers</v>
      </c>
      <c r="S21" s="132" t="str">
        <f>LEFT(base[[#This Row],[Evento / Mercado]],FIND("/",base[[#This Row],[Evento / Mercado]])-2)</f>
        <v>Aston Villa vs Wolverhampton Wanderers</v>
      </c>
    </row>
    <row r="22" spans="2:21" ht="15" customHeight="1">
      <c r="B22" s="128" t="s">
        <v>33</v>
      </c>
      <c r="C22" s="128" t="s">
        <v>2982</v>
      </c>
      <c r="D22" s="129">
        <v>45991.559074074074</v>
      </c>
      <c r="E22" s="130">
        <v>6.82</v>
      </c>
      <c r="F22" s="131">
        <v>4.4999999999999998E-2</v>
      </c>
      <c r="G22" s="126">
        <f t="shared" si="0"/>
        <v>7.1413612565445028</v>
      </c>
      <c r="H22" s="126" t="s">
        <v>73</v>
      </c>
      <c r="I22" s="127" t="s">
        <v>16</v>
      </c>
      <c r="J22" s="126">
        <v>15</v>
      </c>
      <c r="K22" s="126">
        <v>99.96</v>
      </c>
      <c r="L22" s="129">
        <f>INT(base[[#This Row],[Data de liquidação]])</f>
        <v>45991</v>
      </c>
      <c r="M22" s="126">
        <f>base[[#This Row],[L/P Bruto]]-base[[#This Row],[L/P Líquido]]</f>
        <v>0.32136125654450254</v>
      </c>
      <c r="N22" s="126">
        <f>base[[#This Row],[L/P Líquido]]/base[[#This Row],[Stake/Responsabilidade]]</f>
        <v>6.8227290916366548E-2</v>
      </c>
      <c r="O22" s="132">
        <f>IF(base[[#This Row],[L/P Líquido]]&gt;0,1,0)</f>
        <v>1</v>
      </c>
      <c r="P22" s="132"/>
      <c r="Q22" s="132" t="str">
        <f>LEFT(base[[#This Row],[Evento / Mercado]],FIND("vs",base[[#This Row],[Evento / Mercado]])-2)</f>
        <v>Slovan Bratislava</v>
      </c>
      <c r="R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MFK Zemplín Michalovce</v>
      </c>
      <c r="S22" s="132" t="str">
        <f>LEFT(base[[#This Row],[Evento / Mercado]],FIND("/",base[[#This Row],[Evento / Mercado]])-2)</f>
        <v>Slovan Bratislava vs MFK Zemplín Michalovce</v>
      </c>
    </row>
    <row r="23" spans="2:21" ht="15" customHeight="1">
      <c r="B23" s="128" t="s">
        <v>32</v>
      </c>
      <c r="C23" s="128" t="s">
        <v>2982</v>
      </c>
      <c r="D23" s="129">
        <v>45991.559398148151</v>
      </c>
      <c r="E23" s="130">
        <v>7.64</v>
      </c>
      <c r="F23" s="131">
        <v>4.4999999999999998E-2</v>
      </c>
      <c r="G23" s="126">
        <f t="shared" si="0"/>
        <v>8</v>
      </c>
      <c r="H23" s="126" t="s">
        <v>73</v>
      </c>
      <c r="I23" s="127" t="s">
        <v>13</v>
      </c>
      <c r="J23" s="126">
        <v>13.5</v>
      </c>
      <c r="K23" s="126">
        <v>100</v>
      </c>
      <c r="L23" s="129">
        <f>INT(base[[#This Row],[Data de liquidação]])</f>
        <v>45991</v>
      </c>
      <c r="M23" s="126">
        <f>base[[#This Row],[L/P Bruto]]-base[[#This Row],[L/P Líquido]]</f>
        <v>0.36000000000000032</v>
      </c>
      <c r="N23" s="126">
        <f>base[[#This Row],[L/P Líquido]]/base[[#This Row],[Stake/Responsabilidade]]</f>
        <v>7.6399999999999996E-2</v>
      </c>
      <c r="O23" s="132">
        <f>IF(base[[#This Row],[L/P Líquido]]&gt;0,1,0)</f>
        <v>1</v>
      </c>
      <c r="P23" s="132"/>
      <c r="Q23" s="132" t="str">
        <f>LEFT(base[[#This Row],[Evento / Mercado]],FIND("vs",base[[#This Row],[Evento / Mercado]])-2)</f>
        <v>FC Slovan Liberec</v>
      </c>
      <c r="R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Sigma Olomouc</v>
      </c>
      <c r="S23" s="132" t="str">
        <f>LEFT(base[[#This Row],[Evento / Mercado]],FIND("/",base[[#This Row],[Evento / Mercado]])-2)</f>
        <v>FC Slovan Liberec vs SK Sigma Olomouc</v>
      </c>
    </row>
    <row r="24" spans="2:21" ht="15" customHeight="1">
      <c r="B24" s="128" t="s">
        <v>31</v>
      </c>
      <c r="C24" s="128" t="s">
        <v>2982</v>
      </c>
      <c r="D24" s="129">
        <v>45991.578877314816</v>
      </c>
      <c r="E24" s="130">
        <v>7.08</v>
      </c>
      <c r="F24" s="131">
        <v>4.4999999999999998E-2</v>
      </c>
      <c r="G24" s="126">
        <f t="shared" si="0"/>
        <v>7.4136125654450264</v>
      </c>
      <c r="H24" s="126" t="s">
        <v>73</v>
      </c>
      <c r="I24" s="127" t="s">
        <v>16</v>
      </c>
      <c r="J24" s="126">
        <v>14.5</v>
      </c>
      <c r="K24" s="126">
        <v>100.04</v>
      </c>
      <c r="L24" s="129">
        <f>INT(base[[#This Row],[Data de liquidação]])</f>
        <v>45991</v>
      </c>
      <c r="M24" s="126">
        <f>base[[#This Row],[L/P Bruto]]-base[[#This Row],[L/P Líquido]]</f>
        <v>0.33361256544502638</v>
      </c>
      <c r="N24" s="126">
        <f>base[[#This Row],[L/P Líquido]]/base[[#This Row],[Stake/Responsabilidade]]</f>
        <v>7.0771691323470609E-2</v>
      </c>
      <c r="O24" s="132">
        <f>IF(base[[#This Row],[L/P Líquido]]&gt;0,1,0)</f>
        <v>1</v>
      </c>
      <c r="P24" s="132"/>
      <c r="Q24" s="132" t="str">
        <f>LEFT(base[[#This Row],[Evento / Mercado]],FIND("vs",base[[#This Row],[Evento / Mercado]])-2)</f>
        <v>FC Midtjylland</v>
      </c>
      <c r="R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Nordsjælland</v>
      </c>
      <c r="S24" s="132" t="str">
        <f>LEFT(base[[#This Row],[Evento / Mercado]],FIND("/",base[[#This Row],[Evento / Mercado]])-2)</f>
        <v>FC Midtjylland vs FC Nordsjælland</v>
      </c>
    </row>
    <row r="25" spans="2:21" ht="15" customHeight="1">
      <c r="B25" s="128" t="s">
        <v>30</v>
      </c>
      <c r="C25" s="128" t="s">
        <v>2982</v>
      </c>
      <c r="D25" s="129">
        <v>45991.57917824074</v>
      </c>
      <c r="E25" s="130">
        <v>5.0232999999999999</v>
      </c>
      <c r="F25" s="131">
        <v>4.4999999999999998E-2</v>
      </c>
      <c r="G25" s="126">
        <f t="shared" si="0"/>
        <v>5.26</v>
      </c>
      <c r="H25" s="126" t="s">
        <v>73</v>
      </c>
      <c r="I25" s="127" t="s">
        <v>13</v>
      </c>
      <c r="J25" s="126">
        <v>20</v>
      </c>
      <c r="K25" s="126">
        <v>99.94</v>
      </c>
      <c r="L25" s="129">
        <f>INT(base[[#This Row],[Data de liquidação]])</f>
        <v>45991</v>
      </c>
      <c r="M25" s="126">
        <f>base[[#This Row],[L/P Bruto]]-base[[#This Row],[L/P Líquido]]</f>
        <v>0.23669999999999991</v>
      </c>
      <c r="N25" s="126">
        <f>base[[#This Row],[L/P Líquido]]/base[[#This Row],[Stake/Responsabilidade]]</f>
        <v>5.0263157894736843E-2</v>
      </c>
      <c r="O25" s="132">
        <f>IF(base[[#This Row],[L/P Líquido]]&gt;0,1,0)</f>
        <v>1</v>
      </c>
      <c r="P25" s="132"/>
      <c r="Q25" s="132" t="str">
        <f>LEFT(base[[#This Row],[Evento / Mercado]],FIND("vs",base[[#This Row],[Evento / Mercado]])-2)</f>
        <v>Racing Genk</v>
      </c>
      <c r="R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Oud-Heverlee Leuven</v>
      </c>
      <c r="S25" s="132" t="str">
        <f>LEFT(base[[#This Row],[Evento / Mercado]],FIND("/",base[[#This Row],[Evento / Mercado]])-2)</f>
        <v>Racing Genk vs Oud-Heverlee Leuven</v>
      </c>
      <c r="T25" s="8">
        <v>5.26</v>
      </c>
      <c r="U25" s="9">
        <f>T25*0.955</f>
        <v>5.0232999999999999</v>
      </c>
    </row>
    <row r="26" spans="2:21" ht="15" customHeight="1">
      <c r="B26" s="128" t="s">
        <v>30</v>
      </c>
      <c r="C26" s="128" t="s">
        <v>2982</v>
      </c>
      <c r="D26" s="129">
        <v>45991.57917824074</v>
      </c>
      <c r="E26" s="130">
        <v>13.007099999999999</v>
      </c>
      <c r="F26" s="131">
        <v>4.4999999999999998E-2</v>
      </c>
      <c r="G26" s="126">
        <f t="shared" si="0"/>
        <v>13.62</v>
      </c>
      <c r="H26" s="126" t="s">
        <v>73</v>
      </c>
      <c r="I26" s="127" t="s">
        <v>16</v>
      </c>
      <c r="J26" s="126">
        <v>8.4</v>
      </c>
      <c r="K26" s="126">
        <v>100.79</v>
      </c>
      <c r="L26" s="129">
        <f>INT(base[[#This Row],[Data de liquidação]])</f>
        <v>45991</v>
      </c>
      <c r="M26" s="126">
        <f>base[[#This Row],[L/P Bruto]]-base[[#This Row],[L/P Líquido]]</f>
        <v>0.61289999999999978</v>
      </c>
      <c r="N26" s="126">
        <f>base[[#This Row],[L/P Líquido]]/base[[#This Row],[Stake/Responsabilidade]]</f>
        <v>0.12905149320369083</v>
      </c>
      <c r="O26" s="132">
        <f>IF(base[[#This Row],[L/P Líquido]]&gt;0,1,0)</f>
        <v>1</v>
      </c>
      <c r="P26" s="132"/>
      <c r="Q26" s="132" t="str">
        <f>LEFT(base[[#This Row],[Evento / Mercado]],FIND("vs",base[[#This Row],[Evento / Mercado]])-2)</f>
        <v>Racing Genk</v>
      </c>
      <c r="R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Oud-Heverlee Leuven</v>
      </c>
      <c r="S26" s="132" t="str">
        <f>LEFT(base[[#This Row],[Evento / Mercado]],FIND("/",base[[#This Row],[Evento / Mercado]])-2)</f>
        <v>Racing Genk vs Oud-Heverlee Leuven</v>
      </c>
      <c r="T26" s="8">
        <v>13.62</v>
      </c>
      <c r="U26" s="9">
        <f>T26*0.955</f>
        <v>13.007099999999999</v>
      </c>
    </row>
    <row r="27" spans="2:21" ht="15" customHeight="1">
      <c r="B27" s="128" t="s">
        <v>29</v>
      </c>
      <c r="C27" s="128" t="s">
        <v>2982</v>
      </c>
      <c r="D27" s="129">
        <v>45991.602337962962</v>
      </c>
      <c r="E27" s="130">
        <v>7.34</v>
      </c>
      <c r="F27" s="131">
        <v>4.4999999999999998E-2</v>
      </c>
      <c r="G27" s="126">
        <f t="shared" si="0"/>
        <v>7.6858638743455501</v>
      </c>
      <c r="H27" s="126" t="s">
        <v>73</v>
      </c>
      <c r="I27" s="127" t="s">
        <v>16</v>
      </c>
      <c r="J27" s="126">
        <v>14</v>
      </c>
      <c r="K27" s="126">
        <v>99.97</v>
      </c>
      <c r="L27" s="129">
        <f>INT(base[[#This Row],[Data de liquidação]])</f>
        <v>45991</v>
      </c>
      <c r="M27" s="126">
        <f>base[[#This Row],[L/P Bruto]]-base[[#This Row],[L/P Líquido]]</f>
        <v>0.34586387434555022</v>
      </c>
      <c r="N27" s="126">
        <f>base[[#This Row],[L/P Líquido]]/base[[#This Row],[Stake/Responsabilidade]]</f>
        <v>7.3422026607982388E-2</v>
      </c>
      <c r="O27" s="132">
        <f>IF(base[[#This Row],[L/P Líquido]]&gt;0,1,0)</f>
        <v>1</v>
      </c>
      <c r="P27" s="132"/>
      <c r="Q27" s="132" t="str">
        <f>LEFT(base[[#This Row],[Evento / Mercado]],FIND("vs",base[[#This Row],[Evento / Mercado]])-2)</f>
        <v>FC Basel</v>
      </c>
      <c r="R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Gallen</v>
      </c>
      <c r="S27" s="132" t="str">
        <f>LEFT(base[[#This Row],[Evento / Mercado]],FIND("/",base[[#This Row],[Evento / Mercado]])-2)</f>
        <v>FC Basel vs FC St. Gallen</v>
      </c>
    </row>
    <row r="28" spans="2:21" ht="15" customHeight="1">
      <c r="B28" s="128" t="s">
        <v>28</v>
      </c>
      <c r="C28" s="128" t="s">
        <v>2982</v>
      </c>
      <c r="D28" s="129">
        <v>45991.612268518518</v>
      </c>
      <c r="E28" s="130">
        <v>7.08</v>
      </c>
      <c r="F28" s="131">
        <v>4.4999999999999998E-2</v>
      </c>
      <c r="G28" s="126">
        <f t="shared" si="0"/>
        <v>7.4136125654450264</v>
      </c>
      <c r="H28" s="126" t="s">
        <v>73</v>
      </c>
      <c r="I28" s="127" t="s">
        <v>16</v>
      </c>
      <c r="J28" s="126">
        <v>14.5</v>
      </c>
      <c r="K28" s="126">
        <v>100.04</v>
      </c>
      <c r="L28" s="129">
        <f>INT(base[[#This Row],[Data de liquidação]])</f>
        <v>45991</v>
      </c>
      <c r="M28" s="126">
        <f>base[[#This Row],[L/P Bruto]]-base[[#This Row],[L/P Líquido]]</f>
        <v>0.33361256544502638</v>
      </c>
      <c r="N28" s="126">
        <f>base[[#This Row],[L/P Líquido]]/base[[#This Row],[Stake/Responsabilidade]]</f>
        <v>7.0771691323470609E-2</v>
      </c>
      <c r="O28" s="132">
        <f>IF(base[[#This Row],[L/P Líquido]]&gt;0,1,0)</f>
        <v>1</v>
      </c>
      <c r="P28" s="132"/>
      <c r="Q28" s="132" t="str">
        <f>LEFT(base[[#This Row],[Evento / Mercado]],FIND("vs",base[[#This Row],[Evento / Mercado]])-2)</f>
        <v>De Graafschap</v>
      </c>
      <c r="R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28" s="132" t="str">
        <f>LEFT(base[[#This Row],[Evento / Mercado]],FIND("/",base[[#This Row],[Evento / Mercado]])-2)</f>
        <v>De Graafschap vs FC Eindhoven</v>
      </c>
    </row>
    <row r="29" spans="2:21" ht="15" customHeight="1">
      <c r="B29" s="128" t="s">
        <v>27</v>
      </c>
      <c r="C29" s="128" t="s">
        <v>2982</v>
      </c>
      <c r="D29" s="129">
        <v>45991.646157407406</v>
      </c>
      <c r="E29" s="130">
        <v>10.06</v>
      </c>
      <c r="F29" s="131">
        <v>4.4999999999999998E-2</v>
      </c>
      <c r="G29" s="126">
        <f t="shared" si="0"/>
        <v>10.534031413612567</v>
      </c>
      <c r="H29" s="126" t="s">
        <v>73</v>
      </c>
      <c r="I29" s="127" t="s">
        <v>16</v>
      </c>
      <c r="J29" s="126">
        <v>10.5</v>
      </c>
      <c r="K29" s="126">
        <v>100.04</v>
      </c>
      <c r="L29" s="129">
        <f>INT(base[[#This Row],[Data de liquidação]])</f>
        <v>45991</v>
      </c>
      <c r="M29" s="126">
        <f>base[[#This Row],[L/P Bruto]]-base[[#This Row],[L/P Líquido]]</f>
        <v>0.47403141361256651</v>
      </c>
      <c r="N29" s="126">
        <f>base[[#This Row],[L/P Líquido]]/base[[#This Row],[Stake/Responsabilidade]]</f>
        <v>0.10055977608956418</v>
      </c>
      <c r="O29" s="132">
        <f>IF(base[[#This Row],[L/P Líquido]]&gt;0,1,0)</f>
        <v>1</v>
      </c>
      <c r="P29" s="132"/>
      <c r="Q29" s="132" t="str">
        <f>LEFT(base[[#This Row],[Evento / Mercado]],FIND("vs",base[[#This Row],[Evento / Mercado]])-2)</f>
        <v>NK Celje</v>
      </c>
      <c r="R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Koper</v>
      </c>
      <c r="S29" s="132" t="str">
        <f>LEFT(base[[#This Row],[Evento / Mercado]],FIND("/",base[[#This Row],[Evento / Mercado]])-2)</f>
        <v>NK Celje vs FC Koper</v>
      </c>
    </row>
    <row r="30" spans="2:21" ht="15" customHeight="1">
      <c r="B30" s="128" t="s">
        <v>26</v>
      </c>
      <c r="C30" s="128" t="s">
        <v>2982</v>
      </c>
      <c r="D30" s="129">
        <v>45991.661064814813</v>
      </c>
      <c r="E30" s="130">
        <v>11.10665</v>
      </c>
      <c r="F30" s="131">
        <v>4.4999999999999998E-2</v>
      </c>
      <c r="G30" s="126">
        <f t="shared" si="0"/>
        <v>11.63</v>
      </c>
      <c r="H30" s="126" t="s">
        <v>73</v>
      </c>
      <c r="I30" s="127" t="s">
        <v>16</v>
      </c>
      <c r="J30" s="126">
        <v>9.6</v>
      </c>
      <c r="K30" s="126">
        <v>100.02</v>
      </c>
      <c r="L30" s="129">
        <f>INT(base[[#This Row],[Data de liquidação]])</f>
        <v>45991</v>
      </c>
      <c r="M30" s="126">
        <f>base[[#This Row],[L/P Bruto]]-base[[#This Row],[L/P Líquido]]</f>
        <v>0.52335000000000065</v>
      </c>
      <c r="N30" s="126">
        <f>base[[#This Row],[L/P Líquido]]/base[[#This Row],[Stake/Responsabilidade]]</f>
        <v>0.11104429114177165</v>
      </c>
      <c r="O30" s="132">
        <f>IF(base[[#This Row],[L/P Líquido]]&gt;0,1,0)</f>
        <v>1</v>
      </c>
      <c r="P30" s="132"/>
      <c r="Q30" s="132" t="str">
        <f>LEFT(base[[#This Row],[Evento / Mercado]],FIND("vs",base[[#This Row],[Evento / Mercado]])-2)</f>
        <v>Atalanta</v>
      </c>
      <c r="R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Fiorentina</v>
      </c>
      <c r="S30" s="132" t="str">
        <f>LEFT(base[[#This Row],[Evento / Mercado]],FIND("/",base[[#This Row],[Evento / Mercado]])-2)</f>
        <v>Atalanta vs Fiorentina</v>
      </c>
      <c r="T30" s="8">
        <v>11.63</v>
      </c>
      <c r="U30" s="9">
        <f>T30*0.955</f>
        <v>11.10665</v>
      </c>
    </row>
    <row r="31" spans="2:21" ht="15" customHeight="1">
      <c r="B31" s="128" t="s">
        <v>26</v>
      </c>
      <c r="C31" s="128" t="s">
        <v>2982</v>
      </c>
      <c r="D31" s="129">
        <v>45991.661064814813</v>
      </c>
      <c r="E31" s="130">
        <v>5.4530500000000002</v>
      </c>
      <c r="F31" s="131">
        <v>4.4999999999999998E-2</v>
      </c>
      <c r="G31" s="126">
        <f t="shared" si="0"/>
        <v>5.7100000000000009</v>
      </c>
      <c r="H31" s="126" t="s">
        <v>73</v>
      </c>
      <c r="I31" s="127" t="s">
        <v>13</v>
      </c>
      <c r="J31" s="126">
        <v>18.149999999999999</v>
      </c>
      <c r="K31" s="126">
        <v>97.92</v>
      </c>
      <c r="L31" s="129">
        <f>INT(base[[#This Row],[Data de liquidação]])</f>
        <v>45991</v>
      </c>
      <c r="M31" s="126">
        <f>base[[#This Row],[L/P Bruto]]-base[[#This Row],[L/P Líquido]]</f>
        <v>0.25695000000000068</v>
      </c>
      <c r="N31" s="126">
        <f>base[[#This Row],[L/P Líquido]]/base[[#This Row],[Stake/Responsabilidade]]</f>
        <v>5.5688827614379086E-2</v>
      </c>
      <c r="O31" s="132">
        <f>IF(base[[#This Row],[L/P Líquido]]&gt;0,1,0)</f>
        <v>1</v>
      </c>
      <c r="P31" s="132"/>
      <c r="Q31" s="132" t="str">
        <f>LEFT(base[[#This Row],[Evento / Mercado]],FIND("vs",base[[#This Row],[Evento / Mercado]])-2)</f>
        <v>Atalanta</v>
      </c>
      <c r="R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Fiorentina</v>
      </c>
      <c r="S31" s="132" t="str">
        <f>LEFT(base[[#This Row],[Evento / Mercado]],FIND("/",base[[#This Row],[Evento / Mercado]])-2)</f>
        <v>Atalanta vs Fiorentina</v>
      </c>
      <c r="T31" s="8">
        <v>5.71</v>
      </c>
      <c r="U31" s="9">
        <f>T31*0.955</f>
        <v>5.4530500000000002</v>
      </c>
    </row>
    <row r="32" spans="2:21" ht="15" customHeight="1">
      <c r="B32" s="128" t="s">
        <v>25</v>
      </c>
      <c r="C32" s="128" t="s">
        <v>2982</v>
      </c>
      <c r="D32" s="129">
        <v>45991.686249999999</v>
      </c>
      <c r="E32" s="130">
        <v>5.31</v>
      </c>
      <c r="F32" s="131">
        <v>4.4999999999999998E-2</v>
      </c>
      <c r="G32" s="126">
        <f t="shared" si="0"/>
        <v>5.5602094240837694</v>
      </c>
      <c r="H32" s="126" t="s">
        <v>73</v>
      </c>
      <c r="I32" s="127" t="s">
        <v>13</v>
      </c>
      <c r="J32" s="126">
        <v>19</v>
      </c>
      <c r="K32" s="126">
        <v>100.08</v>
      </c>
      <c r="L32" s="129">
        <f>INT(base[[#This Row],[Data de liquidação]])</f>
        <v>45991</v>
      </c>
      <c r="M32" s="126">
        <f>base[[#This Row],[L/P Bruto]]-base[[#This Row],[L/P Líquido]]</f>
        <v>0.25020942408376978</v>
      </c>
      <c r="N32" s="126">
        <f>base[[#This Row],[L/P Líquido]]/base[[#This Row],[Stake/Responsabilidade]]</f>
        <v>5.3057553956834529E-2</v>
      </c>
      <c r="O32" s="132">
        <f>IF(base[[#This Row],[L/P Líquido]]&gt;0,1,0)</f>
        <v>1</v>
      </c>
      <c r="P32" s="132"/>
      <c r="Q32" s="132" t="str">
        <f>LEFT(base[[#This Row],[Evento / Mercado]],FIND("vs",base[[#This Row],[Evento / Mercado]])-2)</f>
        <v>AC Sparta Praha</v>
      </c>
      <c r="R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Pardubice</v>
      </c>
      <c r="S32" s="132" t="str">
        <f>LEFT(base[[#This Row],[Evento / Mercado]],FIND("/",base[[#This Row],[Evento / Mercado]])-2)</f>
        <v>AC Sparta Praha vs FK Pardubice</v>
      </c>
    </row>
    <row r="33" spans="2:21" ht="15" customHeight="1">
      <c r="B33" s="128" t="s">
        <v>24</v>
      </c>
      <c r="C33" s="128" t="s">
        <v>2982</v>
      </c>
      <c r="D33" s="129">
        <v>45991.724652777775</v>
      </c>
      <c r="E33" s="130">
        <v>6.16</v>
      </c>
      <c r="F33" s="131">
        <v>4.4999999999999998E-2</v>
      </c>
      <c r="G33" s="126">
        <f t="shared" si="0"/>
        <v>6.4502617801047126</v>
      </c>
      <c r="H33" s="126" t="s">
        <v>73</v>
      </c>
      <c r="I33" s="127" t="s">
        <v>13</v>
      </c>
      <c r="J33" s="126">
        <v>16.5</v>
      </c>
      <c r="K33" s="126">
        <v>99.98</v>
      </c>
      <c r="L33" s="129">
        <f>INT(base[[#This Row],[Data de liquidação]])</f>
        <v>45991</v>
      </c>
      <c r="M33" s="126">
        <f>base[[#This Row],[L/P Bruto]]-base[[#This Row],[L/P Líquido]]</f>
        <v>0.29026178010471249</v>
      </c>
      <c r="N33" s="126">
        <f>base[[#This Row],[L/P Líquido]]/base[[#This Row],[Stake/Responsabilidade]]</f>
        <v>6.16123224644929E-2</v>
      </c>
      <c r="O33" s="132">
        <f>IF(base[[#This Row],[L/P Líquido]]&gt;0,1,0)</f>
        <v>1</v>
      </c>
      <c r="P33" s="132"/>
      <c r="Q33" s="132" t="str">
        <f>LEFT(base[[#This Row],[Evento / Mercado]],FIND("vs",base[[#This Row],[Evento / Mercado]])-2)</f>
        <v>SC Freiburg</v>
      </c>
      <c r="R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33" s="132" t="str">
        <f>LEFT(base[[#This Row],[Evento / Mercado]],FIND("/",base[[#This Row],[Evento / Mercado]])-2)</f>
        <v>SC Freiburg vs 1. FSV Mainz 05</v>
      </c>
    </row>
    <row r="34" spans="2:21" ht="15" customHeight="1">
      <c r="B34" s="128" t="s">
        <v>23</v>
      </c>
      <c r="C34" s="128" t="s">
        <v>2982</v>
      </c>
      <c r="D34" s="129">
        <v>45991.724803240744</v>
      </c>
      <c r="E34" s="130">
        <v>7.34</v>
      </c>
      <c r="F34" s="131">
        <v>4.4999999999999998E-2</v>
      </c>
      <c r="G34" s="126">
        <f t="shared" si="0"/>
        <v>7.6858638743455501</v>
      </c>
      <c r="H34" s="126" t="s">
        <v>73</v>
      </c>
      <c r="I34" s="127" t="s">
        <v>16</v>
      </c>
      <c r="J34" s="126">
        <v>14</v>
      </c>
      <c r="K34" s="126">
        <v>99.97</v>
      </c>
      <c r="L34" s="129">
        <f>INT(base[[#This Row],[Data de liquidação]])</f>
        <v>45991</v>
      </c>
      <c r="M34" s="126">
        <f>base[[#This Row],[L/P Bruto]]-base[[#This Row],[L/P Líquido]]</f>
        <v>0.34586387434555022</v>
      </c>
      <c r="N34" s="126">
        <f>base[[#This Row],[L/P Líquido]]/base[[#This Row],[Stake/Responsabilidade]]</f>
        <v>7.3422026607982388E-2</v>
      </c>
      <c r="O34" s="132">
        <f>IF(base[[#This Row],[L/P Líquido]]&gt;0,1,0)</f>
        <v>1</v>
      </c>
      <c r="P34" s="132"/>
      <c r="Q34" s="132" t="str">
        <f>LEFT(base[[#This Row],[Evento / Mercado]],FIND("vs",base[[#This Row],[Evento / Mercado]])-2)</f>
        <v>VfB Stuttgart II</v>
      </c>
      <c r="R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34" s="132" t="str">
        <f>LEFT(base[[#This Row],[Evento / Mercado]],FIND("/",base[[#This Row],[Evento / Mercado]])-2)</f>
        <v>VfB Stuttgart II vs TSV Havelse</v>
      </c>
    </row>
    <row r="35" spans="2:21" ht="15" customHeight="1">
      <c r="B35" s="128" t="s">
        <v>22</v>
      </c>
      <c r="C35" s="128" t="s">
        <v>2982</v>
      </c>
      <c r="D35" s="129">
        <v>45991.753796296296</v>
      </c>
      <c r="E35" s="130">
        <v>5.31</v>
      </c>
      <c r="F35" s="131">
        <v>4.4999999999999998E-2</v>
      </c>
      <c r="G35" s="126">
        <f t="shared" si="0"/>
        <v>5.5602094240837694</v>
      </c>
      <c r="H35" s="126" t="s">
        <v>73</v>
      </c>
      <c r="I35" s="127" t="s">
        <v>13</v>
      </c>
      <c r="J35" s="126">
        <v>19</v>
      </c>
      <c r="K35" s="126">
        <v>100.08</v>
      </c>
      <c r="L35" s="129">
        <f>INT(base[[#This Row],[Data de liquidação]])</f>
        <v>45991</v>
      </c>
      <c r="M35" s="126">
        <f>base[[#This Row],[L/P Bruto]]-base[[#This Row],[L/P Líquido]]</f>
        <v>0.25020942408376978</v>
      </c>
      <c r="N35" s="126">
        <f>base[[#This Row],[L/P Líquido]]/base[[#This Row],[Stake/Responsabilidade]]</f>
        <v>5.3057553956834529E-2</v>
      </c>
      <c r="O35" s="132">
        <f>IF(base[[#This Row],[L/P Líquido]]&gt;0,1,0)</f>
        <v>1</v>
      </c>
      <c r="P35" s="132"/>
      <c r="Q35" s="132" t="str">
        <f>LEFT(base[[#This Row],[Evento / Mercado]],FIND("vs",base[[#This Row],[Evento / Mercado]])-2)</f>
        <v>Oriente Petrolero</v>
      </c>
      <c r="R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Blooming Santa Cruz</v>
      </c>
      <c r="S35" s="132" t="str">
        <f>LEFT(base[[#This Row],[Evento / Mercado]],FIND("/",base[[#This Row],[Evento / Mercado]])-2)</f>
        <v>Oriente Petrolero vs Blooming Santa Cruz</v>
      </c>
    </row>
    <row r="36" spans="2:21" ht="15" customHeight="1">
      <c r="B36" s="128" t="s">
        <v>21</v>
      </c>
      <c r="C36" s="128" t="s">
        <v>2982</v>
      </c>
      <c r="D36" s="129">
        <v>45991.780300925922</v>
      </c>
      <c r="E36" s="130">
        <v>5.0199999999999996</v>
      </c>
      <c r="F36" s="131">
        <v>4.4999999999999998E-2</v>
      </c>
      <c r="G36" s="126">
        <f t="shared" si="0"/>
        <v>5.2565445026178006</v>
      </c>
      <c r="H36" s="126" t="s">
        <v>73</v>
      </c>
      <c r="I36" s="127" t="s">
        <v>13</v>
      </c>
      <c r="J36" s="126">
        <v>20</v>
      </c>
      <c r="K36" s="126">
        <v>99.94</v>
      </c>
      <c r="L36" s="129">
        <f>INT(base[[#This Row],[Data de liquidação]])</f>
        <v>45991</v>
      </c>
      <c r="M36" s="126">
        <f>base[[#This Row],[L/P Bruto]]-base[[#This Row],[L/P Líquido]]</f>
        <v>0.23654450261780102</v>
      </c>
      <c r="N36" s="126">
        <f>base[[#This Row],[L/P Líquido]]/base[[#This Row],[Stake/Responsabilidade]]</f>
        <v>5.0230138082849707E-2</v>
      </c>
      <c r="O36" s="132">
        <f>IF(base[[#This Row],[L/P Líquido]]&gt;0,1,0)</f>
        <v>1</v>
      </c>
      <c r="P36" s="132"/>
      <c r="Q36" s="132" t="str">
        <f>LEFT(base[[#This Row],[Evento / Mercado]],FIND("vs",base[[#This Row],[Evento / Mercado]])-2)</f>
        <v>Olympique Lyonnais</v>
      </c>
      <c r="R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36" s="132" t="str">
        <f>LEFT(base[[#This Row],[Evento / Mercado]],FIND("/",base[[#This Row],[Evento / Mercado]])-2)</f>
        <v>Olympique Lyonnais vs FC Nantes</v>
      </c>
    </row>
    <row r="37" spans="2:21" ht="15" customHeight="1">
      <c r="B37" s="128" t="s">
        <v>20</v>
      </c>
      <c r="C37" s="128" t="s">
        <v>2982</v>
      </c>
      <c r="D37" s="129">
        <v>45991.811747685184</v>
      </c>
      <c r="E37" s="130">
        <v>4.55</v>
      </c>
      <c r="F37" s="131">
        <v>4.4999999999999998E-2</v>
      </c>
      <c r="G37" s="126">
        <f t="shared" si="0"/>
        <v>4.7643979057591626</v>
      </c>
      <c r="H37" s="126" t="s">
        <v>73</v>
      </c>
      <c r="I37" s="127" t="s">
        <v>13</v>
      </c>
      <c r="J37" s="126">
        <v>22</v>
      </c>
      <c r="K37" s="126">
        <v>99.96</v>
      </c>
      <c r="L37" s="129">
        <f>INT(base[[#This Row],[Data de liquidação]])</f>
        <v>45991</v>
      </c>
      <c r="M37" s="126">
        <f>base[[#This Row],[L/P Bruto]]-base[[#This Row],[L/P Líquido]]</f>
        <v>0.21439790575916273</v>
      </c>
      <c r="N37" s="126">
        <f>base[[#This Row],[L/P Líquido]]/base[[#This Row],[Stake/Responsabilidade]]</f>
        <v>4.5518207282913163E-2</v>
      </c>
      <c r="O37" s="132">
        <f>IF(base[[#This Row],[L/P Líquido]]&gt;0,1,0)</f>
        <v>1</v>
      </c>
      <c r="P37" s="132"/>
      <c r="Q37" s="132" t="str">
        <f>LEFT(base[[#This Row],[Evento / Mercado]],FIND("vs",base[[#This Row],[Evento / Mercado]])-2)</f>
        <v>Deportivo Macara</v>
      </c>
      <c r="R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 Nacional</v>
      </c>
      <c r="S37" s="132" t="str">
        <f>LEFT(base[[#This Row],[Evento / Mercado]],FIND("/",base[[#This Row],[Evento / Mercado]])-2)</f>
        <v>Deportivo Macara vs El Nacional</v>
      </c>
    </row>
    <row r="38" spans="2:21" ht="15" customHeight="1">
      <c r="B38" s="128" t="s">
        <v>19</v>
      </c>
      <c r="C38" s="128" t="s">
        <v>2982</v>
      </c>
      <c r="D38" s="129">
        <v>45991.832094907404</v>
      </c>
      <c r="E38" s="130">
        <v>11.9375</v>
      </c>
      <c r="F38" s="131">
        <v>4.4999999999999998E-2</v>
      </c>
      <c r="G38" s="126">
        <f t="shared" si="0"/>
        <v>12.5</v>
      </c>
      <c r="H38" s="126" t="s">
        <v>73</v>
      </c>
      <c r="I38" s="127" t="s">
        <v>16</v>
      </c>
      <c r="J38" s="126">
        <v>9</v>
      </c>
      <c r="K38" s="126">
        <v>100</v>
      </c>
      <c r="L38" s="129">
        <f>INT(base[[#This Row],[Data de liquidação]])</f>
        <v>45991</v>
      </c>
      <c r="M38" s="126">
        <f>base[[#This Row],[L/P Bruto]]-base[[#This Row],[L/P Líquido]]</f>
        <v>0.5625</v>
      </c>
      <c r="N38" s="126">
        <f>base[[#This Row],[L/P Líquido]]/base[[#This Row],[Stake/Responsabilidade]]</f>
        <v>0.119375</v>
      </c>
      <c r="O38" s="132">
        <f>IF(base[[#This Row],[L/P Líquido]]&gt;0,1,0)</f>
        <v>1</v>
      </c>
      <c r="P38" s="132"/>
      <c r="Q38" s="132" t="str">
        <f>LEFT(base[[#This Row],[Evento / Mercado]],FIND("vs",base[[#This Row],[Evento / Mercado]])-2)</f>
        <v>Club Guaraní</v>
      </c>
      <c r="R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Sportivo Luqueño</v>
      </c>
      <c r="S38" s="132" t="str">
        <f>LEFT(base[[#This Row],[Evento / Mercado]],FIND("/",base[[#This Row],[Evento / Mercado]])-2)</f>
        <v>Club Guaraní vs Club Sportivo Luqueño</v>
      </c>
      <c r="T38" s="8">
        <v>12.5</v>
      </c>
      <c r="U38" s="9">
        <f>T38*0.955</f>
        <v>11.9375</v>
      </c>
    </row>
    <row r="39" spans="2:21" ht="15" customHeight="1">
      <c r="B39" s="128" t="s">
        <v>19</v>
      </c>
      <c r="C39" s="128" t="s">
        <v>2982</v>
      </c>
      <c r="D39" s="129">
        <v>45991.832094907404</v>
      </c>
      <c r="E39" s="130">
        <v>5.3097999999999992</v>
      </c>
      <c r="F39" s="131">
        <v>4.4999999999999998E-2</v>
      </c>
      <c r="G39" s="126">
        <f t="shared" si="0"/>
        <v>5.56</v>
      </c>
      <c r="H39" s="126" t="s">
        <v>73</v>
      </c>
      <c r="I39" s="127" t="s">
        <v>13</v>
      </c>
      <c r="J39" s="126">
        <v>19</v>
      </c>
      <c r="K39" s="126">
        <v>100.08</v>
      </c>
      <c r="L39" s="129">
        <f>INT(base[[#This Row],[Data de liquidação]])</f>
        <v>45991</v>
      </c>
      <c r="M39" s="126">
        <f>base[[#This Row],[L/P Bruto]]-base[[#This Row],[L/P Líquido]]</f>
        <v>0.25020000000000042</v>
      </c>
      <c r="N39" s="126">
        <f>base[[#This Row],[L/P Líquido]]/base[[#This Row],[Stake/Responsabilidade]]</f>
        <v>5.305555555555555E-2</v>
      </c>
      <c r="O39" s="132">
        <f>IF(base[[#This Row],[L/P Líquido]]&gt;0,1,0)</f>
        <v>1</v>
      </c>
      <c r="P39" s="132"/>
      <c r="Q39" s="132" t="str">
        <f>LEFT(base[[#This Row],[Evento / Mercado]],FIND("vs",base[[#This Row],[Evento / Mercado]])-2)</f>
        <v>Club Guaraní</v>
      </c>
      <c r="R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Sportivo Luqueño</v>
      </c>
      <c r="S39" s="132" t="str">
        <f>LEFT(base[[#This Row],[Evento / Mercado]],FIND("/",base[[#This Row],[Evento / Mercado]])-2)</f>
        <v>Club Guaraní vs Club Sportivo Luqueño</v>
      </c>
      <c r="T39" s="8">
        <v>5.56</v>
      </c>
      <c r="U39" s="9">
        <f>T39*0.955</f>
        <v>5.3097999999999992</v>
      </c>
    </row>
    <row r="40" spans="2:21" ht="15" customHeight="1">
      <c r="B40" s="128" t="s">
        <v>18</v>
      </c>
      <c r="C40" s="128" t="s">
        <v>2982</v>
      </c>
      <c r="D40" s="129">
        <v>45991.879386574074</v>
      </c>
      <c r="E40" s="130">
        <v>5.31</v>
      </c>
      <c r="F40" s="131">
        <v>4.4999999999999998E-2</v>
      </c>
      <c r="G40" s="126">
        <f t="shared" si="0"/>
        <v>5.5602094240837694</v>
      </c>
      <c r="H40" s="126" t="s">
        <v>73</v>
      </c>
      <c r="I40" s="127" t="s">
        <v>13</v>
      </c>
      <c r="J40" s="126">
        <v>19</v>
      </c>
      <c r="K40" s="126">
        <v>100.08</v>
      </c>
      <c r="L40" s="129">
        <f>INT(base[[#This Row],[Data de liquidação]])</f>
        <v>45991</v>
      </c>
      <c r="M40" s="126">
        <f>base[[#This Row],[L/P Bruto]]-base[[#This Row],[L/P Líquido]]</f>
        <v>0.25020942408376978</v>
      </c>
      <c r="N40" s="126">
        <f>base[[#This Row],[L/P Líquido]]/base[[#This Row],[Stake/Responsabilidade]]</f>
        <v>5.3057553956834529E-2</v>
      </c>
      <c r="O40" s="132">
        <f>IF(base[[#This Row],[L/P Líquido]]&gt;0,1,0)</f>
        <v>1</v>
      </c>
      <c r="P40" s="132"/>
      <c r="Q40" s="132" t="str">
        <f>LEFT(base[[#This Row],[Evento / Mercado]],FIND("vs",base[[#This Row],[Evento / Mercado]])-2)</f>
        <v>Deportivo Saprissa</v>
      </c>
      <c r="R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 Municipal Liberia</v>
      </c>
      <c r="S40" s="132" t="str">
        <f>LEFT(base[[#This Row],[Evento / Mercado]],FIND("/",base[[#This Row],[Evento / Mercado]])-2)</f>
        <v>Deportivo Saprissa vs AD Municipal Liberia</v>
      </c>
    </row>
    <row r="41" spans="2:21" ht="15" customHeight="1">
      <c r="B41" s="128" t="s">
        <v>17</v>
      </c>
      <c r="C41" s="128" t="s">
        <v>2982</v>
      </c>
      <c r="D41" s="129">
        <v>45992.395208333335</v>
      </c>
      <c r="E41" s="130">
        <v>11.11</v>
      </c>
      <c r="F41" s="131">
        <v>4.4999999999999998E-2</v>
      </c>
      <c r="G41" s="126">
        <f t="shared" si="0"/>
        <v>11.633507853403142</v>
      </c>
      <c r="H41" s="126" t="s">
        <v>73</v>
      </c>
      <c r="I41" s="127" t="s">
        <v>16</v>
      </c>
      <c r="J41" s="126">
        <v>9.6</v>
      </c>
      <c r="K41" s="126">
        <v>100.02</v>
      </c>
      <c r="L41" s="129">
        <f>INT(base[[#This Row],[Data de liquidação]])</f>
        <v>45992</v>
      </c>
      <c r="M41" s="126">
        <f>base[[#This Row],[L/P Bruto]]-base[[#This Row],[L/P Líquido]]</f>
        <v>0.52350785340314232</v>
      </c>
      <c r="N41" s="126">
        <f>base[[#This Row],[L/P Líquido]]/base[[#This Row],[Stake/Responsabilidade]]</f>
        <v>0.11107778444311138</v>
      </c>
      <c r="O41" s="132">
        <f>IF(base[[#This Row],[L/P Líquido]]&gt;0,1,0)</f>
        <v>1</v>
      </c>
      <c r="P41" s="132"/>
      <c r="Q41" s="132" t="str">
        <f>LEFT(base[[#This Row],[Evento / Mercado]],FIND("vs",base[[#This Row],[Evento / Mercado]])-2)</f>
        <v>FC Ararat-Armenia</v>
      </c>
      <c r="R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Shirak Gumri</v>
      </c>
      <c r="S41" s="132" t="str">
        <f>LEFT(base[[#This Row],[Evento / Mercado]],FIND("/",base[[#This Row],[Evento / Mercado]])-2)</f>
        <v>FC Ararat-Armenia vs Shirak Gumri</v>
      </c>
    </row>
    <row r="42" spans="2:21" ht="15" customHeight="1">
      <c r="B42" s="128" t="s">
        <v>53</v>
      </c>
      <c r="C42" s="128" t="s">
        <v>2982</v>
      </c>
      <c r="D42" s="129">
        <v>45992.62332175926</v>
      </c>
      <c r="E42" s="130">
        <v>5.97</v>
      </c>
      <c r="F42" s="131">
        <v>4.4999999999999998E-2</v>
      </c>
      <c r="G42" s="126">
        <f t="shared" si="0"/>
        <v>6.2513089005235605</v>
      </c>
      <c r="H42" s="126" t="s">
        <v>73</v>
      </c>
      <c r="I42" s="127" t="s">
        <v>13</v>
      </c>
      <c r="J42" s="126">
        <v>17</v>
      </c>
      <c r="K42" s="126">
        <v>100</v>
      </c>
      <c r="L42" s="129">
        <f>INT(base[[#This Row],[Data de liquidação]])</f>
        <v>45992</v>
      </c>
      <c r="M42" s="126">
        <f>base[[#This Row],[L/P Bruto]]-base[[#This Row],[L/P Líquido]]</f>
        <v>0.28130890052356072</v>
      </c>
      <c r="N42" s="126">
        <f>base[[#This Row],[L/P Líquido]]/base[[#This Row],[Stake/Responsabilidade]]</f>
        <v>5.9699999999999996E-2</v>
      </c>
      <c r="O42" s="132">
        <f>IF(base[[#This Row],[L/P Líquido]]&gt;0,1,0)</f>
        <v>1</v>
      </c>
      <c r="P42" s="132"/>
      <c r="Q42" s="132" t="str">
        <f>LEFT(base[[#This Row],[Evento / Mercado]],FIND("vs",base[[#This Row],[Evento / Mercado]])-2)</f>
        <v>Shakhtar Donetsk</v>
      </c>
      <c r="R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Kryvbas Kryvyi Rih</v>
      </c>
      <c r="S42" s="132" t="str">
        <f>LEFT(base[[#This Row],[Evento / Mercado]],FIND("/",base[[#This Row],[Evento / Mercado]])-2)</f>
        <v>Shakhtar Donetsk vs Kryvbas Kryvyi Rih</v>
      </c>
    </row>
    <row r="43" spans="2:21" ht="15" customHeight="1">
      <c r="B43" s="128" t="s">
        <v>52</v>
      </c>
      <c r="C43" s="128" t="s">
        <v>2982</v>
      </c>
      <c r="D43" s="129">
        <v>45992.664444444446</v>
      </c>
      <c r="E43" s="130">
        <v>5.97</v>
      </c>
      <c r="F43" s="131">
        <v>4.4999999999999998E-2</v>
      </c>
      <c r="G43" s="126">
        <f t="shared" si="0"/>
        <v>6.2513089005235605</v>
      </c>
      <c r="H43" s="126" t="s">
        <v>73</v>
      </c>
      <c r="I43" s="127" t="s">
        <v>13</v>
      </c>
      <c r="J43" s="126">
        <v>17</v>
      </c>
      <c r="K43" s="126">
        <v>100</v>
      </c>
      <c r="L43" s="129">
        <f>INT(base[[#This Row],[Data de liquidação]])</f>
        <v>45992</v>
      </c>
      <c r="M43" s="126">
        <f>base[[#This Row],[L/P Bruto]]-base[[#This Row],[L/P Líquido]]</f>
        <v>0.28130890052356072</v>
      </c>
      <c r="N43" s="126">
        <f>base[[#This Row],[L/P Líquido]]/base[[#This Row],[Stake/Responsabilidade]]</f>
        <v>5.9699999999999996E-2</v>
      </c>
      <c r="O43" s="132">
        <f>IF(base[[#This Row],[L/P Líquido]]&gt;0,1,0)</f>
        <v>1</v>
      </c>
      <c r="P43" s="132"/>
      <c r="Q43" s="132" t="str">
        <f>LEFT(base[[#This Row],[Evento / Mercado]],FIND("vs",base[[#This Row],[Evento / Mercado]])-2)</f>
        <v>Samsunspor</v>
      </c>
      <c r="R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Alanyaspor</v>
      </c>
      <c r="S43" s="132" t="str">
        <f>LEFT(base[[#This Row],[Evento / Mercado]],FIND("/",base[[#This Row],[Evento / Mercado]])-2)</f>
        <v>Samsunspor vs Alanyaspor</v>
      </c>
    </row>
    <row r="44" spans="2:21" ht="15" customHeight="1">
      <c r="B44" s="128" t="s">
        <v>51</v>
      </c>
      <c r="C44" s="128" t="s">
        <v>2982</v>
      </c>
      <c r="D44" s="129">
        <v>45992.781597222223</v>
      </c>
      <c r="E44" s="130">
        <v>4.6500000000000004</v>
      </c>
      <c r="F44" s="131">
        <v>4.4999999999999998E-2</v>
      </c>
      <c r="G44" s="126">
        <f t="shared" si="0"/>
        <v>4.8691099476439792</v>
      </c>
      <c r="H44" s="126" t="s">
        <v>73</v>
      </c>
      <c r="I44" s="127" t="s">
        <v>13</v>
      </c>
      <c r="J44" s="126">
        <v>21</v>
      </c>
      <c r="K44" s="126">
        <v>97.47</v>
      </c>
      <c r="L44" s="129">
        <f>INT(base[[#This Row],[Data de liquidação]])</f>
        <v>45992</v>
      </c>
      <c r="M44" s="126">
        <f>base[[#This Row],[L/P Bruto]]-base[[#This Row],[L/P Líquido]]</f>
        <v>0.21910994764397884</v>
      </c>
      <c r="N44" s="126">
        <f>base[[#This Row],[L/P Líquido]]/base[[#This Row],[Stake/Responsabilidade]]</f>
        <v>4.7706986765158513E-2</v>
      </c>
      <c r="O44" s="132">
        <f>IF(base[[#This Row],[L/P Líquido]]&gt;0,1,0)</f>
        <v>1</v>
      </c>
      <c r="P44" s="132"/>
      <c r="Q44" s="132" t="str">
        <f>LEFT(base[[#This Row],[Evento / Mercado]],FIND("vs",base[[#This Row],[Evento / Mercado]])-2)</f>
        <v>Bologna</v>
      </c>
      <c r="R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44" s="132" t="str">
        <f>LEFT(base[[#This Row],[Evento / Mercado]],FIND("/",base[[#This Row],[Evento / Mercado]])-2)</f>
        <v>Bologna vs Cremonese</v>
      </c>
    </row>
    <row r="45" spans="2:21" ht="15" customHeight="1">
      <c r="B45" s="128" t="s">
        <v>50</v>
      </c>
      <c r="C45" s="128" t="s">
        <v>2982</v>
      </c>
      <c r="D45" s="129">
        <v>45992.978645833333</v>
      </c>
      <c r="E45" s="130">
        <v>6.82</v>
      </c>
      <c r="F45" s="131">
        <v>4.4999999999999998E-2</v>
      </c>
      <c r="G45" s="126">
        <f t="shared" si="0"/>
        <v>7.1413612565445028</v>
      </c>
      <c r="H45" s="126" t="s">
        <v>73</v>
      </c>
      <c r="I45" s="127" t="s">
        <v>13</v>
      </c>
      <c r="J45" s="126">
        <v>15</v>
      </c>
      <c r="K45" s="126">
        <v>99.96</v>
      </c>
      <c r="L45" s="129">
        <f>INT(base[[#This Row],[Data de liquidação]])</f>
        <v>45992</v>
      </c>
      <c r="M45" s="126">
        <f>base[[#This Row],[L/P Bruto]]-base[[#This Row],[L/P Líquido]]</f>
        <v>0.32136125654450254</v>
      </c>
      <c r="N45" s="126">
        <f>base[[#This Row],[L/P Líquido]]/base[[#This Row],[Stake/Responsabilidade]]</f>
        <v>6.8227290916366548E-2</v>
      </c>
      <c r="O45" s="132">
        <f>IF(base[[#This Row],[L/P Líquido]]&gt;0,1,0)</f>
        <v>1</v>
      </c>
      <c r="P45" s="132"/>
      <c r="Q45" s="132" t="str">
        <f>LEFT(base[[#This Row],[Evento / Mercado]],FIND("vs",base[[#This Row],[Evento / Mercado]])-2)</f>
        <v>Racing Club</v>
      </c>
      <c r="R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Tigre</v>
      </c>
      <c r="S45" s="132" t="str">
        <f>LEFT(base[[#This Row],[Evento / Mercado]],FIND("/",base[[#This Row],[Evento / Mercado]])-2)</f>
        <v>Racing Club vs Tigre</v>
      </c>
    </row>
    <row r="46" spans="2:21" ht="15" customHeight="1">
      <c r="B46" s="128" t="s">
        <v>49</v>
      </c>
      <c r="C46" s="128" t="s">
        <v>2982</v>
      </c>
      <c r="D46" s="129">
        <v>45993.006192129629</v>
      </c>
      <c r="E46" s="130">
        <v>5.31</v>
      </c>
      <c r="F46" s="131">
        <v>4.4999999999999998E-2</v>
      </c>
      <c r="G46" s="126">
        <f t="shared" si="0"/>
        <v>5.5602094240837694</v>
      </c>
      <c r="H46" s="126" t="s">
        <v>73</v>
      </c>
      <c r="I46" s="127" t="s">
        <v>13</v>
      </c>
      <c r="J46" s="126">
        <v>19</v>
      </c>
      <c r="K46" s="126">
        <v>100.08</v>
      </c>
      <c r="L46" s="129">
        <f>INT(base[[#This Row],[Data de liquidação]])</f>
        <v>45993</v>
      </c>
      <c r="M46" s="126">
        <f>base[[#This Row],[L/P Bruto]]-base[[#This Row],[L/P Líquido]]</f>
        <v>0.25020942408376978</v>
      </c>
      <c r="N46" s="126">
        <f>base[[#This Row],[L/P Líquido]]/base[[#This Row],[Stake/Responsabilidade]]</f>
        <v>5.3057553956834529E-2</v>
      </c>
      <c r="O46" s="132">
        <f>IF(base[[#This Row],[L/P Líquido]]&gt;0,1,0)</f>
        <v>1</v>
      </c>
      <c r="P46" s="132"/>
      <c r="Q46" s="132" t="str">
        <f>LEFT(base[[#This Row],[Evento / Mercado]],FIND("vs",base[[#This Row],[Evento / Mercado]])-2)</f>
        <v>Independiente Medellín</v>
      </c>
      <c r="R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 de Cali</v>
      </c>
      <c r="S46" s="132" t="str">
        <f>LEFT(base[[#This Row],[Evento / Mercado]],FIND("/",base[[#This Row],[Evento / Mercado]])-2)</f>
        <v>Independiente Medellín vs América de Cali</v>
      </c>
    </row>
    <row r="47" spans="2:21" ht="15" customHeight="1">
      <c r="B47" s="128" t="s">
        <v>71</v>
      </c>
      <c r="C47" s="128" t="s">
        <v>2982</v>
      </c>
      <c r="D47" s="129">
        <v>45993.51829861111</v>
      </c>
      <c r="E47" s="130">
        <v>9.09</v>
      </c>
      <c r="F47" s="131">
        <v>4.4999999999999998E-2</v>
      </c>
      <c r="G47" s="126">
        <f t="shared" si="0"/>
        <v>9.5183246073298431</v>
      </c>
      <c r="H47" s="126" t="s">
        <v>73</v>
      </c>
      <c r="I47" s="127" t="s">
        <v>13</v>
      </c>
      <c r="J47" s="126">
        <v>11.5</v>
      </c>
      <c r="K47" s="126">
        <v>99.96</v>
      </c>
      <c r="L47" s="129">
        <f>INT(base[[#This Row],[Data de liquidação]])</f>
        <v>45993</v>
      </c>
      <c r="M47" s="126">
        <f>base[[#This Row],[L/P Bruto]]-base[[#This Row],[L/P Líquido]]</f>
        <v>0.42832460732984323</v>
      </c>
      <c r="N47" s="126">
        <f>base[[#This Row],[L/P Líquido]]/base[[#This Row],[Stake/Responsabilidade]]</f>
        <v>9.0936374549819926E-2</v>
      </c>
      <c r="O47" s="132">
        <f>IF(base[[#This Row],[L/P Líquido]]&gt;0,1,0)</f>
        <v>1</v>
      </c>
      <c r="P47" s="132"/>
      <c r="Q47" s="132" t="str">
        <f>LEFT(base[[#This Row],[Evento / Mercado]],FIND("vs",base[[#This Row],[Evento / Mercado]])-2)</f>
        <v>Ajax</v>
      </c>
      <c r="R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Groningen</v>
      </c>
      <c r="S47" s="132" t="str">
        <f>LEFT(base[[#This Row],[Evento / Mercado]],FIND("/",base[[#This Row],[Evento / Mercado]])-2)</f>
        <v>Ajax vs FC Groningen</v>
      </c>
    </row>
    <row r="48" spans="2:21" ht="15" customHeight="1">
      <c r="B48" s="128" t="s">
        <v>70</v>
      </c>
      <c r="C48" s="128" t="s">
        <v>2982</v>
      </c>
      <c r="D48" s="129">
        <v>45993.662719907406</v>
      </c>
      <c r="E48" s="130">
        <v>6.82</v>
      </c>
      <c r="F48" s="131">
        <v>4.4999999999999998E-2</v>
      </c>
      <c r="G48" s="126">
        <f t="shared" si="0"/>
        <v>7.1413612565445028</v>
      </c>
      <c r="H48" s="126" t="s">
        <v>73</v>
      </c>
      <c r="I48" s="127" t="s">
        <v>13</v>
      </c>
      <c r="J48" s="126">
        <v>15</v>
      </c>
      <c r="K48" s="126">
        <v>99.96</v>
      </c>
      <c r="L48" s="129">
        <f>INT(base[[#This Row],[Data de liquidação]])</f>
        <v>45993</v>
      </c>
      <c r="M48" s="126">
        <f>base[[#This Row],[L/P Bruto]]-base[[#This Row],[L/P Líquido]]</f>
        <v>0.32136125654450254</v>
      </c>
      <c r="N48" s="126">
        <f>base[[#This Row],[L/P Líquido]]/base[[#This Row],[Stake/Responsabilidade]]</f>
        <v>6.8227290916366548E-2</v>
      </c>
      <c r="O48" s="132">
        <f>IF(base[[#This Row],[L/P Líquido]]&gt;0,1,0)</f>
        <v>1</v>
      </c>
      <c r="P48" s="132"/>
      <c r="Q48" s="132" t="str">
        <f>LEFT(base[[#This Row],[Evento / Mercado]],FIND("vs",base[[#This Row],[Evento / Mercado]])-2)</f>
        <v>Borussia Mönchengladbach</v>
      </c>
      <c r="R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Pauli</v>
      </c>
      <c r="S48" s="132" t="str">
        <f>LEFT(base[[#This Row],[Evento / Mercado]],FIND("/",base[[#This Row],[Evento / Mercado]])-2)</f>
        <v>Borussia Mönchengladbach vs FC St. Pauli</v>
      </c>
    </row>
    <row r="49" spans="2:23" ht="15" customHeight="1">
      <c r="B49" s="128" t="s">
        <v>69</v>
      </c>
      <c r="C49" s="128" t="s">
        <v>2982</v>
      </c>
      <c r="D49" s="129">
        <v>45994.456087962964</v>
      </c>
      <c r="E49" s="130">
        <v>5.31</v>
      </c>
      <c r="F49" s="131">
        <v>4.4999999999999998E-2</v>
      </c>
      <c r="G49" s="126">
        <f t="shared" si="0"/>
        <v>5.5602094240837694</v>
      </c>
      <c r="H49" s="126" t="s">
        <v>73</v>
      </c>
      <c r="I49" s="127" t="s">
        <v>13</v>
      </c>
      <c r="J49" s="126">
        <v>19</v>
      </c>
      <c r="K49" s="126">
        <v>100.08</v>
      </c>
      <c r="L49" s="129">
        <f>INT(base[[#This Row],[Data de liquidação]])</f>
        <v>45994</v>
      </c>
      <c r="M49" s="126">
        <f>base[[#This Row],[L/P Bruto]]-base[[#This Row],[L/P Líquido]]</f>
        <v>0.25020942408376978</v>
      </c>
      <c r="N49" s="126">
        <f>base[[#This Row],[L/P Líquido]]/base[[#This Row],[Stake/Responsabilidade]]</f>
        <v>5.3057553956834529E-2</v>
      </c>
      <c r="O49" s="132">
        <f>IF(base[[#This Row],[L/P Líquido]]&gt;0,1,0)</f>
        <v>1</v>
      </c>
      <c r="P49" s="132"/>
      <c r="Q49" s="132" t="str">
        <f>LEFT(base[[#This Row],[Evento / Mercado]],FIND("vs",base[[#This Row],[Evento / Mercado]])-2)</f>
        <v>Algeria</v>
      </c>
      <c r="R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Sudan</v>
      </c>
      <c r="S49" s="132" t="str">
        <f>LEFT(base[[#This Row],[Evento / Mercado]],FIND("/",base[[#This Row],[Evento / Mercado]])-2)</f>
        <v>Algeria vs Sudan</v>
      </c>
    </row>
    <row r="50" spans="2:23" ht="15" customHeight="1">
      <c r="B50" s="128" t="s">
        <v>68</v>
      </c>
      <c r="C50" s="128" t="s">
        <v>2982</v>
      </c>
      <c r="D50" s="129">
        <v>45994.537777777776</v>
      </c>
      <c r="E50" s="130">
        <v>5.31</v>
      </c>
      <c r="F50" s="131">
        <v>4.4999999999999998E-2</v>
      </c>
      <c r="G50" s="126">
        <f t="shared" si="0"/>
        <v>5.5602094240837694</v>
      </c>
      <c r="H50" s="126" t="s">
        <v>73</v>
      </c>
      <c r="I50" s="127" t="s">
        <v>13</v>
      </c>
      <c r="J50" s="126">
        <v>19</v>
      </c>
      <c r="K50" s="126">
        <v>100.08</v>
      </c>
      <c r="L50" s="129">
        <f>INT(base[[#This Row],[Data de liquidação]])</f>
        <v>45994</v>
      </c>
      <c r="M50" s="126">
        <f>base[[#This Row],[L/P Bruto]]-base[[#This Row],[L/P Líquido]]</f>
        <v>0.25020942408376978</v>
      </c>
      <c r="N50" s="126">
        <f>base[[#This Row],[L/P Líquido]]/base[[#This Row],[Stake/Responsabilidade]]</f>
        <v>5.3057553956834529E-2</v>
      </c>
      <c r="O50" s="132">
        <f>IF(base[[#This Row],[L/P Líquido]]&gt;0,1,0)</f>
        <v>1</v>
      </c>
      <c r="P50" s="132"/>
      <c r="Q50" s="132" t="str">
        <f>LEFT(base[[#This Row],[Evento / Mercado]],FIND("vs",base[[#This Row],[Evento / Mercado]])-2)</f>
        <v>Atalanta</v>
      </c>
      <c r="R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50" s="132" t="str">
        <f>LEFT(base[[#This Row],[Evento / Mercado]],FIND("/",base[[#This Row],[Evento / Mercado]])-2)</f>
        <v>Atalanta vs Genoa</v>
      </c>
    </row>
    <row r="51" spans="2:23" ht="15" customHeight="1">
      <c r="B51" s="128" t="s">
        <v>67</v>
      </c>
      <c r="C51" s="128" t="s">
        <v>2982</v>
      </c>
      <c r="D51" s="129">
        <v>45994.576331018521</v>
      </c>
      <c r="E51" s="130">
        <v>6.82</v>
      </c>
      <c r="F51" s="131">
        <v>4.4999999999999998E-2</v>
      </c>
      <c r="G51" s="126">
        <f t="shared" si="0"/>
        <v>7.1413612565445028</v>
      </c>
      <c r="H51" s="126" t="s">
        <v>73</v>
      </c>
      <c r="I51" s="127" t="s">
        <v>13</v>
      </c>
      <c r="J51" s="126">
        <v>15</v>
      </c>
      <c r="K51" s="126">
        <v>99.96</v>
      </c>
      <c r="L51" s="129">
        <f>INT(base[[#This Row],[Data de liquidação]])</f>
        <v>45994</v>
      </c>
      <c r="M51" s="126">
        <f>base[[#This Row],[L/P Bruto]]-base[[#This Row],[L/P Líquido]]</f>
        <v>0.32136125654450254</v>
      </c>
      <c r="N51" s="126">
        <f>base[[#This Row],[L/P Líquido]]/base[[#This Row],[Stake/Responsabilidade]]</f>
        <v>6.8227290916366548E-2</v>
      </c>
      <c r="O51" s="132">
        <f>IF(base[[#This Row],[L/P Líquido]]&gt;0,1,0)</f>
        <v>1</v>
      </c>
      <c r="P51" s="132"/>
      <c r="Q51" s="132" t="str">
        <f>LEFT(base[[#This Row],[Evento / Mercado]],FIND("vs",base[[#This Row],[Evento / Mercado]])-2)</f>
        <v>FC Botosani</v>
      </c>
      <c r="R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Hermannstadt</v>
      </c>
      <c r="S51" s="132" t="str">
        <f>LEFT(base[[#This Row],[Evento / Mercado]],FIND("/",base[[#This Row],[Evento / Mercado]])-2)</f>
        <v>FC Botosani vs Afc Hermannstadt</v>
      </c>
    </row>
    <row r="52" spans="2:23" ht="15" customHeight="1">
      <c r="B52" s="128" t="s">
        <v>66</v>
      </c>
      <c r="C52" s="128" t="s">
        <v>2982</v>
      </c>
      <c r="D52" s="129">
        <v>45994.622696759259</v>
      </c>
      <c r="E52" s="130">
        <v>4.78</v>
      </c>
      <c r="F52" s="131">
        <v>4.4999999999999998E-2</v>
      </c>
      <c r="G52" s="126">
        <f t="shared" si="0"/>
        <v>5.005235602094241</v>
      </c>
      <c r="H52" s="126" t="s">
        <v>73</v>
      </c>
      <c r="I52" s="127" t="s">
        <v>13</v>
      </c>
      <c r="J52" s="126">
        <v>21</v>
      </c>
      <c r="K52" s="126">
        <v>100</v>
      </c>
      <c r="L52" s="129">
        <f>INT(base[[#This Row],[Data de liquidação]])</f>
        <v>45994</v>
      </c>
      <c r="M52" s="126">
        <f>base[[#This Row],[L/P Bruto]]-base[[#This Row],[L/P Líquido]]</f>
        <v>0.22523560209424076</v>
      </c>
      <c r="N52" s="126">
        <f>base[[#This Row],[L/P Líquido]]/base[[#This Row],[Stake/Responsabilidade]]</f>
        <v>4.7800000000000002E-2</v>
      </c>
      <c r="O52" s="132">
        <f>IF(base[[#This Row],[L/P Líquido]]&gt;0,1,0)</f>
        <v>1</v>
      </c>
      <c r="P52" s="132"/>
      <c r="Q52" s="132" t="str">
        <f>LEFT(base[[#This Row],[Evento / Mercado]],FIND("vs",base[[#This Row],[Evento / Mercado]])-2)</f>
        <v>CSKA Sofia</v>
      </c>
      <c r="R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Lokomotiv Plovdiv</v>
      </c>
      <c r="S52" s="132" t="str">
        <f>LEFT(base[[#This Row],[Evento / Mercado]],FIND("/",base[[#This Row],[Evento / Mercado]])-2)</f>
        <v>CSKA Sofia vs Lokomotiv Plovdiv</v>
      </c>
    </row>
    <row r="53" spans="2:23" ht="15" customHeight="1">
      <c r="B53" s="128" t="s">
        <v>65</v>
      </c>
      <c r="C53" s="128" t="s">
        <v>2982</v>
      </c>
      <c r="D53" s="129">
        <v>45994.662106481483</v>
      </c>
      <c r="E53" s="130">
        <v>5.17</v>
      </c>
      <c r="F53" s="131">
        <v>4.4999999999999998E-2</v>
      </c>
      <c r="G53" s="126">
        <f t="shared" si="0"/>
        <v>5.4136125654450264</v>
      </c>
      <c r="H53" s="126" t="s">
        <v>73</v>
      </c>
      <c r="I53" s="127" t="s">
        <v>13</v>
      </c>
      <c r="J53" s="126">
        <v>19.5</v>
      </c>
      <c r="K53" s="126">
        <v>100.09</v>
      </c>
      <c r="L53" s="129">
        <f>INT(base[[#This Row],[Data de liquidação]])</f>
        <v>45994</v>
      </c>
      <c r="M53" s="126">
        <f>base[[#This Row],[L/P Bruto]]-base[[#This Row],[L/P Líquido]]</f>
        <v>0.24361256544502652</v>
      </c>
      <c r="N53" s="126">
        <f>base[[#This Row],[L/P Líquido]]/base[[#This Row],[Stake/Responsabilidade]]</f>
        <v>5.1653511839344586E-2</v>
      </c>
      <c r="O53" s="132">
        <f>IF(base[[#This Row],[L/P Líquido]]&gt;0,1,0)</f>
        <v>1</v>
      </c>
      <c r="P53" s="132"/>
      <c r="Q53" s="132" t="str">
        <f>LEFT(base[[#This Row],[Evento / Mercado]],FIND("vs",base[[#This Row],[Evento / Mercado]])-2)</f>
        <v>SC Freiburg</v>
      </c>
      <c r="R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53" s="132" t="str">
        <f>LEFT(base[[#This Row],[Evento / Mercado]],FIND("/",base[[#This Row],[Evento / Mercado]])-2)</f>
        <v>SC Freiburg vs SV Darmstadt 98</v>
      </c>
    </row>
    <row r="54" spans="2:23" ht="15" customHeight="1">
      <c r="B54" s="128" t="s">
        <v>64</v>
      </c>
      <c r="C54" s="128" t="s">
        <v>2982</v>
      </c>
      <c r="D54" s="129">
        <v>45994.662453703706</v>
      </c>
      <c r="E54" s="130">
        <v>4.78</v>
      </c>
      <c r="F54" s="131">
        <v>4.4999999999999998E-2</v>
      </c>
      <c r="G54" s="126">
        <f t="shared" si="0"/>
        <v>5.005235602094241</v>
      </c>
      <c r="H54" s="126" t="s">
        <v>73</v>
      </c>
      <c r="I54" s="127" t="s">
        <v>13</v>
      </c>
      <c r="J54" s="126">
        <v>21</v>
      </c>
      <c r="K54" s="126">
        <v>100</v>
      </c>
      <c r="L54" s="129">
        <f>INT(base[[#This Row],[Data de liquidação]])</f>
        <v>45994</v>
      </c>
      <c r="M54" s="126">
        <f>base[[#This Row],[L/P Bruto]]-base[[#This Row],[L/P Líquido]]</f>
        <v>0.22523560209424076</v>
      </c>
      <c r="N54" s="126">
        <f>base[[#This Row],[L/P Líquido]]/base[[#This Row],[Stake/Responsabilidade]]</f>
        <v>4.7800000000000002E-2</v>
      </c>
      <c r="O54" s="132">
        <f>IF(base[[#This Row],[L/P Líquido]]&gt;0,1,0)</f>
        <v>1</v>
      </c>
      <c r="P54" s="132"/>
      <c r="Q54" s="132" t="str">
        <f>LEFT(base[[#This Row],[Evento / Mercado]],FIND("vs",base[[#This Row],[Evento / Mercado]])-2)</f>
        <v>Napoli</v>
      </c>
      <c r="R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54" s="132" t="str">
        <f>LEFT(base[[#This Row],[Evento / Mercado]],FIND("/",base[[#This Row],[Evento / Mercado]])-2)</f>
        <v>Napoli vs Cagliari</v>
      </c>
    </row>
    <row r="55" spans="2:23" ht="15" customHeight="1">
      <c r="B55" s="128" t="s">
        <v>63</v>
      </c>
      <c r="C55" s="128" t="s">
        <v>2982</v>
      </c>
      <c r="D55" s="129">
        <v>45994.708726851852</v>
      </c>
      <c r="E55" s="130">
        <v>17.690000000000001</v>
      </c>
      <c r="F55" s="131">
        <v>4.4999999999999998E-2</v>
      </c>
      <c r="G55" s="126">
        <f t="shared" si="0"/>
        <v>18.523560209424087</v>
      </c>
      <c r="H55" s="126" t="s">
        <v>73</v>
      </c>
      <c r="I55" s="127" t="s">
        <v>13</v>
      </c>
      <c r="J55" s="126">
        <v>6.4</v>
      </c>
      <c r="K55" s="126">
        <v>100.01</v>
      </c>
      <c r="L55" s="129">
        <f>INT(base[[#This Row],[Data de liquidação]])</f>
        <v>45994</v>
      </c>
      <c r="M55" s="126">
        <f>base[[#This Row],[L/P Bruto]]-base[[#This Row],[L/P Líquido]]</f>
        <v>0.83356020942408549</v>
      </c>
      <c r="N55" s="126">
        <f>base[[#This Row],[L/P Líquido]]/base[[#This Row],[Stake/Responsabilidade]]</f>
        <v>0.17688231176882313</v>
      </c>
      <c r="O55" s="132">
        <f>IF(base[[#This Row],[L/P Líquido]]&gt;0,1,0)</f>
        <v>1</v>
      </c>
      <c r="P55" s="132"/>
      <c r="Q55" s="132" t="str">
        <f>LEFT(base[[#This Row],[Evento / Mercado]],FIND("vs",base[[#This Row],[Evento / Mercado]])-2)</f>
        <v>Kahraba Ismailia</v>
      </c>
      <c r="R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Pyramids FC</v>
      </c>
      <c r="S55" s="132" t="str">
        <f>LEFT(base[[#This Row],[Evento / Mercado]],FIND("/",base[[#This Row],[Evento / Mercado]])-2)</f>
        <v>Kahraba Ismailia vs Pyramids FC</v>
      </c>
    </row>
    <row r="56" spans="2:23" ht="15" customHeight="1">
      <c r="B56" s="128" t="s">
        <v>62</v>
      </c>
      <c r="C56" s="128" t="s">
        <v>2982</v>
      </c>
      <c r="D56" s="129">
        <v>45994.752303240741</v>
      </c>
      <c r="E56" s="130">
        <v>25.14</v>
      </c>
      <c r="F56" s="131">
        <v>4.4999999999999998E-2</v>
      </c>
      <c r="G56" s="126">
        <f t="shared" si="0"/>
        <v>26.324607329842934</v>
      </c>
      <c r="H56" s="126" t="s">
        <v>74</v>
      </c>
      <c r="I56" s="127" t="s">
        <v>541</v>
      </c>
      <c r="J56" s="126">
        <v>4.7</v>
      </c>
      <c r="K56" s="126">
        <v>97.38</v>
      </c>
      <c r="L56" s="129">
        <f>INT(base[[#This Row],[Data de liquidação]])</f>
        <v>45994</v>
      </c>
      <c r="M56" s="126">
        <f>base[[#This Row],[L/P Bruto]]-base[[#This Row],[L/P Líquido]]</f>
        <v>1.1846073298429332</v>
      </c>
      <c r="N56" s="139">
        <f>base[[#This Row],[L/P Líquido]]/base[[#This Row],[Stake/Responsabilidade]]</f>
        <v>0.25816389402341344</v>
      </c>
      <c r="O56" s="132">
        <f>IF(base[[#This Row],[L/P Líquido]]&gt;0,1,0)</f>
        <v>1</v>
      </c>
      <c r="P56" s="132" t="s">
        <v>963</v>
      </c>
      <c r="Q56" s="132" t="str">
        <f>LEFT(base[[#This Row],[Evento / Mercado]],FIND("vs",base[[#This Row],[Evento / Mercado]])-2)</f>
        <v>Leeds United</v>
      </c>
      <c r="R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56" s="132" t="str">
        <f>LEFT(base[[#This Row],[Evento / Mercado]],FIND("/",base[[#This Row],[Evento / Mercado]])-2)</f>
        <v>Leeds United vs Chelsea</v>
      </c>
      <c r="W56" s="8">
        <f>IF(ISNUMBER(FIND("/",#REF!)),1,0)</f>
        <v>0</v>
      </c>
    </row>
    <row r="57" spans="2:23" ht="15" customHeight="1">
      <c r="B57" s="128" t="s">
        <v>61</v>
      </c>
      <c r="C57" s="128" t="s">
        <v>2982</v>
      </c>
      <c r="D57" s="129">
        <v>45994.766064814816</v>
      </c>
      <c r="E57" s="130">
        <v>5.79</v>
      </c>
      <c r="F57" s="131">
        <v>4.4999999999999998E-2</v>
      </c>
      <c r="G57" s="126">
        <f t="shared" si="0"/>
        <v>6.0628272251308903</v>
      </c>
      <c r="H57" s="126" t="s">
        <v>73</v>
      </c>
      <c r="I57" s="127" t="s">
        <v>13</v>
      </c>
      <c r="J57" s="126">
        <v>17.5</v>
      </c>
      <c r="K57" s="126">
        <v>99.99</v>
      </c>
      <c r="L57" s="129">
        <f>INT(base[[#This Row],[Data de liquidação]])</f>
        <v>45994</v>
      </c>
      <c r="M57" s="126">
        <f>base[[#This Row],[L/P Bruto]]-base[[#This Row],[L/P Líquido]]</f>
        <v>0.27282722513089031</v>
      </c>
      <c r="N57" s="126">
        <f>base[[#This Row],[L/P Líquido]]/base[[#This Row],[Stake/Responsabilidade]]</f>
        <v>5.7905790579057911E-2</v>
      </c>
      <c r="O57" s="132">
        <f>IF(base[[#This Row],[L/P Líquido]]&gt;0,1,0)</f>
        <v>1</v>
      </c>
      <c r="P57" s="132"/>
      <c r="Q57" s="132" t="str">
        <f>LEFT(base[[#This Row],[Evento / Mercado]],FIND("vs",base[[#This Row],[Evento / Mercado]])-2)</f>
        <v>SK Puntigamer Sturm Graz</v>
      </c>
      <c r="R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WSG Tirol</v>
      </c>
      <c r="S57" s="132" t="str">
        <f>LEFT(base[[#This Row],[Evento / Mercado]],FIND("/",base[[#This Row],[Evento / Mercado]])-2)</f>
        <v>SK Puntigamer Sturm Graz vs WSG Tirol</v>
      </c>
    </row>
    <row r="58" spans="2:23" ht="15" customHeight="1">
      <c r="B58" s="128" t="s">
        <v>60</v>
      </c>
      <c r="C58" s="128" t="s">
        <v>2982</v>
      </c>
      <c r="D58" s="129">
        <v>45994.766238425924</v>
      </c>
      <c r="E58" s="130">
        <v>5.31</v>
      </c>
      <c r="F58" s="131">
        <v>4.4999999999999998E-2</v>
      </c>
      <c r="G58" s="126">
        <f t="shared" si="0"/>
        <v>5.5602094240837694</v>
      </c>
      <c r="H58" s="126" t="s">
        <v>73</v>
      </c>
      <c r="I58" s="127" t="s">
        <v>13</v>
      </c>
      <c r="J58" s="126">
        <v>19</v>
      </c>
      <c r="K58" s="126">
        <v>100.08</v>
      </c>
      <c r="L58" s="129">
        <f>INT(base[[#This Row],[Data de liquidação]])</f>
        <v>45994</v>
      </c>
      <c r="M58" s="126">
        <f>base[[#This Row],[L/P Bruto]]-base[[#This Row],[L/P Líquido]]</f>
        <v>0.25020942408376978</v>
      </c>
      <c r="N58" s="126">
        <f>base[[#This Row],[L/P Líquido]]/base[[#This Row],[Stake/Responsabilidade]]</f>
        <v>5.3057553956834529E-2</v>
      </c>
      <c r="O58" s="132">
        <f>IF(base[[#This Row],[L/P Líquido]]&gt;0,1,0)</f>
        <v>1</v>
      </c>
      <c r="P58" s="132"/>
      <c r="Q58" s="132" t="str">
        <f>LEFT(base[[#This Row],[Evento / Mercado]],FIND("vs",base[[#This Row],[Evento / Mercado]])-2)</f>
        <v>Union Saint Gilloise</v>
      </c>
      <c r="R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Zulte Waregem</v>
      </c>
      <c r="S58" s="132" t="str">
        <f>LEFT(base[[#This Row],[Evento / Mercado]],FIND("/",base[[#This Row],[Evento / Mercado]])-2)</f>
        <v>Union Saint Gilloise vs Zulte Waregem</v>
      </c>
    </row>
    <row r="59" spans="2:23" ht="15" customHeight="1">
      <c r="B59" s="128" t="s">
        <v>59</v>
      </c>
      <c r="C59" s="128" t="s">
        <v>2982</v>
      </c>
      <c r="D59" s="129">
        <v>45994.767604166664</v>
      </c>
      <c r="E59" s="130">
        <v>4.3452500000000001</v>
      </c>
      <c r="F59" s="131">
        <v>4.4999999999999998E-2</v>
      </c>
      <c r="G59" s="126">
        <f t="shared" si="0"/>
        <v>4.55</v>
      </c>
      <c r="H59" s="126" t="s">
        <v>73</v>
      </c>
      <c r="I59" s="127" t="s">
        <v>13</v>
      </c>
      <c r="J59" s="126">
        <v>23</v>
      </c>
      <c r="K59" s="126">
        <v>100.1</v>
      </c>
      <c r="L59" s="129">
        <f>INT(base[[#This Row],[Data de liquidação]])</f>
        <v>45994</v>
      </c>
      <c r="M59" s="126">
        <f>base[[#This Row],[L/P Bruto]]-base[[#This Row],[L/P Líquido]]</f>
        <v>0.20474999999999977</v>
      </c>
      <c r="N59" s="126">
        <f>base[[#This Row],[L/P Líquido]]/base[[#This Row],[Stake/Responsabilidade]]</f>
        <v>4.3409090909090911E-2</v>
      </c>
      <c r="O59" s="132">
        <f>IF(base[[#This Row],[L/P Líquido]]&gt;0,1,0)</f>
        <v>1</v>
      </c>
      <c r="P59" s="132"/>
      <c r="Q59" s="132" t="str">
        <f>LEFT(base[[#This Row],[Evento / Mercado]],FIND("vs",base[[#This Row],[Evento / Mercado]])-2)</f>
        <v>Arsenal</v>
      </c>
      <c r="R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59" s="132" t="str">
        <f>LEFT(base[[#This Row],[Evento / Mercado]],FIND("/",base[[#This Row],[Evento / Mercado]])-2)</f>
        <v>Arsenal vs Brentford</v>
      </c>
      <c r="T59" s="8">
        <v>4.55</v>
      </c>
      <c r="U59" s="9">
        <f>T59*0.955</f>
        <v>4.3452500000000001</v>
      </c>
    </row>
    <row r="60" spans="2:23" ht="15" customHeight="1">
      <c r="B60" s="128" t="s">
        <v>59</v>
      </c>
      <c r="C60" s="128" t="s">
        <v>2982</v>
      </c>
      <c r="D60" s="129">
        <v>45994.767604166664</v>
      </c>
      <c r="E60" s="130">
        <v>15.404149999999998</v>
      </c>
      <c r="F60" s="131">
        <v>4.4999999999999998E-2</v>
      </c>
      <c r="G60" s="126">
        <f t="shared" si="0"/>
        <v>16.13</v>
      </c>
      <c r="H60" s="126" t="s">
        <v>74</v>
      </c>
      <c r="I60" s="127" t="s">
        <v>477</v>
      </c>
      <c r="J60" s="126">
        <v>7.2</v>
      </c>
      <c r="K60" s="126">
        <v>100.01</v>
      </c>
      <c r="L60" s="129">
        <f>INT(base[[#This Row],[Data de liquidação]])</f>
        <v>45994</v>
      </c>
      <c r="M60" s="126">
        <f>base[[#This Row],[L/P Bruto]]-base[[#This Row],[L/P Líquido]]</f>
        <v>0.72585000000000122</v>
      </c>
      <c r="N60" s="139">
        <f>base[[#This Row],[L/P Líquido]]/base[[#This Row],[Stake/Responsabilidade]]</f>
        <v>0.15402609739026094</v>
      </c>
      <c r="O60" s="132">
        <f>IF(base[[#This Row],[L/P Líquido]]&gt;0,1,0)</f>
        <v>1</v>
      </c>
      <c r="P60" s="132" t="s">
        <v>963</v>
      </c>
      <c r="Q60" s="132" t="str">
        <f>LEFT(base[[#This Row],[Evento / Mercado]],FIND("vs",base[[#This Row],[Evento / Mercado]])-2)</f>
        <v>Arsenal</v>
      </c>
      <c r="R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60" s="132" t="str">
        <f>LEFT(base[[#This Row],[Evento / Mercado]],FIND("/",base[[#This Row],[Evento / Mercado]])-2)</f>
        <v>Arsenal vs Brentford</v>
      </c>
      <c r="T60" s="8">
        <v>16.13</v>
      </c>
      <c r="U60" s="9">
        <f>T60*0.955</f>
        <v>15.404149999999998</v>
      </c>
    </row>
    <row r="61" spans="2:23" ht="15" customHeight="1">
      <c r="B61" s="128" t="s">
        <v>58</v>
      </c>
      <c r="C61" s="128" t="s">
        <v>2982</v>
      </c>
      <c r="D61" s="129">
        <v>45994.771504629629</v>
      </c>
      <c r="E61" s="130">
        <v>6.59</v>
      </c>
      <c r="F61" s="131">
        <v>4.4999999999999998E-2</v>
      </c>
      <c r="G61" s="126">
        <f t="shared" si="0"/>
        <v>6.9005235602094244</v>
      </c>
      <c r="H61" s="126" t="s">
        <v>74</v>
      </c>
      <c r="I61" s="127" t="s">
        <v>75</v>
      </c>
      <c r="J61" s="126">
        <v>15.5</v>
      </c>
      <c r="K61" s="126">
        <v>100.05</v>
      </c>
      <c r="L61" s="129">
        <f>INT(base[[#This Row],[Data de liquidação]])</f>
        <v>45994</v>
      </c>
      <c r="M61" s="126">
        <f>base[[#This Row],[L/P Bruto]]-base[[#This Row],[L/P Líquido]]</f>
        <v>0.31052356020942451</v>
      </c>
      <c r="N61" s="139">
        <f>base[[#This Row],[L/P Líquido]]/base[[#This Row],[Stake/Responsabilidade]]</f>
        <v>6.5867066466766613E-2</v>
      </c>
      <c r="O61" s="132">
        <f>IF(base[[#This Row],[L/P Líquido]]&gt;0,1,0)</f>
        <v>1</v>
      </c>
      <c r="P61" s="132" t="s">
        <v>963</v>
      </c>
      <c r="Q61" s="132" t="str">
        <f>LEFT(base[[#This Row],[Evento / Mercado]],FIND("vs",base[[#This Row],[Evento / Mercado]])-2)</f>
        <v>Brighton &amp; Hove Albion</v>
      </c>
      <c r="R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61" s="132" t="str">
        <f>LEFT(base[[#This Row],[Evento / Mercado]],FIND("/",base[[#This Row],[Evento / Mercado]])-2)</f>
        <v>Brighton &amp; Hove Albion vs Aston Villa</v>
      </c>
    </row>
    <row r="62" spans="2:23" ht="15" customHeight="1">
      <c r="B62" s="128" t="s">
        <v>57</v>
      </c>
      <c r="C62" s="128" t="s">
        <v>2982</v>
      </c>
      <c r="D62" s="129">
        <v>45994.776076388887</v>
      </c>
      <c r="E62" s="130">
        <v>10.1</v>
      </c>
      <c r="F62" s="131">
        <v>4.4999999999999998E-2</v>
      </c>
      <c r="G62" s="126">
        <f t="shared" si="0"/>
        <v>10.575916230366492</v>
      </c>
      <c r="H62" s="126" t="s">
        <v>73</v>
      </c>
      <c r="I62" s="127" t="s">
        <v>16</v>
      </c>
      <c r="J62" s="126">
        <v>10.5</v>
      </c>
      <c r="K62" s="126">
        <v>100.51</v>
      </c>
      <c r="L62" s="129">
        <f>INT(base[[#This Row],[Data de liquidação]])</f>
        <v>45994</v>
      </c>
      <c r="M62" s="126">
        <f>base[[#This Row],[L/P Bruto]]-base[[#This Row],[L/P Líquido]]</f>
        <v>0.47591623036649189</v>
      </c>
      <c r="N62" s="126">
        <f>base[[#This Row],[L/P Líquido]]/base[[#This Row],[Stake/Responsabilidade]]</f>
        <v>0.10048751368023082</v>
      </c>
      <c r="O62" s="132">
        <f>IF(base[[#This Row],[L/P Líquido]]&gt;0,1,0)</f>
        <v>1</v>
      </c>
      <c r="P62" s="132"/>
      <c r="Q62" s="132" t="str">
        <f>LEFT(base[[#This Row],[Evento / Mercado]],FIND("vs",base[[#This Row],[Evento / Mercado]])-2)</f>
        <v>Hamburger SV</v>
      </c>
      <c r="R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62" s="132" t="str">
        <f>LEFT(base[[#This Row],[Evento / Mercado]],FIND("/",base[[#This Row],[Evento / Mercado]])-2)</f>
        <v>Hamburger SV vs Holstein Kiel</v>
      </c>
    </row>
    <row r="63" spans="2:23" ht="15" customHeight="1">
      <c r="B63" s="128" t="s">
        <v>56</v>
      </c>
      <c r="C63" s="128" t="s">
        <v>2982</v>
      </c>
      <c r="D63" s="129">
        <v>45994.799502314818</v>
      </c>
      <c r="E63" s="130">
        <v>5.63</v>
      </c>
      <c r="F63" s="131">
        <v>4.4999999999999998E-2</v>
      </c>
      <c r="G63" s="126">
        <f t="shared" si="0"/>
        <v>5.8952879581151834</v>
      </c>
      <c r="H63" s="126" t="s">
        <v>73</v>
      </c>
      <c r="I63" s="127" t="s">
        <v>13</v>
      </c>
      <c r="J63" s="126">
        <v>18</v>
      </c>
      <c r="K63" s="126">
        <v>100.3</v>
      </c>
      <c r="L63" s="129">
        <f>INT(base[[#This Row],[Data de liquidação]])</f>
        <v>45994</v>
      </c>
      <c r="M63" s="126">
        <f>base[[#This Row],[L/P Bruto]]-base[[#This Row],[L/P Líquido]]</f>
        <v>0.26528795811518346</v>
      </c>
      <c r="N63" s="126">
        <f>base[[#This Row],[L/P Líquido]]/base[[#This Row],[Stake/Responsabilidade]]</f>
        <v>5.613160518444666E-2</v>
      </c>
      <c r="O63" s="132">
        <f>IF(base[[#This Row],[L/P Líquido]]&gt;0,1,0)</f>
        <v>1</v>
      </c>
      <c r="P63" s="132"/>
      <c r="Q63" s="132" t="str">
        <f>LEFT(base[[#This Row],[Evento / Mercado]],FIND("vs",base[[#This Row],[Evento / Mercado]])-2)</f>
        <v>Liverpool</v>
      </c>
      <c r="R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Sunderland</v>
      </c>
      <c r="S63" s="132" t="str">
        <f>LEFT(base[[#This Row],[Evento / Mercado]],FIND("/",base[[#This Row],[Evento / Mercado]])-2)</f>
        <v>Liverpool vs Sunderland</v>
      </c>
    </row>
    <row r="64" spans="2:23" ht="15" customHeight="1">
      <c r="B64" s="128" t="s">
        <v>55</v>
      </c>
      <c r="C64" s="128" t="s">
        <v>2982</v>
      </c>
      <c r="D64" s="129">
        <v>45994.87835648148</v>
      </c>
      <c r="E64" s="130">
        <v>11.2</v>
      </c>
      <c r="F64" s="131">
        <v>4.4999999999999998E-2</v>
      </c>
      <c r="G64" s="126">
        <f t="shared" si="0"/>
        <v>11.727748691099476</v>
      </c>
      <c r="H64" s="126" t="s">
        <v>73</v>
      </c>
      <c r="I64" s="127" t="s">
        <v>13</v>
      </c>
      <c r="J64" s="126">
        <v>9.4</v>
      </c>
      <c r="K64" s="126">
        <v>98.55</v>
      </c>
      <c r="L64" s="129">
        <f>INT(base[[#This Row],[Data de liquidação]])</f>
        <v>45994</v>
      </c>
      <c r="M64" s="126">
        <f>base[[#This Row],[L/P Bruto]]-base[[#This Row],[L/P Líquido]]</f>
        <v>0.52774869109947709</v>
      </c>
      <c r="N64" s="126">
        <f>base[[#This Row],[L/P Líquido]]/base[[#This Row],[Stake/Responsabilidade]]</f>
        <v>0.11364789446981227</v>
      </c>
      <c r="O64" s="132">
        <f>IF(base[[#This Row],[L/P Líquido]]&gt;0,1,0)</f>
        <v>1</v>
      </c>
      <c r="P64" s="132"/>
      <c r="Q64" s="132" t="str">
        <f>LEFT(base[[#This Row],[Evento / Mercado]],FIND("vs",base[[#This Row],[Evento / Mercado]])-2)</f>
        <v>Real Tomayapo</v>
      </c>
      <c r="R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Oriente Petrolero</v>
      </c>
      <c r="S64" s="132" t="str">
        <f>LEFT(base[[#This Row],[Evento / Mercado]],FIND("/",base[[#This Row],[Evento / Mercado]])-2)</f>
        <v>Real Tomayapo vs Oriente Petrolero</v>
      </c>
    </row>
    <row r="65" spans="2:21" ht="15" customHeight="1">
      <c r="B65" s="128" t="s">
        <v>54</v>
      </c>
      <c r="C65" s="128" t="s">
        <v>2982</v>
      </c>
      <c r="D65" s="129">
        <v>45995.481238425928</v>
      </c>
      <c r="E65" s="130">
        <v>7.64</v>
      </c>
      <c r="F65" s="131">
        <v>4.4999999999999998E-2</v>
      </c>
      <c r="G65" s="126">
        <f t="shared" si="0"/>
        <v>8</v>
      </c>
      <c r="H65" s="126" t="s">
        <v>73</v>
      </c>
      <c r="I65" s="127" t="s">
        <v>13</v>
      </c>
      <c r="J65" s="126">
        <v>13.5</v>
      </c>
      <c r="K65" s="126">
        <v>100</v>
      </c>
      <c r="L65" s="129">
        <f>INT(base[[#This Row],[Data de liquidação]])</f>
        <v>45995</v>
      </c>
      <c r="M65" s="126">
        <f>base[[#This Row],[L/P Bruto]]-base[[#This Row],[L/P Líquido]]</f>
        <v>0.36000000000000032</v>
      </c>
      <c r="N65" s="126">
        <f>base[[#This Row],[L/P Líquido]]/base[[#This Row],[Stake/Responsabilidade]]</f>
        <v>7.6399999999999996E-2</v>
      </c>
      <c r="O65" s="132">
        <f>IF(base[[#This Row],[L/P Líquido]]&gt;0,1,0)</f>
        <v>1</v>
      </c>
      <c r="P65" s="132"/>
      <c r="Q65" s="132" t="str">
        <f>LEFT(base[[#This Row],[Evento / Mercado]],FIND("vs",base[[#This Row],[Evento / Mercado]])-2)</f>
        <v>El Gounah</v>
      </c>
      <c r="R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Asyut Petroleum</v>
      </c>
      <c r="S65" s="132" t="str">
        <f>LEFT(base[[#This Row],[Evento / Mercado]],FIND("/",base[[#This Row],[Evento / Mercado]])-2)</f>
        <v>El Gounah vs Asyut Petroleum</v>
      </c>
    </row>
    <row r="66" spans="2:21" ht="15" customHeight="1">
      <c r="B66" s="128" t="s">
        <v>82</v>
      </c>
      <c r="C66" s="128" t="s">
        <v>2982</v>
      </c>
      <c r="D66" s="129">
        <v>45995.522337962961</v>
      </c>
      <c r="E66" s="130">
        <v>6.95</v>
      </c>
      <c r="F66" s="131">
        <v>4.4999999999999998E-2</v>
      </c>
      <c r="G66" s="126">
        <f t="shared" si="0"/>
        <v>7.2774869109947646</v>
      </c>
      <c r="H66" s="126" t="s">
        <v>73</v>
      </c>
      <c r="I66" s="127" t="s">
        <v>13</v>
      </c>
      <c r="J66" s="126">
        <v>14.5</v>
      </c>
      <c r="K66" s="126">
        <v>98.26</v>
      </c>
      <c r="L66" s="129">
        <f>INT(base[[#This Row],[Data de liquidação]])</f>
        <v>45995</v>
      </c>
      <c r="M66" s="126">
        <f>base[[#This Row],[L/P Bruto]]-base[[#This Row],[L/P Líquido]]</f>
        <v>0.32748691099476446</v>
      </c>
      <c r="N66" s="126">
        <f>base[[#This Row],[L/P Líquido]]/base[[#This Row],[Stake/Responsabilidade]]</f>
        <v>7.0730714431101155E-2</v>
      </c>
      <c r="O66" s="132">
        <f>IF(base[[#This Row],[L/P Líquido]]&gt;0,1,0)</f>
        <v>1</v>
      </c>
      <c r="P66" s="132"/>
      <c r="Q66" s="132" t="str">
        <f>LEFT(base[[#This Row],[Evento / Mercado]],FIND("vs",base[[#This Row],[Evento / Mercado]])-2)</f>
        <v>FC Botev Vratsa</v>
      </c>
      <c r="R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Spartak Varna</v>
      </c>
      <c r="S66" s="132" t="str">
        <f>LEFT(base[[#This Row],[Evento / Mercado]],FIND("/",base[[#This Row],[Evento / Mercado]])-2)</f>
        <v>FC Botev Vratsa vs Spartak Varna</v>
      </c>
    </row>
    <row r="67" spans="2:21" ht="15" customHeight="1">
      <c r="B67" s="128" t="s">
        <v>81</v>
      </c>
      <c r="C67" s="128" t="s">
        <v>2982</v>
      </c>
      <c r="D67" s="129">
        <v>45995.662743055553</v>
      </c>
      <c r="E67" s="130">
        <v>5.0199999999999996</v>
      </c>
      <c r="F67" s="131">
        <v>4.4999999999999998E-2</v>
      </c>
      <c r="G67" s="126">
        <f t="shared" ref="G67:G130" si="1">IF(E67&gt;0,E67/(1-F67),E67)</f>
        <v>5.2565445026178006</v>
      </c>
      <c r="H67" s="126" t="s">
        <v>73</v>
      </c>
      <c r="I67" s="127" t="s">
        <v>13</v>
      </c>
      <c r="J67" s="126">
        <v>20</v>
      </c>
      <c r="K67" s="126">
        <v>99.94</v>
      </c>
      <c r="L67" s="129">
        <f>INT(base[[#This Row],[Data de liquidação]])</f>
        <v>45995</v>
      </c>
      <c r="M67" s="126">
        <f>base[[#This Row],[L/P Bruto]]-base[[#This Row],[L/P Líquido]]</f>
        <v>0.23654450261780102</v>
      </c>
      <c r="N67" s="126">
        <f>base[[#This Row],[L/P Líquido]]/base[[#This Row],[Stake/Responsabilidade]]</f>
        <v>5.0230138082849707E-2</v>
      </c>
      <c r="O67" s="132">
        <f>IF(base[[#This Row],[L/P Líquido]]&gt;0,1,0)</f>
        <v>1</v>
      </c>
      <c r="P67" s="132"/>
      <c r="Q67" s="132" t="str">
        <f>LEFT(base[[#This Row],[Evento / Mercado]],FIND("vs",base[[#This Row],[Evento / Mercado]])-2)</f>
        <v>Bologna</v>
      </c>
      <c r="R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Parma</v>
      </c>
      <c r="S67" s="132" t="str">
        <f>LEFT(base[[#This Row],[Evento / Mercado]],FIND("/",base[[#This Row],[Evento / Mercado]])-2)</f>
        <v>Bologna vs Parma</v>
      </c>
    </row>
    <row r="68" spans="2:21" ht="15" customHeight="1">
      <c r="B68" s="128" t="s">
        <v>80</v>
      </c>
      <c r="C68" s="128" t="s">
        <v>2982</v>
      </c>
      <c r="D68" s="129">
        <v>45995.729988425926</v>
      </c>
      <c r="E68" s="130">
        <v>6.82</v>
      </c>
      <c r="F68" s="131">
        <v>4.4999999999999998E-2</v>
      </c>
      <c r="G68" s="126">
        <f t="shared" si="1"/>
        <v>7.1413612565445028</v>
      </c>
      <c r="H68" s="126" t="s">
        <v>73</v>
      </c>
      <c r="I68" s="127" t="s">
        <v>13</v>
      </c>
      <c r="J68" s="126">
        <v>15</v>
      </c>
      <c r="K68" s="126">
        <v>99.96</v>
      </c>
      <c r="L68" s="129">
        <f>INT(base[[#This Row],[Data de liquidação]])</f>
        <v>45995</v>
      </c>
      <c r="M68" s="126">
        <f>base[[#This Row],[L/P Bruto]]-base[[#This Row],[L/P Líquido]]</f>
        <v>0.32136125654450254</v>
      </c>
      <c r="N68" s="126">
        <f>base[[#This Row],[L/P Líquido]]/base[[#This Row],[Stake/Responsabilidade]]</f>
        <v>6.8227290916366548E-2</v>
      </c>
      <c r="O68" s="132">
        <f>IF(base[[#This Row],[L/P Líquido]]&gt;0,1,0)</f>
        <v>1</v>
      </c>
      <c r="P68" s="132"/>
      <c r="Q68" s="132" t="str">
        <f>LEFT(base[[#This Row],[Evento / Mercado]],FIND("vs",base[[#This Row],[Evento / Mercado]])-2)</f>
        <v>Juve Stabia</v>
      </c>
      <c r="R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Bari</v>
      </c>
      <c r="S68" s="132" t="str">
        <f>LEFT(base[[#This Row],[Evento / Mercado]],FIND("/",base[[#This Row],[Evento / Mercado]])-2)</f>
        <v>Juve Stabia vs Bari</v>
      </c>
    </row>
    <row r="69" spans="2:21" ht="15" customHeight="1">
      <c r="B69" s="128" t="s">
        <v>79</v>
      </c>
      <c r="C69" s="128" t="s">
        <v>2982</v>
      </c>
      <c r="D69" s="129">
        <v>45995.786377314813</v>
      </c>
      <c r="E69" s="130">
        <v>9.5786499999999997</v>
      </c>
      <c r="F69" s="131">
        <v>4.4999999999999998E-2</v>
      </c>
      <c r="G69" s="126">
        <f t="shared" si="1"/>
        <v>10.029999999999999</v>
      </c>
      <c r="H69" s="126" t="s">
        <v>73</v>
      </c>
      <c r="I69" s="127" t="s">
        <v>16</v>
      </c>
      <c r="J69" s="126">
        <v>19</v>
      </c>
      <c r="K69" s="126">
        <v>100.08</v>
      </c>
      <c r="L69" s="129">
        <f>INT(base[[#This Row],[Data de liquidação]])</f>
        <v>45995</v>
      </c>
      <c r="M69" s="126">
        <f>base[[#This Row],[L/P Bruto]]-base[[#This Row],[L/P Líquido]]</f>
        <v>0.4513499999999997</v>
      </c>
      <c r="N69" s="126">
        <f>base[[#This Row],[L/P Líquido]]/base[[#This Row],[Stake/Responsabilidade]]</f>
        <v>9.5709932054356517E-2</v>
      </c>
      <c r="O69" s="132">
        <f>IF(base[[#This Row],[L/P Líquido]]&gt;0,1,0)</f>
        <v>1</v>
      </c>
      <c r="P69" s="132"/>
      <c r="Q69" s="132" t="str">
        <f>LEFT(base[[#This Row],[Evento / Mercado]],FIND("vs",base[[#This Row],[Evento / Mercado]])-2)</f>
        <v>Manchester United</v>
      </c>
      <c r="R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69" s="132" t="str">
        <f>LEFT(base[[#This Row],[Evento / Mercado]],FIND("/",base[[#This Row],[Evento / Mercado]])-2)</f>
        <v>Manchester United vs West Ham</v>
      </c>
      <c r="T69" s="8">
        <v>10.029999999999999</v>
      </c>
      <c r="U69" s="9">
        <f>T69*0.955</f>
        <v>9.5786499999999997</v>
      </c>
    </row>
    <row r="70" spans="2:21" ht="15" customHeight="1">
      <c r="B70" s="128" t="s">
        <v>79</v>
      </c>
      <c r="C70" s="128" t="s">
        <v>2982</v>
      </c>
      <c r="D70" s="129">
        <v>45995.786377314813</v>
      </c>
      <c r="E70" s="130">
        <v>5.3097999999999992</v>
      </c>
      <c r="F70" s="131">
        <v>4.4999999999999998E-2</v>
      </c>
      <c r="G70" s="126">
        <f t="shared" si="1"/>
        <v>5.56</v>
      </c>
      <c r="H70" s="126" t="s">
        <v>74</v>
      </c>
      <c r="I70" s="127" t="s">
        <v>476</v>
      </c>
      <c r="J70" s="126">
        <v>11</v>
      </c>
      <c r="K70" s="126">
        <v>100.3</v>
      </c>
      <c r="L70" s="129">
        <f>INT(base[[#This Row],[Data de liquidação]])</f>
        <v>45995</v>
      </c>
      <c r="M70" s="126">
        <f>base[[#This Row],[L/P Bruto]]-base[[#This Row],[L/P Líquido]]</f>
        <v>0.25020000000000042</v>
      </c>
      <c r="N70" s="139">
        <f>base[[#This Row],[L/P Líquido]]/base[[#This Row],[Stake/Responsabilidade]]</f>
        <v>5.2939182452642064E-2</v>
      </c>
      <c r="O70" s="132">
        <f>IF(base[[#This Row],[L/P Líquido]]&gt;0,1,0)</f>
        <v>1</v>
      </c>
      <c r="P70" s="132" t="s">
        <v>963</v>
      </c>
      <c r="Q70" s="132" t="str">
        <f>LEFT(base[[#This Row],[Evento / Mercado]],FIND("vs",base[[#This Row],[Evento / Mercado]])-2)</f>
        <v>Manchester United</v>
      </c>
      <c r="R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70" s="132" t="str">
        <f>LEFT(base[[#This Row],[Evento / Mercado]],FIND("/",base[[#This Row],[Evento / Mercado]])-2)</f>
        <v>Manchester United vs West Ham</v>
      </c>
      <c r="T70" s="8">
        <v>5.56</v>
      </c>
      <c r="U70" s="9">
        <f>T70*0.955</f>
        <v>5.3097999999999992</v>
      </c>
    </row>
    <row r="71" spans="2:21" ht="15" customHeight="1">
      <c r="B71" s="128" t="s">
        <v>121</v>
      </c>
      <c r="C71" s="128" t="s">
        <v>2982</v>
      </c>
      <c r="D71" s="129">
        <v>45996.458078703705</v>
      </c>
      <c r="E71" s="130">
        <v>5.79</v>
      </c>
      <c r="F71" s="131">
        <v>4.4999999999999998E-2</v>
      </c>
      <c r="G71" s="126">
        <f t="shared" si="1"/>
        <v>6.0628272251308903</v>
      </c>
      <c r="H71" s="126" t="s">
        <v>73</v>
      </c>
      <c r="I71" s="127" t="s">
        <v>13</v>
      </c>
      <c r="J71" s="126">
        <v>17.5</v>
      </c>
      <c r="K71" s="126">
        <v>99.99</v>
      </c>
      <c r="L71" s="129">
        <f>INT(base[[#This Row],[Data de liquidação]])</f>
        <v>45996</v>
      </c>
      <c r="M71" s="126">
        <f>base[[#This Row],[L/P Bruto]]-base[[#This Row],[L/P Líquido]]</f>
        <v>0.27282722513089031</v>
      </c>
      <c r="N71" s="126">
        <f>base[[#This Row],[L/P Líquido]]/base[[#This Row],[Stake/Responsabilidade]]</f>
        <v>5.7905790579057911E-2</v>
      </c>
      <c r="O71" s="132">
        <f>IF(base[[#This Row],[L/P Líquido]]&gt;0,1,0)</f>
        <v>1</v>
      </c>
      <c r="P71" s="132"/>
      <c r="Q71" s="132" t="str">
        <f>LEFT(base[[#This Row],[Evento / Mercado]],FIND("vs",base[[#This Row],[Evento / Mercado]])-2)</f>
        <v>Ratchaburi</v>
      </c>
      <c r="R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Sukhothai FC</v>
      </c>
      <c r="S71" s="132" t="str">
        <f>LEFT(base[[#This Row],[Evento / Mercado]],FIND("/",base[[#This Row],[Evento / Mercado]])-2)</f>
        <v>Ratchaburi vs Sukhothai FC</v>
      </c>
    </row>
    <row r="72" spans="2:21" ht="15" customHeight="1">
      <c r="B72" s="128" t="s">
        <v>120</v>
      </c>
      <c r="C72" s="128" t="s">
        <v>2982</v>
      </c>
      <c r="D72" s="129">
        <v>45996.724479166667</v>
      </c>
      <c r="E72" s="130">
        <v>5.45</v>
      </c>
      <c r="F72" s="131">
        <v>4.4999999999999998E-2</v>
      </c>
      <c r="G72" s="126">
        <f t="shared" si="1"/>
        <v>5.7068062827225132</v>
      </c>
      <c r="H72" s="126" t="s">
        <v>73</v>
      </c>
      <c r="I72" s="127" t="s">
        <v>13</v>
      </c>
      <c r="J72" s="126">
        <v>18.5</v>
      </c>
      <c r="K72" s="126">
        <v>99.93</v>
      </c>
      <c r="L72" s="129">
        <f>INT(base[[#This Row],[Data de liquidação]])</f>
        <v>45996</v>
      </c>
      <c r="M72" s="126">
        <f>base[[#This Row],[L/P Bruto]]-base[[#This Row],[L/P Líquido]]</f>
        <v>0.25680628272251305</v>
      </c>
      <c r="N72" s="126">
        <f>base[[#This Row],[L/P Líquido]]/base[[#This Row],[Stake/Responsabilidade]]</f>
        <v>5.4538176723706595E-2</v>
      </c>
      <c r="O72" s="132">
        <f>IF(base[[#This Row],[L/P Líquido]]&gt;0,1,0)</f>
        <v>1</v>
      </c>
      <c r="P72" s="132"/>
      <c r="Q72" s="132" t="str">
        <f>LEFT(base[[#This Row],[Evento / Mercado]],FIND("vs",base[[#This Row],[Evento / Mercado]])-2)</f>
        <v>Otelul Galati</v>
      </c>
      <c r="R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Unirea Slobozia</v>
      </c>
      <c r="S72" s="132" t="str">
        <f>LEFT(base[[#This Row],[Evento / Mercado]],FIND("/",base[[#This Row],[Evento / Mercado]])-2)</f>
        <v>Otelul Galati vs FC Unirea Slobozia</v>
      </c>
    </row>
    <row r="73" spans="2:21" ht="15" customHeight="1">
      <c r="B73" s="128" t="s">
        <v>119</v>
      </c>
      <c r="C73" s="128" t="s">
        <v>2982</v>
      </c>
      <c r="D73" s="129">
        <v>45996.74486111111</v>
      </c>
      <c r="E73" s="130">
        <v>5.31</v>
      </c>
      <c r="F73" s="131">
        <v>4.4999999999999998E-2</v>
      </c>
      <c r="G73" s="126">
        <f t="shared" si="1"/>
        <v>5.5602094240837694</v>
      </c>
      <c r="H73" s="126" t="s">
        <v>73</v>
      </c>
      <c r="I73" s="127" t="s">
        <v>13</v>
      </c>
      <c r="J73" s="126">
        <v>19</v>
      </c>
      <c r="K73" s="126">
        <v>100.08</v>
      </c>
      <c r="L73" s="129">
        <f>INT(base[[#This Row],[Data de liquidação]])</f>
        <v>45996</v>
      </c>
      <c r="M73" s="126">
        <f>base[[#This Row],[L/P Bruto]]-base[[#This Row],[L/P Líquido]]</f>
        <v>0.25020942408376978</v>
      </c>
      <c r="N73" s="126">
        <f>base[[#This Row],[L/P Líquido]]/base[[#This Row],[Stake/Responsabilidade]]</f>
        <v>5.3057553956834529E-2</v>
      </c>
      <c r="O73" s="132">
        <f>IF(base[[#This Row],[L/P Líquido]]&gt;0,1,0)</f>
        <v>1</v>
      </c>
      <c r="P73" s="132"/>
      <c r="Q73" s="132" t="str">
        <f>LEFT(base[[#This Row],[Evento / Mercado]],FIND("vs",base[[#This Row],[Evento / Mercado]])-2)</f>
        <v>ADO Den Haag</v>
      </c>
      <c r="R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Emmen</v>
      </c>
      <c r="S73" s="132" t="str">
        <f>LEFT(base[[#This Row],[Evento / Mercado]],FIND("/",base[[#This Row],[Evento / Mercado]])-2)</f>
        <v>ADO Den Haag vs FC Emmen</v>
      </c>
    </row>
    <row r="74" spans="2:21" ht="15" customHeight="1">
      <c r="B74" s="128" t="s">
        <v>118</v>
      </c>
      <c r="C74" s="128" t="s">
        <v>2982</v>
      </c>
      <c r="D74" s="129">
        <v>45996.744953703703</v>
      </c>
      <c r="E74" s="130">
        <v>5.0199999999999996</v>
      </c>
      <c r="F74" s="131">
        <v>4.4999999999999998E-2</v>
      </c>
      <c r="G74" s="126">
        <f t="shared" si="1"/>
        <v>5.2565445026178006</v>
      </c>
      <c r="H74" s="126" t="s">
        <v>73</v>
      </c>
      <c r="I74" s="127" t="s">
        <v>13</v>
      </c>
      <c r="J74" s="126">
        <v>20</v>
      </c>
      <c r="K74" s="126">
        <v>99.94</v>
      </c>
      <c r="L74" s="129">
        <f>INT(base[[#This Row],[Data de liquidação]])</f>
        <v>45996</v>
      </c>
      <c r="M74" s="126">
        <f>base[[#This Row],[L/P Bruto]]-base[[#This Row],[L/P Líquido]]</f>
        <v>0.23654450261780102</v>
      </c>
      <c r="N74" s="126">
        <f>base[[#This Row],[L/P Líquido]]/base[[#This Row],[Stake/Responsabilidade]]</f>
        <v>5.0230138082849707E-2</v>
      </c>
      <c r="O74" s="132">
        <f>IF(base[[#This Row],[L/P Líquido]]&gt;0,1,0)</f>
        <v>1</v>
      </c>
      <c r="P74" s="132"/>
      <c r="Q74" s="132" t="str">
        <f>LEFT(base[[#This Row],[Evento / Mercado]],FIND("vs",base[[#This Row],[Evento / Mercado]])-2)</f>
        <v>Le Mans FC</v>
      </c>
      <c r="R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Amiens SC</v>
      </c>
      <c r="S74" s="132" t="str">
        <f>LEFT(base[[#This Row],[Evento / Mercado]],FIND("/",base[[#This Row],[Evento / Mercado]])-2)</f>
        <v>Le Mans FC vs Amiens SC</v>
      </c>
    </row>
    <row r="75" spans="2:21" ht="15" customHeight="1">
      <c r="B75" s="128" t="s">
        <v>117</v>
      </c>
      <c r="C75" s="128" t="s">
        <v>2982</v>
      </c>
      <c r="D75" s="129">
        <v>45996.745659722219</v>
      </c>
      <c r="E75" s="130">
        <v>8.68</v>
      </c>
      <c r="F75" s="131">
        <v>4.4999999999999998E-2</v>
      </c>
      <c r="G75" s="126">
        <f t="shared" si="1"/>
        <v>9.0890052356020945</v>
      </c>
      <c r="H75" s="126" t="s">
        <v>73</v>
      </c>
      <c r="I75" s="127" t="s">
        <v>16</v>
      </c>
      <c r="J75" s="126">
        <v>12</v>
      </c>
      <c r="K75" s="126">
        <v>99.99</v>
      </c>
      <c r="L75" s="129">
        <f>INT(base[[#This Row],[Data de liquidação]])</f>
        <v>45996</v>
      </c>
      <c r="M75" s="126">
        <f>base[[#This Row],[L/P Bruto]]-base[[#This Row],[L/P Líquido]]</f>
        <v>0.40900523560209479</v>
      </c>
      <c r="N75" s="126">
        <f>base[[#This Row],[L/P Líquido]]/base[[#This Row],[Stake/Responsabilidade]]</f>
        <v>8.680868086808681E-2</v>
      </c>
      <c r="O75" s="132">
        <f>IF(base[[#This Row],[L/P Líquido]]&gt;0,1,0)</f>
        <v>1</v>
      </c>
      <c r="P75" s="132"/>
      <c r="Q75" s="132" t="str">
        <f>LEFT(base[[#This Row],[Evento / Mercado]],FIND("vs",base[[#This Row],[Evento / Mercado]])-2)</f>
        <v>Roda JC</v>
      </c>
      <c r="R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AZ Alkmaar</v>
      </c>
      <c r="S75" s="132" t="str">
        <f>LEFT(base[[#This Row],[Evento / Mercado]],FIND("/",base[[#This Row],[Evento / Mercado]])-2)</f>
        <v>Roda JC vs Jong AZ Alkmaar</v>
      </c>
    </row>
    <row r="76" spans="2:21" ht="15" customHeight="1">
      <c r="B76" s="128" t="s">
        <v>116</v>
      </c>
      <c r="C76" s="128" t="s">
        <v>2982</v>
      </c>
      <c r="D76" s="129">
        <v>45996.746469907404</v>
      </c>
      <c r="E76" s="130">
        <v>7.99</v>
      </c>
      <c r="F76" s="131">
        <v>4.4999999999999998E-2</v>
      </c>
      <c r="G76" s="126">
        <f t="shared" si="1"/>
        <v>8.36649214659686</v>
      </c>
      <c r="H76" s="126" t="s">
        <v>73</v>
      </c>
      <c r="I76" s="127" t="s">
        <v>16</v>
      </c>
      <c r="J76" s="126">
        <v>13</v>
      </c>
      <c r="K76" s="126">
        <v>100.44</v>
      </c>
      <c r="L76" s="129">
        <f>INT(base[[#This Row],[Data de liquidação]])</f>
        <v>45996</v>
      </c>
      <c r="M76" s="126">
        <f>base[[#This Row],[L/P Bruto]]-base[[#This Row],[L/P Líquido]]</f>
        <v>0.37649214659685981</v>
      </c>
      <c r="N76" s="126">
        <f>base[[#This Row],[L/P Líquido]]/base[[#This Row],[Stake/Responsabilidade]]</f>
        <v>7.9549980087614505E-2</v>
      </c>
      <c r="O76" s="132">
        <f>IF(base[[#This Row],[L/P Líquido]]&gt;0,1,0)</f>
        <v>1</v>
      </c>
      <c r="P76" s="132"/>
      <c r="Q76" s="132" t="str">
        <f>LEFT(base[[#This Row],[Evento / Mercado]],FIND("vs",base[[#This Row],[Evento / Mercado]])-2)</f>
        <v>RKC Waalwijk</v>
      </c>
      <c r="R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VVV-Venlo</v>
      </c>
      <c r="S76" s="132" t="str">
        <f>LEFT(base[[#This Row],[Evento / Mercado]],FIND("/",base[[#This Row],[Evento / Mercado]])-2)</f>
        <v>RKC Waalwijk vs VVV-Venlo</v>
      </c>
    </row>
    <row r="77" spans="2:21" ht="15" customHeight="1">
      <c r="B77" s="128" t="s">
        <v>115</v>
      </c>
      <c r="C77" s="128" t="s">
        <v>2982</v>
      </c>
      <c r="D77" s="129">
        <v>45996.747465277775</v>
      </c>
      <c r="E77" s="130">
        <v>5.97</v>
      </c>
      <c r="F77" s="131">
        <v>4.4999999999999998E-2</v>
      </c>
      <c r="G77" s="126">
        <f t="shared" si="1"/>
        <v>6.2513089005235605</v>
      </c>
      <c r="H77" s="126" t="s">
        <v>73</v>
      </c>
      <c r="I77" s="127" t="s">
        <v>16</v>
      </c>
      <c r="J77" s="126">
        <v>17</v>
      </c>
      <c r="K77" s="126">
        <v>100</v>
      </c>
      <c r="L77" s="129">
        <f>INT(base[[#This Row],[Data de liquidação]])</f>
        <v>45996</v>
      </c>
      <c r="M77" s="126">
        <f>base[[#This Row],[L/P Bruto]]-base[[#This Row],[L/P Líquido]]</f>
        <v>0.28130890052356072</v>
      </c>
      <c r="N77" s="126">
        <f>base[[#This Row],[L/P Líquido]]/base[[#This Row],[Stake/Responsabilidade]]</f>
        <v>5.9699999999999996E-2</v>
      </c>
      <c r="O77" s="132">
        <f>IF(base[[#This Row],[L/P Líquido]]&gt;0,1,0)</f>
        <v>1</v>
      </c>
      <c r="P77" s="132"/>
      <c r="Q77" s="132" t="str">
        <f>LEFT(base[[#This Row],[Evento / Mercado]],FIND("vs",base[[#This Row],[Evento / Mercado]])-2)</f>
        <v>Almere City</v>
      </c>
      <c r="R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Ajax</v>
      </c>
      <c r="S77" s="132" t="str">
        <f>LEFT(base[[#This Row],[Evento / Mercado]],FIND("/",base[[#This Row],[Evento / Mercado]])-2)</f>
        <v>Almere City vs Jong Ajax</v>
      </c>
    </row>
    <row r="78" spans="2:21" ht="15" customHeight="1">
      <c r="B78" s="128" t="s">
        <v>114</v>
      </c>
      <c r="C78" s="128" t="s">
        <v>2982</v>
      </c>
      <c r="D78" s="129">
        <v>45996.747974537036</v>
      </c>
      <c r="E78" s="130">
        <v>6.94</v>
      </c>
      <c r="F78" s="131">
        <v>4.4999999999999998E-2</v>
      </c>
      <c r="G78" s="126">
        <f t="shared" si="1"/>
        <v>7.2670157068062835</v>
      </c>
      <c r="H78" s="126" t="s">
        <v>73</v>
      </c>
      <c r="I78" s="127" t="s">
        <v>16</v>
      </c>
      <c r="J78" s="126">
        <v>14.5</v>
      </c>
      <c r="K78" s="126">
        <v>98.15</v>
      </c>
      <c r="L78" s="129">
        <f>INT(base[[#This Row],[Data de liquidação]])</f>
        <v>45996</v>
      </c>
      <c r="M78" s="126">
        <f>base[[#This Row],[L/P Bruto]]-base[[#This Row],[L/P Líquido]]</f>
        <v>0.32701570680628311</v>
      </c>
      <c r="N78" s="126">
        <f>base[[#This Row],[L/P Líquido]]/base[[#This Row],[Stake/Responsabilidade]]</f>
        <v>7.070809984717269E-2</v>
      </c>
      <c r="O78" s="132">
        <f>IF(base[[#This Row],[L/P Líquido]]&gt;0,1,0)</f>
        <v>1</v>
      </c>
      <c r="P78" s="132"/>
      <c r="Q78" s="132" t="str">
        <f>LEFT(base[[#This Row],[Evento / Mercado]],FIND("vs",base[[#This Row],[Evento / Mercado]])-2)</f>
        <v>Cambuur Leeuwarden</v>
      </c>
      <c r="R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Den Bosch</v>
      </c>
      <c r="S78" s="132" t="str">
        <f>LEFT(base[[#This Row],[Evento / Mercado]],FIND("/",base[[#This Row],[Evento / Mercado]])-2)</f>
        <v>Cambuur Leeuwarden vs Den Bosch</v>
      </c>
    </row>
    <row r="79" spans="2:21" ht="15" customHeight="1">
      <c r="B79" s="128" t="s">
        <v>113</v>
      </c>
      <c r="C79" s="128" t="s">
        <v>2982</v>
      </c>
      <c r="D79" s="129">
        <v>45996.754976851851</v>
      </c>
      <c r="E79" s="130">
        <v>9.5500000000000007</v>
      </c>
      <c r="F79" s="131">
        <v>4.4999999999999998E-2</v>
      </c>
      <c r="G79" s="126">
        <f t="shared" si="1"/>
        <v>10.000000000000002</v>
      </c>
      <c r="H79" s="126" t="s">
        <v>73</v>
      </c>
      <c r="I79" s="127" t="s">
        <v>16</v>
      </c>
      <c r="J79" s="126">
        <v>11</v>
      </c>
      <c r="K79" s="126">
        <v>100</v>
      </c>
      <c r="L79" s="129">
        <f>INT(base[[#This Row],[Data de liquidação]])</f>
        <v>45996</v>
      </c>
      <c r="M79" s="126">
        <f>base[[#This Row],[L/P Bruto]]-base[[#This Row],[L/P Líquido]]</f>
        <v>0.45000000000000107</v>
      </c>
      <c r="N79" s="126">
        <f>base[[#This Row],[L/P Líquido]]/base[[#This Row],[Stake/Responsabilidade]]</f>
        <v>9.5500000000000002E-2</v>
      </c>
      <c r="O79" s="132">
        <f>IF(base[[#This Row],[L/P Líquido]]&gt;0,1,0)</f>
        <v>1</v>
      </c>
      <c r="P79" s="132"/>
      <c r="Q79" s="132" t="str">
        <f>LEFT(base[[#This Row],[Evento / Mercado]],FIND("vs",base[[#This Row],[Evento / Mercado]])-2)</f>
        <v>Helmond Sport</v>
      </c>
      <c r="R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MVV Maastricht</v>
      </c>
      <c r="S79" s="132" t="str">
        <f>LEFT(base[[#This Row],[Evento / Mercado]],FIND("/",base[[#This Row],[Evento / Mercado]])-2)</f>
        <v>Helmond Sport vs MVV Maastricht</v>
      </c>
    </row>
    <row r="80" spans="2:21" ht="15" customHeight="1">
      <c r="B80" s="128" t="s">
        <v>112</v>
      </c>
      <c r="C80" s="128" t="s">
        <v>2982</v>
      </c>
      <c r="D80" s="129">
        <v>45996.775231481479</v>
      </c>
      <c r="E80" s="130">
        <v>9.5500000000000007</v>
      </c>
      <c r="F80" s="131">
        <v>4.4999999999999998E-2</v>
      </c>
      <c r="G80" s="126">
        <f t="shared" si="1"/>
        <v>10.000000000000002</v>
      </c>
      <c r="H80" s="126" t="s">
        <v>73</v>
      </c>
      <c r="I80" s="127" t="s">
        <v>13</v>
      </c>
      <c r="J80" s="126">
        <v>11</v>
      </c>
      <c r="K80" s="126">
        <v>100</v>
      </c>
      <c r="L80" s="129">
        <f>INT(base[[#This Row],[Data de liquidação]])</f>
        <v>45996</v>
      </c>
      <c r="M80" s="126">
        <f>base[[#This Row],[L/P Bruto]]-base[[#This Row],[L/P Líquido]]</f>
        <v>0.45000000000000107</v>
      </c>
      <c r="N80" s="126">
        <f>base[[#This Row],[L/P Líquido]]/base[[#This Row],[Stake/Responsabilidade]]</f>
        <v>9.5500000000000002E-2</v>
      </c>
      <c r="O80" s="132">
        <f>IF(base[[#This Row],[L/P Líquido]]&gt;0,1,0)</f>
        <v>1</v>
      </c>
      <c r="P80" s="132"/>
      <c r="Q80" s="132" t="str">
        <f>LEFT(base[[#This Row],[Evento / Mercado]],FIND("vs",base[[#This Row],[Evento / Mercado]])-2)</f>
        <v>Greenock Morton</v>
      </c>
      <c r="R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Queen's Park</v>
      </c>
      <c r="S80" s="132" t="str">
        <f>LEFT(base[[#This Row],[Evento / Mercado]],FIND("/",base[[#This Row],[Evento / Mercado]])-2)</f>
        <v>Greenock Morton vs Queen's Park</v>
      </c>
    </row>
    <row r="81" spans="2:21" ht="15" customHeight="1">
      <c r="B81" s="128" t="s">
        <v>111</v>
      </c>
      <c r="C81" s="128" t="s">
        <v>2982</v>
      </c>
      <c r="D81" s="129">
        <v>45996.778819444444</v>
      </c>
      <c r="E81" s="130">
        <v>6.82</v>
      </c>
      <c r="F81" s="131">
        <v>4.4999999999999998E-2</v>
      </c>
      <c r="G81" s="126">
        <f t="shared" si="1"/>
        <v>7.1413612565445028</v>
      </c>
      <c r="H81" s="126" t="s">
        <v>73</v>
      </c>
      <c r="I81" s="127" t="s">
        <v>13</v>
      </c>
      <c r="J81" s="126">
        <v>15</v>
      </c>
      <c r="K81" s="126">
        <v>99.96</v>
      </c>
      <c r="L81" s="129">
        <f>INT(base[[#This Row],[Data de liquidação]])</f>
        <v>45996</v>
      </c>
      <c r="M81" s="126">
        <f>base[[#This Row],[L/P Bruto]]-base[[#This Row],[L/P Líquido]]</f>
        <v>0.32136125654450254</v>
      </c>
      <c r="N81" s="126">
        <f>base[[#This Row],[L/P Líquido]]/base[[#This Row],[Stake/Responsabilidade]]</f>
        <v>6.8227290916366548E-2</v>
      </c>
      <c r="O81" s="132">
        <f>IF(base[[#This Row],[L/P Líquido]]&gt;0,1,0)</f>
        <v>1</v>
      </c>
      <c r="P81" s="132"/>
      <c r="Q81" s="132" t="str">
        <f>LEFT(base[[#This Row],[Evento / Mercado]],FIND("vs",base[[#This Row],[Evento / Mercado]])-2)</f>
        <v>Cardiff Metropolitan</v>
      </c>
      <c r="R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Llanelli Town</v>
      </c>
      <c r="S81" s="132" t="str">
        <f>LEFT(base[[#This Row],[Evento / Mercado]],FIND("/",base[[#This Row],[Evento / Mercado]])-2)</f>
        <v>Cardiff Metropolitan vs Llanelli Town</v>
      </c>
    </row>
    <row r="82" spans="2:21" ht="15" customHeight="1">
      <c r="B82" s="128" t="s">
        <v>110</v>
      </c>
      <c r="C82" s="128" t="s">
        <v>2982</v>
      </c>
      <c r="D82" s="129">
        <v>45996.779039351852</v>
      </c>
      <c r="E82" s="130">
        <v>11.20215</v>
      </c>
      <c r="F82" s="131">
        <v>4.4999999999999998E-2</v>
      </c>
      <c r="G82" s="126">
        <f t="shared" si="1"/>
        <v>11.73</v>
      </c>
      <c r="H82" s="126" t="s">
        <v>73</v>
      </c>
      <c r="I82" s="127" t="s">
        <v>16</v>
      </c>
      <c r="J82" s="126">
        <v>9.6</v>
      </c>
      <c r="K82" s="126">
        <v>100.88</v>
      </c>
      <c r="L82" s="129">
        <f>INT(base[[#This Row],[Data de liquidação]])</f>
        <v>45996</v>
      </c>
      <c r="M82" s="126">
        <f>base[[#This Row],[L/P Bruto]]-base[[#This Row],[L/P Líquido]]</f>
        <v>0.52785000000000082</v>
      </c>
      <c r="N82" s="126">
        <f>base[[#This Row],[L/P Líquido]]/base[[#This Row],[Stake/Responsabilidade]]</f>
        <v>0.11104431007137193</v>
      </c>
      <c r="O82" s="132">
        <f>IF(base[[#This Row],[L/P Líquido]]&gt;0,1,0)</f>
        <v>1</v>
      </c>
      <c r="P82" s="132"/>
      <c r="Q82" s="132" t="str">
        <f>LEFT(base[[#This Row],[Evento / Mercado]],FIND("vs",base[[#This Row],[Evento / Mercado]])-2)</f>
        <v>Connah's Quay Nomads F.C.</v>
      </c>
      <c r="R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Colwyn Bay</v>
      </c>
      <c r="S82" s="132" t="str">
        <f>LEFT(base[[#This Row],[Evento / Mercado]],FIND("/",base[[#This Row],[Evento / Mercado]])-2)</f>
        <v>Connah's Quay Nomads F.C. vs Colwyn Bay</v>
      </c>
      <c r="T82" s="8">
        <v>11.73</v>
      </c>
      <c r="U82" s="9">
        <f>T82*0.955</f>
        <v>11.20215</v>
      </c>
    </row>
    <row r="83" spans="2:21" ht="15" customHeight="1">
      <c r="B83" s="128" t="s">
        <v>110</v>
      </c>
      <c r="C83" s="128" t="s">
        <v>2982</v>
      </c>
      <c r="D83" s="129">
        <v>45996.779039351852</v>
      </c>
      <c r="E83" s="130">
        <v>5.1951999999999998</v>
      </c>
      <c r="F83" s="131">
        <v>4.4999999999999998E-2</v>
      </c>
      <c r="G83" s="126">
        <f t="shared" si="1"/>
        <v>5.44</v>
      </c>
      <c r="H83" s="126" t="s">
        <v>73</v>
      </c>
      <c r="I83" s="127" t="s">
        <v>13</v>
      </c>
      <c r="J83" s="126">
        <v>19.5</v>
      </c>
      <c r="K83" s="126">
        <v>100.64</v>
      </c>
      <c r="L83" s="129">
        <f>INT(base[[#This Row],[Data de liquidação]])</f>
        <v>45996</v>
      </c>
      <c r="M83" s="126">
        <f>base[[#This Row],[L/P Bruto]]-base[[#This Row],[L/P Líquido]]</f>
        <v>0.24480000000000057</v>
      </c>
      <c r="N83" s="126">
        <f>base[[#This Row],[L/P Líquido]]/base[[#This Row],[Stake/Responsabilidade]]</f>
        <v>5.1621621621621622E-2</v>
      </c>
      <c r="O83" s="132">
        <f>IF(base[[#This Row],[L/P Líquido]]&gt;0,1,0)</f>
        <v>1</v>
      </c>
      <c r="P83" s="132"/>
      <c r="Q83" s="132" t="str">
        <f>LEFT(base[[#This Row],[Evento / Mercado]],FIND("vs",base[[#This Row],[Evento / Mercado]])-2)</f>
        <v>Connah's Quay Nomads F.C.</v>
      </c>
      <c r="R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Colwyn Bay</v>
      </c>
      <c r="S83" s="132" t="str">
        <f>LEFT(base[[#This Row],[Evento / Mercado]],FIND("/",base[[#This Row],[Evento / Mercado]])-2)</f>
        <v>Connah's Quay Nomads F.C. vs Colwyn Bay</v>
      </c>
      <c r="T83" s="8">
        <v>5.44</v>
      </c>
      <c r="U83" s="9">
        <f>T83*0.955</f>
        <v>5.1951999999999998</v>
      </c>
    </row>
    <row r="84" spans="2:21" ht="15" customHeight="1">
      <c r="B84" s="128" t="s">
        <v>109</v>
      </c>
      <c r="C84" s="128" t="s">
        <v>2982</v>
      </c>
      <c r="D84" s="129">
        <v>45996.788171296299</v>
      </c>
      <c r="E84" s="130">
        <v>6.82</v>
      </c>
      <c r="F84" s="131">
        <v>4.4999999999999998E-2</v>
      </c>
      <c r="G84" s="126">
        <f t="shared" si="1"/>
        <v>7.1413612565445028</v>
      </c>
      <c r="H84" s="126" t="s">
        <v>74</v>
      </c>
      <c r="I84" s="127" t="s">
        <v>75</v>
      </c>
      <c r="J84" s="126">
        <v>15</v>
      </c>
      <c r="K84" s="126">
        <v>99.96</v>
      </c>
      <c r="L84" s="129">
        <f>INT(base[[#This Row],[Data de liquidação]])</f>
        <v>45996</v>
      </c>
      <c r="M84" s="126">
        <f>base[[#This Row],[L/P Bruto]]-base[[#This Row],[L/P Líquido]]</f>
        <v>0.32136125654450254</v>
      </c>
      <c r="N84" s="139">
        <f>base[[#This Row],[L/P Líquido]]/base[[#This Row],[Stake/Responsabilidade]]</f>
        <v>6.8227290916366548E-2</v>
      </c>
      <c r="O84" s="132">
        <f>IF(base[[#This Row],[L/P Líquido]]&gt;0,1,0)</f>
        <v>1</v>
      </c>
      <c r="P84" s="132" t="s">
        <v>970</v>
      </c>
      <c r="Q84" s="132" t="str">
        <f>LEFT(base[[#This Row],[Evento / Mercado]],FIND("vs",base[[#This Row],[Evento / Mercado]])-2)</f>
        <v>Lille OSC</v>
      </c>
      <c r="R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Marseille</v>
      </c>
      <c r="S84" s="132" t="str">
        <f>LEFT(base[[#This Row],[Evento / Mercado]],FIND("/",base[[#This Row],[Evento / Mercado]])-2)</f>
        <v>Lille OSC vs Olympique Marseille</v>
      </c>
    </row>
    <row r="85" spans="2:21" ht="15" customHeight="1">
      <c r="B85" s="128" t="s">
        <v>108</v>
      </c>
      <c r="C85" s="128" t="s">
        <v>2982</v>
      </c>
      <c r="D85" s="129">
        <v>45997.498923611114</v>
      </c>
      <c r="E85" s="130">
        <v>5.79</v>
      </c>
      <c r="F85" s="131">
        <v>4.4999999999999998E-2</v>
      </c>
      <c r="G85" s="126">
        <f t="shared" si="1"/>
        <v>6.0628272251308903</v>
      </c>
      <c r="H85" s="126" t="s">
        <v>73</v>
      </c>
      <c r="I85" s="127" t="s">
        <v>13</v>
      </c>
      <c r="J85" s="126">
        <v>17.5</v>
      </c>
      <c r="K85" s="126">
        <v>99.99</v>
      </c>
      <c r="L85" s="129">
        <f>INT(base[[#This Row],[Data de liquidação]])</f>
        <v>45997</v>
      </c>
      <c r="M85" s="126">
        <f>base[[#This Row],[L/P Bruto]]-base[[#This Row],[L/P Líquido]]</f>
        <v>0.27282722513089031</v>
      </c>
      <c r="N85" s="126">
        <f>base[[#This Row],[L/P Líquido]]/base[[#This Row],[Stake/Responsabilidade]]</f>
        <v>5.7905790579057911E-2</v>
      </c>
      <c r="O85" s="132">
        <f>IF(base[[#This Row],[L/P Líquido]]&gt;0,1,0)</f>
        <v>1</v>
      </c>
      <c r="P85" s="132"/>
      <c r="Q85" s="132" t="str">
        <f>LEFT(base[[#This Row],[Evento / Mercado]],FIND("vs",base[[#This Row],[Evento / Mercado]])-2)</f>
        <v>Villarreal</v>
      </c>
      <c r="R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Getafe</v>
      </c>
      <c r="S85" s="132" t="str">
        <f>LEFT(base[[#This Row],[Evento / Mercado]],FIND("/",base[[#This Row],[Evento / Mercado]])-2)</f>
        <v>Villarreal vs Getafe</v>
      </c>
    </row>
    <row r="86" spans="2:21" ht="15" customHeight="1">
      <c r="B86" s="128" t="s">
        <v>107</v>
      </c>
      <c r="C86" s="128" t="s">
        <v>2982</v>
      </c>
      <c r="D86" s="129">
        <v>45997.550949074073</v>
      </c>
      <c r="E86" s="130">
        <v>5.62</v>
      </c>
      <c r="F86" s="131">
        <v>4.4999999999999998E-2</v>
      </c>
      <c r="G86" s="126">
        <f t="shared" si="1"/>
        <v>5.8848167539267022</v>
      </c>
      <c r="H86" s="126" t="s">
        <v>73</v>
      </c>
      <c r="I86" s="127" t="s">
        <v>13</v>
      </c>
      <c r="J86" s="126">
        <v>18</v>
      </c>
      <c r="K86" s="126">
        <v>99.96</v>
      </c>
      <c r="L86" s="129">
        <f>INT(base[[#This Row],[Data de liquidação]])</f>
        <v>45997</v>
      </c>
      <c r="M86" s="126">
        <f>base[[#This Row],[L/P Bruto]]-base[[#This Row],[L/P Líquido]]</f>
        <v>0.26481675392670212</v>
      </c>
      <c r="N86" s="126">
        <f>base[[#This Row],[L/P Líquido]]/base[[#This Row],[Stake/Responsabilidade]]</f>
        <v>5.6222488995598244E-2</v>
      </c>
      <c r="O86" s="132">
        <f>IF(base[[#This Row],[L/P Líquido]]&gt;0,1,0)</f>
        <v>1</v>
      </c>
      <c r="P86" s="132"/>
      <c r="Q86" s="132" t="str">
        <f>LEFT(base[[#This Row],[Evento / Mercado]],FIND("vs",base[[#This Row],[Evento / Mercado]])-2)</f>
        <v>Dinamo Zagreb</v>
      </c>
      <c r="R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Hajduk Split</v>
      </c>
      <c r="S86" s="132" t="str">
        <f>LEFT(base[[#This Row],[Evento / Mercado]],FIND("/",base[[#This Row],[Evento / Mercado]])-2)</f>
        <v>Dinamo Zagreb vs Hajduk Split</v>
      </c>
    </row>
    <row r="87" spans="2:21" ht="15" customHeight="1">
      <c r="B87" s="128" t="s">
        <v>106</v>
      </c>
      <c r="C87" s="128" t="s">
        <v>2982</v>
      </c>
      <c r="D87" s="129">
        <v>45997.562199074076</v>
      </c>
      <c r="E87" s="130">
        <v>5.62</v>
      </c>
      <c r="F87" s="131">
        <v>4.4999999999999998E-2</v>
      </c>
      <c r="G87" s="126">
        <f t="shared" si="1"/>
        <v>5.8848167539267022</v>
      </c>
      <c r="H87" s="126" t="s">
        <v>122</v>
      </c>
      <c r="I87" s="127" t="s">
        <v>541</v>
      </c>
      <c r="J87" s="126">
        <v>18</v>
      </c>
      <c r="K87" s="126">
        <v>99.96</v>
      </c>
      <c r="L87" s="129">
        <f>INT(base[[#This Row],[Data de liquidação]])</f>
        <v>45997</v>
      </c>
      <c r="M87" s="126">
        <f>base[[#This Row],[L/P Bruto]]-base[[#This Row],[L/P Líquido]]</f>
        <v>0.26481675392670212</v>
      </c>
      <c r="N87" s="126">
        <f>base[[#This Row],[L/P Líquido]]/base[[#This Row],[Stake/Responsabilidade]]</f>
        <v>5.6222488995598244E-2</v>
      </c>
      <c r="O87" s="132">
        <f>IF(base[[#This Row],[L/P Líquido]]&gt;0,1,0)</f>
        <v>1</v>
      </c>
      <c r="P87" s="132" t="s">
        <v>962</v>
      </c>
      <c r="Q87" s="132" t="str">
        <f>LEFT(base[[#This Row],[Evento / Mercado]],FIND("vs",base[[#This Row],[Evento / Mercado]])-2)</f>
        <v>VfB Stuttgart</v>
      </c>
      <c r="R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87" s="132" t="str">
        <f>LEFT(base[[#This Row],[Evento / Mercado]],FIND("/",base[[#This Row],[Evento / Mercado]])-2)</f>
        <v>VfB Stuttgart vs FC Bayern München</v>
      </c>
    </row>
    <row r="88" spans="2:21" ht="15" customHeight="1">
      <c r="B88" s="128" t="s">
        <v>105</v>
      </c>
      <c r="C88" s="128" t="s">
        <v>2982</v>
      </c>
      <c r="D88" s="129">
        <v>45997.576793981483</v>
      </c>
      <c r="E88" s="130">
        <v>7.34</v>
      </c>
      <c r="F88" s="131">
        <v>4.4999999999999998E-2</v>
      </c>
      <c r="G88" s="126">
        <f t="shared" si="1"/>
        <v>7.6858638743455501</v>
      </c>
      <c r="H88" s="126" t="s">
        <v>73</v>
      </c>
      <c r="I88" s="127" t="s">
        <v>16</v>
      </c>
      <c r="J88" s="126">
        <v>14</v>
      </c>
      <c r="K88" s="126">
        <v>99.97</v>
      </c>
      <c r="L88" s="129">
        <f>INT(base[[#This Row],[Data de liquidação]])</f>
        <v>45997</v>
      </c>
      <c r="M88" s="126">
        <f>base[[#This Row],[L/P Bruto]]-base[[#This Row],[L/P Líquido]]</f>
        <v>0.34586387434555022</v>
      </c>
      <c r="N88" s="126">
        <f>base[[#This Row],[L/P Líquido]]/base[[#This Row],[Stake/Responsabilidade]]</f>
        <v>7.3422026607982388E-2</v>
      </c>
      <c r="O88" s="132">
        <f>IF(base[[#This Row],[L/P Líquido]]&gt;0,1,0)</f>
        <v>1</v>
      </c>
      <c r="P88" s="132"/>
      <c r="Q88" s="132" t="str">
        <f>LEFT(base[[#This Row],[Evento / Mercado]],FIND("vs",base[[#This Row],[Evento / Mercado]])-2)</f>
        <v>Grimsby Town</v>
      </c>
      <c r="R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Wealdstone</v>
      </c>
      <c r="S88" s="132" t="str">
        <f>LEFT(base[[#This Row],[Evento / Mercado]],FIND("/",base[[#This Row],[Evento / Mercado]])-2)</f>
        <v>Grimsby Town vs Wealdstone</v>
      </c>
    </row>
    <row r="89" spans="2:21" ht="15" customHeight="1">
      <c r="B89" s="128" t="s">
        <v>104</v>
      </c>
      <c r="C89" s="128" t="s">
        <v>2982</v>
      </c>
      <c r="D89" s="129">
        <v>45997.577893518515</v>
      </c>
      <c r="E89" s="130">
        <v>5.62</v>
      </c>
      <c r="F89" s="131">
        <v>4.4999999999999998E-2</v>
      </c>
      <c r="G89" s="126">
        <f t="shared" si="1"/>
        <v>5.8848167539267022</v>
      </c>
      <c r="H89" s="126" t="s">
        <v>73</v>
      </c>
      <c r="I89" s="127" t="s">
        <v>13</v>
      </c>
      <c r="J89" s="126">
        <v>18</v>
      </c>
      <c r="K89" s="126">
        <v>99.96</v>
      </c>
      <c r="L89" s="129">
        <f>INT(base[[#This Row],[Data de liquidação]])</f>
        <v>45997</v>
      </c>
      <c r="M89" s="126">
        <f>base[[#This Row],[L/P Bruto]]-base[[#This Row],[L/P Líquido]]</f>
        <v>0.26481675392670212</v>
      </c>
      <c r="N89" s="126">
        <f>base[[#This Row],[L/P Líquido]]/base[[#This Row],[Stake/Responsabilidade]]</f>
        <v>5.6222488995598244E-2</v>
      </c>
      <c r="O89" s="132">
        <f>IF(base[[#This Row],[L/P Líquido]]&gt;0,1,0)</f>
        <v>1</v>
      </c>
      <c r="P89" s="132"/>
      <c r="Q89" s="132" t="str">
        <f>LEFT(base[[#This Row],[Evento / Mercado]],FIND("vs",base[[#This Row],[Evento / Mercado]])-2)</f>
        <v>Wigan Athletic</v>
      </c>
      <c r="R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Barrow</v>
      </c>
      <c r="S89" s="132" t="str">
        <f>LEFT(base[[#This Row],[Evento / Mercado]],FIND("/",base[[#This Row],[Evento / Mercado]])-2)</f>
        <v>Wigan Athletic vs Barrow</v>
      </c>
    </row>
    <row r="90" spans="2:21" ht="15" customHeight="1">
      <c r="B90" s="128" t="s">
        <v>103</v>
      </c>
      <c r="C90" s="128" t="s">
        <v>2982</v>
      </c>
      <c r="D90" s="129">
        <v>45997.578275462962</v>
      </c>
      <c r="E90" s="130">
        <v>-100.04</v>
      </c>
      <c r="F90" s="131">
        <v>4.4999999999999998E-2</v>
      </c>
      <c r="G90" s="126">
        <f t="shared" si="1"/>
        <v>-100.04</v>
      </c>
      <c r="H90" s="126" t="s">
        <v>73</v>
      </c>
      <c r="I90" s="127" t="s">
        <v>16</v>
      </c>
      <c r="J90" s="126">
        <v>9.1999999999999993</v>
      </c>
      <c r="K90" s="126">
        <v>100.04</v>
      </c>
      <c r="L90" s="129">
        <f>INT(base[[#This Row],[Data de liquidação]])</f>
        <v>45997</v>
      </c>
      <c r="M90" s="126">
        <f>base[[#This Row],[L/P Bruto]]-base[[#This Row],[L/P Líquido]]</f>
        <v>0</v>
      </c>
      <c r="N90" s="126">
        <f>base[[#This Row],[L/P Líquido]]/base[[#This Row],[Stake/Responsabilidade]]</f>
        <v>-1</v>
      </c>
      <c r="O90" s="132">
        <f>IF(base[[#This Row],[L/P Líquido]]&gt;0,1,0)</f>
        <v>0</v>
      </c>
      <c r="P90" s="132"/>
      <c r="Q90" s="132" t="str">
        <f>LEFT(base[[#This Row],[Evento / Mercado]],FIND("vs",base[[#This Row],[Evento / Mercado]])-2)</f>
        <v>Port Vale</v>
      </c>
      <c r="R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Bristol Rovers</v>
      </c>
      <c r="S90" s="132" t="str">
        <f>LEFT(base[[#This Row],[Evento / Mercado]],FIND("/",base[[#This Row],[Evento / Mercado]])-2)</f>
        <v>Port Vale vs Bristol Rovers</v>
      </c>
    </row>
    <row r="91" spans="2:21" ht="15" customHeight="1">
      <c r="B91" s="128" t="s">
        <v>102</v>
      </c>
      <c r="C91" s="128" t="s">
        <v>2982</v>
      </c>
      <c r="D91" s="129">
        <v>45997.580590277779</v>
      </c>
      <c r="E91" s="130">
        <v>10.06</v>
      </c>
      <c r="F91" s="131">
        <v>4.4999999999999998E-2</v>
      </c>
      <c r="G91" s="126">
        <f t="shared" si="1"/>
        <v>10.534031413612567</v>
      </c>
      <c r="H91" s="126" t="s">
        <v>73</v>
      </c>
      <c r="I91" s="127" t="s">
        <v>16</v>
      </c>
      <c r="J91" s="126">
        <v>10.5</v>
      </c>
      <c r="K91" s="126">
        <v>100.04</v>
      </c>
      <c r="L91" s="129">
        <f>INT(base[[#This Row],[Data de liquidação]])</f>
        <v>45997</v>
      </c>
      <c r="M91" s="126">
        <f>base[[#This Row],[L/P Bruto]]-base[[#This Row],[L/P Líquido]]</f>
        <v>0.47403141361256651</v>
      </c>
      <c r="N91" s="126">
        <f>base[[#This Row],[L/P Líquido]]/base[[#This Row],[Stake/Responsabilidade]]</f>
        <v>0.10055977608956418</v>
      </c>
      <c r="O91" s="132">
        <f>IF(base[[#This Row],[L/P Líquido]]&gt;0,1,0)</f>
        <v>1</v>
      </c>
      <c r="P91" s="132"/>
      <c r="Q91" s="132" t="str">
        <f>LEFT(base[[#This Row],[Evento / Mercado]],FIND("vs",base[[#This Row],[Evento / Mercado]])-2)</f>
        <v>Stockport County</v>
      </c>
      <c r="R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Cambridge United</v>
      </c>
      <c r="S91" s="132" t="str">
        <f>LEFT(base[[#This Row],[Evento / Mercado]],FIND("/",base[[#This Row],[Evento / Mercado]])-2)</f>
        <v>Stockport County vs Cambridge United</v>
      </c>
    </row>
    <row r="92" spans="2:21" ht="15" customHeight="1">
      <c r="B92" s="128" t="s">
        <v>101</v>
      </c>
      <c r="C92" s="128" t="s">
        <v>2982</v>
      </c>
      <c r="D92" s="129">
        <v>45997.662974537037</v>
      </c>
      <c r="E92" s="130">
        <v>8.68</v>
      </c>
      <c r="F92" s="131">
        <v>4.4999999999999998E-2</v>
      </c>
      <c r="G92" s="126">
        <f t="shared" si="1"/>
        <v>9.0890052356020945</v>
      </c>
      <c r="H92" s="126" t="s">
        <v>73</v>
      </c>
      <c r="I92" s="127" t="s">
        <v>16</v>
      </c>
      <c r="J92" s="126">
        <v>12</v>
      </c>
      <c r="K92" s="126">
        <v>99.99</v>
      </c>
      <c r="L92" s="129">
        <f>INT(base[[#This Row],[Data de liquidação]])</f>
        <v>45997</v>
      </c>
      <c r="M92" s="126">
        <f>base[[#This Row],[L/P Bruto]]-base[[#This Row],[L/P Líquido]]</f>
        <v>0.40900523560209479</v>
      </c>
      <c r="N92" s="126">
        <f>base[[#This Row],[L/P Líquido]]/base[[#This Row],[Stake/Responsabilidade]]</f>
        <v>8.680868086808681E-2</v>
      </c>
      <c r="O92" s="132">
        <f>IF(base[[#This Row],[L/P Líquido]]&gt;0,1,0)</f>
        <v>1</v>
      </c>
      <c r="P92" s="132"/>
      <c r="Q92" s="132" t="str">
        <f>LEFT(base[[#This Row],[Evento / Mercado]],FIND("vs",base[[#This Row],[Evento / Mercado]])-2)</f>
        <v>Stade Lausanne-Ouchy</v>
      </c>
      <c r="R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Rapperswil Jona</v>
      </c>
      <c r="S92" s="132" t="str">
        <f>LEFT(base[[#This Row],[Evento / Mercado]],FIND("/",base[[#This Row],[Evento / Mercado]])-2)</f>
        <v>Stade Lausanne-Ouchy vs FC Rapperswil Jona</v>
      </c>
    </row>
    <row r="93" spans="2:21" ht="15" customHeight="1">
      <c r="B93" s="128" t="s">
        <v>100</v>
      </c>
      <c r="C93" s="128" t="s">
        <v>2982</v>
      </c>
      <c r="D93" s="129">
        <v>45997.685601851852</v>
      </c>
      <c r="E93" s="130">
        <v>7.64</v>
      </c>
      <c r="F93" s="131">
        <v>4.4999999999999998E-2</v>
      </c>
      <c r="G93" s="126">
        <f t="shared" si="1"/>
        <v>8</v>
      </c>
      <c r="H93" s="126" t="s">
        <v>73</v>
      </c>
      <c r="I93" s="127" t="s">
        <v>16</v>
      </c>
      <c r="J93" s="126">
        <v>13.5</v>
      </c>
      <c r="K93" s="126">
        <v>100</v>
      </c>
      <c r="L93" s="129">
        <f>INT(base[[#This Row],[Data de liquidação]])</f>
        <v>45997</v>
      </c>
      <c r="M93" s="126">
        <f>base[[#This Row],[L/P Bruto]]-base[[#This Row],[L/P Líquido]]</f>
        <v>0.36000000000000032</v>
      </c>
      <c r="N93" s="126">
        <f>base[[#This Row],[L/P Líquido]]/base[[#This Row],[Stake/Responsabilidade]]</f>
        <v>7.6399999999999996E-2</v>
      </c>
      <c r="O93" s="132">
        <f>IF(base[[#This Row],[L/P Líquido]]&gt;0,1,0)</f>
        <v>1</v>
      </c>
      <c r="P93" s="132"/>
      <c r="Q93" s="132" t="str">
        <f>LEFT(base[[#This Row],[Evento / Mercado]],FIND("vs",base[[#This Row],[Evento / Mercado]])-2)</f>
        <v>RB Leipzig</v>
      </c>
      <c r="R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93" s="132" t="str">
        <f>LEFT(base[[#This Row],[Evento / Mercado]],FIND("/",base[[#This Row],[Evento / Mercado]])-2)</f>
        <v>RB Leipzig vs Eintracht Frankfurt</v>
      </c>
    </row>
    <row r="94" spans="2:21" ht="15" customHeight="1">
      <c r="B94" s="128" t="s">
        <v>99</v>
      </c>
      <c r="C94" s="128" t="s">
        <v>2982</v>
      </c>
      <c r="D94" s="129">
        <v>45997.688842592594</v>
      </c>
      <c r="E94" s="130">
        <v>5.31</v>
      </c>
      <c r="F94" s="131">
        <v>4.4999999999999998E-2</v>
      </c>
      <c r="G94" s="126">
        <f t="shared" si="1"/>
        <v>5.5602094240837694</v>
      </c>
      <c r="H94" s="126" t="s">
        <v>122</v>
      </c>
      <c r="I94" s="127" t="s">
        <v>541</v>
      </c>
      <c r="J94" s="126">
        <v>19</v>
      </c>
      <c r="K94" s="126">
        <v>100.08</v>
      </c>
      <c r="L94" s="129">
        <f>INT(base[[#This Row],[Data de liquidação]])</f>
        <v>45997</v>
      </c>
      <c r="M94" s="126">
        <f>base[[#This Row],[L/P Bruto]]-base[[#This Row],[L/P Líquido]]</f>
        <v>0.25020942408376978</v>
      </c>
      <c r="N94" s="126">
        <f>base[[#This Row],[L/P Líquido]]/base[[#This Row],[Stake/Responsabilidade]]</f>
        <v>5.3057553956834529E-2</v>
      </c>
      <c r="O94" s="132">
        <f>IF(base[[#This Row],[L/P Líquido]]&gt;0,1,0)</f>
        <v>1</v>
      </c>
      <c r="P94" s="132" t="s">
        <v>964</v>
      </c>
      <c r="Q94" s="132" t="str">
        <f>LEFT(base[[#This Row],[Evento / Mercado]],FIND("vs",base[[#This Row],[Evento / Mercado]])-2)</f>
        <v>Real Betis</v>
      </c>
      <c r="R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94" s="132" t="str">
        <f>LEFT(base[[#This Row],[Evento / Mercado]],FIND("/",base[[#This Row],[Evento / Mercado]])-2)</f>
        <v>Real Betis vs FC Barcelona</v>
      </c>
    </row>
    <row r="95" spans="2:21" ht="15" customHeight="1">
      <c r="B95" s="128" t="s">
        <v>98</v>
      </c>
      <c r="C95" s="128" t="s">
        <v>2982</v>
      </c>
      <c r="D95" s="129">
        <v>45997.746666666666</v>
      </c>
      <c r="E95" s="130">
        <v>5.62</v>
      </c>
      <c r="F95" s="131">
        <v>4.4999999999999998E-2</v>
      </c>
      <c r="G95" s="126">
        <f t="shared" si="1"/>
        <v>5.8848167539267022</v>
      </c>
      <c r="H95" s="126" t="s">
        <v>73</v>
      </c>
      <c r="I95" s="127" t="s">
        <v>13</v>
      </c>
      <c r="J95" s="126">
        <v>18</v>
      </c>
      <c r="K95" s="126">
        <v>99.96</v>
      </c>
      <c r="L95" s="129">
        <f>INT(base[[#This Row],[Data de liquidação]])</f>
        <v>45997</v>
      </c>
      <c r="M95" s="126">
        <f>base[[#This Row],[L/P Bruto]]-base[[#This Row],[L/P Líquido]]</f>
        <v>0.26481675392670212</v>
      </c>
      <c r="N95" s="126">
        <f>base[[#This Row],[L/P Líquido]]/base[[#This Row],[Stake/Responsabilidade]]</f>
        <v>5.6222488995598244E-2</v>
      </c>
      <c r="O95" s="132">
        <f>IF(base[[#This Row],[L/P Líquido]]&gt;0,1,0)</f>
        <v>1</v>
      </c>
      <c r="P95" s="132"/>
      <c r="Q95" s="132" t="str">
        <f>LEFT(base[[#This Row],[Evento / Mercado]],FIND("vs",base[[#This Row],[Evento / Mercado]])-2)</f>
        <v>SK Beveren</v>
      </c>
      <c r="R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Francs Borains</v>
      </c>
      <c r="S95" s="132" t="str">
        <f>LEFT(base[[#This Row],[Evento / Mercado]],FIND("/",base[[#This Row],[Evento / Mercado]])-2)</f>
        <v>SK Beveren vs Francs Borains</v>
      </c>
    </row>
    <row r="96" spans="2:21" ht="15" customHeight="1">
      <c r="B96" s="128" t="s">
        <v>97</v>
      </c>
      <c r="C96" s="128" t="s">
        <v>2982</v>
      </c>
      <c r="D96" s="129">
        <v>45998.498807870368</v>
      </c>
      <c r="E96" s="130">
        <v>6.83</v>
      </c>
      <c r="F96" s="131">
        <v>4.4999999999999998E-2</v>
      </c>
      <c r="G96" s="126">
        <f t="shared" si="1"/>
        <v>7.1518324607329848</v>
      </c>
      <c r="H96" s="126" t="s">
        <v>73</v>
      </c>
      <c r="I96" s="127" t="s">
        <v>16</v>
      </c>
      <c r="J96" s="126">
        <v>15</v>
      </c>
      <c r="K96" s="126">
        <v>100.1</v>
      </c>
      <c r="L96" s="129">
        <f>INT(base[[#This Row],[Data de liquidação]])</f>
        <v>45998</v>
      </c>
      <c r="M96" s="126">
        <f>base[[#This Row],[L/P Bruto]]-base[[#This Row],[L/P Líquido]]</f>
        <v>0.32183246073298477</v>
      </c>
      <c r="N96" s="126">
        <f>base[[#This Row],[L/P Líquido]]/base[[#This Row],[Stake/Responsabilidade]]</f>
        <v>6.8231768231768242E-2</v>
      </c>
      <c r="O96" s="132">
        <f>IF(base[[#This Row],[L/P Líquido]]&gt;0,1,0)</f>
        <v>1</v>
      </c>
      <c r="P96" s="132"/>
      <c r="Q96" s="132" t="str">
        <f>LEFT(base[[#This Row],[Evento / Mercado]],FIND("vs",base[[#This Row],[Evento / Mercado]])-2)</f>
        <v>FC Nordsjælland</v>
      </c>
      <c r="R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Silkeborg IF</v>
      </c>
      <c r="S96" s="132" t="str">
        <f>LEFT(base[[#This Row],[Evento / Mercado]],FIND("/",base[[#This Row],[Evento / Mercado]])-2)</f>
        <v>FC Nordsjælland vs Silkeborg IF</v>
      </c>
    </row>
    <row r="97" spans="2:24" ht="15" customHeight="1">
      <c r="B97" s="128" t="s">
        <v>96</v>
      </c>
      <c r="C97" s="128" t="s">
        <v>2982</v>
      </c>
      <c r="D97" s="129">
        <v>45998.515613425923</v>
      </c>
      <c r="E97" s="130">
        <v>7.34</v>
      </c>
      <c r="F97" s="131">
        <v>4.4999999999999998E-2</v>
      </c>
      <c r="G97" s="126">
        <f t="shared" si="1"/>
        <v>7.6858638743455501</v>
      </c>
      <c r="H97" s="126" t="s">
        <v>74</v>
      </c>
      <c r="I97" s="127" t="s">
        <v>477</v>
      </c>
      <c r="J97" s="126">
        <v>14</v>
      </c>
      <c r="K97" s="126">
        <v>99.97</v>
      </c>
      <c r="L97" s="129">
        <f>INT(base[[#This Row],[Data de liquidação]])</f>
        <v>45998</v>
      </c>
      <c r="M97" s="126">
        <f>base[[#This Row],[L/P Bruto]]-base[[#This Row],[L/P Líquido]]</f>
        <v>0.34586387434555022</v>
      </c>
      <c r="N97" s="139">
        <f>base[[#This Row],[L/P Líquido]]/base[[#This Row],[Stake/Responsabilidade]]</f>
        <v>7.3422026607982388E-2</v>
      </c>
      <c r="O97" s="132">
        <f>IF(base[[#This Row],[L/P Líquido]]&gt;0,1,0)</f>
        <v>1</v>
      </c>
      <c r="P97" s="132" t="s">
        <v>967</v>
      </c>
      <c r="Q97" s="132" t="str">
        <f>LEFT(base[[#This Row],[Evento / Mercado]],FIND("vs",base[[#This Row],[Evento / Mercado]])-2)</f>
        <v>AZ Alkmaar</v>
      </c>
      <c r="R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 Ahead Eagles</v>
      </c>
      <c r="S97" s="132" t="str">
        <f>LEFT(base[[#This Row],[Evento / Mercado]],FIND("/",base[[#This Row],[Evento / Mercado]])-2)</f>
        <v>AZ Alkmaar vs Go Ahead Eagles</v>
      </c>
    </row>
    <row r="98" spans="2:24" ht="15" customHeight="1">
      <c r="B98" s="128" t="s">
        <v>95</v>
      </c>
      <c r="C98" s="128" t="s">
        <v>2982</v>
      </c>
      <c r="D98" s="129">
        <v>45998.521273148152</v>
      </c>
      <c r="E98" s="130">
        <v>6.3698499999999996</v>
      </c>
      <c r="F98" s="131">
        <v>4.4999999999999998E-2</v>
      </c>
      <c r="G98" s="126">
        <f t="shared" si="1"/>
        <v>6.67</v>
      </c>
      <c r="H98" s="126" t="s">
        <v>74</v>
      </c>
      <c r="I98" s="127" t="s">
        <v>541</v>
      </c>
      <c r="J98" s="126">
        <v>16</v>
      </c>
      <c r="K98" s="126">
        <v>100.05</v>
      </c>
      <c r="L98" s="129">
        <f>INT(base[[#This Row],[Data de liquidação]])</f>
        <v>45998</v>
      </c>
      <c r="M98" s="126">
        <f>base[[#This Row],[L/P Bruto]]-base[[#This Row],[L/P Líquido]]</f>
        <v>0.30015000000000036</v>
      </c>
      <c r="N98" s="139">
        <f>base[[#This Row],[L/P Líquido]]/base[[#This Row],[Stake/Responsabilidade]]</f>
        <v>6.3666666666666663E-2</v>
      </c>
      <c r="O98" s="132">
        <f>IF(base[[#This Row],[L/P Líquido]]&gt;0,1,0)</f>
        <v>1</v>
      </c>
      <c r="P98" s="132" t="s">
        <v>967</v>
      </c>
      <c r="Q98" s="132" t="str">
        <f>LEFT(base[[#This Row],[Evento / Mercado]],FIND("vs",base[[#This Row],[Evento / Mercado]])-2)</f>
        <v>FC Volendam</v>
      </c>
      <c r="R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NEC</v>
      </c>
      <c r="S98" s="132" t="str">
        <f>LEFT(base[[#This Row],[Evento / Mercado]],FIND("/",base[[#This Row],[Evento / Mercado]])-2)</f>
        <v>FC Volendam vs NEC</v>
      </c>
      <c r="T98" s="8">
        <v>6.67</v>
      </c>
      <c r="U98" s="9">
        <f>T98*0.955</f>
        <v>6.3698499999999996</v>
      </c>
      <c r="X98" s="9"/>
    </row>
    <row r="99" spans="2:24" ht="15" customHeight="1">
      <c r="B99" s="128" t="s">
        <v>95</v>
      </c>
      <c r="C99" s="128" t="s">
        <v>2982</v>
      </c>
      <c r="D99" s="129">
        <v>45998.521273148152</v>
      </c>
      <c r="E99" s="130">
        <v>3.5335000000000001</v>
      </c>
      <c r="F99" s="131">
        <v>4.4999999999999998E-2</v>
      </c>
      <c r="G99" s="126">
        <f t="shared" si="1"/>
        <v>3.7</v>
      </c>
      <c r="H99" s="126" t="s">
        <v>74</v>
      </c>
      <c r="I99" s="127" t="s">
        <v>542</v>
      </c>
      <c r="J99" s="126">
        <v>28</v>
      </c>
      <c r="K99" s="126">
        <v>99.9</v>
      </c>
      <c r="L99" s="129">
        <f>INT(base[[#This Row],[Data de liquidação]])</f>
        <v>45998</v>
      </c>
      <c r="M99" s="126">
        <f>base[[#This Row],[L/P Bruto]]-base[[#This Row],[L/P Líquido]]</f>
        <v>0.16650000000000009</v>
      </c>
      <c r="N99" s="139">
        <f>base[[#This Row],[L/P Líquido]]/base[[#This Row],[Stake/Responsabilidade]]</f>
        <v>3.5370370370370371E-2</v>
      </c>
      <c r="O99" s="132">
        <f>IF(base[[#This Row],[L/P Líquido]]&gt;0,1,0)</f>
        <v>1</v>
      </c>
      <c r="P99" s="132" t="s">
        <v>967</v>
      </c>
      <c r="Q99" s="132" t="str">
        <f>LEFT(base[[#This Row],[Evento / Mercado]],FIND("vs",base[[#This Row],[Evento / Mercado]])-2)</f>
        <v>FC Volendam</v>
      </c>
      <c r="R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NEC</v>
      </c>
      <c r="S99" s="132" t="str">
        <f>LEFT(base[[#This Row],[Evento / Mercado]],FIND("/",base[[#This Row],[Evento / Mercado]])-2)</f>
        <v>FC Volendam vs NEC</v>
      </c>
      <c r="T99" s="8">
        <v>3.7</v>
      </c>
      <c r="U99" s="9">
        <f>T99*0.955</f>
        <v>3.5335000000000001</v>
      </c>
    </row>
    <row r="100" spans="2:24" ht="15" customHeight="1">
      <c r="B100" s="128" t="s">
        <v>94</v>
      </c>
      <c r="C100" s="128" t="s">
        <v>2982</v>
      </c>
      <c r="D100" s="129">
        <v>45998.538657407407</v>
      </c>
      <c r="E100" s="130">
        <v>8.6809499999999993</v>
      </c>
      <c r="F100" s="131">
        <v>4.4999999999999998E-2</v>
      </c>
      <c r="G100" s="126">
        <f t="shared" si="1"/>
        <v>9.09</v>
      </c>
      <c r="H100" s="126" t="s">
        <v>73</v>
      </c>
      <c r="I100" s="127" t="s">
        <v>16</v>
      </c>
      <c r="J100" s="126">
        <v>12</v>
      </c>
      <c r="K100" s="126">
        <v>99.99</v>
      </c>
      <c r="L100" s="129">
        <f>INT(base[[#This Row],[Data de liquidação]])</f>
        <v>45998</v>
      </c>
      <c r="M100" s="126">
        <f>base[[#This Row],[L/P Bruto]]-base[[#This Row],[L/P Líquido]]</f>
        <v>0.40905000000000058</v>
      </c>
      <c r="N100" s="126">
        <f>base[[#This Row],[L/P Líquido]]/base[[#This Row],[Stake/Responsabilidade]]</f>
        <v>8.6818181818181822E-2</v>
      </c>
      <c r="O100" s="132">
        <f>IF(base[[#This Row],[L/P Líquido]]&gt;0,1,0)</f>
        <v>1</v>
      </c>
      <c r="P100" s="132"/>
      <c r="Q100" s="132" t="str">
        <f>LEFT(base[[#This Row],[Evento / Mercado]],FIND("vs",base[[#This Row],[Evento / Mercado]])-2)</f>
        <v>Brighton &amp; Hove Albion</v>
      </c>
      <c r="R1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100" s="132" t="str">
        <f>LEFT(base[[#This Row],[Evento / Mercado]],FIND("/",base[[#This Row],[Evento / Mercado]])-2)</f>
        <v>Brighton &amp; Hove Albion vs West Ham</v>
      </c>
      <c r="T100" s="8">
        <v>9.09</v>
      </c>
      <c r="U100" s="9">
        <f>T100*0.955</f>
        <v>8.6809499999999993</v>
      </c>
    </row>
    <row r="101" spans="2:24" ht="15" customHeight="1">
      <c r="B101" s="128" t="s">
        <v>94</v>
      </c>
      <c r="C101" s="128" t="s">
        <v>2982</v>
      </c>
      <c r="D101" s="129">
        <v>45998.538657407407</v>
      </c>
      <c r="E101" s="130">
        <v>5.3097999999999992</v>
      </c>
      <c r="F101" s="131">
        <v>4.4999999999999998E-2</v>
      </c>
      <c r="G101" s="126">
        <f t="shared" si="1"/>
        <v>5.56</v>
      </c>
      <c r="H101" s="126" t="s">
        <v>73</v>
      </c>
      <c r="I101" s="127" t="s">
        <v>13</v>
      </c>
      <c r="J101" s="126">
        <v>19</v>
      </c>
      <c r="K101" s="126">
        <v>100.08</v>
      </c>
      <c r="L101" s="129">
        <f>INT(base[[#This Row],[Data de liquidação]])</f>
        <v>45998</v>
      </c>
      <c r="M101" s="126">
        <f>base[[#This Row],[L/P Bruto]]-base[[#This Row],[L/P Líquido]]</f>
        <v>0.25020000000000042</v>
      </c>
      <c r="N101" s="126">
        <f>base[[#This Row],[L/P Líquido]]/base[[#This Row],[Stake/Responsabilidade]]</f>
        <v>5.305555555555555E-2</v>
      </c>
      <c r="O101" s="132">
        <f>IF(base[[#This Row],[L/P Líquido]]&gt;0,1,0)</f>
        <v>1</v>
      </c>
      <c r="P101" s="132"/>
      <c r="Q101" s="132" t="str">
        <f>LEFT(base[[#This Row],[Evento / Mercado]],FIND("vs",base[[#This Row],[Evento / Mercado]])-2)</f>
        <v>Brighton &amp; Hove Albion</v>
      </c>
      <c r="R1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101" s="132" t="str">
        <f>LEFT(base[[#This Row],[Evento / Mercado]],FIND("/",base[[#This Row],[Evento / Mercado]])-2)</f>
        <v>Brighton &amp; Hove Albion vs West Ham</v>
      </c>
      <c r="T101" s="8">
        <v>5.56</v>
      </c>
      <c r="U101" s="9">
        <f>T101*0.955</f>
        <v>5.3097999999999992</v>
      </c>
    </row>
    <row r="102" spans="2:24" ht="15" customHeight="1">
      <c r="B102" s="128" t="s">
        <v>93</v>
      </c>
      <c r="C102" s="128" t="s">
        <v>2982</v>
      </c>
      <c r="D102" s="129">
        <v>45998.579930555556</v>
      </c>
      <c r="E102" s="130">
        <v>5.31</v>
      </c>
      <c r="F102" s="131">
        <v>4.4999999999999998E-2</v>
      </c>
      <c r="G102" s="126">
        <f t="shared" si="1"/>
        <v>5.5602094240837694</v>
      </c>
      <c r="H102" s="126" t="s">
        <v>73</v>
      </c>
      <c r="I102" s="127" t="s">
        <v>13</v>
      </c>
      <c r="J102" s="126">
        <v>19</v>
      </c>
      <c r="K102" s="126">
        <v>100.08</v>
      </c>
      <c r="L102" s="129">
        <f>INT(base[[#This Row],[Data de liquidação]])</f>
        <v>45998</v>
      </c>
      <c r="M102" s="126">
        <f>base[[#This Row],[L/P Bruto]]-base[[#This Row],[L/P Líquido]]</f>
        <v>0.25020942408376978</v>
      </c>
      <c r="N102" s="126">
        <f>base[[#This Row],[L/P Líquido]]/base[[#This Row],[Stake/Responsabilidade]]</f>
        <v>5.3057553956834529E-2</v>
      </c>
      <c r="O102" s="132">
        <f>IF(base[[#This Row],[L/P Líquido]]&gt;0,1,0)</f>
        <v>1</v>
      </c>
      <c r="P102" s="132"/>
      <c r="Q102" s="132" t="str">
        <f>LEFT(base[[#This Row],[Evento / Mercado]],FIND("vs",base[[#This Row],[Evento / Mercado]])-2)</f>
        <v>Celtic</v>
      </c>
      <c r="R1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Hearts</v>
      </c>
      <c r="S102" s="132" t="str">
        <f>LEFT(base[[#This Row],[Evento / Mercado]],FIND("/",base[[#This Row],[Evento / Mercado]])-2)</f>
        <v>Celtic vs Hearts</v>
      </c>
    </row>
    <row r="103" spans="2:24" ht="15" customHeight="1">
      <c r="B103" s="128" t="s">
        <v>92</v>
      </c>
      <c r="C103" s="128" t="s">
        <v>2982</v>
      </c>
      <c r="D103" s="129">
        <v>45998.627233796295</v>
      </c>
      <c r="E103" s="130">
        <v>6.9619499999999999</v>
      </c>
      <c r="F103" s="131">
        <v>4.4999999999999998E-2</v>
      </c>
      <c r="G103" s="126">
        <f t="shared" si="1"/>
        <v>7.29</v>
      </c>
      <c r="H103" s="126" t="s">
        <v>73</v>
      </c>
      <c r="I103" s="127" t="s">
        <v>13</v>
      </c>
      <c r="J103" s="126">
        <v>14.5</v>
      </c>
      <c r="K103" s="126">
        <v>98.38</v>
      </c>
      <c r="L103" s="129">
        <f>INT(base[[#This Row],[Data de liquidação]])</f>
        <v>45998</v>
      </c>
      <c r="M103" s="126">
        <f>base[[#This Row],[L/P Bruto]]-base[[#This Row],[L/P Líquido]]</f>
        <v>0.32805000000000017</v>
      </c>
      <c r="N103" s="126">
        <f>base[[#This Row],[L/P Líquido]]/base[[#This Row],[Stake/Responsabilidade]]</f>
        <v>7.0765907704818054E-2</v>
      </c>
      <c r="O103" s="132">
        <f>IF(base[[#This Row],[L/P Líquido]]&gt;0,1,0)</f>
        <v>1</v>
      </c>
      <c r="P103" s="132"/>
      <c r="Q103" s="132" t="str">
        <f>LEFT(base[[#This Row],[Evento / Mercado]],FIND("vs",base[[#This Row],[Evento / Mercado]])-2)</f>
        <v>SK Puntigamer Sturm Graz</v>
      </c>
      <c r="R1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Grazer AK</v>
      </c>
      <c r="S103" s="132" t="str">
        <f>LEFT(base[[#This Row],[Evento / Mercado]],FIND("/",base[[#This Row],[Evento / Mercado]])-2)</f>
        <v>SK Puntigamer Sturm Graz vs Grazer AK</v>
      </c>
      <c r="T103" s="8">
        <v>7.29</v>
      </c>
      <c r="U103" s="9">
        <f>T103*0.955</f>
        <v>6.9619499999999999</v>
      </c>
    </row>
    <row r="104" spans="2:24" ht="15" customHeight="1">
      <c r="B104" s="128" t="s">
        <v>92</v>
      </c>
      <c r="C104" s="128" t="s">
        <v>2982</v>
      </c>
      <c r="D104" s="129">
        <v>45998.627233796295</v>
      </c>
      <c r="E104" s="130">
        <v>15.853000000000002</v>
      </c>
      <c r="F104" s="131">
        <v>4.4999999999999998E-2</v>
      </c>
      <c r="G104" s="126">
        <f t="shared" si="1"/>
        <v>16.600000000000001</v>
      </c>
      <c r="H104" s="126" t="s">
        <v>73</v>
      </c>
      <c r="I104" s="127" t="s">
        <v>16</v>
      </c>
      <c r="J104" s="126">
        <v>7</v>
      </c>
      <c r="K104" s="126">
        <v>99.58</v>
      </c>
      <c r="L104" s="129">
        <f>INT(base[[#This Row],[Data de liquidação]])</f>
        <v>45998</v>
      </c>
      <c r="M104" s="126">
        <f>base[[#This Row],[L/P Bruto]]-base[[#This Row],[L/P Líquido]]</f>
        <v>0.74699999999999989</v>
      </c>
      <c r="N104" s="126">
        <f>base[[#This Row],[L/P Líquido]]/base[[#This Row],[Stake/Responsabilidade]]</f>
        <v>0.15919863426390843</v>
      </c>
      <c r="O104" s="132">
        <f>IF(base[[#This Row],[L/P Líquido]]&gt;0,1,0)</f>
        <v>1</v>
      </c>
      <c r="P104" s="132"/>
      <c r="Q104" s="132" t="str">
        <f>LEFT(base[[#This Row],[Evento / Mercado]],FIND("vs",base[[#This Row],[Evento / Mercado]])-2)</f>
        <v>SK Puntigamer Sturm Graz</v>
      </c>
      <c r="R1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Grazer AK</v>
      </c>
      <c r="S104" s="132" t="str">
        <f>LEFT(base[[#This Row],[Evento / Mercado]],FIND("/",base[[#This Row],[Evento / Mercado]])-2)</f>
        <v>SK Puntigamer Sturm Graz vs Grazer AK</v>
      </c>
      <c r="T104" s="8">
        <v>16.600000000000001</v>
      </c>
      <c r="U104" s="9">
        <f>T104*0.955</f>
        <v>15.853000000000002</v>
      </c>
    </row>
    <row r="105" spans="2:24" ht="15" customHeight="1">
      <c r="B105" s="128" t="s">
        <v>91</v>
      </c>
      <c r="C105" s="128" t="s">
        <v>2982</v>
      </c>
      <c r="D105" s="129">
        <v>45998.642222222225</v>
      </c>
      <c r="E105" s="130">
        <v>6.8186999999999998</v>
      </c>
      <c r="F105" s="131">
        <v>4.4999999999999998E-2</v>
      </c>
      <c r="G105" s="126">
        <f t="shared" si="1"/>
        <v>7.14</v>
      </c>
      <c r="H105" s="126" t="s">
        <v>74</v>
      </c>
      <c r="I105" s="127" t="s">
        <v>477</v>
      </c>
      <c r="J105" s="126">
        <v>15</v>
      </c>
      <c r="K105" s="126">
        <v>99.96</v>
      </c>
      <c r="L105" s="129">
        <f>INT(base[[#This Row],[Data de liquidação]])</f>
        <v>45998</v>
      </c>
      <c r="M105" s="126">
        <f>base[[#This Row],[L/P Bruto]]-base[[#This Row],[L/P Líquido]]</f>
        <v>0.32129999999999992</v>
      </c>
      <c r="N105" s="139">
        <f>base[[#This Row],[L/P Líquido]]/base[[#This Row],[Stake/Responsabilidade]]</f>
        <v>6.8214285714285713E-2</v>
      </c>
      <c r="O105" s="132">
        <f>IF(base[[#This Row],[L/P Líquido]]&gt;0,1,0)</f>
        <v>1</v>
      </c>
      <c r="P105" s="132" t="s">
        <v>962</v>
      </c>
      <c r="Q105" s="132" t="str">
        <f>LEFT(base[[#This Row],[Evento / Mercado]],FIND("vs",base[[#This Row],[Evento / Mercado]])-2)</f>
        <v>Borussia Dortmund</v>
      </c>
      <c r="R1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105" s="132" t="str">
        <f>LEFT(base[[#This Row],[Evento / Mercado]],FIND("/",base[[#This Row],[Evento / Mercado]])-2)</f>
        <v>Borussia Dortmund vs 1899 Hoffenheim</v>
      </c>
      <c r="T105" s="8">
        <v>7.14</v>
      </c>
      <c r="U105" s="9">
        <f>T105*0.955</f>
        <v>6.8186999999999998</v>
      </c>
    </row>
    <row r="106" spans="2:24" ht="15" customHeight="1">
      <c r="B106" s="128" t="s">
        <v>91</v>
      </c>
      <c r="C106" s="128" t="s">
        <v>2982</v>
      </c>
      <c r="D106" s="129">
        <v>45998.642222222225</v>
      </c>
      <c r="E106" s="130">
        <v>8.3084999999999987</v>
      </c>
      <c r="F106" s="131">
        <v>4.4999999999999998E-2</v>
      </c>
      <c r="G106" s="126">
        <f t="shared" si="1"/>
        <v>8.6999999999999993</v>
      </c>
      <c r="H106" s="126" t="s">
        <v>122</v>
      </c>
      <c r="I106" s="127" t="s">
        <v>476</v>
      </c>
      <c r="J106" s="126">
        <v>12.5</v>
      </c>
      <c r="K106" s="126">
        <v>100.05</v>
      </c>
      <c r="L106" s="129">
        <f>INT(base[[#This Row],[Data de liquidação]])</f>
        <v>45998</v>
      </c>
      <c r="M106" s="126">
        <f>base[[#This Row],[L/P Bruto]]-base[[#This Row],[L/P Líquido]]</f>
        <v>0.39150000000000063</v>
      </c>
      <c r="N106" s="126">
        <f>base[[#This Row],[L/P Líquido]]/base[[#This Row],[Stake/Responsabilidade]]</f>
        <v>8.3043478260869552E-2</v>
      </c>
      <c r="O106" s="132">
        <f>IF(base[[#This Row],[L/P Líquido]]&gt;0,1,0)</f>
        <v>1</v>
      </c>
      <c r="P106" s="132" t="s">
        <v>962</v>
      </c>
      <c r="Q106" s="132" t="str">
        <f>LEFT(base[[#This Row],[Evento / Mercado]],FIND("vs",base[[#This Row],[Evento / Mercado]])-2)</f>
        <v>Borussia Dortmund</v>
      </c>
      <c r="R1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106" s="132" t="str">
        <f>LEFT(base[[#This Row],[Evento / Mercado]],FIND("/",base[[#This Row],[Evento / Mercado]])-2)</f>
        <v>Borussia Dortmund vs 1899 Hoffenheim</v>
      </c>
      <c r="T106" s="8">
        <v>8.6999999999999993</v>
      </c>
      <c r="U106" s="9">
        <f>T106*0.955</f>
        <v>8.3084999999999987</v>
      </c>
    </row>
    <row r="107" spans="2:24" ht="15" customHeight="1">
      <c r="B107" s="128" t="s">
        <v>90</v>
      </c>
      <c r="C107" s="128" t="s">
        <v>2982</v>
      </c>
      <c r="D107" s="129">
        <v>45998.642951388887</v>
      </c>
      <c r="E107" s="130">
        <v>9.5500000000000007</v>
      </c>
      <c r="F107" s="131">
        <v>4.4999999999999998E-2</v>
      </c>
      <c r="G107" s="126">
        <f t="shared" si="1"/>
        <v>10.000000000000002</v>
      </c>
      <c r="H107" s="126" t="s">
        <v>73</v>
      </c>
      <c r="I107" s="127" t="s">
        <v>16</v>
      </c>
      <c r="J107" s="126">
        <v>11</v>
      </c>
      <c r="K107" s="126">
        <v>100</v>
      </c>
      <c r="L107" s="129">
        <f>INT(base[[#This Row],[Data de liquidação]])</f>
        <v>45998</v>
      </c>
      <c r="M107" s="126">
        <f>base[[#This Row],[L/P Bruto]]-base[[#This Row],[L/P Líquido]]</f>
        <v>0.45000000000000107</v>
      </c>
      <c r="N107" s="126">
        <f>base[[#This Row],[L/P Líquido]]/base[[#This Row],[Stake/Responsabilidade]]</f>
        <v>9.5500000000000002E-2</v>
      </c>
      <c r="O107" s="132">
        <f>IF(base[[#This Row],[L/P Líquido]]&gt;0,1,0)</f>
        <v>1</v>
      </c>
      <c r="P107" s="132"/>
      <c r="Q107" s="132" t="str">
        <f>LEFT(base[[#This Row],[Evento / Mercado]],FIND("vs",base[[#This Row],[Evento / Mercado]])-2)</f>
        <v>NK Celje</v>
      </c>
      <c r="R1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ND Primorje</v>
      </c>
      <c r="S107" s="132" t="str">
        <f>LEFT(base[[#This Row],[Evento / Mercado]],FIND("/",base[[#This Row],[Evento / Mercado]])-2)</f>
        <v>NK Celje vs ND Primorje</v>
      </c>
    </row>
    <row r="108" spans="2:24" ht="15" customHeight="1">
      <c r="B108" s="128" t="s">
        <v>89</v>
      </c>
      <c r="C108" s="128" t="s">
        <v>2982</v>
      </c>
      <c r="D108" s="129">
        <v>45998.665462962963</v>
      </c>
      <c r="E108" s="130">
        <v>5.3097999999999992</v>
      </c>
      <c r="F108" s="131">
        <v>4.4999999999999998E-2</v>
      </c>
      <c r="G108" s="126">
        <f t="shared" si="1"/>
        <v>5.56</v>
      </c>
      <c r="H108" s="126" t="s">
        <v>73</v>
      </c>
      <c r="I108" s="127" t="s">
        <v>13</v>
      </c>
      <c r="J108" s="126">
        <v>19</v>
      </c>
      <c r="K108" s="126">
        <v>100.08</v>
      </c>
      <c r="L108" s="129">
        <f>INT(base[[#This Row],[Data de liquidação]])</f>
        <v>45998</v>
      </c>
      <c r="M108" s="126">
        <f>base[[#This Row],[L/P Bruto]]-base[[#This Row],[L/P Líquido]]</f>
        <v>0.25020000000000042</v>
      </c>
      <c r="N108" s="126">
        <f>base[[#This Row],[L/P Líquido]]/base[[#This Row],[Stake/Responsabilidade]]</f>
        <v>5.305555555555555E-2</v>
      </c>
      <c r="O108" s="132">
        <f>IF(base[[#This Row],[L/P Líquido]]&gt;0,1,0)</f>
        <v>1</v>
      </c>
      <c r="P108" s="132"/>
      <c r="Q108" s="132" t="str">
        <f>LEFT(base[[#This Row],[Evento / Mercado]],FIND("vs",base[[#This Row],[Evento / Mercado]])-2)</f>
        <v>FC København</v>
      </c>
      <c r="R1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SønderjyskE</v>
      </c>
      <c r="S108" s="132" t="str">
        <f>LEFT(base[[#This Row],[Evento / Mercado]],FIND("/",base[[#This Row],[Evento / Mercado]])-2)</f>
        <v>FC København vs SønderjyskE</v>
      </c>
      <c r="T108" s="8">
        <v>5.56</v>
      </c>
      <c r="U108" s="9">
        <f>T108*0.955</f>
        <v>5.3097999999999992</v>
      </c>
    </row>
    <row r="109" spans="2:24" ht="15" customHeight="1">
      <c r="B109" s="128" t="s">
        <v>89</v>
      </c>
      <c r="C109" s="128" t="s">
        <v>2982</v>
      </c>
      <c r="D109" s="129">
        <v>45998.665462962963</v>
      </c>
      <c r="E109" s="130">
        <v>11.3645</v>
      </c>
      <c r="F109" s="131">
        <v>4.4999999999999998E-2</v>
      </c>
      <c r="G109" s="126">
        <f t="shared" si="1"/>
        <v>11.9</v>
      </c>
      <c r="H109" s="126" t="s">
        <v>73</v>
      </c>
      <c r="I109" s="127" t="s">
        <v>16</v>
      </c>
      <c r="J109" s="126">
        <v>9.4</v>
      </c>
      <c r="K109" s="126">
        <v>99.96</v>
      </c>
      <c r="L109" s="129">
        <f>INT(base[[#This Row],[Data de liquidação]])</f>
        <v>45998</v>
      </c>
      <c r="M109" s="126">
        <f>base[[#This Row],[L/P Bruto]]-base[[#This Row],[L/P Líquido]]</f>
        <v>0.53550000000000075</v>
      </c>
      <c r="N109" s="126">
        <f>base[[#This Row],[L/P Líquido]]/base[[#This Row],[Stake/Responsabilidade]]</f>
        <v>0.11369047619047619</v>
      </c>
      <c r="O109" s="132">
        <f>IF(base[[#This Row],[L/P Líquido]]&gt;0,1,0)</f>
        <v>1</v>
      </c>
      <c r="P109" s="132"/>
      <c r="Q109" s="132" t="str">
        <f>LEFT(base[[#This Row],[Evento / Mercado]],FIND("vs",base[[#This Row],[Evento / Mercado]])-2)</f>
        <v>FC København</v>
      </c>
      <c r="R1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SønderjyskE</v>
      </c>
      <c r="S109" s="132" t="str">
        <f>LEFT(base[[#This Row],[Evento / Mercado]],FIND("/",base[[#This Row],[Evento / Mercado]])-2)</f>
        <v>FC København vs SønderjyskE</v>
      </c>
      <c r="T109" s="8">
        <v>11.9</v>
      </c>
      <c r="U109" s="9">
        <f>T109*0.955</f>
        <v>11.3645</v>
      </c>
    </row>
    <row r="110" spans="2:24" ht="15" customHeight="1">
      <c r="B110" s="128" t="s">
        <v>88</v>
      </c>
      <c r="C110" s="128" t="s">
        <v>2982</v>
      </c>
      <c r="D110" s="129">
        <v>45998.748645833337</v>
      </c>
      <c r="E110" s="130">
        <v>5.31</v>
      </c>
      <c r="F110" s="131">
        <v>4.4999999999999998E-2</v>
      </c>
      <c r="G110" s="126">
        <f t="shared" si="1"/>
        <v>5.5602094240837694</v>
      </c>
      <c r="H110" s="126" t="s">
        <v>73</v>
      </c>
      <c r="I110" s="127" t="s">
        <v>13</v>
      </c>
      <c r="J110" s="126">
        <v>19</v>
      </c>
      <c r="K110" s="126">
        <v>100.08</v>
      </c>
      <c r="L110" s="129">
        <f>INT(base[[#This Row],[Data de liquidação]])</f>
        <v>45998</v>
      </c>
      <c r="M110" s="126">
        <f>base[[#This Row],[L/P Bruto]]-base[[#This Row],[L/P Líquido]]</f>
        <v>0.25020942408376978</v>
      </c>
      <c r="N110" s="126">
        <f>base[[#This Row],[L/P Líquido]]/base[[#This Row],[Stake/Responsabilidade]]</f>
        <v>5.3057553956834529E-2</v>
      </c>
      <c r="O110" s="132">
        <f>IF(base[[#This Row],[L/P Líquido]]&gt;0,1,0)</f>
        <v>1</v>
      </c>
      <c r="P110" s="132"/>
      <c r="Q110" s="132" t="str">
        <f>LEFT(base[[#This Row],[Evento / Mercado]],FIND("vs",base[[#This Row],[Evento / Mercado]])-2)</f>
        <v>Atlético Mineiro</v>
      </c>
      <c r="R1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110" s="132" t="str">
        <f>LEFT(base[[#This Row],[Evento / Mercado]],FIND("/",base[[#This Row],[Evento / Mercado]])-2)</f>
        <v>Atlético Mineiro vs Vasco da Gama</v>
      </c>
    </row>
    <row r="111" spans="2:24" ht="15" customHeight="1">
      <c r="B111" s="128" t="s">
        <v>87</v>
      </c>
      <c r="C111" s="128" t="s">
        <v>2982</v>
      </c>
      <c r="D111" s="129">
        <v>45998.75</v>
      </c>
      <c r="E111" s="130">
        <v>13.264950000000001</v>
      </c>
      <c r="F111" s="131">
        <v>4.4999999999999998E-2</v>
      </c>
      <c r="G111" s="126">
        <f t="shared" si="1"/>
        <v>13.89</v>
      </c>
      <c r="H111" s="126" t="s">
        <v>73</v>
      </c>
      <c r="I111" s="127" t="s">
        <v>16</v>
      </c>
      <c r="J111" s="126">
        <v>8.1999999999999993</v>
      </c>
      <c r="K111" s="126">
        <v>100.01</v>
      </c>
      <c r="L111" s="129">
        <f>INT(base[[#This Row],[Data de liquidação]])</f>
        <v>45998</v>
      </c>
      <c r="M111" s="126">
        <f>base[[#This Row],[L/P Bruto]]-base[[#This Row],[L/P Líquido]]</f>
        <v>0.62504999999999988</v>
      </c>
      <c r="N111" s="126">
        <f>base[[#This Row],[L/P Líquido]]/base[[#This Row],[Stake/Responsabilidade]]</f>
        <v>0.13263623637636238</v>
      </c>
      <c r="O111" s="132">
        <f>IF(base[[#This Row],[L/P Líquido]]&gt;0,1,0)</f>
        <v>1</v>
      </c>
      <c r="P111" s="132"/>
      <c r="Q111" s="132" t="str">
        <f>LEFT(base[[#This Row],[Evento / Mercado]],FIND("vs",base[[#This Row],[Evento / Mercado]])-2)</f>
        <v>Fluminense FC</v>
      </c>
      <c r="R1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111" s="132" t="str">
        <f>LEFT(base[[#This Row],[Evento / Mercado]],FIND("/",base[[#This Row],[Evento / Mercado]])-2)</f>
        <v>Fluminense FC vs Esporte Clube Bahia</v>
      </c>
      <c r="T111" s="8">
        <v>13.89</v>
      </c>
      <c r="U111" s="9">
        <f>T111*0.955</f>
        <v>13.264950000000001</v>
      </c>
    </row>
    <row r="112" spans="2:24" ht="15" customHeight="1">
      <c r="B112" s="128" t="s">
        <v>87</v>
      </c>
      <c r="C112" s="128" t="s">
        <v>2982</v>
      </c>
      <c r="D112" s="129">
        <v>45998.75</v>
      </c>
      <c r="E112" s="130">
        <v>5.7968500000000001</v>
      </c>
      <c r="F112" s="131">
        <v>4.4999999999999998E-2</v>
      </c>
      <c r="G112" s="126">
        <f t="shared" si="1"/>
        <v>6.07</v>
      </c>
      <c r="H112" s="126" t="s">
        <v>73</v>
      </c>
      <c r="I112" s="127" t="s">
        <v>13</v>
      </c>
      <c r="J112" s="126">
        <v>17</v>
      </c>
      <c r="K112" s="126">
        <v>97.15</v>
      </c>
      <c r="L112" s="129">
        <f>INT(base[[#This Row],[Data de liquidação]])</f>
        <v>45998</v>
      </c>
      <c r="M112" s="126">
        <f>base[[#This Row],[L/P Bruto]]-base[[#This Row],[L/P Líquido]]</f>
        <v>0.27315000000000023</v>
      </c>
      <c r="N112" s="126">
        <f>base[[#This Row],[L/P Líquido]]/base[[#This Row],[Stake/Responsabilidade]]</f>
        <v>5.9669068450849197E-2</v>
      </c>
      <c r="O112" s="132">
        <f>IF(base[[#This Row],[L/P Líquido]]&gt;0,1,0)</f>
        <v>1</v>
      </c>
      <c r="P112" s="132"/>
      <c r="Q112" s="132" t="str">
        <f>LEFT(base[[#This Row],[Evento / Mercado]],FIND("vs",base[[#This Row],[Evento / Mercado]])-2)</f>
        <v>Fluminense FC</v>
      </c>
      <c r="R1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112" s="132" t="str">
        <f>LEFT(base[[#This Row],[Evento / Mercado]],FIND("/",base[[#This Row],[Evento / Mercado]])-2)</f>
        <v>Fluminense FC vs Esporte Clube Bahia</v>
      </c>
      <c r="T112" s="8">
        <v>6.07</v>
      </c>
      <c r="U112" s="9">
        <f>T112*0.955</f>
        <v>5.7968500000000001</v>
      </c>
    </row>
    <row r="113" spans="2:21" ht="15" customHeight="1">
      <c r="B113" s="128" t="s">
        <v>86</v>
      </c>
      <c r="C113" s="128" t="s">
        <v>2982</v>
      </c>
      <c r="D113" s="129">
        <v>45998.750590277778</v>
      </c>
      <c r="E113" s="130">
        <v>5.17</v>
      </c>
      <c r="F113" s="131">
        <v>4.4999999999999998E-2</v>
      </c>
      <c r="G113" s="126">
        <f t="shared" si="1"/>
        <v>5.4136125654450264</v>
      </c>
      <c r="H113" s="126" t="s">
        <v>73</v>
      </c>
      <c r="I113" s="127" t="s">
        <v>13</v>
      </c>
      <c r="J113" s="126">
        <v>19.5</v>
      </c>
      <c r="K113" s="126">
        <v>100.09</v>
      </c>
      <c r="L113" s="129">
        <f>INT(base[[#This Row],[Data de liquidação]])</f>
        <v>45998</v>
      </c>
      <c r="M113" s="126">
        <f>base[[#This Row],[L/P Bruto]]-base[[#This Row],[L/P Líquido]]</f>
        <v>0.24361256544502652</v>
      </c>
      <c r="N113" s="126">
        <f>base[[#This Row],[L/P Líquido]]/base[[#This Row],[Stake/Responsabilidade]]</f>
        <v>5.1653511839344586E-2</v>
      </c>
      <c r="O113" s="132">
        <f>IF(base[[#This Row],[L/P Líquido]]&gt;0,1,0)</f>
        <v>1</v>
      </c>
      <c r="P113" s="132"/>
      <c r="Q113" s="132" t="str">
        <f>LEFT(base[[#This Row],[Evento / Mercado]],FIND("vs",base[[#This Row],[Evento / Mercado]])-2)</f>
        <v>Corinthians</v>
      </c>
      <c r="R1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Juventude</v>
      </c>
      <c r="S113" s="132" t="str">
        <f>LEFT(base[[#This Row],[Evento / Mercado]],FIND("/",base[[#This Row],[Evento / Mercado]])-2)</f>
        <v>Corinthians vs EC Juventude</v>
      </c>
    </row>
    <row r="114" spans="2:21" ht="15" customHeight="1">
      <c r="B114" s="128" t="s">
        <v>85</v>
      </c>
      <c r="C114" s="128" t="s">
        <v>2982</v>
      </c>
      <c r="D114" s="129">
        <v>45998.752442129633</v>
      </c>
      <c r="E114" s="130">
        <v>12.5678</v>
      </c>
      <c r="F114" s="131">
        <v>4.4999999999999998E-2</v>
      </c>
      <c r="G114" s="126">
        <f t="shared" si="1"/>
        <v>13.16</v>
      </c>
      <c r="H114" s="126" t="s">
        <v>73</v>
      </c>
      <c r="I114" s="127" t="s">
        <v>16</v>
      </c>
      <c r="J114" s="126">
        <v>8.6</v>
      </c>
      <c r="K114" s="126">
        <v>100.02</v>
      </c>
      <c r="L114" s="129">
        <f>INT(base[[#This Row],[Data de liquidação]])</f>
        <v>45998</v>
      </c>
      <c r="M114" s="126">
        <f>base[[#This Row],[L/P Bruto]]-base[[#This Row],[L/P Líquido]]</f>
        <v>0.59220000000000006</v>
      </c>
      <c r="N114" s="126">
        <f>base[[#This Row],[L/P Líquido]]/base[[#This Row],[Stake/Responsabilidade]]</f>
        <v>0.12565286942611478</v>
      </c>
      <c r="O114" s="132">
        <f>IF(base[[#This Row],[L/P Líquido]]&gt;0,1,0)</f>
        <v>1</v>
      </c>
      <c r="P114" s="132"/>
      <c r="Q114" s="132" t="str">
        <f>LEFT(base[[#This Row],[Evento / Mercado]],FIND("vs",base[[#This Row],[Evento / Mercado]])-2)</f>
        <v>SC Internacional</v>
      </c>
      <c r="R1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114" s="132" t="str">
        <f>LEFT(base[[#This Row],[Evento / Mercado]],FIND("/",base[[#This Row],[Evento / Mercado]])-2)</f>
        <v>SC Internacional vs Red Bull Bragantino</v>
      </c>
      <c r="T114" s="8">
        <v>13.16</v>
      </c>
      <c r="U114" s="9">
        <f>T114*0.955</f>
        <v>12.5678</v>
      </c>
    </row>
    <row r="115" spans="2:21" ht="15" customHeight="1">
      <c r="B115" s="128" t="s">
        <v>85</v>
      </c>
      <c r="C115" s="128" t="s">
        <v>2982</v>
      </c>
      <c r="D115" s="129">
        <v>45998.752442129633</v>
      </c>
      <c r="E115" s="130">
        <v>5.6153999999999993</v>
      </c>
      <c r="F115" s="131">
        <v>4.4999999999999998E-2</v>
      </c>
      <c r="G115" s="126">
        <f t="shared" si="1"/>
        <v>5.88</v>
      </c>
      <c r="H115" s="126" t="s">
        <v>73</v>
      </c>
      <c r="I115" s="127" t="s">
        <v>13</v>
      </c>
      <c r="J115" s="126">
        <v>18</v>
      </c>
      <c r="K115" s="126">
        <v>99.96</v>
      </c>
      <c r="L115" s="129">
        <f>INT(base[[#This Row],[Data de liquidação]])</f>
        <v>45998</v>
      </c>
      <c r="M115" s="126">
        <f>base[[#This Row],[L/P Bruto]]-base[[#This Row],[L/P Líquido]]</f>
        <v>0.26460000000000061</v>
      </c>
      <c r="N115" s="126">
        <f>base[[#This Row],[L/P Líquido]]/base[[#This Row],[Stake/Responsabilidade]]</f>
        <v>5.6176470588235293E-2</v>
      </c>
      <c r="O115" s="132">
        <f>IF(base[[#This Row],[L/P Líquido]]&gt;0,1,0)</f>
        <v>1</v>
      </c>
      <c r="P115" s="132"/>
      <c r="Q115" s="132" t="str">
        <f>LEFT(base[[#This Row],[Evento / Mercado]],FIND("vs",base[[#This Row],[Evento / Mercado]])-2)</f>
        <v>SC Internacional</v>
      </c>
      <c r="R1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115" s="132" t="str">
        <f>LEFT(base[[#This Row],[Evento / Mercado]],FIND("/",base[[#This Row],[Evento / Mercado]])-2)</f>
        <v>SC Internacional vs Red Bull Bragantino</v>
      </c>
      <c r="T115" s="8">
        <v>5.88</v>
      </c>
      <c r="U115" s="9">
        <f>T115*0.955</f>
        <v>5.6153999999999993</v>
      </c>
    </row>
    <row r="116" spans="2:21" ht="15" customHeight="1">
      <c r="B116" s="128" t="s">
        <v>84</v>
      </c>
      <c r="C116" s="128" t="s">
        <v>2982</v>
      </c>
      <c r="D116" s="129">
        <v>45998.752951388888</v>
      </c>
      <c r="E116" s="130">
        <v>5.96875</v>
      </c>
      <c r="F116" s="131">
        <v>4.4999999999999998E-2</v>
      </c>
      <c r="G116" s="126">
        <f t="shared" si="1"/>
        <v>6.25</v>
      </c>
      <c r="H116" s="126" t="s">
        <v>74</v>
      </c>
      <c r="I116" s="127" t="s">
        <v>476</v>
      </c>
      <c r="J116" s="126">
        <v>17</v>
      </c>
      <c r="K116" s="126">
        <v>100</v>
      </c>
      <c r="L116" s="129">
        <f>INT(base[[#This Row],[Data de liquidação]])</f>
        <v>45998</v>
      </c>
      <c r="M116" s="126">
        <f>base[[#This Row],[L/P Bruto]]-base[[#This Row],[L/P Líquido]]</f>
        <v>0.28125</v>
      </c>
      <c r="N116" s="139">
        <f>base[[#This Row],[L/P Líquido]]/base[[#This Row],[Stake/Responsabilidade]]</f>
        <v>5.9687499999999998E-2</v>
      </c>
      <c r="O116" s="132">
        <f>IF(base[[#This Row],[L/P Líquido]]&gt;0,1,0)</f>
        <v>1</v>
      </c>
      <c r="P116" s="132" t="s">
        <v>1058</v>
      </c>
      <c r="Q116" s="132" t="str">
        <f>LEFT(base[[#This Row],[Evento / Mercado]],FIND("vs",base[[#This Row],[Evento / Mercado]])-2)</f>
        <v>Botafogo FR</v>
      </c>
      <c r="R1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EC</v>
      </c>
      <c r="S116" s="132" t="str">
        <f>LEFT(base[[#This Row],[Evento / Mercado]],FIND("/",base[[#This Row],[Evento / Mercado]])-2)</f>
        <v>Botafogo FR vs Fortaleza EC</v>
      </c>
      <c r="T116" s="8">
        <v>6.25</v>
      </c>
      <c r="U116" s="9">
        <f>T116*0.955</f>
        <v>5.96875</v>
      </c>
    </row>
    <row r="117" spans="2:21" ht="15" customHeight="1">
      <c r="B117" s="128" t="s">
        <v>84</v>
      </c>
      <c r="C117" s="128" t="s">
        <v>2982</v>
      </c>
      <c r="D117" s="129">
        <v>45998.752951388888</v>
      </c>
      <c r="E117" s="130">
        <v>10.610049999999999</v>
      </c>
      <c r="F117" s="131">
        <v>4.4999999999999998E-2</v>
      </c>
      <c r="G117" s="126">
        <f t="shared" si="1"/>
        <v>11.11</v>
      </c>
      <c r="H117" s="126" t="s">
        <v>74</v>
      </c>
      <c r="I117" s="127" t="s">
        <v>477</v>
      </c>
      <c r="J117" s="126">
        <v>10</v>
      </c>
      <c r="K117" s="126">
        <v>99.99</v>
      </c>
      <c r="L117" s="129">
        <f>INT(base[[#This Row],[Data de liquidação]])</f>
        <v>45998</v>
      </c>
      <c r="M117" s="126">
        <f>base[[#This Row],[L/P Bruto]]-base[[#This Row],[L/P Líquido]]</f>
        <v>0.49995000000000012</v>
      </c>
      <c r="N117" s="139">
        <f>base[[#This Row],[L/P Líquido]]/base[[#This Row],[Stake/Responsabilidade]]</f>
        <v>0.10611111111111111</v>
      </c>
      <c r="O117" s="132">
        <f>IF(base[[#This Row],[L/P Líquido]]&gt;0,1,0)</f>
        <v>1</v>
      </c>
      <c r="P117" s="132" t="s">
        <v>1058</v>
      </c>
      <c r="Q117" s="132" t="str">
        <f>LEFT(base[[#This Row],[Evento / Mercado]],FIND("vs",base[[#This Row],[Evento / Mercado]])-2)</f>
        <v>Botafogo FR</v>
      </c>
      <c r="R1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EC</v>
      </c>
      <c r="S117" s="132" t="str">
        <f>LEFT(base[[#This Row],[Evento / Mercado]],FIND("/",base[[#This Row],[Evento / Mercado]])-2)</f>
        <v>Botafogo FR vs Fortaleza EC</v>
      </c>
      <c r="T117" s="8">
        <v>11.11</v>
      </c>
      <c r="U117" s="9">
        <f>T117*0.955</f>
        <v>10.610049999999999</v>
      </c>
    </row>
    <row r="118" spans="2:21" ht="15" customHeight="1">
      <c r="B118" s="128" t="s">
        <v>83</v>
      </c>
      <c r="C118" s="128" t="s">
        <v>2982</v>
      </c>
      <c r="D118" s="129">
        <v>45998.792002314818</v>
      </c>
      <c r="E118" s="130">
        <v>6.37</v>
      </c>
      <c r="F118" s="131">
        <v>4.4999999999999998E-2</v>
      </c>
      <c r="G118" s="126">
        <f t="shared" si="1"/>
        <v>6.6701570680628279</v>
      </c>
      <c r="H118" s="126" t="s">
        <v>73</v>
      </c>
      <c r="I118" s="127" t="s">
        <v>13</v>
      </c>
      <c r="J118" s="126">
        <v>19.5</v>
      </c>
      <c r="K118" s="126">
        <v>100.09</v>
      </c>
      <c r="L118" s="129">
        <f>INT(base[[#This Row],[Data de liquidação]])</f>
        <v>45998</v>
      </c>
      <c r="M118" s="126">
        <f>base[[#This Row],[L/P Bruto]]-base[[#This Row],[L/P Líquido]]</f>
        <v>0.30015706806282783</v>
      </c>
      <c r="N118" s="126">
        <f>base[[#This Row],[L/P Líquido]]/base[[#This Row],[Stake/Responsabilidade]]</f>
        <v>6.364272155060445E-2</v>
      </c>
      <c r="O118" s="132">
        <f>IF(base[[#This Row],[L/P Líquido]]&gt;0,1,0)</f>
        <v>1</v>
      </c>
      <c r="P118" s="132"/>
      <c r="Q118" s="132" t="str">
        <f>LEFT(base[[#This Row],[Evento / Mercado]],FIND("vs",base[[#This Row],[Evento / Mercado]])-2)</f>
        <v>Real Madrid</v>
      </c>
      <c r="R1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18" s="132" t="str">
        <f>LEFT(base[[#This Row],[Evento / Mercado]],FIND("/",base[[#This Row],[Evento / Mercado]])-2)</f>
        <v>Real Madrid vs Celta de Vigo</v>
      </c>
    </row>
    <row r="119" spans="2:21" ht="15" customHeight="1">
      <c r="B119" s="128" t="s">
        <v>138</v>
      </c>
      <c r="C119" s="128" t="s">
        <v>2982</v>
      </c>
      <c r="D119" s="129">
        <v>45999.439780092594</v>
      </c>
      <c r="E119" s="130">
        <v>5.17</v>
      </c>
      <c r="F119" s="131">
        <v>4.4999999999999998E-2</v>
      </c>
      <c r="G119" s="126">
        <f t="shared" si="1"/>
        <v>5.4136125654450264</v>
      </c>
      <c r="H119" s="126" t="s">
        <v>73</v>
      </c>
      <c r="I119" s="127" t="s">
        <v>13</v>
      </c>
      <c r="J119" s="126">
        <v>19.5</v>
      </c>
      <c r="K119" s="126">
        <v>100.09</v>
      </c>
      <c r="L119" s="129">
        <f>INT(base[[#This Row],[Data de liquidação]])</f>
        <v>45999</v>
      </c>
      <c r="M119" s="126">
        <f>base[[#This Row],[L/P Bruto]]-base[[#This Row],[L/P Líquido]]</f>
        <v>0.24361256544502652</v>
      </c>
      <c r="N119" s="126">
        <f>base[[#This Row],[L/P Líquido]]/base[[#This Row],[Stake/Responsabilidade]]</f>
        <v>5.1653511839344586E-2</v>
      </c>
      <c r="O119" s="132">
        <f>IF(base[[#This Row],[L/P Líquido]]&gt;0,1,0)</f>
        <v>1</v>
      </c>
      <c r="P119" s="132"/>
      <c r="Q119" s="132" t="str">
        <f>LEFT(base[[#This Row],[Evento / Mercado]],FIND("vs",base[[#This Row],[Evento / Mercado]])-2)</f>
        <v>Modena FC 2018</v>
      </c>
      <c r="R1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119" s="132" t="str">
        <f>LEFT(base[[#This Row],[Evento / Mercado]],FIND("/",base[[#This Row],[Evento / Mercado]])-2)</f>
        <v>Modena FC 2018 vs Catanzaro</v>
      </c>
    </row>
    <row r="120" spans="2:21" ht="15" customHeight="1">
      <c r="B120" s="128" t="s">
        <v>137</v>
      </c>
      <c r="C120" s="128" t="s">
        <v>2982</v>
      </c>
      <c r="D120" s="129">
        <v>45999.519456018519</v>
      </c>
      <c r="E120" s="130">
        <v>5.79</v>
      </c>
      <c r="F120" s="131">
        <v>4.4999999999999998E-2</v>
      </c>
      <c r="G120" s="126">
        <f t="shared" si="1"/>
        <v>6.0628272251308903</v>
      </c>
      <c r="H120" s="126" t="s">
        <v>73</v>
      </c>
      <c r="I120" s="127" t="s">
        <v>13</v>
      </c>
      <c r="J120" s="126">
        <v>17.5</v>
      </c>
      <c r="K120" s="126">
        <v>99.99</v>
      </c>
      <c r="L120" s="129">
        <f>INT(base[[#This Row],[Data de liquidação]])</f>
        <v>45999</v>
      </c>
      <c r="M120" s="126">
        <f>base[[#This Row],[L/P Bruto]]-base[[#This Row],[L/P Líquido]]</f>
        <v>0.27282722513089031</v>
      </c>
      <c r="N120" s="126">
        <f>base[[#This Row],[L/P Líquido]]/base[[#This Row],[Stake/Responsabilidade]]</f>
        <v>5.7905790579057911E-2</v>
      </c>
      <c r="O120" s="132">
        <f>IF(base[[#This Row],[L/P Líquido]]&gt;0,1,0)</f>
        <v>1</v>
      </c>
      <c r="P120" s="132"/>
      <c r="Q120" s="132" t="str">
        <f>LEFT(base[[#This Row],[Evento / Mercado]],FIND("vs",base[[#This Row],[Evento / Mercado]])-2)</f>
        <v>Ascoli</v>
      </c>
      <c r="R1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Forlì F.C.</v>
      </c>
      <c r="S120" s="132" t="str">
        <f>LEFT(base[[#This Row],[Evento / Mercado]],FIND("/",base[[#This Row],[Evento / Mercado]])-2)</f>
        <v>Ascoli vs Forlì F.C.</v>
      </c>
    </row>
    <row r="121" spans="2:21" ht="15" customHeight="1">
      <c r="B121" s="128" t="s">
        <v>136</v>
      </c>
      <c r="C121" s="128" t="s">
        <v>2982</v>
      </c>
      <c r="D121" s="129">
        <v>45999.535173611112</v>
      </c>
      <c r="E121" s="130">
        <v>6.64</v>
      </c>
      <c r="F121" s="131">
        <v>4.4999999999999998E-2</v>
      </c>
      <c r="G121" s="126">
        <f t="shared" si="1"/>
        <v>6.9528795811518327</v>
      </c>
      <c r="H121" s="126" t="s">
        <v>73</v>
      </c>
      <c r="I121" s="127" t="s">
        <v>13</v>
      </c>
      <c r="J121" s="126">
        <v>15.5</v>
      </c>
      <c r="K121" s="126">
        <v>100.78</v>
      </c>
      <c r="L121" s="129">
        <f>INT(base[[#This Row],[Data de liquidação]])</f>
        <v>45999</v>
      </c>
      <c r="M121" s="126">
        <f>base[[#This Row],[L/P Bruto]]-base[[#This Row],[L/P Líquido]]</f>
        <v>0.31287958115183301</v>
      </c>
      <c r="N121" s="126">
        <f>base[[#This Row],[L/P Líquido]]/base[[#This Row],[Stake/Responsabilidade]]</f>
        <v>6.5886088509624921E-2</v>
      </c>
      <c r="O121" s="132">
        <f>IF(base[[#This Row],[L/P Líquido]]&gt;0,1,0)</f>
        <v>1</v>
      </c>
      <c r="P121" s="132"/>
      <c r="Q121" s="132" t="str">
        <f>LEFT(base[[#This Row],[Evento / Mercado]],FIND("vs",base[[#This Row],[Evento / Mercado]])-2)</f>
        <v>FK Radnik Surdulica</v>
      </c>
      <c r="R1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Mladost Lucani</v>
      </c>
      <c r="S121" s="132" t="str">
        <f>LEFT(base[[#This Row],[Evento / Mercado]],FIND("/",base[[#This Row],[Evento / Mercado]])-2)</f>
        <v>FK Radnik Surdulica vs FK Mladost Lucani</v>
      </c>
    </row>
    <row r="122" spans="2:21" ht="15" customHeight="1">
      <c r="B122" s="128" t="s">
        <v>135</v>
      </c>
      <c r="C122" s="128" t="s">
        <v>2982</v>
      </c>
      <c r="D122" s="129">
        <v>45999.538055555553</v>
      </c>
      <c r="E122" s="130">
        <v>5.62</v>
      </c>
      <c r="F122" s="131">
        <v>4.4999999999999998E-2</v>
      </c>
      <c r="G122" s="126">
        <f t="shared" si="1"/>
        <v>5.8848167539267022</v>
      </c>
      <c r="H122" s="126" t="s">
        <v>73</v>
      </c>
      <c r="I122" s="127" t="s">
        <v>13</v>
      </c>
      <c r="J122" s="126">
        <v>18</v>
      </c>
      <c r="K122" s="126">
        <v>99.96</v>
      </c>
      <c r="L122" s="129">
        <f>INT(base[[#This Row],[Data de liquidação]])</f>
        <v>45999</v>
      </c>
      <c r="M122" s="126">
        <f>base[[#This Row],[L/P Bruto]]-base[[#This Row],[L/P Líquido]]</f>
        <v>0.26481675392670212</v>
      </c>
      <c r="N122" s="126">
        <f>base[[#This Row],[L/P Líquido]]/base[[#This Row],[Stake/Responsabilidade]]</f>
        <v>5.6222488995598244E-2</v>
      </c>
      <c r="O122" s="132">
        <f>IF(base[[#This Row],[L/P Líquido]]&gt;0,1,0)</f>
        <v>1</v>
      </c>
      <c r="P122" s="132"/>
      <c r="Q122" s="132" t="str">
        <f>LEFT(base[[#This Row],[Evento / Mercado]],FIND("vs",base[[#This Row],[Evento / Mercado]])-2)</f>
        <v>Monza</v>
      </c>
      <c r="R1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Sudtirol</v>
      </c>
      <c r="S122" s="132" t="str">
        <f>LEFT(base[[#This Row],[Evento / Mercado]],FIND("/",base[[#This Row],[Evento / Mercado]])-2)</f>
        <v>Monza vs FC Sudtirol</v>
      </c>
    </row>
    <row r="123" spans="2:21" ht="15" customHeight="1">
      <c r="B123" s="128" t="s">
        <v>134</v>
      </c>
      <c r="C123" s="128" t="s">
        <v>2982</v>
      </c>
      <c r="D123" s="129">
        <v>45999.603483796294</v>
      </c>
      <c r="E123" s="130">
        <v>5.31</v>
      </c>
      <c r="F123" s="131">
        <v>4.4999999999999998E-2</v>
      </c>
      <c r="G123" s="126">
        <f t="shared" si="1"/>
        <v>5.5602094240837694</v>
      </c>
      <c r="H123" s="126" t="s">
        <v>73</v>
      </c>
      <c r="I123" s="127" t="s">
        <v>13</v>
      </c>
      <c r="J123" s="126">
        <v>19</v>
      </c>
      <c r="K123" s="126">
        <v>100.08</v>
      </c>
      <c r="L123" s="129">
        <f>INT(base[[#This Row],[Data de liquidação]])</f>
        <v>45999</v>
      </c>
      <c r="M123" s="126">
        <f>base[[#This Row],[L/P Bruto]]-base[[#This Row],[L/P Líquido]]</f>
        <v>0.25020942408376978</v>
      </c>
      <c r="N123" s="126">
        <f>base[[#This Row],[L/P Líquido]]/base[[#This Row],[Stake/Responsabilidade]]</f>
        <v>5.3057553956834529E-2</v>
      </c>
      <c r="O123" s="132">
        <f>IF(base[[#This Row],[L/P Líquido]]&gt;0,1,0)</f>
        <v>1</v>
      </c>
      <c r="P123" s="132"/>
      <c r="Q123" s="132" t="str">
        <f>LEFT(base[[#This Row],[Evento / Mercado]],FIND("vs",base[[#This Row],[Evento / Mercado]])-2)</f>
        <v>Ludogorets Razgrad</v>
      </c>
      <c r="R1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Slavia Sofia</v>
      </c>
      <c r="S123" s="132" t="str">
        <f>LEFT(base[[#This Row],[Evento / Mercado]],FIND("/",base[[#This Row],[Evento / Mercado]])-2)</f>
        <v>Ludogorets Razgrad vs Slavia Sofia</v>
      </c>
    </row>
    <row r="124" spans="2:21" ht="15" customHeight="1">
      <c r="B124" s="128" t="s">
        <v>133</v>
      </c>
      <c r="C124" s="128" t="s">
        <v>2982</v>
      </c>
      <c r="D124" s="129">
        <v>45999.665567129632</v>
      </c>
      <c r="E124" s="130">
        <v>9.09</v>
      </c>
      <c r="F124" s="131">
        <v>4.4999999999999998E-2</v>
      </c>
      <c r="G124" s="126">
        <f t="shared" si="1"/>
        <v>9.5183246073298431</v>
      </c>
      <c r="H124" s="126" t="s">
        <v>73</v>
      </c>
      <c r="I124" s="127" t="s">
        <v>16</v>
      </c>
      <c r="J124" s="126">
        <v>11.5</v>
      </c>
      <c r="K124" s="126">
        <v>99.96</v>
      </c>
      <c r="L124" s="129">
        <f>INT(base[[#This Row],[Data de liquidação]])</f>
        <v>45999</v>
      </c>
      <c r="M124" s="126">
        <f>base[[#This Row],[L/P Bruto]]-base[[#This Row],[L/P Líquido]]</f>
        <v>0.42832460732984323</v>
      </c>
      <c r="N124" s="126">
        <f>base[[#This Row],[L/P Líquido]]/base[[#This Row],[Stake/Responsabilidade]]</f>
        <v>9.0936374549819926E-2</v>
      </c>
      <c r="O124" s="132">
        <f>IF(base[[#This Row],[L/P Líquido]]&gt;0,1,0)</f>
        <v>1</v>
      </c>
      <c r="P124" s="132"/>
      <c r="Q124" s="132" t="str">
        <f>LEFT(base[[#This Row],[Evento / Mercado]],FIND("vs",base[[#This Row],[Evento / Mercado]])-2)</f>
        <v>Besiktas JK</v>
      </c>
      <c r="R1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Gazişehir Gaziantep F.K.</v>
      </c>
      <c r="S124" s="132" t="str">
        <f>LEFT(base[[#This Row],[Evento / Mercado]],FIND("/",base[[#This Row],[Evento / Mercado]])-2)</f>
        <v>Besiktas JK vs Gazişehir Gaziantep F.K.</v>
      </c>
    </row>
    <row r="125" spans="2:21" ht="15" customHeight="1">
      <c r="B125" s="128" t="s">
        <v>132</v>
      </c>
      <c r="C125" s="128" t="s">
        <v>2982</v>
      </c>
      <c r="D125" s="129">
        <v>45999.665844907409</v>
      </c>
      <c r="E125" s="130">
        <v>6.0069499999999998</v>
      </c>
      <c r="F125" s="131">
        <v>4.4999999999999998E-2</v>
      </c>
      <c r="G125" s="126">
        <f t="shared" si="1"/>
        <v>6.29</v>
      </c>
      <c r="H125" s="126" t="s">
        <v>73</v>
      </c>
      <c r="I125" s="127" t="s">
        <v>13</v>
      </c>
      <c r="J125" s="126">
        <v>17</v>
      </c>
      <c r="K125" s="126">
        <v>100.64</v>
      </c>
      <c r="L125" s="129">
        <f>INT(base[[#This Row],[Data de liquidação]])</f>
        <v>45999</v>
      </c>
      <c r="M125" s="126">
        <f>base[[#This Row],[L/P Bruto]]-base[[#This Row],[L/P Líquido]]</f>
        <v>0.28305000000000025</v>
      </c>
      <c r="N125" s="126">
        <f>base[[#This Row],[L/P Líquido]]/base[[#This Row],[Stake/Responsabilidade]]</f>
        <v>5.9687499999999998E-2</v>
      </c>
      <c r="O125" s="132">
        <f>IF(base[[#This Row],[L/P Líquido]]&gt;0,1,0)</f>
        <v>1</v>
      </c>
      <c r="P125" s="132"/>
      <c r="Q125" s="132" t="str">
        <f>LEFT(base[[#This Row],[Evento / Mercado]],FIND("vs",base[[#This Row],[Evento / Mercado]])-2)</f>
        <v>Alanyaspor</v>
      </c>
      <c r="R1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Antalyaspor</v>
      </c>
      <c r="S125" s="132" t="str">
        <f>LEFT(base[[#This Row],[Evento / Mercado]],FIND("/",base[[#This Row],[Evento / Mercado]])-2)</f>
        <v>Alanyaspor vs Antalyaspor</v>
      </c>
      <c r="T125" s="8">
        <v>6.29</v>
      </c>
      <c r="U125" s="9">
        <f>T125*0.955</f>
        <v>6.0069499999999998</v>
      </c>
    </row>
    <row r="126" spans="2:21" ht="15" customHeight="1">
      <c r="B126" s="128" t="s">
        <v>132</v>
      </c>
      <c r="C126" s="128" t="s">
        <v>2982</v>
      </c>
      <c r="D126" s="129">
        <v>45999.665844907409</v>
      </c>
      <c r="E126" s="130">
        <v>13.494149999999999</v>
      </c>
      <c r="F126" s="131">
        <v>4.4999999999999998E-2</v>
      </c>
      <c r="G126" s="126">
        <f t="shared" si="1"/>
        <v>14.13</v>
      </c>
      <c r="H126" s="126" t="s">
        <v>73</v>
      </c>
      <c r="I126" s="127" t="s">
        <v>16</v>
      </c>
      <c r="J126" s="126">
        <v>8</v>
      </c>
      <c r="K126" s="126">
        <v>98.9</v>
      </c>
      <c r="L126" s="129">
        <f>INT(base[[#This Row],[Data de liquidação]])</f>
        <v>45999</v>
      </c>
      <c r="M126" s="126">
        <f>base[[#This Row],[L/P Bruto]]-base[[#This Row],[L/P Líquido]]</f>
        <v>0.63585000000000136</v>
      </c>
      <c r="N126" s="126">
        <f>base[[#This Row],[L/P Líquido]]/base[[#This Row],[Stake/Responsabilidade]]</f>
        <v>0.13644236602628917</v>
      </c>
      <c r="O126" s="132">
        <f>IF(base[[#This Row],[L/P Líquido]]&gt;0,1,0)</f>
        <v>1</v>
      </c>
      <c r="P126" s="132"/>
      <c r="Q126" s="132" t="str">
        <f>LEFT(base[[#This Row],[Evento / Mercado]],FIND("vs",base[[#This Row],[Evento / Mercado]])-2)</f>
        <v>Alanyaspor</v>
      </c>
      <c r="R1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Antalyaspor</v>
      </c>
      <c r="S126" s="132" t="str">
        <f>LEFT(base[[#This Row],[Evento / Mercado]],FIND("/",base[[#This Row],[Evento / Mercado]])-2)</f>
        <v>Alanyaspor vs Antalyaspor</v>
      </c>
      <c r="T126" s="8">
        <v>14.13</v>
      </c>
      <c r="U126" s="9">
        <f>T126*0.955</f>
        <v>13.494149999999999</v>
      </c>
    </row>
    <row r="127" spans="2:21" ht="15" customHeight="1">
      <c r="B127" s="128" t="s">
        <v>131</v>
      </c>
      <c r="C127" s="128" t="s">
        <v>2982</v>
      </c>
      <c r="D127" s="129">
        <v>45999.684282407405</v>
      </c>
      <c r="E127" s="130">
        <v>5.31</v>
      </c>
      <c r="F127" s="131">
        <v>4.4999999999999998E-2</v>
      </c>
      <c r="G127" s="126">
        <f t="shared" si="1"/>
        <v>5.5602094240837694</v>
      </c>
      <c r="H127" s="126" t="s">
        <v>73</v>
      </c>
      <c r="I127" s="127" t="s">
        <v>13</v>
      </c>
      <c r="J127" s="126">
        <v>19</v>
      </c>
      <c r="K127" s="126">
        <v>100.08</v>
      </c>
      <c r="L127" s="129">
        <f>INT(base[[#This Row],[Data de liquidação]])</f>
        <v>45999</v>
      </c>
      <c r="M127" s="126">
        <f>base[[#This Row],[L/P Bruto]]-base[[#This Row],[L/P Líquido]]</f>
        <v>0.25020942408376978</v>
      </c>
      <c r="N127" s="126">
        <f>base[[#This Row],[L/P Líquido]]/base[[#This Row],[Stake/Responsabilidade]]</f>
        <v>5.3057553956834529E-2</v>
      </c>
      <c r="O127" s="132">
        <f>IF(base[[#This Row],[L/P Líquido]]&gt;0,1,0)</f>
        <v>1</v>
      </c>
      <c r="P127" s="132"/>
      <c r="Q127" s="132" t="str">
        <f>LEFT(base[[#This Row],[Evento / Mercado]],FIND("vs",base[[#This Row],[Evento / Mercado]])-2)</f>
        <v>UD Las Palmas</v>
      </c>
      <c r="R1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Mirandés</v>
      </c>
      <c r="S127" s="132" t="str">
        <f>LEFT(base[[#This Row],[Evento / Mercado]],FIND("/",base[[#This Row],[Evento / Mercado]])-2)</f>
        <v>UD Las Palmas vs Mirandés</v>
      </c>
    </row>
    <row r="128" spans="2:21" ht="15" customHeight="1">
      <c r="B128" s="128" t="s">
        <v>130</v>
      </c>
      <c r="C128" s="128" t="s">
        <v>2982</v>
      </c>
      <c r="D128" s="129">
        <v>45999.712789351855</v>
      </c>
      <c r="E128" s="130">
        <v>10.61</v>
      </c>
      <c r="F128" s="131">
        <v>4.4999999999999998E-2</v>
      </c>
      <c r="G128" s="126">
        <f t="shared" si="1"/>
        <v>11.109947643979057</v>
      </c>
      <c r="H128" s="126" t="s">
        <v>73</v>
      </c>
      <c r="I128" s="127" t="s">
        <v>13</v>
      </c>
      <c r="J128" s="126">
        <v>10</v>
      </c>
      <c r="K128" s="126">
        <v>99.99</v>
      </c>
      <c r="L128" s="129">
        <f>INT(base[[#This Row],[Data de liquidação]])</f>
        <v>45999</v>
      </c>
      <c r="M128" s="126">
        <f>base[[#This Row],[L/P Bruto]]-base[[#This Row],[L/P Líquido]]</f>
        <v>0.49994764397905733</v>
      </c>
      <c r="N128" s="126">
        <f>base[[#This Row],[L/P Líquido]]/base[[#This Row],[Stake/Responsabilidade]]</f>
        <v>0.10611061106110611</v>
      </c>
      <c r="O128" s="132">
        <f>IF(base[[#This Row],[L/P Líquido]]&gt;0,1,0)</f>
        <v>1</v>
      </c>
      <c r="P128" s="132"/>
      <c r="Q128" s="132" t="str">
        <f>LEFT(base[[#This Row],[Evento / Mercado]],FIND("vs",base[[#This Row],[Evento / Mercado]])-2)</f>
        <v>Beitar Jerusalem</v>
      </c>
      <c r="R1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Hapoel Jerusalem</v>
      </c>
      <c r="S128" s="132" t="str">
        <f>LEFT(base[[#This Row],[Evento / Mercado]],FIND("/",base[[#This Row],[Evento / Mercado]])-2)</f>
        <v>Beitar Jerusalem vs Hapoel Jerusalem</v>
      </c>
    </row>
    <row r="129" spans="2:21" ht="15" customHeight="1">
      <c r="B129" s="128" t="s">
        <v>129</v>
      </c>
      <c r="C129" s="128" t="s">
        <v>2982</v>
      </c>
      <c r="D129" s="129">
        <v>45999.747627314813</v>
      </c>
      <c r="E129" s="130">
        <v>5.97</v>
      </c>
      <c r="F129" s="131">
        <v>4.4999999999999998E-2</v>
      </c>
      <c r="G129" s="126">
        <f t="shared" si="1"/>
        <v>6.2513089005235605</v>
      </c>
      <c r="H129" s="126" t="s">
        <v>73</v>
      </c>
      <c r="I129" s="127" t="s">
        <v>16</v>
      </c>
      <c r="J129" s="126">
        <v>17</v>
      </c>
      <c r="K129" s="126">
        <v>100</v>
      </c>
      <c r="L129" s="129">
        <f>INT(base[[#This Row],[Data de liquidação]])</f>
        <v>45999</v>
      </c>
      <c r="M129" s="126">
        <f>base[[#This Row],[L/P Bruto]]-base[[#This Row],[L/P Líquido]]</f>
        <v>0.28130890052356072</v>
      </c>
      <c r="N129" s="126">
        <f>base[[#This Row],[L/P Líquido]]/base[[#This Row],[Stake/Responsabilidade]]</f>
        <v>5.9699999999999996E-2</v>
      </c>
      <c r="O129" s="132">
        <f>IF(base[[#This Row],[L/P Líquido]]&gt;0,1,0)</f>
        <v>1</v>
      </c>
      <c r="P129" s="132"/>
      <c r="Q129" s="132" t="str">
        <f>LEFT(base[[#This Row],[Evento / Mercado]],FIND("vs",base[[#This Row],[Evento / Mercado]])-2)</f>
        <v>San Antonio</v>
      </c>
      <c r="R1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Tomayapo</v>
      </c>
      <c r="S129" s="132" t="str">
        <f>LEFT(base[[#This Row],[Evento / Mercado]],FIND("/",base[[#This Row],[Evento / Mercado]])-2)</f>
        <v>San Antonio vs Real Tomayapo</v>
      </c>
    </row>
    <row r="130" spans="2:21" ht="15" customHeight="1">
      <c r="B130" s="128" t="s">
        <v>128</v>
      </c>
      <c r="C130" s="128" t="s">
        <v>2982</v>
      </c>
      <c r="D130" s="129">
        <v>45999.773645833331</v>
      </c>
      <c r="E130" s="130">
        <v>5.97</v>
      </c>
      <c r="F130" s="131">
        <v>4.4999999999999998E-2</v>
      </c>
      <c r="G130" s="126">
        <f t="shared" si="1"/>
        <v>6.2513089005235605</v>
      </c>
      <c r="H130" s="126" t="s">
        <v>73</v>
      </c>
      <c r="I130" s="127" t="s">
        <v>13</v>
      </c>
      <c r="J130" s="126">
        <v>17</v>
      </c>
      <c r="K130" s="126">
        <v>100</v>
      </c>
      <c r="L130" s="129">
        <f>INT(base[[#This Row],[Data de liquidação]])</f>
        <v>45999</v>
      </c>
      <c r="M130" s="126">
        <f>base[[#This Row],[L/P Bruto]]-base[[#This Row],[L/P Líquido]]</f>
        <v>0.28130890052356072</v>
      </c>
      <c r="N130" s="126">
        <f>base[[#This Row],[L/P Líquido]]/base[[#This Row],[Stake/Responsabilidade]]</f>
        <v>5.9699999999999996E-2</v>
      </c>
      <c r="O130" s="132">
        <f>IF(base[[#This Row],[L/P Líquido]]&gt;0,1,0)</f>
        <v>1</v>
      </c>
      <c r="P130" s="132"/>
      <c r="Q130" s="132" t="str">
        <f>LEFT(base[[#This Row],[Evento / Mercado]],FIND("vs",base[[#This Row],[Evento / Mercado]])-2)</f>
        <v>Stade Reims</v>
      </c>
      <c r="R1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Lavallois</v>
      </c>
      <c r="S130" s="132" t="str">
        <f>LEFT(base[[#This Row],[Evento / Mercado]],FIND("/",base[[#This Row],[Evento / Mercado]])-2)</f>
        <v>Stade Reims vs Stade Lavallois</v>
      </c>
    </row>
    <row r="131" spans="2:21" ht="15" customHeight="1">
      <c r="B131" s="128" t="s">
        <v>127</v>
      </c>
      <c r="C131" s="128" t="s">
        <v>2982</v>
      </c>
      <c r="D131" s="129">
        <v>45999.786296296297</v>
      </c>
      <c r="E131" s="130">
        <v>6.82</v>
      </c>
      <c r="F131" s="131">
        <v>4.4999999999999998E-2</v>
      </c>
      <c r="G131" s="126">
        <f t="shared" ref="G131:G194" si="2">IF(E131&gt;0,E131/(1-F131),E131)</f>
        <v>7.1413612565445028</v>
      </c>
      <c r="H131" s="126" t="s">
        <v>73</v>
      </c>
      <c r="I131" s="127" t="s">
        <v>13</v>
      </c>
      <c r="J131" s="126">
        <v>15</v>
      </c>
      <c r="K131" s="126">
        <v>99.96</v>
      </c>
      <c r="L131" s="129">
        <f>INT(base[[#This Row],[Data de liquidação]])</f>
        <v>45999</v>
      </c>
      <c r="M131" s="126">
        <f>base[[#This Row],[L/P Bruto]]-base[[#This Row],[L/P Líquido]]</f>
        <v>0.32136125654450254</v>
      </c>
      <c r="N131" s="126">
        <f>base[[#This Row],[L/P Líquido]]/base[[#This Row],[Stake/Responsabilidade]]</f>
        <v>6.8227290916366548E-2</v>
      </c>
      <c r="O131" s="132">
        <f>IF(base[[#This Row],[L/P Líquido]]&gt;0,1,0)</f>
        <v>1</v>
      </c>
      <c r="P131" s="132"/>
      <c r="Q131" s="132" t="str">
        <f>LEFT(base[[#This Row],[Evento / Mercado]],FIND("vs",base[[#This Row],[Evento / Mercado]])-2)</f>
        <v>Deportes Tolima</v>
      </c>
      <c r="R1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FC</v>
      </c>
      <c r="S131" s="132" t="str">
        <f>LEFT(base[[#This Row],[Evento / Mercado]],FIND("/",base[[#This Row],[Evento / Mercado]])-2)</f>
        <v>Deportes Tolima vs Fortaleza FC</v>
      </c>
    </row>
    <row r="132" spans="2:21" ht="15" customHeight="1">
      <c r="B132" s="128" t="s">
        <v>126</v>
      </c>
      <c r="C132" s="128" t="s">
        <v>2982</v>
      </c>
      <c r="D132" s="129">
        <v>45999.786377314813</v>
      </c>
      <c r="E132" s="130">
        <v>5.7777499999999993</v>
      </c>
      <c r="F132" s="131">
        <v>4.4999999999999998E-2</v>
      </c>
      <c r="G132" s="126">
        <f t="shared" si="2"/>
        <v>6.05</v>
      </c>
      <c r="H132" s="126" t="s">
        <v>73</v>
      </c>
      <c r="I132" s="127" t="s">
        <v>13</v>
      </c>
      <c r="J132" s="126">
        <v>17</v>
      </c>
      <c r="K132" s="126">
        <v>96.87</v>
      </c>
      <c r="L132" s="129">
        <f>INT(base[[#This Row],[Data de liquidação]])</f>
        <v>45999</v>
      </c>
      <c r="M132" s="126">
        <f>base[[#This Row],[L/P Bruto]]-base[[#This Row],[L/P Líquido]]</f>
        <v>0.27225000000000055</v>
      </c>
      <c r="N132" s="126">
        <f>base[[#This Row],[L/P Líquido]]/base[[#This Row],[Stake/Responsabilidade]]</f>
        <v>5.9644368741612462E-2</v>
      </c>
      <c r="O132" s="132">
        <f>IF(base[[#This Row],[L/P Líquido]]&gt;0,1,0)</f>
        <v>1</v>
      </c>
      <c r="P132" s="132"/>
      <c r="Q132" s="132" t="str">
        <f>LEFT(base[[#This Row],[Evento / Mercado]],FIND("vs",base[[#This Row],[Evento / Mercado]])-2)</f>
        <v>Osasuna</v>
      </c>
      <c r="R1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132" s="132" t="str">
        <f>LEFT(base[[#This Row],[Evento / Mercado]],FIND("/",base[[#This Row],[Evento / Mercado]])-2)</f>
        <v>Osasuna vs Levante UD</v>
      </c>
      <c r="T132" s="8">
        <v>6.05</v>
      </c>
      <c r="U132" s="9">
        <f>T132*0.955</f>
        <v>5.7777499999999993</v>
      </c>
    </row>
    <row r="133" spans="2:21" ht="15" customHeight="1">
      <c r="B133" s="128" t="s">
        <v>126</v>
      </c>
      <c r="C133" s="128" t="s">
        <v>2982</v>
      </c>
      <c r="D133" s="129">
        <v>45999.786377314813</v>
      </c>
      <c r="E133" s="130">
        <v>12.902049999999999</v>
      </c>
      <c r="F133" s="131">
        <v>4.4999999999999998E-2</v>
      </c>
      <c r="G133" s="126">
        <f t="shared" si="2"/>
        <v>13.51</v>
      </c>
      <c r="H133" s="126" t="s">
        <v>73</v>
      </c>
      <c r="I133" s="127" t="s">
        <v>16</v>
      </c>
      <c r="J133" s="126">
        <v>8.4</v>
      </c>
      <c r="K133" s="126">
        <v>99.97</v>
      </c>
      <c r="L133" s="129">
        <f>INT(base[[#This Row],[Data de liquidação]])</f>
        <v>45999</v>
      </c>
      <c r="M133" s="126">
        <f>base[[#This Row],[L/P Bruto]]-base[[#This Row],[L/P Líquido]]</f>
        <v>0.60795000000000066</v>
      </c>
      <c r="N133" s="126">
        <f>base[[#This Row],[L/P Líquido]]/base[[#This Row],[Stake/Responsabilidade]]</f>
        <v>0.12905921776532958</v>
      </c>
      <c r="O133" s="132">
        <f>IF(base[[#This Row],[L/P Líquido]]&gt;0,1,0)</f>
        <v>1</v>
      </c>
      <c r="P133" s="132"/>
      <c r="Q133" s="132" t="str">
        <f>LEFT(base[[#This Row],[Evento / Mercado]],FIND("vs",base[[#This Row],[Evento / Mercado]])-2)</f>
        <v>Osasuna</v>
      </c>
      <c r="R1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133" s="132" t="str">
        <f>LEFT(base[[#This Row],[Evento / Mercado]],FIND("/",base[[#This Row],[Evento / Mercado]])-2)</f>
        <v>Osasuna vs Levante UD</v>
      </c>
      <c r="T133" s="8">
        <v>13.51</v>
      </c>
      <c r="U133" s="9">
        <f>T133*0.955</f>
        <v>12.902049999999999</v>
      </c>
    </row>
    <row r="134" spans="2:21" ht="15" customHeight="1">
      <c r="B134" s="128" t="s">
        <v>125</v>
      </c>
      <c r="C134" s="128" t="s">
        <v>2982</v>
      </c>
      <c r="D134" s="129">
        <v>45999.790127314816</v>
      </c>
      <c r="E134" s="130">
        <v>10.06</v>
      </c>
      <c r="F134" s="131">
        <v>4.4999999999999998E-2</v>
      </c>
      <c r="G134" s="126">
        <f t="shared" si="2"/>
        <v>10.534031413612567</v>
      </c>
      <c r="H134" s="126" t="s">
        <v>74</v>
      </c>
      <c r="I134" s="127" t="s">
        <v>541</v>
      </c>
      <c r="J134" s="126">
        <v>10.31</v>
      </c>
      <c r="K134" s="126">
        <v>98.02</v>
      </c>
      <c r="L134" s="129">
        <f>INT(base[[#This Row],[Data de liquidação]])</f>
        <v>45999</v>
      </c>
      <c r="M134" s="126">
        <f>base[[#This Row],[L/P Bruto]]-base[[#This Row],[L/P Líquido]]</f>
        <v>0.47403141361256651</v>
      </c>
      <c r="N134" s="139">
        <f>base[[#This Row],[L/P Líquido]]/base[[#This Row],[Stake/Responsabilidade]]</f>
        <v>0.10263211589471537</v>
      </c>
      <c r="O134" s="132">
        <f>IF(base[[#This Row],[L/P Líquido]]&gt;0,1,0)</f>
        <v>1</v>
      </c>
      <c r="P134" s="132" t="s">
        <v>963</v>
      </c>
      <c r="Q134" s="132" t="str">
        <f>LEFT(base[[#This Row],[Evento / Mercado]],FIND("vs",base[[#This Row],[Evento / Mercado]])-2)</f>
        <v>Wolverhampton Wanderers</v>
      </c>
      <c r="R1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134" s="132" t="str">
        <f>LEFT(base[[#This Row],[Evento / Mercado]],FIND("/",base[[#This Row],[Evento / Mercado]])-2)</f>
        <v>Wolverhampton Wanderers vs Manchester United</v>
      </c>
    </row>
    <row r="135" spans="2:21" ht="15" customHeight="1">
      <c r="B135" s="128" t="s">
        <v>124</v>
      </c>
      <c r="C135" s="128" t="s">
        <v>2982</v>
      </c>
      <c r="D135" s="129">
        <v>46000.597777777781</v>
      </c>
      <c r="E135" s="130">
        <v>3.68</v>
      </c>
      <c r="F135" s="131">
        <v>4.4999999999999998E-2</v>
      </c>
      <c r="G135" s="126">
        <f t="shared" si="2"/>
        <v>3.8534031413612571</v>
      </c>
      <c r="H135" s="126" t="s">
        <v>122</v>
      </c>
      <c r="I135" s="127" t="s">
        <v>542</v>
      </c>
      <c r="J135" s="126">
        <v>27</v>
      </c>
      <c r="K135" s="126">
        <v>100.1</v>
      </c>
      <c r="L135" s="129">
        <f>INT(base[[#This Row],[Data de liquidação]])</f>
        <v>46000</v>
      </c>
      <c r="M135" s="126">
        <f>base[[#This Row],[L/P Bruto]]-base[[#This Row],[L/P Líquido]]</f>
        <v>0.1734031413612569</v>
      </c>
      <c r="N135" s="126">
        <f>base[[#This Row],[L/P Líquido]]/base[[#This Row],[Stake/Responsabilidade]]</f>
        <v>3.676323676323677E-2</v>
      </c>
      <c r="O135" s="132">
        <f>IF(base[[#This Row],[L/P Líquido]]&gt;0,1,0)</f>
        <v>1</v>
      </c>
      <c r="P135" s="132" t="s">
        <v>972</v>
      </c>
      <c r="Q135" s="132" t="str">
        <f>LEFT(base[[#This Row],[Evento / Mercado]],FIND("vs",base[[#This Row],[Evento / Mercado]])-2)</f>
        <v>FC Kairat Almaty</v>
      </c>
      <c r="R1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Olympiacos</v>
      </c>
      <c r="S135" s="132" t="str">
        <f>LEFT(base[[#This Row],[Evento / Mercado]],FIND("/",base[[#This Row],[Evento / Mercado]])-2)</f>
        <v>FC Kairat Almaty vs Olympiacos</v>
      </c>
    </row>
    <row r="136" spans="2:21" ht="15" customHeight="1">
      <c r="B136" s="128" t="s">
        <v>144</v>
      </c>
      <c r="C136" s="128" t="s">
        <v>2982</v>
      </c>
      <c r="D136" s="129">
        <v>46000.693298611113</v>
      </c>
      <c r="E136" s="130">
        <v>7.34</v>
      </c>
      <c r="F136" s="131">
        <v>4.4999999999999998E-2</v>
      </c>
      <c r="G136" s="126">
        <f t="shared" si="2"/>
        <v>7.6858638743455501</v>
      </c>
      <c r="H136" s="126" t="s">
        <v>74</v>
      </c>
      <c r="I136" s="127" t="s">
        <v>477</v>
      </c>
      <c r="J136" s="126">
        <v>14</v>
      </c>
      <c r="K136" s="126">
        <v>99.97</v>
      </c>
      <c r="L136" s="129">
        <f>INT(base[[#This Row],[Data de liquidação]])</f>
        <v>46000</v>
      </c>
      <c r="M136" s="126">
        <f>base[[#This Row],[L/P Bruto]]-base[[#This Row],[L/P Líquido]]</f>
        <v>0.34586387434555022</v>
      </c>
      <c r="N136" s="139">
        <f>base[[#This Row],[L/P Líquido]]/base[[#This Row],[Stake/Responsabilidade]]</f>
        <v>7.3422026607982388E-2</v>
      </c>
      <c r="O136" s="132">
        <f>IF(base[[#This Row],[L/P Líquido]]&gt;0,1,0)</f>
        <v>1</v>
      </c>
      <c r="P136" s="132" t="s">
        <v>972</v>
      </c>
      <c r="Q136" s="132" t="str">
        <f>LEFT(base[[#This Row],[Evento / Mercado]],FIND("vs",base[[#This Row],[Evento / Mercado]])-2)</f>
        <v>FC Bayern München</v>
      </c>
      <c r="R1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136" s="132" t="str">
        <f>LEFT(base[[#This Row],[Evento / Mercado]],FIND("/",base[[#This Row],[Evento / Mercado]])-2)</f>
        <v>FC Bayern München vs Sporting CP</v>
      </c>
    </row>
    <row r="137" spans="2:21" ht="15" customHeight="1">
      <c r="B137" s="128" t="s">
        <v>143</v>
      </c>
      <c r="C137" s="128" t="s">
        <v>2982</v>
      </c>
      <c r="D137" s="129">
        <v>46000.693402777775</v>
      </c>
      <c r="E137" s="130">
        <v>6.82</v>
      </c>
      <c r="F137" s="131">
        <v>4.4999999999999998E-2</v>
      </c>
      <c r="G137" s="126">
        <f t="shared" si="2"/>
        <v>7.1413612565445028</v>
      </c>
      <c r="H137" s="126" t="s">
        <v>145</v>
      </c>
      <c r="I137" s="127" t="s">
        <v>301</v>
      </c>
      <c r="J137" s="126">
        <v>14.5</v>
      </c>
      <c r="K137" s="126">
        <v>96.39</v>
      </c>
      <c r="L137" s="129">
        <f>INT(base[[#This Row],[Data de liquidação]])</f>
        <v>46000</v>
      </c>
      <c r="M137" s="126">
        <f>base[[#This Row],[L/P Bruto]]-base[[#This Row],[L/P Líquido]]</f>
        <v>0.32136125654450254</v>
      </c>
      <c r="N137" s="126">
        <f>base[[#This Row],[L/P Líquido]]/base[[#This Row],[Stake/Responsabilidade]]</f>
        <v>7.0754227616972712E-2</v>
      </c>
      <c r="O137" s="132">
        <f>IF(base[[#This Row],[L/P Líquido]]&gt;0,1,0)</f>
        <v>1</v>
      </c>
      <c r="P137" s="132" t="s">
        <v>972</v>
      </c>
      <c r="Q137" s="132" t="str">
        <f>LEFT(base[[#This Row],[Evento / Mercado]],FIND("vs",base[[#This Row],[Evento / Mercado]])-2)</f>
        <v>FC Bayern München</v>
      </c>
      <c r="R1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137" s="132" t="str">
        <f>LEFT(base[[#This Row],[Evento / Mercado]],FIND("/",base[[#This Row],[Evento / Mercado]])-2)</f>
        <v>FC Bayern München vs Sporting CP</v>
      </c>
    </row>
    <row r="138" spans="2:21" ht="15" customHeight="1">
      <c r="B138" s="128" t="s">
        <v>142</v>
      </c>
      <c r="C138" s="128" t="s">
        <v>2982</v>
      </c>
      <c r="D138" s="129">
        <v>46000.776747685188</v>
      </c>
      <c r="E138" s="130">
        <v>14.468249999999999</v>
      </c>
      <c r="F138" s="131">
        <v>4.4999999999999998E-2</v>
      </c>
      <c r="G138" s="126">
        <f t="shared" si="2"/>
        <v>15.15</v>
      </c>
      <c r="H138" s="126" t="s">
        <v>73</v>
      </c>
      <c r="I138" s="127" t="s">
        <v>16</v>
      </c>
      <c r="J138" s="126">
        <v>7.6</v>
      </c>
      <c r="K138" s="126">
        <v>99.99</v>
      </c>
      <c r="L138" s="129">
        <f>INT(base[[#This Row],[Data de liquidação]])</f>
        <v>46000</v>
      </c>
      <c r="M138" s="126">
        <f>base[[#This Row],[L/P Bruto]]-base[[#This Row],[L/P Líquido]]</f>
        <v>0.68175000000000097</v>
      </c>
      <c r="N138" s="126">
        <f>base[[#This Row],[L/P Líquido]]/base[[#This Row],[Stake/Responsabilidade]]</f>
        <v>0.14469696969696969</v>
      </c>
      <c r="O138" s="132">
        <f>IF(base[[#This Row],[L/P Líquido]]&gt;0,1,0)</f>
        <v>1</v>
      </c>
      <c r="P138" s="132"/>
      <c r="Q138" s="132" t="str">
        <f>LEFT(base[[#This Row],[Evento / Mercado]],FIND("vs",base[[#This Row],[Evento / Mercado]])-2)</f>
        <v>Blackburn Rovers</v>
      </c>
      <c r="R1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138" s="132" t="str">
        <f>LEFT(base[[#This Row],[Evento / Mercado]],FIND("/",base[[#This Row],[Evento / Mercado]])-2)</f>
        <v>Blackburn Rovers vs Oxford United</v>
      </c>
      <c r="T138" s="8">
        <v>15.15</v>
      </c>
      <c r="U138" s="9">
        <f>T138*0.955</f>
        <v>14.468249999999999</v>
      </c>
    </row>
    <row r="139" spans="2:21" ht="15" customHeight="1">
      <c r="B139" s="128" t="s">
        <v>142</v>
      </c>
      <c r="C139" s="128" t="s">
        <v>2982</v>
      </c>
      <c r="D139" s="129">
        <v>46000.776747685188</v>
      </c>
      <c r="E139" s="130">
        <v>7.1338499999999998</v>
      </c>
      <c r="F139" s="131">
        <v>4.4999999999999998E-2</v>
      </c>
      <c r="G139" s="126">
        <f t="shared" si="2"/>
        <v>7.47</v>
      </c>
      <c r="H139" s="126" t="s">
        <v>73</v>
      </c>
      <c r="I139" s="127" t="s">
        <v>13</v>
      </c>
      <c r="J139" s="126">
        <v>14.5</v>
      </c>
      <c r="K139" s="126">
        <v>100.85</v>
      </c>
      <c r="L139" s="129">
        <f>INT(base[[#This Row],[Data de liquidação]])</f>
        <v>46000</v>
      </c>
      <c r="M139" s="126">
        <f>base[[#This Row],[L/P Bruto]]-base[[#This Row],[L/P Líquido]]</f>
        <v>0.33614999999999995</v>
      </c>
      <c r="N139" s="126">
        <f>base[[#This Row],[L/P Líquido]]/base[[#This Row],[Stake/Responsabilidade]]</f>
        <v>7.073723351512147E-2</v>
      </c>
      <c r="O139" s="132">
        <f>IF(base[[#This Row],[L/P Líquido]]&gt;0,1,0)</f>
        <v>1</v>
      </c>
      <c r="P139" s="132"/>
      <c r="Q139" s="132" t="str">
        <f>LEFT(base[[#This Row],[Evento / Mercado]],FIND("vs",base[[#This Row],[Evento / Mercado]])-2)</f>
        <v>Blackburn Rovers</v>
      </c>
      <c r="R1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139" s="132" t="str">
        <f>LEFT(base[[#This Row],[Evento / Mercado]],FIND("/",base[[#This Row],[Evento / Mercado]])-2)</f>
        <v>Blackburn Rovers vs Oxford United</v>
      </c>
      <c r="T139" s="8">
        <v>7.47</v>
      </c>
      <c r="U139" s="9">
        <f>T139*0.955</f>
        <v>7.1338499999999998</v>
      </c>
    </row>
    <row r="140" spans="2:21" ht="15" customHeight="1">
      <c r="B140" s="128" t="s">
        <v>141</v>
      </c>
      <c r="C140" s="128" t="s">
        <v>2982</v>
      </c>
      <c r="D140" s="129">
        <v>46000.778356481482</v>
      </c>
      <c r="E140" s="130">
        <v>11.11</v>
      </c>
      <c r="F140" s="131">
        <v>4.4999999999999998E-2</v>
      </c>
      <c r="G140" s="126">
        <f t="shared" si="2"/>
        <v>11.633507853403142</v>
      </c>
      <c r="H140" s="126" t="s">
        <v>73</v>
      </c>
      <c r="I140" s="127" t="s">
        <v>16</v>
      </c>
      <c r="J140" s="126">
        <v>9.6</v>
      </c>
      <c r="K140" s="126">
        <v>100.02</v>
      </c>
      <c r="L140" s="129">
        <f>INT(base[[#This Row],[Data de liquidação]])</f>
        <v>46000</v>
      </c>
      <c r="M140" s="126">
        <f>base[[#This Row],[L/P Bruto]]-base[[#This Row],[L/P Líquido]]</f>
        <v>0.52350785340314232</v>
      </c>
      <c r="N140" s="126">
        <f>base[[#This Row],[L/P Líquido]]/base[[#This Row],[Stake/Responsabilidade]]</f>
        <v>0.11107778444311138</v>
      </c>
      <c r="O140" s="132">
        <f>IF(base[[#This Row],[L/P Líquido]]&gt;0,1,0)</f>
        <v>1</v>
      </c>
      <c r="P140" s="132"/>
      <c r="Q140" s="132" t="str">
        <f>LEFT(base[[#This Row],[Evento / Mercado]],FIND("vs",base[[#This Row],[Evento / Mercado]])-2)</f>
        <v>Watford</v>
      </c>
      <c r="R1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Wednesday</v>
      </c>
      <c r="S140" s="132" t="str">
        <f>LEFT(base[[#This Row],[Evento / Mercado]],FIND("/",base[[#This Row],[Evento / Mercado]])-2)</f>
        <v>Watford vs Sheffield Wednesday</v>
      </c>
    </row>
    <row r="141" spans="2:21" ht="15" customHeight="1">
      <c r="B141" s="128" t="s">
        <v>140</v>
      </c>
      <c r="C141" s="128" t="s">
        <v>2982</v>
      </c>
      <c r="D141" s="129">
        <v>46000.779178240744</v>
      </c>
      <c r="E141" s="130">
        <v>10.610049999999999</v>
      </c>
      <c r="F141" s="131">
        <v>4.4999999999999998E-2</v>
      </c>
      <c r="G141" s="126">
        <f t="shared" si="2"/>
        <v>11.11</v>
      </c>
      <c r="H141" s="126" t="s">
        <v>73</v>
      </c>
      <c r="I141" s="127" t="s">
        <v>16</v>
      </c>
      <c r="J141" s="126">
        <v>10</v>
      </c>
      <c r="K141" s="126">
        <v>99.99</v>
      </c>
      <c r="L141" s="129">
        <f>INT(base[[#This Row],[Data de liquidação]])</f>
        <v>46000</v>
      </c>
      <c r="M141" s="126">
        <f>base[[#This Row],[L/P Bruto]]-base[[#This Row],[L/P Líquido]]</f>
        <v>0.49995000000000012</v>
      </c>
      <c r="N141" s="126">
        <f>base[[#This Row],[L/P Líquido]]/base[[#This Row],[Stake/Responsabilidade]]</f>
        <v>0.10611111111111111</v>
      </c>
      <c r="O141" s="132">
        <f>IF(base[[#This Row],[L/P Líquido]]&gt;0,1,0)</f>
        <v>1</v>
      </c>
      <c r="P141" s="132"/>
      <c r="Q141" s="132" t="str">
        <f>LEFT(base[[#This Row],[Evento / Mercado]],FIND("vs",base[[#This Row],[Evento / Mercado]])-2)</f>
        <v>Sheffield United</v>
      </c>
      <c r="R1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141" s="132" t="str">
        <f>LEFT(base[[#This Row],[Evento / Mercado]],FIND("/",base[[#This Row],[Evento / Mercado]])-2)</f>
        <v>Sheffield United vs Norwich City</v>
      </c>
      <c r="T141" s="8">
        <v>11.11</v>
      </c>
      <c r="U141" s="9">
        <f>T141*0.955</f>
        <v>10.610049999999999</v>
      </c>
    </row>
    <row r="142" spans="2:21" ht="15" customHeight="1">
      <c r="B142" s="128" t="s">
        <v>140</v>
      </c>
      <c r="C142" s="128" t="s">
        <v>2982</v>
      </c>
      <c r="D142" s="129">
        <v>46000.779178240744</v>
      </c>
      <c r="E142" s="130">
        <v>5.3097999999999992</v>
      </c>
      <c r="F142" s="131">
        <v>4.4999999999999998E-2</v>
      </c>
      <c r="G142" s="126">
        <f t="shared" si="2"/>
        <v>5.56</v>
      </c>
      <c r="H142" s="126" t="s">
        <v>73</v>
      </c>
      <c r="I142" s="127" t="s">
        <v>13</v>
      </c>
      <c r="J142" s="126">
        <v>19</v>
      </c>
      <c r="K142" s="126">
        <v>100.08</v>
      </c>
      <c r="L142" s="129">
        <f>INT(base[[#This Row],[Data de liquidação]])</f>
        <v>46000</v>
      </c>
      <c r="M142" s="126">
        <f>base[[#This Row],[L/P Bruto]]-base[[#This Row],[L/P Líquido]]</f>
        <v>0.25020000000000042</v>
      </c>
      <c r="N142" s="126">
        <f>base[[#This Row],[L/P Líquido]]/base[[#This Row],[Stake/Responsabilidade]]</f>
        <v>5.305555555555555E-2</v>
      </c>
      <c r="O142" s="132">
        <f>IF(base[[#This Row],[L/P Líquido]]&gt;0,1,0)</f>
        <v>1</v>
      </c>
      <c r="P142" s="132"/>
      <c r="Q142" s="132" t="str">
        <f>LEFT(base[[#This Row],[Evento / Mercado]],FIND("vs",base[[#This Row],[Evento / Mercado]])-2)</f>
        <v>Sheffield United</v>
      </c>
      <c r="R1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142" s="132" t="str">
        <f>LEFT(base[[#This Row],[Evento / Mercado]],FIND("/",base[[#This Row],[Evento / Mercado]])-2)</f>
        <v>Sheffield United vs Norwich City</v>
      </c>
      <c r="T142" s="8">
        <v>5.56</v>
      </c>
      <c r="U142" s="9">
        <f>T142*0.955</f>
        <v>5.3097999999999992</v>
      </c>
    </row>
    <row r="143" spans="2:21" ht="15" customHeight="1">
      <c r="B143" s="128" t="s">
        <v>139</v>
      </c>
      <c r="C143" s="128" t="s">
        <v>2982</v>
      </c>
      <c r="D143" s="129">
        <v>46000.786203703705</v>
      </c>
      <c r="E143" s="130">
        <v>5.31</v>
      </c>
      <c r="F143" s="131">
        <v>4.4999999999999998E-2</v>
      </c>
      <c r="G143" s="126">
        <f t="shared" si="2"/>
        <v>5.5602094240837694</v>
      </c>
      <c r="H143" s="126" t="s">
        <v>73</v>
      </c>
      <c r="I143" s="127" t="s">
        <v>13</v>
      </c>
      <c r="J143" s="126">
        <v>19</v>
      </c>
      <c r="K143" s="126">
        <v>100.08</v>
      </c>
      <c r="L143" s="129">
        <f>INT(base[[#This Row],[Data de liquidação]])</f>
        <v>46000</v>
      </c>
      <c r="M143" s="126">
        <f>base[[#This Row],[L/P Bruto]]-base[[#This Row],[L/P Líquido]]</f>
        <v>0.25020942408376978</v>
      </c>
      <c r="N143" s="126">
        <f>base[[#This Row],[L/P Líquido]]/base[[#This Row],[Stake/Responsabilidade]]</f>
        <v>5.3057553956834529E-2</v>
      </c>
      <c r="O143" s="132">
        <f>IF(base[[#This Row],[L/P Líquido]]&gt;0,1,0)</f>
        <v>1</v>
      </c>
      <c r="P143" s="132"/>
      <c r="Q143" s="132" t="str">
        <f>LEFT(base[[#This Row],[Evento / Mercado]],FIND("vs",base[[#This Row],[Evento / Mercado]])-2)</f>
        <v>Tottenham Hotspur</v>
      </c>
      <c r="R1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Slavia Praha</v>
      </c>
      <c r="S143" s="132" t="str">
        <f>LEFT(base[[#This Row],[Evento / Mercado]],FIND("/",base[[#This Row],[Evento / Mercado]])-2)</f>
        <v>Tottenham Hotspur vs SK Slavia Praha</v>
      </c>
    </row>
    <row r="144" spans="2:21" ht="15" customHeight="1">
      <c r="B144" s="128" t="s">
        <v>152</v>
      </c>
      <c r="C144" s="128" t="s">
        <v>2982</v>
      </c>
      <c r="D144" s="129">
        <v>46001.646990740737</v>
      </c>
      <c r="E144" s="130">
        <v>-1</v>
      </c>
      <c r="F144" s="131">
        <v>4.4999999999999998E-2</v>
      </c>
      <c r="G144" s="126">
        <f t="shared" si="2"/>
        <v>-1</v>
      </c>
      <c r="H144" s="126" t="s">
        <v>73</v>
      </c>
      <c r="I144" s="127" t="s">
        <v>153</v>
      </c>
      <c r="J144" s="126">
        <v>11</v>
      </c>
      <c r="K144" s="126">
        <v>100</v>
      </c>
      <c r="L144" s="129">
        <f>INT(base[[#This Row],[Data de liquidação]])</f>
        <v>46001</v>
      </c>
      <c r="M144" s="126">
        <f>base[[#This Row],[L/P Bruto]]-base[[#This Row],[L/P Líquido]]</f>
        <v>0</v>
      </c>
      <c r="N144" s="126">
        <f>base[[#This Row],[L/P Líquido]]/base[[#This Row],[Stake/Responsabilidade]]</f>
        <v>-0.01</v>
      </c>
      <c r="O144" s="132">
        <f>IF(base[[#This Row],[L/P Líquido]]&gt;0,1,0)</f>
        <v>0</v>
      </c>
      <c r="P144" s="132"/>
      <c r="Q144" s="132" t="str">
        <f>LEFT(base[[#This Row],[Evento / Mercado]],FIND("vs",base[[#This Row],[Evento / Mercado]])-2)</f>
        <v>Villarreal</v>
      </c>
      <c r="R1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København</v>
      </c>
      <c r="S144" s="132" t="str">
        <f>LEFT(base[[#This Row],[Evento / Mercado]],FIND("/",base[[#This Row],[Evento / Mercado]])-2)</f>
        <v>Villarreal vs FC København</v>
      </c>
    </row>
    <row r="145" spans="2:21" ht="15" customHeight="1">
      <c r="B145" s="128" t="s">
        <v>151</v>
      </c>
      <c r="C145" s="128" t="s">
        <v>2982</v>
      </c>
      <c r="D145" s="129">
        <v>46001.69259259259</v>
      </c>
      <c r="E145" s="130">
        <v>7.64</v>
      </c>
      <c r="F145" s="131">
        <v>4.4999999999999998E-2</v>
      </c>
      <c r="G145" s="126">
        <f t="shared" si="2"/>
        <v>8</v>
      </c>
      <c r="H145" s="126" t="s">
        <v>73</v>
      </c>
      <c r="I145" s="127" t="s">
        <v>16</v>
      </c>
      <c r="J145" s="126">
        <v>13.5</v>
      </c>
      <c r="K145" s="126">
        <v>100</v>
      </c>
      <c r="L145" s="129">
        <f>INT(base[[#This Row],[Data de liquidação]])</f>
        <v>46001</v>
      </c>
      <c r="M145" s="126">
        <f>base[[#This Row],[L/P Bruto]]-base[[#This Row],[L/P Líquido]]</f>
        <v>0.36000000000000032</v>
      </c>
      <c r="N145" s="126">
        <f>base[[#This Row],[L/P Líquido]]/base[[#This Row],[Stake/Responsabilidade]]</f>
        <v>7.6399999999999996E-2</v>
      </c>
      <c r="O145" s="132">
        <f>IF(base[[#This Row],[L/P Líquido]]&gt;0,1,0)</f>
        <v>1</v>
      </c>
      <c r="P145" s="132"/>
      <c r="Q145" s="132" t="str">
        <f>LEFT(base[[#This Row],[Evento / Mercado]],FIND("vs",base[[#This Row],[Evento / Mercado]])-2)</f>
        <v>Villarreal</v>
      </c>
      <c r="R1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København</v>
      </c>
      <c r="S145" s="132" t="str">
        <f>LEFT(base[[#This Row],[Evento / Mercado]],FIND("/",base[[#This Row],[Evento / Mercado]])-2)</f>
        <v>Villarreal vs FC København</v>
      </c>
    </row>
    <row r="146" spans="2:21" ht="15" customHeight="1">
      <c r="B146" s="128" t="s">
        <v>150</v>
      </c>
      <c r="C146" s="128" t="s">
        <v>2982</v>
      </c>
      <c r="D146" s="129">
        <v>46001.777060185188</v>
      </c>
      <c r="E146" s="130">
        <v>5.62</v>
      </c>
      <c r="F146" s="131">
        <v>4.4999999999999998E-2</v>
      </c>
      <c r="G146" s="126">
        <f t="shared" si="2"/>
        <v>5.8848167539267022</v>
      </c>
      <c r="H146" s="126" t="s">
        <v>73</v>
      </c>
      <c r="I146" s="127" t="s">
        <v>13</v>
      </c>
      <c r="J146" s="126">
        <v>18</v>
      </c>
      <c r="K146" s="126">
        <v>99.96</v>
      </c>
      <c r="L146" s="129">
        <f>INT(base[[#This Row],[Data de liquidação]])</f>
        <v>46001</v>
      </c>
      <c r="M146" s="126">
        <f>base[[#This Row],[L/P Bruto]]-base[[#This Row],[L/P Líquido]]</f>
        <v>0.26481675392670212</v>
      </c>
      <c r="N146" s="126">
        <f>base[[#This Row],[L/P Líquido]]/base[[#This Row],[Stake/Responsabilidade]]</f>
        <v>5.6222488995598244E-2</v>
      </c>
      <c r="O146" s="132">
        <f>IF(base[[#This Row],[L/P Líquido]]&gt;0,1,0)</f>
        <v>1</v>
      </c>
      <c r="P146" s="132"/>
      <c r="Q146" s="132" t="str">
        <f>LEFT(base[[#This Row],[Evento / Mercado]],FIND("vs",base[[#This Row],[Evento / Mercado]])-2)</f>
        <v>Ipswich Town</v>
      </c>
      <c r="R1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Stoke City</v>
      </c>
      <c r="S146" s="132" t="str">
        <f>LEFT(base[[#This Row],[Evento / Mercado]],FIND("/",base[[#This Row],[Evento / Mercado]])-2)</f>
        <v>Ipswich Town vs Stoke City</v>
      </c>
    </row>
    <row r="147" spans="2:21" ht="15" customHeight="1">
      <c r="B147" s="128" t="s">
        <v>149</v>
      </c>
      <c r="C147" s="128" t="s">
        <v>2982</v>
      </c>
      <c r="D147" s="129">
        <v>46001.784791666665</v>
      </c>
      <c r="E147" s="130">
        <v>5.62</v>
      </c>
      <c r="F147" s="131">
        <v>4.4999999999999998E-2</v>
      </c>
      <c r="G147" s="126">
        <f t="shared" si="2"/>
        <v>5.8848167539267022</v>
      </c>
      <c r="H147" s="126" t="s">
        <v>73</v>
      </c>
      <c r="I147" s="127" t="s">
        <v>13</v>
      </c>
      <c r="J147" s="126">
        <v>18</v>
      </c>
      <c r="K147" s="126">
        <v>99.96</v>
      </c>
      <c r="L147" s="129">
        <f>INT(base[[#This Row],[Data de liquidação]])</f>
        <v>46001</v>
      </c>
      <c r="M147" s="126">
        <f>base[[#This Row],[L/P Bruto]]-base[[#This Row],[L/P Líquido]]</f>
        <v>0.26481675392670212</v>
      </c>
      <c r="N147" s="126">
        <f>base[[#This Row],[L/P Líquido]]/base[[#This Row],[Stake/Responsabilidade]]</f>
        <v>5.6222488995598244E-2</v>
      </c>
      <c r="O147" s="132">
        <f>IF(base[[#This Row],[L/P Líquido]]&gt;0,1,0)</f>
        <v>1</v>
      </c>
      <c r="P147" s="132"/>
      <c r="Q147" s="132" t="str">
        <f>LEFT(base[[#This Row],[Evento / Mercado]],FIND("vs",base[[#This Row],[Evento / Mercado]])-2)</f>
        <v>Juventus</v>
      </c>
      <c r="R1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Paphos FC</v>
      </c>
      <c r="S147" s="132" t="str">
        <f>LEFT(base[[#This Row],[Evento / Mercado]],FIND("/",base[[#This Row],[Evento / Mercado]])-2)</f>
        <v>Juventus vs Paphos FC</v>
      </c>
    </row>
    <row r="148" spans="2:21" ht="15" customHeight="1">
      <c r="B148" s="128" t="s">
        <v>148</v>
      </c>
      <c r="C148" s="128" t="s">
        <v>2982</v>
      </c>
      <c r="D148" s="129">
        <v>46001.785682870373</v>
      </c>
      <c r="E148" s="130">
        <v>9.5499999999999989</v>
      </c>
      <c r="F148" s="131">
        <v>4.4999999999999998E-2</v>
      </c>
      <c r="G148" s="126">
        <f t="shared" si="2"/>
        <v>10</v>
      </c>
      <c r="H148" s="126" t="s">
        <v>74</v>
      </c>
      <c r="I148" s="127" t="s">
        <v>541</v>
      </c>
      <c r="J148" s="126">
        <v>11</v>
      </c>
      <c r="K148" s="126">
        <v>100</v>
      </c>
      <c r="L148" s="129">
        <f>INT(base[[#This Row],[Data de liquidação]])</f>
        <v>46001</v>
      </c>
      <c r="M148" s="126">
        <f>base[[#This Row],[L/P Bruto]]-base[[#This Row],[L/P Líquido]]</f>
        <v>0.45000000000000107</v>
      </c>
      <c r="N148" s="139">
        <f>base[[#This Row],[L/P Líquido]]/base[[#This Row],[Stake/Responsabilidade]]</f>
        <v>9.5499999999999988E-2</v>
      </c>
      <c r="O148" s="132">
        <f>IF(base[[#This Row],[L/P Líquido]]&gt;0,1,0)</f>
        <v>1</v>
      </c>
      <c r="P148" s="132" t="s">
        <v>972</v>
      </c>
      <c r="Q148" s="132" t="str">
        <f>LEFT(base[[#This Row],[Evento / Mercado]],FIND("vs",base[[#This Row],[Evento / Mercado]])-2)</f>
        <v>Athletic Bilbao</v>
      </c>
      <c r="R1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148" s="132" t="str">
        <f>LEFT(base[[#This Row],[Evento / Mercado]],FIND("/",base[[#This Row],[Evento / Mercado]])-2)</f>
        <v>Athletic Bilbao vs Paris Saint-Germain</v>
      </c>
      <c r="T148" s="8">
        <v>10</v>
      </c>
      <c r="U148" s="9">
        <f>T148*0.955</f>
        <v>9.5499999999999989</v>
      </c>
    </row>
    <row r="149" spans="2:21" ht="15" customHeight="1">
      <c r="B149" s="128" t="s">
        <v>148</v>
      </c>
      <c r="C149" s="128" t="s">
        <v>2982</v>
      </c>
      <c r="D149" s="129">
        <v>46001.785682870373</v>
      </c>
      <c r="E149" s="130">
        <v>5.6153999999999993</v>
      </c>
      <c r="F149" s="131">
        <v>4.4999999999999998E-2</v>
      </c>
      <c r="G149" s="126">
        <f t="shared" si="2"/>
        <v>5.88</v>
      </c>
      <c r="H149" s="126" t="s">
        <v>74</v>
      </c>
      <c r="I149" s="127" t="s">
        <v>542</v>
      </c>
      <c r="J149" s="126">
        <v>18</v>
      </c>
      <c r="K149" s="126">
        <v>99.96</v>
      </c>
      <c r="L149" s="129">
        <f>INT(base[[#This Row],[Data de liquidação]])</f>
        <v>46001</v>
      </c>
      <c r="M149" s="126">
        <f>base[[#This Row],[L/P Bruto]]-base[[#This Row],[L/P Líquido]]</f>
        <v>0.26460000000000061</v>
      </c>
      <c r="N149" s="139">
        <f>base[[#This Row],[L/P Líquido]]/base[[#This Row],[Stake/Responsabilidade]]</f>
        <v>5.6176470588235293E-2</v>
      </c>
      <c r="O149" s="132">
        <f>IF(base[[#This Row],[L/P Líquido]]&gt;0,1,0)</f>
        <v>1</v>
      </c>
      <c r="P149" s="132" t="s">
        <v>972</v>
      </c>
      <c r="Q149" s="132" t="str">
        <f>LEFT(base[[#This Row],[Evento / Mercado]],FIND("vs",base[[#This Row],[Evento / Mercado]])-2)</f>
        <v>Athletic Bilbao</v>
      </c>
      <c r="R1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149" s="132" t="str">
        <f>LEFT(base[[#This Row],[Evento / Mercado]],FIND("/",base[[#This Row],[Evento / Mercado]])-2)</f>
        <v>Athletic Bilbao vs Paris Saint-Germain</v>
      </c>
      <c r="T149" s="8">
        <v>5.88</v>
      </c>
      <c r="U149" s="9">
        <f>T149*0.955</f>
        <v>5.6153999999999993</v>
      </c>
    </row>
    <row r="150" spans="2:21" ht="15" customHeight="1">
      <c r="B150" s="128" t="s">
        <v>147</v>
      </c>
      <c r="C150" s="128" t="s">
        <v>2982</v>
      </c>
      <c r="D150" s="129">
        <v>46001.787210648145</v>
      </c>
      <c r="E150" s="130">
        <v>9.5500000000000007</v>
      </c>
      <c r="F150" s="131">
        <v>4.4999999999999998E-2</v>
      </c>
      <c r="G150" s="126">
        <f t="shared" si="2"/>
        <v>10.000000000000002</v>
      </c>
      <c r="H150" s="126" t="s">
        <v>74</v>
      </c>
      <c r="I150" s="127" t="s">
        <v>541</v>
      </c>
      <c r="J150" s="126">
        <v>11</v>
      </c>
      <c r="K150" s="126">
        <v>100</v>
      </c>
      <c r="L150" s="129">
        <f>INT(base[[#This Row],[Data de liquidação]])</f>
        <v>46001</v>
      </c>
      <c r="M150" s="126">
        <f>base[[#This Row],[L/P Bruto]]-base[[#This Row],[L/P Líquido]]</f>
        <v>0.45000000000000107</v>
      </c>
      <c r="N150" s="139">
        <f>base[[#This Row],[L/P Líquido]]/base[[#This Row],[Stake/Responsabilidade]]</f>
        <v>9.5500000000000002E-2</v>
      </c>
      <c r="O150" s="132">
        <f>IF(base[[#This Row],[L/P Líquido]]&gt;0,1,0)</f>
        <v>1</v>
      </c>
      <c r="P150" s="132" t="s">
        <v>972</v>
      </c>
      <c r="Q150" s="132" t="str">
        <f>LEFT(base[[#This Row],[Evento / Mercado]],FIND("vs",base[[#This Row],[Evento / Mercado]])-2)</f>
        <v>Club Brugge</v>
      </c>
      <c r="R1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150" s="132" t="str">
        <f>LEFT(base[[#This Row],[Evento / Mercado]],FIND("/",base[[#This Row],[Evento / Mercado]])-2)</f>
        <v>Club Brugge vs Arsenal</v>
      </c>
    </row>
    <row r="151" spans="2:21" ht="15" customHeight="1">
      <c r="B151" s="128" t="s">
        <v>146</v>
      </c>
      <c r="C151" s="128" t="s">
        <v>2982</v>
      </c>
      <c r="D151" s="129">
        <v>46001.787719907406</v>
      </c>
      <c r="E151" s="130">
        <v>6.82</v>
      </c>
      <c r="F151" s="131">
        <v>4.4999999999999998E-2</v>
      </c>
      <c r="G151" s="126">
        <f t="shared" si="2"/>
        <v>7.1413612565445028</v>
      </c>
      <c r="H151" s="126" t="s">
        <v>122</v>
      </c>
      <c r="I151" s="127" t="s">
        <v>477</v>
      </c>
      <c r="J151" s="126">
        <v>14.5</v>
      </c>
      <c r="K151" s="126">
        <v>96.39</v>
      </c>
      <c r="L151" s="129">
        <f>INT(base[[#This Row],[Data de liquidação]])</f>
        <v>46001</v>
      </c>
      <c r="M151" s="126">
        <f>base[[#This Row],[L/P Bruto]]-base[[#This Row],[L/P Líquido]]</f>
        <v>0.32136125654450254</v>
      </c>
      <c r="N151" s="126">
        <f>base[[#This Row],[L/P Líquido]]/base[[#This Row],[Stake/Responsabilidade]]</f>
        <v>7.0754227616972712E-2</v>
      </c>
      <c r="O151" s="132">
        <f>IF(base[[#This Row],[L/P Líquido]]&gt;0,1,0)</f>
        <v>1</v>
      </c>
      <c r="P151" s="132" t="s">
        <v>972</v>
      </c>
      <c r="Q151" s="132" t="str">
        <f>LEFT(base[[#This Row],[Evento / Mercado]],FIND("vs",base[[#This Row],[Evento / Mercado]])-2)</f>
        <v>Borussia Dortmund</v>
      </c>
      <c r="R1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151" s="132" t="str">
        <f>LEFT(base[[#This Row],[Evento / Mercado]],FIND("/",base[[#This Row],[Evento / Mercado]])-2)</f>
        <v>Borussia Dortmund vs Bod</v>
      </c>
    </row>
    <row r="152" spans="2:21" ht="15" customHeight="1">
      <c r="B152" s="128" t="s">
        <v>158</v>
      </c>
      <c r="C152" s="128" t="s">
        <v>2982</v>
      </c>
      <c r="D152" s="129">
        <v>46002.691354166665</v>
      </c>
      <c r="E152" s="130">
        <v>-100.05</v>
      </c>
      <c r="F152" s="131">
        <v>4.4999999999999998E-2</v>
      </c>
      <c r="G152" s="126">
        <f t="shared" si="2"/>
        <v>-100.05</v>
      </c>
      <c r="H152" s="126" t="s">
        <v>73</v>
      </c>
      <c r="I152" s="127" t="s">
        <v>16</v>
      </c>
      <c r="J152" s="126">
        <v>12.5</v>
      </c>
      <c r="K152" s="126">
        <v>100.05</v>
      </c>
      <c r="L152" s="129">
        <f>INT(base[[#This Row],[Data de liquidação]])</f>
        <v>46002</v>
      </c>
      <c r="M152" s="126">
        <f>base[[#This Row],[L/P Bruto]]-base[[#This Row],[L/P Líquido]]</f>
        <v>0</v>
      </c>
      <c r="N152" s="126">
        <f>base[[#This Row],[L/P Líquido]]/base[[#This Row],[Stake/Responsabilidade]]</f>
        <v>-1</v>
      </c>
      <c r="O152" s="132">
        <f>IF(base[[#This Row],[L/P Líquido]]&gt;0,1,0)</f>
        <v>0</v>
      </c>
      <c r="P152" s="132"/>
      <c r="Q152" s="132" t="str">
        <f>LEFT(base[[#This Row],[Evento / Mercado]],FIND("vs",base[[#This Row],[Evento / Mercado]])-2)</f>
        <v>FC Midtjylland</v>
      </c>
      <c r="R1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Genk</v>
      </c>
      <c r="S152" s="132" t="str">
        <f>LEFT(base[[#This Row],[Evento / Mercado]],FIND("/",base[[#This Row],[Evento / Mercado]])-2)</f>
        <v>FC Midtjylland vs Racing Genk</v>
      </c>
    </row>
    <row r="153" spans="2:21" ht="15" customHeight="1">
      <c r="B153" s="128" t="s">
        <v>157</v>
      </c>
      <c r="C153" s="128" t="s">
        <v>2982</v>
      </c>
      <c r="D153" s="129">
        <v>46002.694398148145</v>
      </c>
      <c r="E153" s="130">
        <v>11.65</v>
      </c>
      <c r="F153" s="131">
        <v>4.4999999999999998E-2</v>
      </c>
      <c r="G153" s="126">
        <f t="shared" si="2"/>
        <v>12.198952879581153</v>
      </c>
      <c r="H153" s="126" t="s">
        <v>73</v>
      </c>
      <c r="I153" s="127" t="s">
        <v>13</v>
      </c>
      <c r="J153" s="126">
        <v>9.1999999999999993</v>
      </c>
      <c r="K153" s="126">
        <v>100.04</v>
      </c>
      <c r="L153" s="129">
        <f>INT(base[[#This Row],[Data de liquidação]])</f>
        <v>46002</v>
      </c>
      <c r="M153" s="126">
        <f>base[[#This Row],[L/P Bruto]]-base[[#This Row],[L/P Líquido]]</f>
        <v>0.54895287958115269</v>
      </c>
      <c r="N153" s="126">
        <f>base[[#This Row],[L/P Líquido]]/base[[#This Row],[Stake/Responsabilidade]]</f>
        <v>0.11645341863254698</v>
      </c>
      <c r="O153" s="132">
        <f>IF(base[[#This Row],[L/P Líquido]]&gt;0,1,0)</f>
        <v>1</v>
      </c>
      <c r="P153" s="132"/>
      <c r="Q153" s="132" t="str">
        <f>LEFT(base[[#This Row],[Evento / Mercado]],FIND("vs",base[[#This Row],[Evento / Mercado]])-2)</f>
        <v>KF Drita</v>
      </c>
      <c r="R1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AZ Alkmaar</v>
      </c>
      <c r="S153" s="132" t="str">
        <f>LEFT(base[[#This Row],[Evento / Mercado]],FIND("/",base[[#This Row],[Evento / Mercado]])-2)</f>
        <v>KF Drita vs AZ Alkmaar</v>
      </c>
    </row>
    <row r="154" spans="2:21" ht="15" customHeight="1">
      <c r="B154" s="128" t="s">
        <v>156</v>
      </c>
      <c r="C154" s="128" t="s">
        <v>2982</v>
      </c>
      <c r="D154" s="129">
        <v>46002.6955787037</v>
      </c>
      <c r="E154" s="130">
        <v>10.06</v>
      </c>
      <c r="F154" s="131">
        <v>4.4999999999999998E-2</v>
      </c>
      <c r="G154" s="126">
        <f t="shared" si="2"/>
        <v>10.534031413612567</v>
      </c>
      <c r="H154" s="126" t="s">
        <v>73</v>
      </c>
      <c r="I154" s="127" t="s">
        <v>16</v>
      </c>
      <c r="J154" s="126">
        <v>10.5</v>
      </c>
      <c r="K154" s="126">
        <v>100.04</v>
      </c>
      <c r="L154" s="129">
        <f>INT(base[[#This Row],[Data de liquidação]])</f>
        <v>46002</v>
      </c>
      <c r="M154" s="126">
        <f>base[[#This Row],[L/P Bruto]]-base[[#This Row],[L/P Líquido]]</f>
        <v>0.47403141361256651</v>
      </c>
      <c r="N154" s="126">
        <f>base[[#This Row],[L/P Líquido]]/base[[#This Row],[Stake/Responsabilidade]]</f>
        <v>0.10055977608956418</v>
      </c>
      <c r="O154" s="132">
        <f>IF(base[[#This Row],[L/P Líquido]]&gt;0,1,0)</f>
        <v>1</v>
      </c>
      <c r="P154" s="132"/>
      <c r="Q154" s="132" t="str">
        <f>LEFT(base[[#This Row],[Evento / Mercado]],FIND("vs",base[[#This Row],[Evento / Mercado]])-2)</f>
        <v>Ferencvárosi TC</v>
      </c>
      <c r="R1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Rangers</v>
      </c>
      <c r="S154" s="132" t="str">
        <f>LEFT(base[[#This Row],[Evento / Mercado]],FIND("/",base[[#This Row],[Evento / Mercado]])-2)</f>
        <v>Ferencvárosi TC vs Rangers</v>
      </c>
    </row>
    <row r="155" spans="2:21" ht="15" customHeight="1">
      <c r="B155" s="128" t="s">
        <v>155</v>
      </c>
      <c r="C155" s="128" t="s">
        <v>2982</v>
      </c>
      <c r="D155" s="129">
        <v>46002.791608796295</v>
      </c>
      <c r="E155" s="130">
        <v>12.2431</v>
      </c>
      <c r="F155" s="131">
        <v>4.4999999999999998E-2</v>
      </c>
      <c r="G155" s="126">
        <f t="shared" si="2"/>
        <v>12.82</v>
      </c>
      <c r="H155" s="126" t="s">
        <v>73</v>
      </c>
      <c r="I155" s="127" t="s">
        <v>16</v>
      </c>
      <c r="J155" s="126">
        <v>8.8000000000000007</v>
      </c>
      <c r="K155" s="126">
        <v>100</v>
      </c>
      <c r="L155" s="129">
        <f>INT(base[[#This Row],[Data de liquidação]])</f>
        <v>46002</v>
      </c>
      <c r="M155" s="126">
        <f>base[[#This Row],[L/P Bruto]]-base[[#This Row],[L/P Líquido]]</f>
        <v>0.57690000000000019</v>
      </c>
      <c r="N155" s="126">
        <f>base[[#This Row],[L/P Líquido]]/base[[#This Row],[Stake/Responsabilidade]]</f>
        <v>0.122431</v>
      </c>
      <c r="O155" s="132">
        <f>IF(base[[#This Row],[L/P Líquido]]&gt;0,1,0)</f>
        <v>1</v>
      </c>
      <c r="P155" s="132"/>
      <c r="Q155" s="132" t="str">
        <f>LEFT(base[[#This Row],[Evento / Mercado]],FIND("vs",base[[#This Row],[Evento / Mercado]])-2)</f>
        <v>Montego Bay United</v>
      </c>
      <c r="R1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Harbour View</v>
      </c>
      <c r="S155" s="132" t="str">
        <f>LEFT(base[[#This Row],[Evento / Mercado]],FIND("/",base[[#This Row],[Evento / Mercado]])-2)</f>
        <v>Montego Bay United vs Harbour View</v>
      </c>
      <c r="T155" s="8">
        <v>12.82</v>
      </c>
      <c r="U155" s="9">
        <f>T155*0.955</f>
        <v>12.2431</v>
      </c>
    </row>
    <row r="156" spans="2:21" ht="15" customHeight="1">
      <c r="B156" s="128" t="s">
        <v>155</v>
      </c>
      <c r="C156" s="128" t="s">
        <v>2982</v>
      </c>
      <c r="D156" s="129">
        <v>46002.791608796295</v>
      </c>
      <c r="E156" s="130">
        <v>5.6153999999999993</v>
      </c>
      <c r="F156" s="131">
        <v>4.4999999999999998E-2</v>
      </c>
      <c r="G156" s="126">
        <f t="shared" si="2"/>
        <v>5.88</v>
      </c>
      <c r="H156" s="126" t="s">
        <v>73</v>
      </c>
      <c r="I156" s="127" t="s">
        <v>13</v>
      </c>
      <c r="J156" s="126">
        <v>18</v>
      </c>
      <c r="K156" s="126">
        <v>99.96</v>
      </c>
      <c r="L156" s="129">
        <f>INT(base[[#This Row],[Data de liquidação]])</f>
        <v>46002</v>
      </c>
      <c r="M156" s="126">
        <f>base[[#This Row],[L/P Bruto]]-base[[#This Row],[L/P Líquido]]</f>
        <v>0.26460000000000061</v>
      </c>
      <c r="N156" s="126">
        <f>base[[#This Row],[L/P Líquido]]/base[[#This Row],[Stake/Responsabilidade]]</f>
        <v>5.6176470588235293E-2</v>
      </c>
      <c r="O156" s="132">
        <f>IF(base[[#This Row],[L/P Líquido]]&gt;0,1,0)</f>
        <v>1</v>
      </c>
      <c r="P156" s="132"/>
      <c r="Q156" s="132" t="str">
        <f>LEFT(base[[#This Row],[Evento / Mercado]],FIND("vs",base[[#This Row],[Evento / Mercado]])-2)</f>
        <v>Montego Bay United</v>
      </c>
      <c r="R1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Harbour View</v>
      </c>
      <c r="S156" s="132" t="str">
        <f>LEFT(base[[#This Row],[Evento / Mercado]],FIND("/",base[[#This Row],[Evento / Mercado]])-2)</f>
        <v>Montego Bay United vs Harbour View</v>
      </c>
      <c r="T156" s="8">
        <v>5.88</v>
      </c>
      <c r="U156" s="9">
        <f>T156*0.955</f>
        <v>5.6153999999999993</v>
      </c>
    </row>
    <row r="157" spans="2:21" ht="15" customHeight="1">
      <c r="B157" s="128" t="s">
        <v>200</v>
      </c>
      <c r="C157" s="128" t="s">
        <v>2982</v>
      </c>
      <c r="D157" s="129">
        <v>46003.745208333334</v>
      </c>
      <c r="E157" s="130">
        <v>5.62</v>
      </c>
      <c r="F157" s="131">
        <v>4.4999999999999998E-2</v>
      </c>
      <c r="G157" s="126">
        <f t="shared" si="2"/>
        <v>5.8848167539267022</v>
      </c>
      <c r="H157" s="126" t="s">
        <v>73</v>
      </c>
      <c r="I157" s="127" t="s">
        <v>13</v>
      </c>
      <c r="J157" s="126">
        <v>18</v>
      </c>
      <c r="K157" s="126">
        <v>99.96</v>
      </c>
      <c r="L157" s="129">
        <f>INT(base[[#This Row],[Data de liquidação]])</f>
        <v>46003</v>
      </c>
      <c r="M157" s="126">
        <f>base[[#This Row],[L/P Bruto]]-base[[#This Row],[L/P Líquido]]</f>
        <v>0.26481675392670212</v>
      </c>
      <c r="N157" s="126">
        <f>base[[#This Row],[L/P Líquido]]/base[[#This Row],[Stake/Responsabilidade]]</f>
        <v>5.6222488995598244E-2</v>
      </c>
      <c r="O157" s="132">
        <f>IF(base[[#This Row],[L/P Líquido]]&gt;0,1,0)</f>
        <v>1</v>
      </c>
      <c r="P157" s="132" t="s">
        <v>960</v>
      </c>
      <c r="Q157" s="132" t="str">
        <f>LEFT(base[[#This Row],[Evento / Mercado]],FIND("vs",base[[#This Row],[Evento / Mercado]])-2)</f>
        <v>Jong PSV Eindhoven</v>
      </c>
      <c r="R1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Almere City</v>
      </c>
      <c r="S157" s="132" t="e">
        <f>LEFT(base[[#This Row],[Evento / Mercado]],FIND("/",base[[#This Row],[Evento / Mercado]])-2)</f>
        <v>#VALUE!</v>
      </c>
    </row>
    <row r="158" spans="2:21" ht="15" customHeight="1">
      <c r="B158" s="128" t="s">
        <v>199</v>
      </c>
      <c r="C158" s="128" t="s">
        <v>2982</v>
      </c>
      <c r="D158" s="129">
        <v>46003.745243055557</v>
      </c>
      <c r="E158" s="130">
        <v>-99.99</v>
      </c>
      <c r="F158" s="131">
        <v>4.4999999999999998E-2</v>
      </c>
      <c r="G158" s="126">
        <f t="shared" si="2"/>
        <v>-99.99</v>
      </c>
      <c r="H158" s="126" t="s">
        <v>73</v>
      </c>
      <c r="I158" s="127" t="s">
        <v>13</v>
      </c>
      <c r="J158" s="126">
        <v>17.5</v>
      </c>
      <c r="K158" s="126">
        <v>99.99</v>
      </c>
      <c r="L158" s="129">
        <f>INT(base[[#This Row],[Data de liquidação]])</f>
        <v>46003</v>
      </c>
      <c r="M158" s="126">
        <f>base[[#This Row],[L/P Bruto]]-base[[#This Row],[L/P Líquido]]</f>
        <v>0</v>
      </c>
      <c r="N158" s="126">
        <f>base[[#This Row],[L/P Líquido]]/base[[#This Row],[Stake/Responsabilidade]]</f>
        <v>-1</v>
      </c>
      <c r="O158" s="132">
        <f>IF(base[[#This Row],[L/P Líquido]]&gt;0,1,0)</f>
        <v>0</v>
      </c>
      <c r="P158" s="132" t="s">
        <v>960</v>
      </c>
      <c r="Q158" s="132" t="str">
        <f>LEFT(base[[#This Row],[Evento / Mercado]],FIND("vs",base[[#This Row],[Evento / Mercado]])-2)</f>
        <v>Willem II</v>
      </c>
      <c r="R1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Cambuur Leeuwarden</v>
      </c>
      <c r="S158" s="132" t="e">
        <f>LEFT(base[[#This Row],[Evento / Mercado]],FIND("/",base[[#This Row],[Evento / Mercado]])-2)</f>
        <v>#VALUE!</v>
      </c>
    </row>
    <row r="159" spans="2:21" ht="15" customHeight="1">
      <c r="B159" s="128" t="s">
        <v>154</v>
      </c>
      <c r="C159" s="128" t="s">
        <v>2982</v>
      </c>
      <c r="D159" s="129">
        <v>46003.748090277775</v>
      </c>
      <c r="E159" s="130">
        <v>9.0915999999999997</v>
      </c>
      <c r="F159" s="131">
        <v>4.4999999999999998E-2</v>
      </c>
      <c r="G159" s="126">
        <f t="shared" si="2"/>
        <v>9.52</v>
      </c>
      <c r="H159" s="126" t="s">
        <v>73</v>
      </c>
      <c r="I159" s="127" t="s">
        <v>16</v>
      </c>
      <c r="J159" s="126">
        <v>11.5</v>
      </c>
      <c r="K159" s="126">
        <v>99.96</v>
      </c>
      <c r="L159" s="129">
        <f>INT(base[[#This Row],[Data de liquidação]])</f>
        <v>46003</v>
      </c>
      <c r="M159" s="126">
        <f>base[[#This Row],[L/P Bruto]]-base[[#This Row],[L/P Líquido]]</f>
        <v>0.42839999999999989</v>
      </c>
      <c r="N159" s="126">
        <f>base[[#This Row],[L/P Líquido]]/base[[#This Row],[Stake/Responsabilidade]]</f>
        <v>9.0952380952380951E-2</v>
      </c>
      <c r="O159" s="132">
        <f>IF(base[[#This Row],[L/P Líquido]]&gt;0,1,0)</f>
        <v>1</v>
      </c>
      <c r="P159" s="132" t="s">
        <v>961</v>
      </c>
      <c r="Q159" s="132" t="str">
        <f>LEFT(base[[#This Row],[Evento / Mercado]],FIND("vs",base[[#This Row],[Evento / Mercado]])-2)</f>
        <v>Pau FC</v>
      </c>
      <c r="R1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Amiens SC</v>
      </c>
      <c r="S159" s="132" t="e">
        <f>LEFT(base[[#This Row],[Evento / Mercado]],FIND("/",base[[#This Row],[Evento / Mercado]])-2)</f>
        <v>#VALUE!</v>
      </c>
      <c r="T159" s="8">
        <v>9.52</v>
      </c>
      <c r="U159" s="9">
        <f>T159*0.955</f>
        <v>9.0915999999999997</v>
      </c>
    </row>
    <row r="160" spans="2:21" ht="15" customHeight="1">
      <c r="B160" s="128" t="s">
        <v>154</v>
      </c>
      <c r="C160" s="128" t="s">
        <v>2982</v>
      </c>
      <c r="D160" s="129">
        <v>46003.748090277775</v>
      </c>
      <c r="E160" s="130">
        <v>5.6153999999999993</v>
      </c>
      <c r="F160" s="131">
        <v>4.4999999999999998E-2</v>
      </c>
      <c r="G160" s="126">
        <f t="shared" si="2"/>
        <v>5.88</v>
      </c>
      <c r="H160" s="126" t="s">
        <v>73</v>
      </c>
      <c r="I160" s="127" t="s">
        <v>13</v>
      </c>
      <c r="J160" s="126">
        <v>18</v>
      </c>
      <c r="K160" s="126">
        <v>99.96</v>
      </c>
      <c r="L160" s="129">
        <f>INT(base[[#This Row],[Data de liquidação]])</f>
        <v>46003</v>
      </c>
      <c r="M160" s="126">
        <f>base[[#This Row],[L/P Bruto]]-base[[#This Row],[L/P Líquido]]</f>
        <v>0.26460000000000061</v>
      </c>
      <c r="N160" s="126">
        <f>base[[#This Row],[L/P Líquido]]/base[[#This Row],[Stake/Responsabilidade]]</f>
        <v>5.6176470588235293E-2</v>
      </c>
      <c r="O160" s="132">
        <f>IF(base[[#This Row],[L/P Líquido]]&gt;0,1,0)</f>
        <v>1</v>
      </c>
      <c r="P160" s="132" t="s">
        <v>961</v>
      </c>
      <c r="Q160" s="132" t="str">
        <f>LEFT(base[[#This Row],[Evento / Mercado]],FIND("vs",base[[#This Row],[Evento / Mercado]])-2)</f>
        <v>Pau FC</v>
      </c>
      <c r="R1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Amiens SC</v>
      </c>
      <c r="S160" s="132" t="e">
        <f>LEFT(base[[#This Row],[Evento / Mercado]],FIND("/",base[[#This Row],[Evento / Mercado]])-2)</f>
        <v>#VALUE!</v>
      </c>
      <c r="T160" s="8">
        <v>5.88</v>
      </c>
      <c r="U160" s="9">
        <f>T160*0.955</f>
        <v>5.6153999999999993</v>
      </c>
    </row>
    <row r="161" spans="2:21" ht="15" customHeight="1">
      <c r="B161" s="128" t="s">
        <v>198</v>
      </c>
      <c r="C161" s="128" t="s">
        <v>2982</v>
      </c>
      <c r="D161" s="129">
        <v>46003.756666666668</v>
      </c>
      <c r="E161" s="130">
        <v>9.5500000000000007</v>
      </c>
      <c r="F161" s="131">
        <v>4.4999999999999998E-2</v>
      </c>
      <c r="G161" s="126">
        <f t="shared" si="2"/>
        <v>10.000000000000002</v>
      </c>
      <c r="H161" s="126" t="s">
        <v>73</v>
      </c>
      <c r="I161" s="127" t="s">
        <v>16</v>
      </c>
      <c r="J161" s="126">
        <v>11</v>
      </c>
      <c r="K161" s="126">
        <v>100</v>
      </c>
      <c r="L161" s="129">
        <f>INT(base[[#This Row],[Data de liquidação]])</f>
        <v>46003</v>
      </c>
      <c r="M161" s="126">
        <f>base[[#This Row],[L/P Bruto]]-base[[#This Row],[L/P Líquido]]</f>
        <v>0.45000000000000107</v>
      </c>
      <c r="N161" s="126">
        <f>base[[#This Row],[L/P Líquido]]/base[[#This Row],[Stake/Responsabilidade]]</f>
        <v>9.5500000000000002E-2</v>
      </c>
      <c r="O161" s="132">
        <f>IF(base[[#This Row],[L/P Líquido]]&gt;0,1,0)</f>
        <v>1</v>
      </c>
      <c r="P161" s="132"/>
      <c r="Q161" s="132" t="str">
        <f>LEFT(base[[#This Row],[Evento / Mercado]],FIND("vs",base[[#This Row],[Evento / Mercado]])-2)</f>
        <v>FC Aarau</v>
      </c>
      <c r="R1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Etoile-Carouge FC</v>
      </c>
      <c r="S161" s="132" t="e">
        <f>LEFT(base[[#This Row],[Evento / Mercado]],FIND("/",base[[#This Row],[Evento / Mercado]])-2)</f>
        <v>#VALUE!</v>
      </c>
    </row>
    <row r="162" spans="2:21" ht="15" customHeight="1">
      <c r="B162" s="128" t="s">
        <v>197</v>
      </c>
      <c r="C162" s="128" t="s">
        <v>2982</v>
      </c>
      <c r="D162" s="129">
        <v>46003.765659722223</v>
      </c>
      <c r="E162" s="130">
        <v>7.64</v>
      </c>
      <c r="F162" s="131">
        <v>4.4999999999999998E-2</v>
      </c>
      <c r="G162" s="126">
        <f t="shared" si="2"/>
        <v>8</v>
      </c>
      <c r="H162" s="126" t="s">
        <v>74</v>
      </c>
      <c r="I162" s="127" t="s">
        <v>75</v>
      </c>
      <c r="J162" s="126">
        <v>13.5</v>
      </c>
      <c r="K162" s="126">
        <v>100</v>
      </c>
      <c r="L162" s="129">
        <f>INT(base[[#This Row],[Data de liquidação]])</f>
        <v>46003</v>
      </c>
      <c r="M162" s="126">
        <f>base[[#This Row],[L/P Bruto]]-base[[#This Row],[L/P Líquido]]</f>
        <v>0.36000000000000032</v>
      </c>
      <c r="N162" s="139">
        <f>base[[#This Row],[L/P Líquido]]/base[[#This Row],[Stake/Responsabilidade]]</f>
        <v>7.6399999999999996E-2</v>
      </c>
      <c r="O162" s="132">
        <f>IF(base[[#This Row],[L/P Líquido]]&gt;0,1,0)</f>
        <v>1</v>
      </c>
      <c r="P162" s="132" t="s">
        <v>962</v>
      </c>
      <c r="Q162" s="132" t="str">
        <f>LEFT(base[[#This Row],[Evento / Mercado]],FIND("vs",base[[#This Row],[Evento / Mercado]])-2)</f>
        <v>1. FC Union Berlin</v>
      </c>
      <c r="R1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RB Leipzig</v>
      </c>
      <c r="S162" s="132" t="e">
        <f>LEFT(base[[#This Row],[Evento / Mercado]],FIND("/",base[[#This Row],[Evento / Mercado]])-2)</f>
        <v>#VALUE!</v>
      </c>
    </row>
    <row r="163" spans="2:21" ht="15" customHeight="1">
      <c r="B163" s="128" t="s">
        <v>196</v>
      </c>
      <c r="C163" s="128" t="s">
        <v>2982</v>
      </c>
      <c r="D163" s="129">
        <v>46004.497488425928</v>
      </c>
      <c r="E163" s="130">
        <v>10.06</v>
      </c>
      <c r="F163" s="131">
        <v>4.4999999999999998E-2</v>
      </c>
      <c r="G163" s="126">
        <f t="shared" si="2"/>
        <v>10.534031413612567</v>
      </c>
      <c r="H163" s="126" t="s">
        <v>73</v>
      </c>
      <c r="I163" s="127" t="s">
        <v>16</v>
      </c>
      <c r="J163" s="126">
        <v>10.5</v>
      </c>
      <c r="K163" s="126">
        <v>100.04</v>
      </c>
      <c r="L163" s="129">
        <f>INT(base[[#This Row],[Data de liquidação]])</f>
        <v>46004</v>
      </c>
      <c r="M163" s="126">
        <f>base[[#This Row],[L/P Bruto]]-base[[#This Row],[L/P Líquido]]</f>
        <v>0.47403141361256651</v>
      </c>
      <c r="N163" s="126">
        <f>base[[#This Row],[L/P Líquido]]/base[[#This Row],[Stake/Responsabilidade]]</f>
        <v>0.10055977608956418</v>
      </c>
      <c r="O163" s="132">
        <f>IF(base[[#This Row],[L/P Líquido]]&gt;0,1,0)</f>
        <v>1</v>
      </c>
      <c r="P163" s="132"/>
      <c r="Q163" s="132" t="str">
        <f>LEFT(base[[#This Row],[Evento / Mercado]],FIND("vs",base[[#This Row],[Evento / Mercado]])-2)</f>
        <v>MSV Duisburg</v>
      </c>
      <c r="R1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Erzgebirge Aue</v>
      </c>
      <c r="S163" s="132" t="e">
        <f>LEFT(base[[#This Row],[Evento / Mercado]],FIND("/",base[[#This Row],[Evento / Mercado]])-2)</f>
        <v>#VALUE!</v>
      </c>
    </row>
    <row r="164" spans="2:21" ht="15" customHeight="1">
      <c r="B164" s="128" t="s">
        <v>195</v>
      </c>
      <c r="C164" s="128" t="s">
        <v>2982</v>
      </c>
      <c r="D164" s="129">
        <v>46004.558715277781</v>
      </c>
      <c r="E164" s="130">
        <v>7.34</v>
      </c>
      <c r="F164" s="131">
        <v>4.4999999999999998E-2</v>
      </c>
      <c r="G164" s="126">
        <f t="shared" si="2"/>
        <v>7.6858638743455501</v>
      </c>
      <c r="H164" s="126" t="s">
        <v>73</v>
      </c>
      <c r="I164" s="127" t="s">
        <v>16</v>
      </c>
      <c r="J164" s="126">
        <v>14</v>
      </c>
      <c r="K164" s="126">
        <v>99.97</v>
      </c>
      <c r="L164" s="129">
        <f>INT(base[[#This Row],[Data de liquidação]])</f>
        <v>46004</v>
      </c>
      <c r="M164" s="126">
        <f>base[[#This Row],[L/P Bruto]]-base[[#This Row],[L/P Líquido]]</f>
        <v>0.34586387434555022</v>
      </c>
      <c r="N164" s="126">
        <f>base[[#This Row],[L/P Líquido]]/base[[#This Row],[Stake/Responsabilidade]]</f>
        <v>7.3422026607982388E-2</v>
      </c>
      <c r="O164" s="132">
        <f>IF(base[[#This Row],[L/P Líquido]]&gt;0,1,0)</f>
        <v>1</v>
      </c>
      <c r="P164" s="132"/>
      <c r="Q164" s="132" t="str">
        <f>LEFT(base[[#This Row],[Evento / Mercado]],FIND("vs",base[[#This Row],[Evento / Mercado]])-2)</f>
        <v>1899 Hoffenheim</v>
      </c>
      <c r="R1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64" s="132" t="e">
        <f>LEFT(base[[#This Row],[Evento / Mercado]],FIND("/",base[[#This Row],[Evento / Mercado]])-2)</f>
        <v>#VALUE!</v>
      </c>
    </row>
    <row r="165" spans="2:21" ht="15" customHeight="1">
      <c r="B165" s="128" t="s">
        <v>194</v>
      </c>
      <c r="C165" s="128" t="s">
        <v>2982</v>
      </c>
      <c r="D165" s="129">
        <v>46004.559942129628</v>
      </c>
      <c r="E165" s="130">
        <v>7.34</v>
      </c>
      <c r="F165" s="131">
        <v>4.4999999999999998E-2</v>
      </c>
      <c r="G165" s="126">
        <f t="shared" si="2"/>
        <v>7.6858638743455501</v>
      </c>
      <c r="H165" s="126" t="s">
        <v>73</v>
      </c>
      <c r="I165" s="127" t="s">
        <v>13</v>
      </c>
      <c r="J165" s="126">
        <v>14</v>
      </c>
      <c r="K165" s="126">
        <v>99.97</v>
      </c>
      <c r="L165" s="129">
        <f>INT(base[[#This Row],[Data de liquidação]])</f>
        <v>46004</v>
      </c>
      <c r="M165" s="126">
        <f>base[[#This Row],[L/P Bruto]]-base[[#This Row],[L/P Líquido]]</f>
        <v>0.34586387434555022</v>
      </c>
      <c r="N165" s="126">
        <f>base[[#This Row],[L/P Líquido]]/base[[#This Row],[Stake/Responsabilidade]]</f>
        <v>7.3422026607982388E-2</v>
      </c>
      <c r="O165" s="132">
        <f>IF(base[[#This Row],[L/P Líquido]]&gt;0,1,0)</f>
        <v>1</v>
      </c>
      <c r="P165" s="132"/>
      <c r="Q165" s="132" t="str">
        <f>LEFT(base[[#This Row],[Evento / Mercado]],FIND("vs",base[[#This Row],[Evento / Mercado]])-2)</f>
        <v>FC St. Pauli</v>
      </c>
      <c r="R1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Heidenheim</v>
      </c>
      <c r="S165" s="132" t="e">
        <f>LEFT(base[[#This Row],[Evento / Mercado]],FIND("/",base[[#This Row],[Evento / Mercado]])-2)</f>
        <v>#VALUE!</v>
      </c>
    </row>
    <row r="166" spans="2:21" ht="15" customHeight="1">
      <c r="B166" s="128" t="s">
        <v>193</v>
      </c>
      <c r="C166" s="128" t="s">
        <v>2982</v>
      </c>
      <c r="D166" s="129">
        <v>46004.578680555554</v>
      </c>
      <c r="E166" s="130">
        <v>12.24</v>
      </c>
      <c r="F166" s="131">
        <v>4.4999999999999998E-2</v>
      </c>
      <c r="G166" s="126">
        <f t="shared" si="2"/>
        <v>12.816753926701571</v>
      </c>
      <c r="H166" s="126" t="s">
        <v>74</v>
      </c>
      <c r="I166" s="127" t="s">
        <v>477</v>
      </c>
      <c r="J166" s="126">
        <v>8.8000000000000007</v>
      </c>
      <c r="K166" s="126">
        <v>100</v>
      </c>
      <c r="L166" s="129">
        <f>INT(base[[#This Row],[Data de liquidação]])</f>
        <v>46004</v>
      </c>
      <c r="M166" s="126">
        <f>base[[#This Row],[L/P Bruto]]-base[[#This Row],[L/P Líquido]]</f>
        <v>0.57675392670157066</v>
      </c>
      <c r="N166" s="139">
        <f>base[[#This Row],[L/P Líquido]]/base[[#This Row],[Stake/Responsabilidade]]</f>
        <v>0.12240000000000001</v>
      </c>
      <c r="O166" s="132">
        <f>IF(base[[#This Row],[L/P Líquido]]&gt;0,1,0)</f>
        <v>1</v>
      </c>
      <c r="P166" s="132" t="s">
        <v>963</v>
      </c>
      <c r="Q166" s="132" t="str">
        <f>LEFT(base[[#This Row],[Evento / Mercado]],FIND("vs",base[[#This Row],[Evento / Mercado]])-2)</f>
        <v>Chelsea</v>
      </c>
      <c r="R1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Everton</v>
      </c>
      <c r="S166" s="132" t="e">
        <f>LEFT(base[[#This Row],[Evento / Mercado]],FIND("/",base[[#This Row],[Evento / Mercado]])-2)</f>
        <v>#VALUE!</v>
      </c>
    </row>
    <row r="167" spans="2:21" ht="15" customHeight="1">
      <c r="B167" s="128" t="s">
        <v>192</v>
      </c>
      <c r="C167" s="128" t="s">
        <v>2982</v>
      </c>
      <c r="D167" s="129">
        <v>46004.581307870372</v>
      </c>
      <c r="E167" s="130">
        <v>6.37</v>
      </c>
      <c r="F167" s="131">
        <v>4.4999999999999998E-2</v>
      </c>
      <c r="G167" s="126">
        <f t="shared" si="2"/>
        <v>6.6701570680628279</v>
      </c>
      <c r="H167" s="126" t="s">
        <v>73</v>
      </c>
      <c r="I167" s="127" t="s">
        <v>13</v>
      </c>
      <c r="J167" s="126">
        <v>16</v>
      </c>
      <c r="K167" s="126">
        <v>100.05</v>
      </c>
      <c r="L167" s="129">
        <f>INT(base[[#This Row],[Data de liquidação]])</f>
        <v>46004</v>
      </c>
      <c r="M167" s="126">
        <f>base[[#This Row],[L/P Bruto]]-base[[#This Row],[L/P Líquido]]</f>
        <v>0.30015706806282783</v>
      </c>
      <c r="N167" s="126">
        <f>base[[#This Row],[L/P Líquido]]/base[[#This Row],[Stake/Responsabilidade]]</f>
        <v>6.3668165917041483E-2</v>
      </c>
      <c r="O167" s="132">
        <f>IF(base[[#This Row],[L/P Líquido]]&gt;0,1,0)</f>
        <v>1</v>
      </c>
      <c r="P167" s="132"/>
      <c r="Q167" s="132" t="str">
        <f>LEFT(base[[#This Row],[Evento / Mercado]],FIND("vs",base[[#This Row],[Evento / Mercado]])-2)</f>
        <v>Walsall</v>
      </c>
      <c r="R1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Shrewsbury Town</v>
      </c>
      <c r="S167" s="132" t="e">
        <f>LEFT(base[[#This Row],[Evento / Mercado]],FIND("/",base[[#This Row],[Evento / Mercado]])-2)</f>
        <v>#VALUE!</v>
      </c>
    </row>
    <row r="168" spans="2:21" ht="15" customHeight="1">
      <c r="B168" s="128" t="s">
        <v>191</v>
      </c>
      <c r="C168" s="128" t="s">
        <v>2982</v>
      </c>
      <c r="D168" s="129">
        <v>46004.58253472222</v>
      </c>
      <c r="E168" s="130">
        <v>7.96</v>
      </c>
      <c r="F168" s="131">
        <v>4.4999999999999998E-2</v>
      </c>
      <c r="G168" s="126">
        <f t="shared" si="2"/>
        <v>8.335078534031414</v>
      </c>
      <c r="H168" s="126" t="s">
        <v>74</v>
      </c>
      <c r="I168" s="127" t="s">
        <v>477</v>
      </c>
      <c r="J168" s="126">
        <v>13</v>
      </c>
      <c r="K168" s="126">
        <v>99.96</v>
      </c>
      <c r="L168" s="129">
        <f>INT(base[[#This Row],[Data de liquidação]])</f>
        <v>46004</v>
      </c>
      <c r="M168" s="126">
        <f>base[[#This Row],[L/P Bruto]]-base[[#This Row],[L/P Líquido]]</f>
        <v>0.375078534031414</v>
      </c>
      <c r="N168" s="139">
        <f>base[[#This Row],[L/P Líquido]]/base[[#This Row],[Stake/Responsabilidade]]</f>
        <v>7.9631852741096437E-2</v>
      </c>
      <c r="O168" s="132">
        <f>IF(base[[#This Row],[L/P Líquido]]&gt;0,1,0)</f>
        <v>1</v>
      </c>
      <c r="P168" s="132" t="s">
        <v>963</v>
      </c>
      <c r="Q168" s="132" t="str">
        <f>LEFT(base[[#This Row],[Evento / Mercado]],FIND("vs",base[[#This Row],[Evento / Mercado]])-2)</f>
        <v>Liverpool</v>
      </c>
      <c r="R1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168" s="132" t="e">
        <f>LEFT(base[[#This Row],[Evento / Mercado]],FIND("/",base[[#This Row],[Evento / Mercado]])-2)</f>
        <v>#VALUE!</v>
      </c>
    </row>
    <row r="169" spans="2:21" ht="15" customHeight="1">
      <c r="B169" s="128" t="s">
        <v>190</v>
      </c>
      <c r="C169" s="128" t="s">
        <v>2982</v>
      </c>
      <c r="D169" s="129">
        <v>46004.681944444441</v>
      </c>
      <c r="E169" s="130">
        <v>8.3084999999999987</v>
      </c>
      <c r="F169" s="131">
        <v>4.4999999999999998E-2</v>
      </c>
      <c r="G169" s="126">
        <f t="shared" si="2"/>
        <v>8.6999999999999993</v>
      </c>
      <c r="H169" s="126" t="s">
        <v>74</v>
      </c>
      <c r="I169" s="127" t="s">
        <v>477</v>
      </c>
      <c r="J169" s="126">
        <v>12.5</v>
      </c>
      <c r="K169" s="126">
        <v>100.05</v>
      </c>
      <c r="L169" s="129">
        <f>INT(base[[#This Row],[Data de liquidação]])</f>
        <v>46004</v>
      </c>
      <c r="M169" s="126">
        <f>base[[#This Row],[L/P Bruto]]-base[[#This Row],[L/P Líquido]]</f>
        <v>0.39150000000000063</v>
      </c>
      <c r="N169" s="139">
        <f>base[[#This Row],[L/P Líquido]]/base[[#This Row],[Stake/Responsabilidade]]</f>
        <v>8.3043478260869552E-2</v>
      </c>
      <c r="O169" s="132">
        <f>IF(base[[#This Row],[L/P Líquido]]&gt;0,1,0)</f>
        <v>1</v>
      </c>
      <c r="P169" s="132" t="s">
        <v>962</v>
      </c>
      <c r="Q169" s="132" t="str">
        <f>LEFT(base[[#This Row],[Evento / Mercado]],FIND("vs",base[[#This Row],[Evento / Mercado]])-2)</f>
        <v>Bayer 04 Leverkusen</v>
      </c>
      <c r="R1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Köln</v>
      </c>
      <c r="S169" s="132" t="e">
        <f>LEFT(base[[#This Row],[Evento / Mercado]],FIND("/",base[[#This Row],[Evento / Mercado]])-2)</f>
        <v>#VALUE!</v>
      </c>
      <c r="T169" s="8">
        <v>8.6999999999999993</v>
      </c>
      <c r="U169" s="9">
        <f>T169*0.955</f>
        <v>8.3084999999999987</v>
      </c>
    </row>
    <row r="170" spans="2:21" ht="15" customHeight="1">
      <c r="B170" s="128" t="s">
        <v>190</v>
      </c>
      <c r="C170" s="128" t="s">
        <v>2982</v>
      </c>
      <c r="D170" s="129">
        <v>46004.681944444441</v>
      </c>
      <c r="E170" s="130">
        <v>3.6767499999999997</v>
      </c>
      <c r="F170" s="131">
        <v>4.4999999999999998E-2</v>
      </c>
      <c r="G170" s="126">
        <f t="shared" si="2"/>
        <v>3.85</v>
      </c>
      <c r="H170" s="126" t="s">
        <v>122</v>
      </c>
      <c r="I170" s="127" t="s">
        <v>476</v>
      </c>
      <c r="J170" s="126">
        <v>27</v>
      </c>
      <c r="K170" s="126">
        <v>100.1</v>
      </c>
      <c r="L170" s="129">
        <f>INT(base[[#This Row],[Data de liquidação]])</f>
        <v>46004</v>
      </c>
      <c r="M170" s="126">
        <f>base[[#This Row],[L/P Bruto]]-base[[#This Row],[L/P Líquido]]</f>
        <v>0.17325000000000035</v>
      </c>
      <c r="N170" s="126">
        <f>base[[#This Row],[L/P Líquido]]/base[[#This Row],[Stake/Responsabilidade]]</f>
        <v>3.6730769230769234E-2</v>
      </c>
      <c r="O170" s="132">
        <f>IF(base[[#This Row],[L/P Líquido]]&gt;0,1,0)</f>
        <v>1</v>
      </c>
      <c r="P170" s="132" t="s">
        <v>962</v>
      </c>
      <c r="Q170" s="132" t="str">
        <f>LEFT(base[[#This Row],[Evento / Mercado]],FIND("vs",base[[#This Row],[Evento / Mercado]])-2)</f>
        <v>Bayer 04 Leverkusen</v>
      </c>
      <c r="R1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Köln</v>
      </c>
      <c r="S170" s="132" t="e">
        <f>LEFT(base[[#This Row],[Evento / Mercado]],FIND("/",base[[#This Row],[Evento / Mercado]])-2)</f>
        <v>#VALUE!</v>
      </c>
      <c r="T170" s="8">
        <v>3.85</v>
      </c>
      <c r="U170" s="9">
        <f>T170*0.955</f>
        <v>3.6767499999999997</v>
      </c>
    </row>
    <row r="171" spans="2:21" ht="15" customHeight="1">
      <c r="B171" s="128" t="s">
        <v>189</v>
      </c>
      <c r="C171" s="128" t="s">
        <v>2982</v>
      </c>
      <c r="D171" s="129">
        <v>46004.684687499997</v>
      </c>
      <c r="E171" s="130">
        <v>6.59</v>
      </c>
      <c r="F171" s="131">
        <v>4.4999999999999998E-2</v>
      </c>
      <c r="G171" s="126">
        <f t="shared" si="2"/>
        <v>6.9005235602094244</v>
      </c>
      <c r="H171" s="126" t="s">
        <v>74</v>
      </c>
      <c r="I171" s="127" t="s">
        <v>477</v>
      </c>
      <c r="J171" s="126">
        <v>15.5</v>
      </c>
      <c r="K171" s="126">
        <v>100.05</v>
      </c>
      <c r="L171" s="129">
        <f>INT(base[[#This Row],[Data de liquidação]])</f>
        <v>46004</v>
      </c>
      <c r="M171" s="126">
        <f>base[[#This Row],[L/P Bruto]]-base[[#This Row],[L/P Líquido]]</f>
        <v>0.31052356020942451</v>
      </c>
      <c r="N171" s="139">
        <f>base[[#This Row],[L/P Líquido]]/base[[#This Row],[Stake/Responsabilidade]]</f>
        <v>6.5867066466766613E-2</v>
      </c>
      <c r="O171" s="132">
        <f>IF(base[[#This Row],[L/P Líquido]]&gt;0,1,0)</f>
        <v>1</v>
      </c>
      <c r="P171" s="132" t="s">
        <v>964</v>
      </c>
      <c r="Q171" s="132" t="str">
        <f>LEFT(base[[#This Row],[Evento / Mercado]],FIND("vs",base[[#This Row],[Evento / Mercado]])-2)</f>
        <v>FC Barcelona</v>
      </c>
      <c r="R1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171" s="132" t="e">
        <f>LEFT(base[[#This Row],[Evento / Mercado]],FIND("/",base[[#This Row],[Evento / Mercado]])-2)</f>
        <v>#VALUE!</v>
      </c>
    </row>
    <row r="172" spans="2:21" ht="15" customHeight="1">
      <c r="B172" s="128" t="s">
        <v>188</v>
      </c>
      <c r="C172" s="128" t="s">
        <v>2982</v>
      </c>
      <c r="D172" s="129">
        <v>46004.725370370368</v>
      </c>
      <c r="E172" s="130">
        <v>5.62</v>
      </c>
      <c r="F172" s="131">
        <v>4.4999999999999998E-2</v>
      </c>
      <c r="G172" s="126">
        <f t="shared" si="2"/>
        <v>5.8848167539267022</v>
      </c>
      <c r="H172" s="126" t="s">
        <v>73</v>
      </c>
      <c r="I172" s="127" t="s">
        <v>13</v>
      </c>
      <c r="J172" s="126">
        <v>18</v>
      </c>
      <c r="K172" s="126">
        <v>99.96</v>
      </c>
      <c r="L172" s="129">
        <f>INT(base[[#This Row],[Data de liquidação]])</f>
        <v>46004</v>
      </c>
      <c r="M172" s="126">
        <f>base[[#This Row],[L/P Bruto]]-base[[#This Row],[L/P Líquido]]</f>
        <v>0.26481675392670212</v>
      </c>
      <c r="N172" s="126">
        <f>base[[#This Row],[L/P Líquido]]/base[[#This Row],[Stake/Responsabilidade]]</f>
        <v>5.6222488995598244E-2</v>
      </c>
      <c r="O172" s="132">
        <f>IF(base[[#This Row],[L/P Líquido]]&gt;0,1,0)</f>
        <v>1</v>
      </c>
      <c r="P172" s="132"/>
      <c r="Q172" s="132" t="str">
        <f>LEFT(base[[#This Row],[Evento / Mercado]],FIND("vs",base[[#This Row],[Evento / Mercado]])-2)</f>
        <v>Cesena</v>
      </c>
      <c r="R1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Mantova</v>
      </c>
      <c r="S172" s="132" t="e">
        <f>LEFT(base[[#This Row],[Evento / Mercado]],FIND("/",base[[#This Row],[Evento / Mercado]])-2)</f>
        <v>#VALUE!</v>
      </c>
    </row>
    <row r="173" spans="2:21" ht="15" customHeight="1">
      <c r="B173" s="128" t="s">
        <v>187</v>
      </c>
      <c r="C173" s="128" t="s">
        <v>2982</v>
      </c>
      <c r="D173" s="129">
        <v>46004.746412037035</v>
      </c>
      <c r="E173" s="130">
        <v>17.86</v>
      </c>
      <c r="F173" s="131">
        <v>4.4999999999999998E-2</v>
      </c>
      <c r="G173" s="126">
        <f t="shared" si="2"/>
        <v>18.701570680628272</v>
      </c>
      <c r="H173" s="126" t="s">
        <v>73</v>
      </c>
      <c r="I173" s="127" t="s">
        <v>13</v>
      </c>
      <c r="J173" s="126">
        <v>18</v>
      </c>
      <c r="K173" s="126">
        <v>99.96</v>
      </c>
      <c r="L173" s="129">
        <f>INT(base[[#This Row],[Data de liquidação]])</f>
        <v>46004</v>
      </c>
      <c r="M173" s="126">
        <f>base[[#This Row],[L/P Bruto]]-base[[#This Row],[L/P Líquido]]</f>
        <v>0.84157068062827278</v>
      </c>
      <c r="N173" s="126">
        <f>base[[#This Row],[L/P Líquido]]/base[[#This Row],[Stake/Responsabilidade]]</f>
        <v>0.17867146858743499</v>
      </c>
      <c r="O173" s="132">
        <f>IF(base[[#This Row],[L/P Líquido]]&gt;0,1,0)</f>
        <v>1</v>
      </c>
      <c r="P173" s="132"/>
      <c r="Q173" s="132" t="str">
        <f>LEFT(base[[#This Row],[Evento / Mercado]],FIND("vs",base[[#This Row],[Evento / Mercado]])-2)</f>
        <v>Saint-Étienne</v>
      </c>
      <c r="R1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Bastia</v>
      </c>
      <c r="S173" s="132" t="e">
        <f>LEFT(base[[#This Row],[Evento / Mercado]],FIND("/",base[[#This Row],[Evento / Mercado]])-2)</f>
        <v>#VALUE!</v>
      </c>
    </row>
    <row r="174" spans="2:21" ht="15" customHeight="1">
      <c r="B174" s="128" t="s">
        <v>186</v>
      </c>
      <c r="C174" s="128" t="s">
        <v>2982</v>
      </c>
      <c r="D174" s="129">
        <v>46004.853854166664</v>
      </c>
      <c r="E174" s="130">
        <v>5.0199999999999996</v>
      </c>
      <c r="F174" s="131">
        <v>4.4999999999999998E-2</v>
      </c>
      <c r="G174" s="126">
        <f t="shared" si="2"/>
        <v>5.2565445026178006</v>
      </c>
      <c r="H174" s="126" t="s">
        <v>73</v>
      </c>
      <c r="I174" s="127" t="s">
        <v>16</v>
      </c>
      <c r="J174" s="126">
        <v>20</v>
      </c>
      <c r="K174" s="126">
        <v>99.94</v>
      </c>
      <c r="L174" s="129">
        <f>INT(base[[#This Row],[Data de liquidação]])</f>
        <v>46004</v>
      </c>
      <c r="M174" s="126">
        <f>base[[#This Row],[L/P Bruto]]-base[[#This Row],[L/P Líquido]]</f>
        <v>0.23654450261780102</v>
      </c>
      <c r="N174" s="126">
        <f>base[[#This Row],[L/P Líquido]]/base[[#This Row],[Stake/Responsabilidade]]</f>
        <v>5.0230138082849707E-2</v>
      </c>
      <c r="O174" s="132">
        <f>IF(base[[#This Row],[L/P Líquido]]&gt;0,1,0)</f>
        <v>1</v>
      </c>
      <c r="P174" s="132"/>
      <c r="Q174" s="132" t="str">
        <f>LEFT(base[[#This Row],[Evento / Mercado]],FIND("vs",base[[#This Row],[Evento / Mercado]])-2)</f>
        <v>CD Gualberto Villarroel</v>
      </c>
      <c r="R1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Vinto</v>
      </c>
      <c r="S174" s="132" t="e">
        <f>LEFT(base[[#This Row],[Evento / Mercado]],FIND("/",base[[#This Row],[Evento / Mercado]])-2)</f>
        <v>#VALUE!</v>
      </c>
    </row>
    <row r="175" spans="2:21" ht="15" customHeight="1">
      <c r="B175" s="128" t="s">
        <v>185</v>
      </c>
      <c r="C175" s="128" t="s">
        <v>2982</v>
      </c>
      <c r="D175" s="129">
        <v>46005.435127314813</v>
      </c>
      <c r="E175" s="130">
        <v>11.94</v>
      </c>
      <c r="F175" s="131">
        <v>4.4999999999999998E-2</v>
      </c>
      <c r="G175" s="126">
        <f t="shared" si="2"/>
        <v>12.502617801047121</v>
      </c>
      <c r="H175" s="126" t="s">
        <v>73</v>
      </c>
      <c r="I175" s="127" t="s">
        <v>13</v>
      </c>
      <c r="J175" s="126">
        <v>9</v>
      </c>
      <c r="K175" s="126">
        <v>100</v>
      </c>
      <c r="L175" s="129">
        <f>INT(base[[#This Row],[Data de liquidação]])</f>
        <v>46005</v>
      </c>
      <c r="M175" s="126">
        <f>base[[#This Row],[L/P Bruto]]-base[[#This Row],[L/P Líquido]]</f>
        <v>0.56261780104712145</v>
      </c>
      <c r="N175" s="126">
        <f>base[[#This Row],[L/P Líquido]]/base[[#This Row],[Stake/Responsabilidade]]</f>
        <v>0.11939999999999999</v>
      </c>
      <c r="O175" s="132">
        <f>IF(base[[#This Row],[L/P Líquido]]&gt;0,1,0)</f>
        <v>1</v>
      </c>
      <c r="P175" s="132"/>
      <c r="Q175" s="132" t="str">
        <f>LEFT(base[[#This Row],[Evento / Mercado]],FIND("vs",base[[#This Row],[Evento / Mercado]])-2)</f>
        <v>Atalanta B</v>
      </c>
      <c r="R1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Sorrento</v>
      </c>
      <c r="S175" s="132" t="e">
        <f>LEFT(base[[#This Row],[Evento / Mercado]],FIND("/",base[[#This Row],[Evento / Mercado]])-2)</f>
        <v>#VALUE!</v>
      </c>
    </row>
    <row r="176" spans="2:21" ht="15" customHeight="1">
      <c r="B176" s="128" t="s">
        <v>184</v>
      </c>
      <c r="C176" s="128" t="s">
        <v>2982</v>
      </c>
      <c r="D176" s="129">
        <v>46005.437673611108</v>
      </c>
      <c r="E176" s="130">
        <v>9.5500000000000007</v>
      </c>
      <c r="F176" s="131">
        <v>4.4999999999999998E-2</v>
      </c>
      <c r="G176" s="126">
        <f t="shared" si="2"/>
        <v>10.000000000000002</v>
      </c>
      <c r="H176" s="126" t="s">
        <v>73</v>
      </c>
      <c r="I176" s="127" t="s">
        <v>13</v>
      </c>
      <c r="J176" s="126">
        <v>10.5</v>
      </c>
      <c r="K176" s="126">
        <v>95</v>
      </c>
      <c r="L176" s="129">
        <f>INT(base[[#This Row],[Data de liquidação]])</f>
        <v>46005</v>
      </c>
      <c r="M176" s="126">
        <f>base[[#This Row],[L/P Bruto]]-base[[#This Row],[L/P Líquido]]</f>
        <v>0.45000000000000107</v>
      </c>
      <c r="N176" s="126">
        <f>base[[#This Row],[L/P Líquido]]/base[[#This Row],[Stake/Responsabilidade]]</f>
        <v>0.10052631578947369</v>
      </c>
      <c r="O176" s="132">
        <f>IF(base[[#This Row],[L/P Líquido]]&gt;0,1,0)</f>
        <v>1</v>
      </c>
      <c r="P176" s="132"/>
      <c r="Q176" s="132" t="str">
        <f>LEFT(base[[#This Row],[Evento / Mercado]],FIND("vs",base[[#This Row],[Evento / Mercado]])-2)</f>
        <v>AC Milan</v>
      </c>
      <c r="R1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Sassuolo</v>
      </c>
      <c r="S176" s="132" t="e">
        <f>LEFT(base[[#This Row],[Evento / Mercado]],FIND("/",base[[#This Row],[Evento / Mercado]])-2)</f>
        <v>#VALUE!</v>
      </c>
    </row>
    <row r="177" spans="2:21" ht="15" customHeight="1">
      <c r="B177" s="128" t="s">
        <v>183</v>
      </c>
      <c r="C177" s="128" t="s">
        <v>2982</v>
      </c>
      <c r="D177" s="129">
        <v>46005.437789351854</v>
      </c>
      <c r="E177" s="130">
        <v>-100.55</v>
      </c>
      <c r="F177" s="131">
        <v>4.4999999999999998E-2</v>
      </c>
      <c r="G177" s="126">
        <f t="shared" si="2"/>
        <v>-100.55</v>
      </c>
      <c r="H177" s="126" t="s">
        <v>73</v>
      </c>
      <c r="I177" s="127" t="s">
        <v>16</v>
      </c>
      <c r="J177" s="126">
        <v>5.9</v>
      </c>
      <c r="K177" s="126">
        <v>100.55</v>
      </c>
      <c r="L177" s="129">
        <f>INT(base[[#This Row],[Data de liquidação]])</f>
        <v>46005</v>
      </c>
      <c r="M177" s="126">
        <f>base[[#This Row],[L/P Bruto]]-base[[#This Row],[L/P Líquido]]</f>
        <v>0</v>
      </c>
      <c r="N177" s="126">
        <f>base[[#This Row],[L/P Líquido]]/base[[#This Row],[Stake/Responsabilidade]]</f>
        <v>-1</v>
      </c>
      <c r="O177" s="132">
        <f>IF(base[[#This Row],[L/P Líquido]]&gt;0,1,0)</f>
        <v>0</v>
      </c>
      <c r="P177" s="132"/>
      <c r="Q177" s="132" t="str">
        <f>LEFT(base[[#This Row],[Evento / Mercado]],FIND("vs",base[[#This Row],[Evento / Mercado]])-2)</f>
        <v>Buriram United</v>
      </c>
      <c r="R1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 FC</v>
      </c>
      <c r="S177" s="132" t="e">
        <f>LEFT(base[[#This Row],[Evento / Mercado]],FIND("/",base[[#This Row],[Evento / Mercado]])-2)</f>
        <v>#VALUE!</v>
      </c>
    </row>
    <row r="178" spans="2:21" ht="15" customHeight="1">
      <c r="B178" s="128" t="s">
        <v>182</v>
      </c>
      <c r="C178" s="128" t="s">
        <v>2982</v>
      </c>
      <c r="D178" s="129">
        <v>46005.475335648145</v>
      </c>
      <c r="E178" s="130">
        <v>-100.05</v>
      </c>
      <c r="F178" s="131">
        <v>4.4999999999999998E-2</v>
      </c>
      <c r="G178" s="126">
        <f t="shared" si="2"/>
        <v>-100.05</v>
      </c>
      <c r="H178" s="126" t="s">
        <v>73</v>
      </c>
      <c r="I178" s="127" t="s">
        <v>16</v>
      </c>
      <c r="J178" s="126">
        <v>12.5</v>
      </c>
      <c r="K178" s="126">
        <v>100.05</v>
      </c>
      <c r="L178" s="129">
        <f>INT(base[[#This Row],[Data de liquidação]])</f>
        <v>46005</v>
      </c>
      <c r="M178" s="126">
        <f>base[[#This Row],[L/P Bruto]]-base[[#This Row],[L/P Líquido]]</f>
        <v>0</v>
      </c>
      <c r="N178" s="126">
        <f>base[[#This Row],[L/P Líquido]]/base[[#This Row],[Stake/Responsabilidade]]</f>
        <v>-1</v>
      </c>
      <c r="O178" s="132">
        <f>IF(base[[#This Row],[L/P Líquido]]&gt;0,1,0)</f>
        <v>0</v>
      </c>
      <c r="P178" s="132"/>
      <c r="Q178" s="132" t="str">
        <f>LEFT(base[[#This Row],[Evento / Mercado]],FIND("vs",base[[#This Row],[Evento / Mercado]])-2)</f>
        <v>SV Elversberg</v>
      </c>
      <c r="R1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Düsseldorf</v>
      </c>
      <c r="S178" s="132" t="e">
        <f>LEFT(base[[#This Row],[Evento / Mercado]],FIND("/",base[[#This Row],[Evento / Mercado]])-2)</f>
        <v>#VALUE!</v>
      </c>
    </row>
    <row r="179" spans="2:21" ht="15" customHeight="1">
      <c r="B179" s="128" t="s">
        <v>181</v>
      </c>
      <c r="C179" s="128" t="s">
        <v>2982</v>
      </c>
      <c r="D179" s="129">
        <v>46005.476319444446</v>
      </c>
      <c r="E179" s="130">
        <v>-100</v>
      </c>
      <c r="F179" s="131">
        <v>4.4999999999999998E-2</v>
      </c>
      <c r="G179" s="126">
        <f t="shared" si="2"/>
        <v>-100</v>
      </c>
      <c r="H179" s="126" t="s">
        <v>73</v>
      </c>
      <c r="I179" s="127" t="s">
        <v>16</v>
      </c>
      <c r="J179" s="126">
        <v>11</v>
      </c>
      <c r="K179" s="126">
        <v>100</v>
      </c>
      <c r="L179" s="129">
        <f>INT(base[[#This Row],[Data de liquidação]])</f>
        <v>46005</v>
      </c>
      <c r="M179" s="126">
        <f>base[[#This Row],[L/P Bruto]]-base[[#This Row],[L/P Líquido]]</f>
        <v>0</v>
      </c>
      <c r="N179" s="126">
        <f>base[[#This Row],[L/P Líquido]]/base[[#This Row],[Stake/Responsabilidade]]</f>
        <v>-1</v>
      </c>
      <c r="O179" s="132">
        <f>IF(base[[#This Row],[L/P Líquido]]&gt;0,1,0)</f>
        <v>0</v>
      </c>
      <c r="P179" s="132"/>
      <c r="Q179" s="132" t="str">
        <f>LEFT(base[[#This Row],[Evento / Mercado]],FIND("vs",base[[#This Row],[Evento / Mercado]])-2)</f>
        <v>SV Darmstadt 98</v>
      </c>
      <c r="R1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Preußen Münster</v>
      </c>
      <c r="S179" s="132" t="e">
        <f>LEFT(base[[#This Row],[Evento / Mercado]],FIND("/",base[[#This Row],[Evento / Mercado]])-2)</f>
        <v>#VALUE!</v>
      </c>
    </row>
    <row r="180" spans="2:21" ht="15" customHeight="1">
      <c r="B180" s="128" t="s">
        <v>180</v>
      </c>
      <c r="C180" s="128" t="s">
        <v>2982</v>
      </c>
      <c r="D180" s="129">
        <v>46005.477071759262</v>
      </c>
      <c r="E180" s="130">
        <v>5.97</v>
      </c>
      <c r="F180" s="131">
        <v>4.4999999999999998E-2</v>
      </c>
      <c r="G180" s="126">
        <f t="shared" si="2"/>
        <v>6.2513089005235605</v>
      </c>
      <c r="H180" s="126" t="s">
        <v>73</v>
      </c>
      <c r="I180" s="127" t="s">
        <v>13</v>
      </c>
      <c r="J180" s="126">
        <v>17</v>
      </c>
      <c r="K180" s="126">
        <v>100</v>
      </c>
      <c r="L180" s="129">
        <f>INT(base[[#This Row],[Data de liquidação]])</f>
        <v>46005</v>
      </c>
      <c r="M180" s="126">
        <f>base[[#This Row],[L/P Bruto]]-base[[#This Row],[L/P Líquido]]</f>
        <v>0.28130890052356072</v>
      </c>
      <c r="N180" s="126">
        <f>base[[#This Row],[L/P Líquido]]/base[[#This Row],[Stake/Responsabilidade]]</f>
        <v>5.9699999999999996E-2</v>
      </c>
      <c r="O180" s="132">
        <f>IF(base[[#This Row],[L/P Líquido]]&gt;0,1,0)</f>
        <v>1</v>
      </c>
      <c r="P180" s="132"/>
      <c r="Q180" s="132" t="str">
        <f>LEFT(base[[#This Row],[Evento / Mercado]],FIND("vs",base[[#This Row],[Evento / Mercado]])-2)</f>
        <v>FC Schalke 04</v>
      </c>
      <c r="R1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Nürnberg</v>
      </c>
      <c r="S180" s="132" t="e">
        <f>LEFT(base[[#This Row],[Evento / Mercado]],FIND("/",base[[#This Row],[Evento / Mercado]])-2)</f>
        <v>#VALUE!</v>
      </c>
    </row>
    <row r="181" spans="2:21" ht="15" customHeight="1">
      <c r="B181" s="128" t="s">
        <v>179</v>
      </c>
      <c r="C181" s="128" t="s">
        <v>2982</v>
      </c>
      <c r="D181" s="129">
        <v>46005.494502314818</v>
      </c>
      <c r="E181" s="130">
        <v>6.82</v>
      </c>
      <c r="F181" s="131">
        <v>4.4999999999999998E-2</v>
      </c>
      <c r="G181" s="126">
        <f t="shared" si="2"/>
        <v>7.1413612565445028</v>
      </c>
      <c r="H181" s="126" t="s">
        <v>73</v>
      </c>
      <c r="I181" s="127" t="s">
        <v>16</v>
      </c>
      <c r="J181" s="126">
        <v>15</v>
      </c>
      <c r="K181" s="126">
        <v>99.96</v>
      </c>
      <c r="L181" s="129">
        <f>INT(base[[#This Row],[Data de liquidação]])</f>
        <v>46005</v>
      </c>
      <c r="M181" s="126">
        <f>base[[#This Row],[L/P Bruto]]-base[[#This Row],[L/P Líquido]]</f>
        <v>0.32136125654450254</v>
      </c>
      <c r="N181" s="126">
        <f>base[[#This Row],[L/P Líquido]]/base[[#This Row],[Stake/Responsabilidade]]</f>
        <v>6.8227290916366548E-2</v>
      </c>
      <c r="O181" s="132">
        <f>IF(base[[#This Row],[L/P Líquido]]&gt;0,1,0)</f>
        <v>1</v>
      </c>
      <c r="P181" s="132"/>
      <c r="Q181" s="132" t="str">
        <f>LEFT(base[[#This Row],[Evento / Mercado]],FIND("vs",base[[#This Row],[Evento / Mercado]])-2)</f>
        <v>BSC Young Boys</v>
      </c>
      <c r="R1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Luzern</v>
      </c>
      <c r="S181" s="132" t="e">
        <f>LEFT(base[[#This Row],[Evento / Mercado]],FIND("/",base[[#This Row],[Evento / Mercado]])-2)</f>
        <v>#VALUE!</v>
      </c>
    </row>
    <row r="182" spans="2:21" ht="15" customHeight="1">
      <c r="B182" s="128" t="s">
        <v>178</v>
      </c>
      <c r="C182" s="128" t="s">
        <v>2982</v>
      </c>
      <c r="D182" s="129">
        <v>46005.517592592594</v>
      </c>
      <c r="E182" s="130">
        <v>7.96</v>
      </c>
      <c r="F182" s="131">
        <v>4.4999999999999998E-2</v>
      </c>
      <c r="G182" s="126">
        <f t="shared" si="2"/>
        <v>8.335078534031414</v>
      </c>
      <c r="H182" s="126" t="s">
        <v>73</v>
      </c>
      <c r="I182" s="127" t="s">
        <v>16</v>
      </c>
      <c r="J182" s="126">
        <v>13</v>
      </c>
      <c r="K182" s="126">
        <v>99.96</v>
      </c>
      <c r="L182" s="129">
        <f>INT(base[[#This Row],[Data de liquidação]])</f>
        <v>46005</v>
      </c>
      <c r="M182" s="126">
        <f>base[[#This Row],[L/P Bruto]]-base[[#This Row],[L/P Líquido]]</f>
        <v>0.375078534031414</v>
      </c>
      <c r="N182" s="126">
        <f>base[[#This Row],[L/P Líquido]]/base[[#This Row],[Stake/Responsabilidade]]</f>
        <v>7.9631852741096437E-2</v>
      </c>
      <c r="O182" s="132">
        <f>IF(base[[#This Row],[L/P Líquido]]&gt;0,1,0)</f>
        <v>1</v>
      </c>
      <c r="P182" s="132"/>
      <c r="Q182" s="132" t="str">
        <f>LEFT(base[[#This Row],[Evento / Mercado]],FIND("vs",base[[#This Row],[Evento / Mercado]])-2)</f>
        <v>FC Red Bull Salzburg</v>
      </c>
      <c r="R1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RZ Pellets WAC</v>
      </c>
      <c r="S182" s="132" t="e">
        <f>LEFT(base[[#This Row],[Evento / Mercado]],FIND("/",base[[#This Row],[Evento / Mercado]])-2)</f>
        <v>#VALUE!</v>
      </c>
    </row>
    <row r="183" spans="2:21" ht="15" customHeight="1">
      <c r="B183" s="128" t="s">
        <v>177</v>
      </c>
      <c r="C183" s="128" t="s">
        <v>2982</v>
      </c>
      <c r="D183" s="129">
        <v>46005.518530092595</v>
      </c>
      <c r="E183" s="130">
        <v>11.15</v>
      </c>
      <c r="F183" s="131">
        <v>4.4999999999999998E-2</v>
      </c>
      <c r="G183" s="126">
        <f t="shared" si="2"/>
        <v>11.675392670157068</v>
      </c>
      <c r="H183" s="126" t="s">
        <v>73</v>
      </c>
      <c r="I183" s="127" t="s">
        <v>16</v>
      </c>
      <c r="J183" s="126">
        <v>9.6</v>
      </c>
      <c r="K183" s="126">
        <v>100.45</v>
      </c>
      <c r="L183" s="129">
        <f>INT(base[[#This Row],[Data de liquidação]])</f>
        <v>46005</v>
      </c>
      <c r="M183" s="126">
        <f>base[[#This Row],[L/P Bruto]]-base[[#This Row],[L/P Líquido]]</f>
        <v>0.5253926701570677</v>
      </c>
      <c r="N183" s="126">
        <f>base[[#This Row],[L/P Líquido]]/base[[#This Row],[Stake/Responsabilidade]]</f>
        <v>0.11100049776007964</v>
      </c>
      <c r="O183" s="132">
        <f>IF(base[[#This Row],[L/P Líquido]]&gt;0,1,0)</f>
        <v>1</v>
      </c>
      <c r="P183" s="132"/>
      <c r="Q183" s="132" t="str">
        <f>LEFT(base[[#This Row],[Evento / Mercado]],FIND("vs",base[[#This Row],[Evento / Mercado]])-2)</f>
        <v>Dynamo Kyiv</v>
      </c>
      <c r="R1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Veres Rivne</v>
      </c>
      <c r="S183" s="132" t="e">
        <f>LEFT(base[[#This Row],[Evento / Mercado]],FIND("/",base[[#This Row],[Evento / Mercado]])-2)</f>
        <v>#VALUE!</v>
      </c>
    </row>
    <row r="184" spans="2:21" ht="15" customHeight="1">
      <c r="B184" s="128" t="s">
        <v>176</v>
      </c>
      <c r="C184" s="128" t="s">
        <v>2982</v>
      </c>
      <c r="D184" s="129">
        <v>46005.528437499997</v>
      </c>
      <c r="E184" s="130">
        <v>-99.96</v>
      </c>
      <c r="F184" s="131">
        <v>4.4999999999999998E-2</v>
      </c>
      <c r="G184" s="126">
        <f t="shared" si="2"/>
        <v>-99.96</v>
      </c>
      <c r="H184" s="126" t="s">
        <v>73</v>
      </c>
      <c r="I184" s="127" t="s">
        <v>13</v>
      </c>
      <c r="J184" s="126">
        <v>18</v>
      </c>
      <c r="K184" s="126">
        <v>99.96</v>
      </c>
      <c r="L184" s="129">
        <f>INT(base[[#This Row],[Data de liquidação]])</f>
        <v>46005</v>
      </c>
      <c r="M184" s="126">
        <f>base[[#This Row],[L/P Bruto]]-base[[#This Row],[L/P Líquido]]</f>
        <v>0</v>
      </c>
      <c r="N184" s="126">
        <f>base[[#This Row],[L/P Líquido]]/base[[#This Row],[Stake/Responsabilidade]]</f>
        <v>-1</v>
      </c>
      <c r="O184" s="132">
        <f>IF(base[[#This Row],[L/P Líquido]]&gt;0,1,0)</f>
        <v>0</v>
      </c>
      <c r="P184" s="132"/>
      <c r="Q184" s="132" t="str">
        <f>LEFT(base[[#This Row],[Evento / Mercado]],FIND("vs",base[[#This Row],[Evento / Mercado]])-2)</f>
        <v>Ferencvárosi TC</v>
      </c>
      <c r="R1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Debreceni VSC</v>
      </c>
      <c r="S184" s="132" t="e">
        <f>LEFT(base[[#This Row],[Evento / Mercado]],FIND("/",base[[#This Row],[Evento / Mercado]])-2)</f>
        <v>#VALUE!</v>
      </c>
    </row>
    <row r="185" spans="2:21" ht="15" customHeight="1">
      <c r="B185" s="128" t="s">
        <v>175</v>
      </c>
      <c r="C185" s="128" t="s">
        <v>2982</v>
      </c>
      <c r="D185" s="129">
        <v>46005.538483796299</v>
      </c>
      <c r="E185" s="130">
        <v>5.62</v>
      </c>
      <c r="F185" s="131">
        <v>4.4999999999999998E-2</v>
      </c>
      <c r="G185" s="126">
        <f t="shared" si="2"/>
        <v>5.8848167539267022</v>
      </c>
      <c r="H185" s="126" t="s">
        <v>74</v>
      </c>
      <c r="I185" s="127" t="s">
        <v>75</v>
      </c>
      <c r="J185" s="126">
        <v>18</v>
      </c>
      <c r="K185" s="126">
        <v>99.96</v>
      </c>
      <c r="L185" s="129">
        <f>INT(base[[#This Row],[Data de liquidação]])</f>
        <v>46005</v>
      </c>
      <c r="M185" s="126">
        <f>base[[#This Row],[L/P Bruto]]-base[[#This Row],[L/P Líquido]]</f>
        <v>0.26481675392670212</v>
      </c>
      <c r="N185" s="139">
        <f>base[[#This Row],[L/P Líquido]]/base[[#This Row],[Stake/Responsabilidade]]</f>
        <v>5.6222488995598244E-2</v>
      </c>
      <c r="O185" s="132">
        <f>IF(base[[#This Row],[L/P Líquido]]&gt;0,1,0)</f>
        <v>1</v>
      </c>
      <c r="P185" s="132" t="s">
        <v>963</v>
      </c>
      <c r="Q185" s="132" t="str">
        <f>LEFT(base[[#This Row],[Evento / Mercado]],FIND("vs",base[[#This Row],[Evento / Mercado]])-2)</f>
        <v>Crystal Palace</v>
      </c>
      <c r="R1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85" s="132" t="e">
        <f>LEFT(base[[#This Row],[Evento / Mercado]],FIND("/",base[[#This Row],[Evento / Mercado]])-2)</f>
        <v>#VALUE!</v>
      </c>
    </row>
    <row r="186" spans="2:21" ht="15" customHeight="1">
      <c r="B186" s="128" t="s">
        <v>174</v>
      </c>
      <c r="C186" s="128" t="s">
        <v>2982</v>
      </c>
      <c r="D186" s="129">
        <v>46005.5390625</v>
      </c>
      <c r="E186" s="130">
        <v>5.5</v>
      </c>
      <c r="F186" s="131">
        <v>4.4999999999999998E-2</v>
      </c>
      <c r="G186" s="126">
        <f t="shared" si="2"/>
        <v>5.7591623036649215</v>
      </c>
      <c r="H186" s="126" t="s">
        <v>73</v>
      </c>
      <c r="I186" s="127" t="s">
        <v>13</v>
      </c>
      <c r="J186" s="126">
        <v>18.5</v>
      </c>
      <c r="K186" s="126">
        <v>100.8</v>
      </c>
      <c r="L186" s="129">
        <f>INT(base[[#This Row],[Data de liquidação]])</f>
        <v>46005</v>
      </c>
      <c r="M186" s="126">
        <f>base[[#This Row],[L/P Bruto]]-base[[#This Row],[L/P Líquido]]</f>
        <v>0.25916230366492155</v>
      </c>
      <c r="N186" s="126">
        <f>base[[#This Row],[L/P Líquido]]/base[[#This Row],[Stake/Responsabilidade]]</f>
        <v>5.4563492063492064E-2</v>
      </c>
      <c r="O186" s="132">
        <f>IF(base[[#This Row],[L/P Líquido]]&gt;0,1,0)</f>
        <v>1</v>
      </c>
      <c r="P186" s="132"/>
      <c r="Q186" s="132" t="str">
        <f>LEFT(base[[#This Row],[Evento / Mercado]],FIND("vs",base[[#This Row],[Evento / Mercado]])-2)</f>
        <v>Olympique Lyonnais</v>
      </c>
      <c r="R1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186" s="132" t="e">
        <f>LEFT(base[[#This Row],[Evento / Mercado]],FIND("/",base[[#This Row],[Evento / Mercado]])-2)</f>
        <v>#VALUE!</v>
      </c>
    </row>
    <row r="187" spans="2:21" ht="15" customHeight="1">
      <c r="B187" s="128" t="s">
        <v>173</v>
      </c>
      <c r="C187" s="128" t="s">
        <v>2982</v>
      </c>
      <c r="D187" s="129">
        <v>46005.559583333335</v>
      </c>
      <c r="E187" s="130">
        <v>7.0765500000000001</v>
      </c>
      <c r="F187" s="131">
        <v>4.4999999999999998E-2</v>
      </c>
      <c r="G187" s="126">
        <f t="shared" si="2"/>
        <v>7.41</v>
      </c>
      <c r="H187" s="126" t="s">
        <v>122</v>
      </c>
      <c r="I187" s="127" t="s">
        <v>542</v>
      </c>
      <c r="J187" s="126">
        <v>15</v>
      </c>
      <c r="K187" s="126">
        <v>99.96</v>
      </c>
      <c r="L187" s="129">
        <f>INT(base[[#This Row],[Data de liquidação]])</f>
        <v>46005</v>
      </c>
      <c r="M187" s="126">
        <f>base[[#This Row],[L/P Bruto]]-base[[#This Row],[L/P Líquido]]</f>
        <v>0.33345000000000002</v>
      </c>
      <c r="N187" s="126">
        <f>base[[#This Row],[L/P Líquido]]/base[[#This Row],[Stake/Responsabilidade]]</f>
        <v>7.0793817527010805E-2</v>
      </c>
      <c r="O187" s="132">
        <f>IF(base[[#This Row],[L/P Líquido]]&gt;0,1,0)</f>
        <v>1</v>
      </c>
      <c r="P187" s="132" t="s">
        <v>962</v>
      </c>
      <c r="Q187" s="132" t="str">
        <f>LEFT(base[[#This Row],[Evento / Mercado]],FIND("vs",base[[#This Row],[Evento / Mercado]])-2)</f>
        <v>SC Freiburg</v>
      </c>
      <c r="R1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187" s="132" t="e">
        <f>LEFT(base[[#This Row],[Evento / Mercado]],FIND("/",base[[#This Row],[Evento / Mercado]])-2)</f>
        <v>#VALUE!</v>
      </c>
      <c r="T187" s="8">
        <v>7.41</v>
      </c>
      <c r="U187" s="9">
        <f>T187*0.955</f>
        <v>7.0765500000000001</v>
      </c>
    </row>
    <row r="188" spans="2:21" ht="15" customHeight="1">
      <c r="B188" s="128" t="s">
        <v>173</v>
      </c>
      <c r="C188" s="128" t="s">
        <v>2982</v>
      </c>
      <c r="D188" s="129">
        <v>46005.559583333335</v>
      </c>
      <c r="E188" s="130">
        <v>6.8186999999999998</v>
      </c>
      <c r="F188" s="131">
        <v>4.4999999999999998E-2</v>
      </c>
      <c r="G188" s="126">
        <f t="shared" si="2"/>
        <v>7.14</v>
      </c>
      <c r="H188" s="126" t="s">
        <v>74</v>
      </c>
      <c r="I188" s="127" t="s">
        <v>75</v>
      </c>
      <c r="J188" s="126">
        <v>14.5</v>
      </c>
      <c r="K188" s="126">
        <v>100.04</v>
      </c>
      <c r="L188" s="129">
        <f>INT(base[[#This Row],[Data de liquidação]])</f>
        <v>46005</v>
      </c>
      <c r="M188" s="126">
        <f>base[[#This Row],[L/P Bruto]]-base[[#This Row],[L/P Líquido]]</f>
        <v>0.32129999999999992</v>
      </c>
      <c r="N188" s="139">
        <f>base[[#This Row],[L/P Líquido]]/base[[#This Row],[Stake/Responsabilidade]]</f>
        <v>6.8159736105557769E-2</v>
      </c>
      <c r="O188" s="132">
        <f>IF(base[[#This Row],[L/P Líquido]]&gt;0,1,0)</f>
        <v>1</v>
      </c>
      <c r="P188" s="132" t="s">
        <v>962</v>
      </c>
      <c r="Q188" s="132" t="str">
        <f>LEFT(base[[#This Row],[Evento / Mercado]],FIND("vs",base[[#This Row],[Evento / Mercado]])-2)</f>
        <v>SC Freiburg</v>
      </c>
      <c r="R1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188" s="132" t="e">
        <f>LEFT(base[[#This Row],[Evento / Mercado]],FIND("/",base[[#This Row],[Evento / Mercado]])-2)</f>
        <v>#VALUE!</v>
      </c>
      <c r="T188" s="8">
        <v>7.14</v>
      </c>
      <c r="U188" s="9">
        <f>T188*0.955</f>
        <v>6.8186999999999998</v>
      </c>
    </row>
    <row r="189" spans="2:21" ht="15" customHeight="1">
      <c r="B189" s="128" t="s">
        <v>172</v>
      </c>
      <c r="C189" s="128" t="s">
        <v>2982</v>
      </c>
      <c r="D189" s="129">
        <v>46005.578402777777</v>
      </c>
      <c r="E189" s="130">
        <v>5.96875</v>
      </c>
      <c r="F189" s="131">
        <v>4.4999999999999998E-2</v>
      </c>
      <c r="G189" s="126">
        <f t="shared" si="2"/>
        <v>6.25</v>
      </c>
      <c r="H189" s="126" t="s">
        <v>73</v>
      </c>
      <c r="I189" s="127" t="s">
        <v>16</v>
      </c>
      <c r="J189" s="126">
        <v>7.8</v>
      </c>
      <c r="K189" s="126">
        <v>100.03</v>
      </c>
      <c r="L189" s="129">
        <f>INT(base[[#This Row],[Data de liquidação]])</f>
        <v>46005</v>
      </c>
      <c r="M189" s="126">
        <f>base[[#This Row],[L/P Bruto]]-base[[#This Row],[L/P Líquido]]</f>
        <v>0.28125</v>
      </c>
      <c r="N189" s="126">
        <f>base[[#This Row],[L/P Líquido]]/base[[#This Row],[Stake/Responsabilidade]]</f>
        <v>5.9669599120263921E-2</v>
      </c>
      <c r="O189" s="132">
        <f>IF(base[[#This Row],[L/P Líquido]]&gt;0,1,0)</f>
        <v>1</v>
      </c>
      <c r="P189" s="132"/>
      <c r="Q189" s="132" t="str">
        <f>LEFT(base[[#This Row],[Evento / Mercado]],FIND("vs",base[[#This Row],[Evento / Mercado]])-2)</f>
        <v>Aberdeen</v>
      </c>
      <c r="R1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Kilmarnock</v>
      </c>
      <c r="S189" s="132" t="e">
        <f>LEFT(base[[#This Row],[Evento / Mercado]],FIND("/",base[[#This Row],[Evento / Mercado]])-2)</f>
        <v>#VALUE!</v>
      </c>
      <c r="T189" s="8">
        <v>6.25</v>
      </c>
      <c r="U189" s="9">
        <f>T189*0.955</f>
        <v>5.96875</v>
      </c>
    </row>
    <row r="190" spans="2:21" ht="15" customHeight="1">
      <c r="B190" s="128" t="s">
        <v>172</v>
      </c>
      <c r="C190" s="128" t="s">
        <v>2982</v>
      </c>
      <c r="D190" s="129">
        <v>46005.578402777777</v>
      </c>
      <c r="E190" s="130">
        <v>14.04805</v>
      </c>
      <c r="F190" s="131">
        <v>4.4999999999999998E-2</v>
      </c>
      <c r="G190" s="126">
        <f t="shared" si="2"/>
        <v>14.71</v>
      </c>
      <c r="H190" s="126" t="s">
        <v>73</v>
      </c>
      <c r="I190" s="127" t="s">
        <v>13</v>
      </c>
      <c r="J190" s="126">
        <v>17</v>
      </c>
      <c r="K190" s="126">
        <v>100</v>
      </c>
      <c r="L190" s="129">
        <f>INT(base[[#This Row],[Data de liquidação]])</f>
        <v>46005</v>
      </c>
      <c r="M190" s="126">
        <f>base[[#This Row],[L/P Bruto]]-base[[#This Row],[L/P Líquido]]</f>
        <v>0.66195000000000093</v>
      </c>
      <c r="N190" s="126">
        <f>base[[#This Row],[L/P Líquido]]/base[[#This Row],[Stake/Responsabilidade]]</f>
        <v>0.14048050000000001</v>
      </c>
      <c r="O190" s="132">
        <f>IF(base[[#This Row],[L/P Líquido]]&gt;0,1,0)</f>
        <v>1</v>
      </c>
      <c r="P190" s="132"/>
      <c r="Q190" s="132" t="str">
        <f>LEFT(base[[#This Row],[Evento / Mercado]],FIND("vs",base[[#This Row],[Evento / Mercado]])-2)</f>
        <v>Aberdeen</v>
      </c>
      <c r="R1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Kilmarnock</v>
      </c>
      <c r="S190" s="132" t="e">
        <f>LEFT(base[[#This Row],[Evento / Mercado]],FIND("/",base[[#This Row],[Evento / Mercado]])-2)</f>
        <v>#VALUE!</v>
      </c>
      <c r="T190" s="8">
        <v>14.71</v>
      </c>
      <c r="U190" s="9">
        <f>T190*0.955</f>
        <v>14.04805</v>
      </c>
    </row>
    <row r="191" spans="2:21" ht="15" customHeight="1">
      <c r="B191" s="128" t="s">
        <v>171</v>
      </c>
      <c r="C191" s="128" t="s">
        <v>2982</v>
      </c>
      <c r="D191" s="129">
        <v>46005.578599537039</v>
      </c>
      <c r="E191" s="130">
        <v>16.23</v>
      </c>
      <c r="F191" s="131">
        <v>4.4999999999999998E-2</v>
      </c>
      <c r="G191" s="126">
        <f t="shared" si="2"/>
        <v>16.994764397905762</v>
      </c>
      <c r="H191" s="126" t="s">
        <v>73</v>
      </c>
      <c r="I191" s="127" t="s">
        <v>16</v>
      </c>
      <c r="J191" s="126">
        <v>10</v>
      </c>
      <c r="K191" s="126">
        <v>99.99</v>
      </c>
      <c r="L191" s="129">
        <f>INT(base[[#This Row],[Data de liquidação]])</f>
        <v>46005</v>
      </c>
      <c r="M191" s="126">
        <f>base[[#This Row],[L/P Bruto]]-base[[#This Row],[L/P Líquido]]</f>
        <v>0.76476439790576123</v>
      </c>
      <c r="N191" s="126">
        <f>base[[#This Row],[L/P Líquido]]/base[[#This Row],[Stake/Responsabilidade]]</f>
        <v>0.16231623162316233</v>
      </c>
      <c r="O191" s="132">
        <f>IF(base[[#This Row],[L/P Líquido]]&gt;0,1,0)</f>
        <v>1</v>
      </c>
      <c r="P191" s="132"/>
      <c r="Q191" s="132" t="str">
        <f>LEFT(base[[#This Row],[Evento / Mercado]],FIND("vs",base[[#This Row],[Evento / Mercado]])-2)</f>
        <v>SC Lokeren-Temse</v>
      </c>
      <c r="R1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Genk B</v>
      </c>
      <c r="S191" s="132" t="e">
        <f>LEFT(base[[#This Row],[Evento / Mercado]],FIND("/",base[[#This Row],[Evento / Mercado]])-2)</f>
        <v>#VALUE!</v>
      </c>
    </row>
    <row r="192" spans="2:21" ht="15" customHeight="1">
      <c r="B192" s="128" t="s">
        <v>170</v>
      </c>
      <c r="C192" s="128" t="s">
        <v>2982</v>
      </c>
      <c r="D192" s="129">
        <v>46005.58452546296</v>
      </c>
      <c r="E192" s="130">
        <v>6.19</v>
      </c>
      <c r="F192" s="131">
        <v>4.4999999999999998E-2</v>
      </c>
      <c r="G192" s="126">
        <f t="shared" si="2"/>
        <v>6.4816753926701578</v>
      </c>
      <c r="H192" s="126" t="s">
        <v>73</v>
      </c>
      <c r="I192" s="127" t="s">
        <v>13</v>
      </c>
      <c r="J192" s="126">
        <v>16</v>
      </c>
      <c r="K192" s="126">
        <v>97.24</v>
      </c>
      <c r="L192" s="129">
        <f>INT(base[[#This Row],[Data de liquidação]])</f>
        <v>46005</v>
      </c>
      <c r="M192" s="126">
        <f>base[[#This Row],[L/P Bruto]]-base[[#This Row],[L/P Líquido]]</f>
        <v>0.29167539267015741</v>
      </c>
      <c r="N192" s="126">
        <f>base[[#This Row],[L/P Líquido]]/base[[#This Row],[Stake/Responsabilidade]]</f>
        <v>6.3656931303990139E-2</v>
      </c>
      <c r="O192" s="132">
        <f>IF(base[[#This Row],[L/P Líquido]]&gt;0,1,0)</f>
        <v>1</v>
      </c>
      <c r="P192" s="132"/>
      <c r="Q192" s="132" t="str">
        <f>LEFT(base[[#This Row],[Evento / Mercado]],FIND("vs",base[[#This Row],[Evento / Mercado]])-2)</f>
        <v>Hamrun Spartans</v>
      </c>
      <c r="R1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Marsaxlokk FC</v>
      </c>
      <c r="S192" s="132" t="e">
        <f>LEFT(base[[#This Row],[Evento / Mercado]],FIND("/",base[[#This Row],[Evento / Mercado]])-2)</f>
        <v>#VALUE!</v>
      </c>
    </row>
    <row r="193" spans="2:19" ht="15" customHeight="1">
      <c r="B193" s="128" t="s">
        <v>169</v>
      </c>
      <c r="C193" s="128" t="s">
        <v>2982</v>
      </c>
      <c r="D193" s="129">
        <v>46005.597546296296</v>
      </c>
      <c r="E193" s="130">
        <v>11.65</v>
      </c>
      <c r="F193" s="131">
        <v>4.4999999999999998E-2</v>
      </c>
      <c r="G193" s="126">
        <f t="shared" si="2"/>
        <v>12.198952879581153</v>
      </c>
      <c r="H193" s="126" t="s">
        <v>73</v>
      </c>
      <c r="I193" s="127" t="s">
        <v>16</v>
      </c>
      <c r="J193" s="126">
        <v>9.1999999999999993</v>
      </c>
      <c r="K193" s="126">
        <v>100.04</v>
      </c>
      <c r="L193" s="129">
        <f>INT(base[[#This Row],[Data de liquidação]])</f>
        <v>46005</v>
      </c>
      <c r="M193" s="126">
        <f>base[[#This Row],[L/P Bruto]]-base[[#This Row],[L/P Líquido]]</f>
        <v>0.54895287958115269</v>
      </c>
      <c r="N193" s="126">
        <f>base[[#This Row],[L/P Líquido]]/base[[#This Row],[Stake/Responsabilidade]]</f>
        <v>0.11645341863254698</v>
      </c>
      <c r="O193" s="132">
        <f>IF(base[[#This Row],[L/P Líquido]]&gt;0,1,0)</f>
        <v>1</v>
      </c>
      <c r="P193" s="132"/>
      <c r="Q193" s="132" t="str">
        <f>LEFT(base[[#This Row],[Evento / Mercado]],FIND("vs",base[[#This Row],[Evento / Mercado]])-2)</f>
        <v>Famalicão</v>
      </c>
      <c r="R1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Estoril-Praia</v>
      </c>
      <c r="S193" s="132" t="e">
        <f>LEFT(base[[#This Row],[Evento / Mercado]],FIND("/",base[[#This Row],[Evento / Mercado]])-2)</f>
        <v>#VALUE!</v>
      </c>
    </row>
    <row r="194" spans="2:19" ht="15" customHeight="1">
      <c r="B194" s="128" t="s">
        <v>168</v>
      </c>
      <c r="C194" s="128" t="s">
        <v>2982</v>
      </c>
      <c r="D194" s="129">
        <v>46005.630740740744</v>
      </c>
      <c r="E194" s="130">
        <v>9.09</v>
      </c>
      <c r="F194" s="131">
        <v>4.4999999999999998E-2</v>
      </c>
      <c r="G194" s="126">
        <f t="shared" si="2"/>
        <v>9.5183246073298431</v>
      </c>
      <c r="H194" s="126" t="s">
        <v>73</v>
      </c>
      <c r="I194" s="127" t="s">
        <v>16</v>
      </c>
      <c r="J194" s="126">
        <v>11.5</v>
      </c>
      <c r="K194" s="126">
        <v>99.96</v>
      </c>
      <c r="L194" s="129">
        <f>INT(base[[#This Row],[Data de liquidação]])</f>
        <v>46005</v>
      </c>
      <c r="M194" s="126">
        <f>base[[#This Row],[L/P Bruto]]-base[[#This Row],[L/P Líquido]]</f>
        <v>0.42832460732984323</v>
      </c>
      <c r="N194" s="126">
        <f>base[[#This Row],[L/P Líquido]]/base[[#This Row],[Stake/Responsabilidade]]</f>
        <v>9.0936374549819926E-2</v>
      </c>
      <c r="O194" s="132">
        <f>IF(base[[#This Row],[L/P Líquido]]&gt;0,1,0)</f>
        <v>1</v>
      </c>
      <c r="P194" s="132"/>
      <c r="Q194" s="132" t="str">
        <f>LEFT(base[[#This Row],[Evento / Mercado]],FIND("vs",base[[#This Row],[Evento / Mercado]])-2)</f>
        <v>RC Lens</v>
      </c>
      <c r="R1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OGC Nice</v>
      </c>
      <c r="S194" s="132" t="e">
        <f>LEFT(base[[#This Row],[Evento / Mercado]],FIND("/",base[[#This Row],[Evento / Mercado]])-2)</f>
        <v>#VALUE!</v>
      </c>
    </row>
    <row r="195" spans="2:19" ht="15" customHeight="1">
      <c r="B195" s="128" t="s">
        <v>167</v>
      </c>
      <c r="C195" s="128" t="s">
        <v>2982</v>
      </c>
      <c r="D195" s="129">
        <v>46005.644606481481</v>
      </c>
      <c r="E195" s="130">
        <v>5.62</v>
      </c>
      <c r="F195" s="131">
        <v>4.4999999999999998E-2</v>
      </c>
      <c r="G195" s="126">
        <f t="shared" ref="G195:G258" si="3">IF(E195&gt;0,E195/(1-F195),E195)</f>
        <v>5.8848167539267022</v>
      </c>
      <c r="H195" s="126" t="s">
        <v>122</v>
      </c>
      <c r="I195" s="127" t="s">
        <v>477</v>
      </c>
      <c r="J195" s="126">
        <v>18</v>
      </c>
      <c r="K195" s="126">
        <v>99.96</v>
      </c>
      <c r="L195" s="129">
        <f>INT(base[[#This Row],[Data de liquidação]])</f>
        <v>46005</v>
      </c>
      <c r="M195" s="126">
        <f>base[[#This Row],[L/P Bruto]]-base[[#This Row],[L/P Líquido]]</f>
        <v>0.26481675392670212</v>
      </c>
      <c r="N195" s="126">
        <f>base[[#This Row],[L/P Líquido]]/base[[#This Row],[Stake/Responsabilidade]]</f>
        <v>5.6222488995598244E-2</v>
      </c>
      <c r="O195" s="132">
        <f>IF(base[[#This Row],[L/P Líquido]]&gt;0,1,0)</f>
        <v>1</v>
      </c>
      <c r="P195" s="132" t="s">
        <v>962</v>
      </c>
      <c r="Q195" s="132" t="str">
        <f>LEFT(base[[#This Row],[Evento / Mercado]],FIND("vs",base[[#This Row],[Evento / Mercado]])-2)</f>
        <v>FC Bayern München</v>
      </c>
      <c r="R1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195" s="132" t="e">
        <f>LEFT(base[[#This Row],[Evento / Mercado]],FIND("/",base[[#This Row],[Evento / Mercado]])-2)</f>
        <v>#VALUE!</v>
      </c>
    </row>
    <row r="196" spans="2:19" ht="15" customHeight="1">
      <c r="B196" s="128" t="s">
        <v>166</v>
      </c>
      <c r="C196" s="128" t="s">
        <v>2982</v>
      </c>
      <c r="D196" s="129">
        <v>46005.687916666669</v>
      </c>
      <c r="E196" s="130">
        <v>6.37</v>
      </c>
      <c r="F196" s="131">
        <v>4.4999999999999998E-2</v>
      </c>
      <c r="G196" s="126">
        <f t="shared" si="3"/>
        <v>6.6701570680628279</v>
      </c>
      <c r="H196" s="126" t="s">
        <v>73</v>
      </c>
      <c r="I196" s="127" t="s">
        <v>13</v>
      </c>
      <c r="J196" s="126">
        <v>16</v>
      </c>
      <c r="K196" s="126">
        <v>100.05</v>
      </c>
      <c r="L196" s="129">
        <f>INT(base[[#This Row],[Data de liquidação]])</f>
        <v>46005</v>
      </c>
      <c r="M196" s="126">
        <f>base[[#This Row],[L/P Bruto]]-base[[#This Row],[L/P Líquido]]</f>
        <v>0.30015706806282783</v>
      </c>
      <c r="N196" s="126">
        <f>base[[#This Row],[L/P Líquido]]/base[[#This Row],[Stake/Responsabilidade]]</f>
        <v>6.3668165917041483E-2</v>
      </c>
      <c r="O196" s="132">
        <f>IF(base[[#This Row],[L/P Líquido]]&gt;0,1,0)</f>
        <v>1</v>
      </c>
      <c r="P196" s="132"/>
      <c r="Q196" s="132" t="str">
        <f>LEFT(base[[#This Row],[Evento / Mercado]],FIND("vs",base[[#This Row],[Evento / Mercado]])-2)</f>
        <v>UD Almería</v>
      </c>
      <c r="R1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Burgos CF</v>
      </c>
      <c r="S196" s="132" t="e">
        <f>LEFT(base[[#This Row],[Evento / Mercado]],FIND("/",base[[#This Row],[Evento / Mercado]])-2)</f>
        <v>#VALUE!</v>
      </c>
    </row>
    <row r="197" spans="2:19" ht="15" customHeight="1">
      <c r="B197" s="128" t="s">
        <v>165</v>
      </c>
      <c r="C197" s="128" t="s">
        <v>2982</v>
      </c>
      <c r="D197" s="129">
        <v>46005.706909722219</v>
      </c>
      <c r="E197" s="130">
        <v>5.8</v>
      </c>
      <c r="F197" s="131">
        <v>4.4999999999999998E-2</v>
      </c>
      <c r="G197" s="126">
        <f t="shared" si="3"/>
        <v>6.0732984293193715</v>
      </c>
      <c r="H197" s="126" t="s">
        <v>74</v>
      </c>
      <c r="I197" s="127" t="s">
        <v>75</v>
      </c>
      <c r="J197" s="126">
        <v>17</v>
      </c>
      <c r="K197" s="126">
        <v>97.23</v>
      </c>
      <c r="L197" s="129">
        <f>INT(base[[#This Row],[Data de liquidação]])</f>
        <v>46005</v>
      </c>
      <c r="M197" s="126">
        <f>base[[#This Row],[L/P Bruto]]-base[[#This Row],[L/P Líquido]]</f>
        <v>0.27329842931937165</v>
      </c>
      <c r="N197" s="139">
        <f>base[[#This Row],[L/P Líquido]]/base[[#This Row],[Stake/Responsabilidade]]</f>
        <v>5.9652370667489456E-2</v>
      </c>
      <c r="O197" s="132">
        <f>IF(base[[#This Row],[L/P Líquido]]&gt;0,1,0)</f>
        <v>1</v>
      </c>
      <c r="P197" s="132" t="s">
        <v>965</v>
      </c>
      <c r="Q197" s="132" t="str">
        <f>LEFT(base[[#This Row],[Evento / Mercado]],FIND("vs",base[[#This Row],[Evento / Mercado]])-2)</f>
        <v>Moreirense FC</v>
      </c>
      <c r="R1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Benfica</v>
      </c>
      <c r="S197" s="132" t="e">
        <f>LEFT(base[[#This Row],[Evento / Mercado]],FIND("/",base[[#This Row],[Evento / Mercado]])-2)</f>
        <v>#VALUE!</v>
      </c>
    </row>
    <row r="198" spans="2:19" ht="15" customHeight="1">
      <c r="B198" s="128" t="s">
        <v>164</v>
      </c>
      <c r="C198" s="128" t="s">
        <v>2982</v>
      </c>
      <c r="D198" s="129">
        <v>46005.719085648147</v>
      </c>
      <c r="E198" s="130">
        <v>8.36</v>
      </c>
      <c r="F198" s="131">
        <v>4.4999999999999998E-2</v>
      </c>
      <c r="G198" s="126">
        <f t="shared" si="3"/>
        <v>8.7539267015706805</v>
      </c>
      <c r="H198" s="126" t="s">
        <v>73</v>
      </c>
      <c r="I198" s="127" t="s">
        <v>16</v>
      </c>
      <c r="J198" s="126">
        <v>12.5</v>
      </c>
      <c r="K198" s="126">
        <v>100.63</v>
      </c>
      <c r="L198" s="129">
        <f>INT(base[[#This Row],[Data de liquidação]])</f>
        <v>46005</v>
      </c>
      <c r="M198" s="126">
        <f>base[[#This Row],[L/P Bruto]]-base[[#This Row],[L/P Líquido]]</f>
        <v>0.3939267015706811</v>
      </c>
      <c r="N198" s="126">
        <f>base[[#This Row],[L/P Líquido]]/base[[#This Row],[Stake/Responsabilidade]]</f>
        <v>8.307661731094107E-2</v>
      </c>
      <c r="O198" s="132">
        <f>IF(base[[#This Row],[L/P Líquido]]&gt;0,1,0)</f>
        <v>1</v>
      </c>
      <c r="P198" s="132"/>
      <c r="Q198" s="132" t="str">
        <f>LEFT(base[[#This Row],[Evento / Mercado]],FIND("vs",base[[#This Row],[Evento / Mercado]])-2)</f>
        <v>Racing Genk</v>
      </c>
      <c r="R1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Westerlo</v>
      </c>
      <c r="S198" s="132" t="e">
        <f>LEFT(base[[#This Row],[Evento / Mercado]],FIND("/",base[[#This Row],[Evento / Mercado]])-2)</f>
        <v>#VALUE!</v>
      </c>
    </row>
    <row r="199" spans="2:19" ht="15" customHeight="1">
      <c r="B199" s="128" t="s">
        <v>163</v>
      </c>
      <c r="C199" s="128" t="s">
        <v>2982</v>
      </c>
      <c r="D199" s="129">
        <v>46005.727303240739</v>
      </c>
      <c r="E199" s="130">
        <v>6.16</v>
      </c>
      <c r="F199" s="131">
        <v>4.4999999999999998E-2</v>
      </c>
      <c r="G199" s="126">
        <f t="shared" si="3"/>
        <v>6.4502617801047126</v>
      </c>
      <c r="H199" s="126" t="s">
        <v>73</v>
      </c>
      <c r="I199" s="127" t="s">
        <v>13</v>
      </c>
      <c r="J199" s="126">
        <v>16.5</v>
      </c>
      <c r="K199" s="126">
        <v>99.98</v>
      </c>
      <c r="L199" s="129">
        <f>INT(base[[#This Row],[Data de liquidação]])</f>
        <v>46005</v>
      </c>
      <c r="M199" s="126">
        <f>base[[#This Row],[L/P Bruto]]-base[[#This Row],[L/P Líquido]]</f>
        <v>0.29026178010471249</v>
      </c>
      <c r="N199" s="126">
        <f>base[[#This Row],[L/P Líquido]]/base[[#This Row],[Stake/Responsabilidade]]</f>
        <v>6.16123224644929E-2</v>
      </c>
      <c r="O199" s="132">
        <f>IF(base[[#This Row],[L/P Líquido]]&gt;0,1,0)</f>
        <v>1</v>
      </c>
      <c r="P199" s="132"/>
      <c r="Q199" s="132" t="str">
        <f>LEFT(base[[#This Row],[Evento / Mercado]],FIND("vs",base[[#This Row],[Evento / Mercado]])-2)</f>
        <v>1. FC Schweinfurt 05</v>
      </c>
      <c r="R1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199" s="132" t="e">
        <f>LEFT(base[[#This Row],[Evento / Mercado]],FIND("/",base[[#This Row],[Evento / Mercado]])-2)</f>
        <v>#VALUE!</v>
      </c>
    </row>
    <row r="200" spans="2:19" ht="15" customHeight="1">
      <c r="B200" s="128" t="s">
        <v>162</v>
      </c>
      <c r="C200" s="128" t="s">
        <v>2982</v>
      </c>
      <c r="D200" s="129">
        <v>46005.767210648148</v>
      </c>
      <c r="E200" s="130">
        <v>5.97</v>
      </c>
      <c r="F200" s="131">
        <v>4.4999999999999998E-2</v>
      </c>
      <c r="G200" s="126">
        <f t="shared" si="3"/>
        <v>6.2513089005235605</v>
      </c>
      <c r="H200" s="126" t="s">
        <v>73</v>
      </c>
      <c r="I200" s="127" t="s">
        <v>13</v>
      </c>
      <c r="J200" s="126">
        <v>17</v>
      </c>
      <c r="K200" s="126">
        <v>100</v>
      </c>
      <c r="L200" s="129">
        <f>INT(base[[#This Row],[Data de liquidação]])</f>
        <v>46005</v>
      </c>
      <c r="M200" s="126">
        <f>base[[#This Row],[L/P Bruto]]-base[[#This Row],[L/P Líquido]]</f>
        <v>0.28130890052356072</v>
      </c>
      <c r="N200" s="126">
        <f>base[[#This Row],[L/P Líquido]]/base[[#This Row],[Stake/Responsabilidade]]</f>
        <v>5.9699999999999996E-2</v>
      </c>
      <c r="O200" s="132">
        <f>IF(base[[#This Row],[L/P Líquido]]&gt;0,1,0)</f>
        <v>1</v>
      </c>
      <c r="P200" s="132"/>
      <c r="Q200" s="132" t="str">
        <f>LEFT(base[[#This Row],[Evento / Mercado]],FIND("vs",base[[#This Row],[Evento / Mercado]])-2)</f>
        <v>Atlético de Madrid B</v>
      </c>
      <c r="R2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 Atletico</v>
      </c>
      <c r="S200" s="132" t="e">
        <f>LEFT(base[[#This Row],[Evento / Mercado]],FIND("/",base[[#This Row],[Evento / Mercado]])-2)</f>
        <v>#VALUE!</v>
      </c>
    </row>
    <row r="201" spans="2:19" ht="15" customHeight="1">
      <c r="B201" s="128" t="s">
        <v>161</v>
      </c>
      <c r="C201" s="128" t="s">
        <v>2982</v>
      </c>
      <c r="D201" s="129">
        <v>46005.859861111108</v>
      </c>
      <c r="E201" s="130">
        <v>5.62</v>
      </c>
      <c r="F201" s="131">
        <v>4.4999999999999998E-2</v>
      </c>
      <c r="G201" s="126">
        <f t="shared" si="3"/>
        <v>5.8848167539267022</v>
      </c>
      <c r="H201" s="126" t="s">
        <v>73</v>
      </c>
      <c r="I201" s="127" t="s">
        <v>13</v>
      </c>
      <c r="J201" s="126">
        <v>18</v>
      </c>
      <c r="K201" s="126">
        <v>99.96</v>
      </c>
      <c r="L201" s="129">
        <f>INT(base[[#This Row],[Data de liquidação]])</f>
        <v>46005</v>
      </c>
      <c r="M201" s="126">
        <f>base[[#This Row],[L/P Bruto]]-base[[#This Row],[L/P Líquido]]</f>
        <v>0.26481675392670212</v>
      </c>
      <c r="N201" s="126">
        <f>base[[#This Row],[L/P Líquido]]/base[[#This Row],[Stake/Responsabilidade]]</f>
        <v>5.6222488995598244E-2</v>
      </c>
      <c r="O201" s="132">
        <f>IF(base[[#This Row],[L/P Líquido]]&gt;0,1,0)</f>
        <v>1</v>
      </c>
      <c r="P201" s="132"/>
      <c r="Q201" s="132" t="str">
        <f>LEFT(base[[#This Row],[Evento / Mercado]],FIND("vs",base[[#This Row],[Evento / Mercado]])-2)</f>
        <v>Barcelona SC</v>
      </c>
      <c r="R2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Orense SC</v>
      </c>
      <c r="S201" s="132" t="e">
        <f>LEFT(base[[#This Row],[Evento / Mercado]],FIND("/",base[[#This Row],[Evento / Mercado]])-2)</f>
        <v>#VALUE!</v>
      </c>
    </row>
    <row r="202" spans="2:19" ht="15" customHeight="1">
      <c r="B202" s="128" t="s">
        <v>160</v>
      </c>
      <c r="C202" s="128" t="s">
        <v>2982</v>
      </c>
      <c r="D202" s="129">
        <v>46006.792581018519</v>
      </c>
      <c r="E202" s="130">
        <v>7.34</v>
      </c>
      <c r="F202" s="131">
        <v>4.4999999999999998E-2</v>
      </c>
      <c r="G202" s="126">
        <f t="shared" si="3"/>
        <v>7.6858638743455501</v>
      </c>
      <c r="H202" s="126" t="s">
        <v>74</v>
      </c>
      <c r="I202" s="127" t="s">
        <v>477</v>
      </c>
      <c r="J202" s="126">
        <v>14</v>
      </c>
      <c r="K202" s="126">
        <v>99.97</v>
      </c>
      <c r="L202" s="129">
        <f>INT(base[[#This Row],[Data de liquidação]])</f>
        <v>46006</v>
      </c>
      <c r="M202" s="126">
        <f>base[[#This Row],[L/P Bruto]]-base[[#This Row],[L/P Líquido]]</f>
        <v>0.34586387434555022</v>
      </c>
      <c r="N202" s="139">
        <f>base[[#This Row],[L/P Líquido]]/base[[#This Row],[Stake/Responsabilidade]]</f>
        <v>7.3422026607982388E-2</v>
      </c>
      <c r="O202" s="132">
        <f>IF(base[[#This Row],[L/P Líquido]]&gt;0,1,0)</f>
        <v>1</v>
      </c>
      <c r="P202" s="132" t="s">
        <v>963</v>
      </c>
      <c r="Q202" s="132" t="str">
        <f>LEFT(base[[#This Row],[Evento / Mercado]],FIND("vs",base[[#This Row],[Evento / Mercado]])-2)</f>
        <v>Manchester United</v>
      </c>
      <c r="R2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202" s="132" t="e">
        <f>LEFT(base[[#This Row],[Evento / Mercado]],FIND("/",base[[#This Row],[Evento / Mercado]])-2)</f>
        <v>#VALUE!</v>
      </c>
    </row>
    <row r="203" spans="2:19" ht="15" customHeight="1">
      <c r="B203" s="128" t="s">
        <v>209</v>
      </c>
      <c r="C203" s="128" t="s">
        <v>2982</v>
      </c>
      <c r="D203" s="129">
        <v>46008.453738425924</v>
      </c>
      <c r="E203" s="130">
        <v>23.88</v>
      </c>
      <c r="F203" s="131">
        <v>4.4999999999999998E-2</v>
      </c>
      <c r="G203" s="126">
        <f t="shared" si="3"/>
        <v>25.005235602094242</v>
      </c>
      <c r="H203" s="126" t="s">
        <v>210</v>
      </c>
      <c r="I203" s="127" t="s">
        <v>16</v>
      </c>
      <c r="J203" s="126">
        <v>4.7</v>
      </c>
      <c r="K203" s="126">
        <v>92.5</v>
      </c>
      <c r="L203" s="129">
        <f>INT(base[[#This Row],[Data de liquidação]])</f>
        <v>46008</v>
      </c>
      <c r="M203" s="126">
        <f>base[[#This Row],[L/P Bruto]]-base[[#This Row],[L/P Líquido]]</f>
        <v>1.1252356020942429</v>
      </c>
      <c r="N203" s="126">
        <f>base[[#This Row],[L/P Líquido]]/base[[#This Row],[Stake/Responsabilidade]]</f>
        <v>0.25816216216216215</v>
      </c>
      <c r="O203" s="132">
        <f>IF(base[[#This Row],[L/P Líquido]]&gt;0,1,0)</f>
        <v>1</v>
      </c>
      <c r="P203" s="132"/>
      <c r="Q203" s="132" t="str">
        <f>LEFT(base[[#This Row],[Evento / Mercado]],FIND("vs",base[[#This Row],[Evento / Mercado]])-2)</f>
        <v>Fatih Karagümrük Istanbul</v>
      </c>
      <c r="R2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Ugur Okullari Istanbulspor</v>
      </c>
      <c r="S203" s="132" t="e">
        <f>LEFT(base[[#This Row],[Evento / Mercado]],FIND("/",base[[#This Row],[Evento / Mercado]])-2)</f>
        <v>#VALUE!</v>
      </c>
    </row>
    <row r="204" spans="2:19" ht="15" customHeight="1">
      <c r="B204" s="128" t="s">
        <v>208</v>
      </c>
      <c r="C204" s="128" t="s">
        <v>2982</v>
      </c>
      <c r="D204" s="129">
        <v>46008.744467592594</v>
      </c>
      <c r="E204" s="130">
        <v>16.16</v>
      </c>
      <c r="F204" s="131">
        <v>4.4999999999999998E-2</v>
      </c>
      <c r="G204" s="126">
        <f t="shared" si="3"/>
        <v>16.921465968586389</v>
      </c>
      <c r="H204" s="126" t="s">
        <v>211</v>
      </c>
      <c r="I204" s="127" t="s">
        <v>212</v>
      </c>
      <c r="J204" s="126">
        <v>1.35</v>
      </c>
      <c r="K204" s="126">
        <v>100</v>
      </c>
      <c r="L204" s="129">
        <f>INT(base[[#This Row],[Data de liquidação]])</f>
        <v>46008</v>
      </c>
      <c r="M204" s="126">
        <f>base[[#This Row],[L/P Bruto]]-base[[#This Row],[L/P Líquido]]</f>
        <v>0.76146596858638915</v>
      </c>
      <c r="N204" s="126">
        <f>base[[#This Row],[L/P Líquido]]/base[[#This Row],[Stake/Responsabilidade]]</f>
        <v>0.16159999999999999</v>
      </c>
      <c r="O204" s="132">
        <f>IF(base[[#This Row],[L/P Líquido]]&gt;0,1,0)</f>
        <v>1</v>
      </c>
      <c r="P204" s="132"/>
      <c r="Q204" s="132" t="str">
        <f>LEFT(base[[#This Row],[Evento / Mercado]],FIND("vs",base[[#This Row],[Evento / Mercado]])-2)</f>
        <v>TOP Oss</v>
      </c>
      <c r="R2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Utrecht</v>
      </c>
      <c r="S204" s="132" t="e">
        <f>LEFT(base[[#This Row],[Evento / Mercado]],FIND("/",base[[#This Row],[Evento / Mercado]])-2)</f>
        <v>#VALUE!</v>
      </c>
    </row>
    <row r="205" spans="2:19" ht="15" customHeight="1">
      <c r="B205" s="128" t="s">
        <v>207</v>
      </c>
      <c r="C205" s="128" t="s">
        <v>2982</v>
      </c>
      <c r="D205" s="129">
        <v>46008.765462962961</v>
      </c>
      <c r="E205" s="130">
        <v>8.2899999999999991</v>
      </c>
      <c r="F205" s="131">
        <v>4.4999999999999998E-2</v>
      </c>
      <c r="G205" s="126">
        <f t="shared" si="3"/>
        <v>8.6806282722513082</v>
      </c>
      <c r="H205" s="126" t="s">
        <v>211</v>
      </c>
      <c r="I205" s="127" t="s">
        <v>213</v>
      </c>
      <c r="J205" s="126">
        <v>2.2000000000000002</v>
      </c>
      <c r="K205" s="126">
        <v>70</v>
      </c>
      <c r="L205" s="129">
        <f>INT(base[[#This Row],[Data de liquidação]])</f>
        <v>46008</v>
      </c>
      <c r="M205" s="126">
        <f>base[[#This Row],[L/P Bruto]]-base[[#This Row],[L/P Líquido]]</f>
        <v>0.39062827225130903</v>
      </c>
      <c r="N205" s="126">
        <f>base[[#This Row],[L/P Líquido]]/base[[#This Row],[Stake/Responsabilidade]]</f>
        <v>0.11842857142857141</v>
      </c>
      <c r="O205" s="132">
        <f>IF(base[[#This Row],[L/P Líquido]]&gt;0,1,0)</f>
        <v>1</v>
      </c>
      <c r="P205" s="132"/>
      <c r="Q205" s="132" t="str">
        <f>LEFT(base[[#This Row],[Evento / Mercado]],FIND("vs",base[[#This Row],[Evento / Mercado]])-2)</f>
        <v>Manchester City</v>
      </c>
      <c r="R2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205" s="132" t="e">
        <f>LEFT(base[[#This Row],[Evento / Mercado]],FIND("/",base[[#This Row],[Evento / Mercado]])-2)</f>
        <v>#VALUE!</v>
      </c>
    </row>
    <row r="206" spans="2:19" ht="15" customHeight="1">
      <c r="B206" s="128" t="s">
        <v>206</v>
      </c>
      <c r="C206" s="128" t="s">
        <v>2982</v>
      </c>
      <c r="D206" s="129">
        <v>46008.786030092589</v>
      </c>
      <c r="E206" s="130">
        <v>23.27</v>
      </c>
      <c r="F206" s="131">
        <v>4.4999999999999998E-2</v>
      </c>
      <c r="G206" s="126">
        <f t="shared" si="3"/>
        <v>24.366492146596858</v>
      </c>
      <c r="H206" s="126" t="s">
        <v>211</v>
      </c>
      <c r="I206" s="127" t="s">
        <v>214</v>
      </c>
      <c r="J206" s="126">
        <v>1.47</v>
      </c>
      <c r="K206" s="126">
        <v>100</v>
      </c>
      <c r="L206" s="129">
        <f>INT(base[[#This Row],[Data de liquidação]])</f>
        <v>46008</v>
      </c>
      <c r="M206" s="126">
        <f>base[[#This Row],[L/P Bruto]]-base[[#This Row],[L/P Líquido]]</f>
        <v>1.0964921465968587</v>
      </c>
      <c r="N206" s="126">
        <f>base[[#This Row],[L/P Líquido]]/base[[#This Row],[Stake/Responsabilidade]]</f>
        <v>0.23269999999999999</v>
      </c>
      <c r="O206" s="132">
        <f>IF(base[[#This Row],[L/P Líquido]]&gt;0,1,0)</f>
        <v>1</v>
      </c>
      <c r="P206" s="132"/>
      <c r="Q206" s="132" t="str">
        <f>LEFT(base[[#This Row],[Evento / Mercado]],FIND("vs",base[[#This Row],[Evento / Mercado]])-2)</f>
        <v>Dundee United</v>
      </c>
      <c r="R2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206" s="132" t="e">
        <f>LEFT(base[[#This Row],[Evento / Mercado]],FIND("/",base[[#This Row],[Evento / Mercado]])-2)</f>
        <v>#VALUE!</v>
      </c>
    </row>
    <row r="207" spans="2:19" ht="15" customHeight="1">
      <c r="B207" s="128" t="s">
        <v>205</v>
      </c>
      <c r="C207" s="128" t="s">
        <v>2982</v>
      </c>
      <c r="D207" s="129">
        <v>46008.788518518515</v>
      </c>
      <c r="E207" s="130">
        <v>-6.79</v>
      </c>
      <c r="F207" s="131">
        <v>4.4999999999999998E-2</v>
      </c>
      <c r="G207" s="126">
        <f t="shared" si="3"/>
        <v>-6.79</v>
      </c>
      <c r="H207" s="126" t="s">
        <v>211</v>
      </c>
      <c r="I207" s="127" t="s">
        <v>212</v>
      </c>
      <c r="J207" s="126">
        <v>1.51</v>
      </c>
      <c r="K207" s="126">
        <v>100</v>
      </c>
      <c r="L207" s="129">
        <f>INT(base[[#This Row],[Data de liquidação]])</f>
        <v>46008</v>
      </c>
      <c r="M207" s="126">
        <f>base[[#This Row],[L/P Bruto]]-base[[#This Row],[L/P Líquido]]</f>
        <v>0</v>
      </c>
      <c r="N207" s="126">
        <f>base[[#This Row],[L/P Líquido]]/base[[#This Row],[Stake/Responsabilidade]]</f>
        <v>-6.7900000000000002E-2</v>
      </c>
      <c r="O207" s="132">
        <f>IF(base[[#This Row],[L/P Líquido]]&gt;0,1,0)</f>
        <v>0</v>
      </c>
      <c r="P207" s="132"/>
      <c r="Q207" s="132" t="str">
        <f>LEFT(base[[#This Row],[Evento / Mercado]],FIND("vs",base[[#This Row],[Evento / Mercado]])-2)</f>
        <v>Feyenoord</v>
      </c>
      <c r="R2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207" s="132" t="e">
        <f>LEFT(base[[#This Row],[Evento / Mercado]],FIND("/",base[[#This Row],[Evento / Mercado]])-2)</f>
        <v>#VALUE!</v>
      </c>
    </row>
    <row r="208" spans="2:19" ht="15" customHeight="1">
      <c r="B208" s="128" t="s">
        <v>204</v>
      </c>
      <c r="C208" s="128" t="s">
        <v>2982</v>
      </c>
      <c r="D208" s="129">
        <v>46008.797731481478</v>
      </c>
      <c r="E208" s="130">
        <v>-8.67</v>
      </c>
      <c r="F208" s="131">
        <v>4.4999999999999998E-2</v>
      </c>
      <c r="G208" s="126">
        <f t="shared" si="3"/>
        <v>-8.67</v>
      </c>
      <c r="H208" s="126" t="s">
        <v>211</v>
      </c>
      <c r="I208" s="127" t="s">
        <v>212</v>
      </c>
      <c r="J208" s="126">
        <v>1.37</v>
      </c>
      <c r="K208" s="126">
        <v>100</v>
      </c>
      <c r="L208" s="129">
        <f>INT(base[[#This Row],[Data de liquidação]])</f>
        <v>46008</v>
      </c>
      <c r="M208" s="126">
        <f>base[[#This Row],[L/P Bruto]]-base[[#This Row],[L/P Líquido]]</f>
        <v>0</v>
      </c>
      <c r="N208" s="126">
        <f>base[[#This Row],[L/P Líquido]]/base[[#This Row],[Stake/Responsabilidade]]</f>
        <v>-8.6699999999999999E-2</v>
      </c>
      <c r="O208" s="132">
        <f>IF(base[[#This Row],[L/P Líquido]]&gt;0,1,0)</f>
        <v>0</v>
      </c>
      <c r="P208" s="132"/>
      <c r="Q208" s="132" t="str">
        <f>LEFT(base[[#This Row],[Evento / Mercado]],FIND("vs",base[[#This Row],[Evento / Mercado]])-2)</f>
        <v>Vitoria de Guimaraes</v>
      </c>
      <c r="R2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AVS Futebol SAD</v>
      </c>
      <c r="S208" s="132" t="e">
        <f>LEFT(base[[#This Row],[Evento / Mercado]],FIND("/",base[[#This Row],[Evento / Mercado]])-2)</f>
        <v>#VALUE!</v>
      </c>
    </row>
    <row r="209" spans="2:19" ht="15" customHeight="1">
      <c r="B209" s="128" t="s">
        <v>222</v>
      </c>
      <c r="C209" s="128" t="s">
        <v>2982</v>
      </c>
      <c r="D209" s="129">
        <v>46009.684502314813</v>
      </c>
      <c r="E209" s="130">
        <v>-96.6</v>
      </c>
      <c r="F209" s="131">
        <v>4.4999999999999998E-2</v>
      </c>
      <c r="G209" s="126">
        <f t="shared" si="3"/>
        <v>-96.6</v>
      </c>
      <c r="H209" s="126" t="s">
        <v>210</v>
      </c>
      <c r="I209" s="127" t="s">
        <v>16</v>
      </c>
      <c r="J209" s="126">
        <v>18</v>
      </c>
      <c r="K209" s="126">
        <v>100</v>
      </c>
      <c r="L209" s="129">
        <f>INT(base[[#This Row],[Data de liquidação]])</f>
        <v>46009</v>
      </c>
      <c r="M209" s="126">
        <f>base[[#This Row],[L/P Bruto]]-base[[#This Row],[L/P Líquido]]</f>
        <v>0</v>
      </c>
      <c r="N209" s="126">
        <f>base[[#This Row],[L/P Líquido]]/base[[#This Row],[Stake/Responsabilidade]]</f>
        <v>-0.96599999999999997</v>
      </c>
      <c r="O209" s="132">
        <f>IF(base[[#This Row],[L/P Líquido]]&gt;0,1,0)</f>
        <v>0</v>
      </c>
      <c r="P209" s="132"/>
      <c r="Q209" s="132" t="str">
        <f>LEFT(base[[#This Row],[Evento / Mercado]],FIND("vs",base[[#This Row],[Evento / Mercado]])-2)</f>
        <v>Galatasaray SK</v>
      </c>
      <c r="R2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Istanbul Basaksehir FK</v>
      </c>
      <c r="S209" s="132" t="e">
        <f>LEFT(base[[#This Row],[Evento / Mercado]],FIND("/",base[[#This Row],[Evento / Mercado]])-2)</f>
        <v>#VALUE!</v>
      </c>
    </row>
    <row r="210" spans="2:19" ht="15" customHeight="1">
      <c r="B210" s="128" t="s">
        <v>221</v>
      </c>
      <c r="C210" s="128" t="s">
        <v>2982</v>
      </c>
      <c r="D210" s="129">
        <v>46009.695844907408</v>
      </c>
      <c r="E210" s="130">
        <v>-11.63</v>
      </c>
      <c r="F210" s="131">
        <v>4.4999999999999998E-2</v>
      </c>
      <c r="G210" s="126">
        <f t="shared" si="3"/>
        <v>-11.63</v>
      </c>
      <c r="H210" s="126" t="s">
        <v>211</v>
      </c>
      <c r="I210" s="127" t="s">
        <v>214</v>
      </c>
      <c r="J210" s="126">
        <v>1.4</v>
      </c>
      <c r="K210" s="126">
        <v>100</v>
      </c>
      <c r="L210" s="129">
        <f>INT(base[[#This Row],[Data de liquidação]])</f>
        <v>46009</v>
      </c>
      <c r="M210" s="126">
        <f>base[[#This Row],[L/P Bruto]]-base[[#This Row],[L/P Líquido]]</f>
        <v>0</v>
      </c>
      <c r="N210" s="126">
        <f>base[[#This Row],[L/P Líquido]]/base[[#This Row],[Stake/Responsabilidade]]</f>
        <v>-0.11630000000000001</v>
      </c>
      <c r="O210" s="132">
        <f>IF(base[[#This Row],[L/P Líquido]]&gt;0,1,0)</f>
        <v>0</v>
      </c>
      <c r="P210" s="132"/>
      <c r="Q210" s="132" t="str">
        <f>LEFT(base[[#This Row],[Evento / Mercado]],FIND("vs",base[[#This Row],[Evento / Mercado]])-2)</f>
        <v>SV Spakenburg</v>
      </c>
      <c r="R2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210" s="132" t="e">
        <f>LEFT(base[[#This Row],[Evento / Mercado]],FIND("/",base[[#This Row],[Evento / Mercado]])-2)</f>
        <v>#VALUE!</v>
      </c>
    </row>
    <row r="211" spans="2:19" ht="15" customHeight="1">
      <c r="B211" s="128" t="s">
        <v>220</v>
      </c>
      <c r="C211" s="128" t="s">
        <v>2982</v>
      </c>
      <c r="D211" s="129">
        <v>46009.745254629626</v>
      </c>
      <c r="E211" s="130">
        <v>5.62</v>
      </c>
      <c r="F211" s="131">
        <v>4.4999999999999998E-2</v>
      </c>
      <c r="G211" s="126">
        <f t="shared" si="3"/>
        <v>5.8848167539267022</v>
      </c>
      <c r="H211" s="126" t="s">
        <v>210</v>
      </c>
      <c r="I211" s="127" t="s">
        <v>16</v>
      </c>
      <c r="J211" s="126">
        <v>18</v>
      </c>
      <c r="K211" s="126">
        <v>100</v>
      </c>
      <c r="L211" s="129">
        <f>INT(base[[#This Row],[Data de liquidação]])</f>
        <v>46009</v>
      </c>
      <c r="M211" s="126">
        <f>base[[#This Row],[L/P Bruto]]-base[[#This Row],[L/P Líquido]]</f>
        <v>0.26481675392670212</v>
      </c>
      <c r="N211" s="126">
        <f>base[[#This Row],[L/P Líquido]]/base[[#This Row],[Stake/Responsabilidade]]</f>
        <v>5.62E-2</v>
      </c>
      <c r="O211" s="132">
        <f>IF(base[[#This Row],[L/P Líquido]]&gt;0,1,0)</f>
        <v>1</v>
      </c>
      <c r="P211" s="132"/>
      <c r="Q211" s="132" t="str">
        <f>LEFT(base[[#This Row],[Evento / Mercado]],FIND("vs",base[[#This Row],[Evento / Mercado]])-2)</f>
        <v>FC Volendam</v>
      </c>
      <c r="R2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Genemuiden</v>
      </c>
      <c r="S211" s="132" t="e">
        <f>LEFT(base[[#This Row],[Evento / Mercado]],FIND("/",base[[#This Row],[Evento / Mercado]])-2)</f>
        <v>#VALUE!</v>
      </c>
    </row>
    <row r="212" spans="2:19" ht="15" customHeight="1">
      <c r="B212" s="128" t="s">
        <v>219</v>
      </c>
      <c r="C212" s="128" t="s">
        <v>2982</v>
      </c>
      <c r="D212" s="129">
        <v>46009.751446759263</v>
      </c>
      <c r="E212" s="130">
        <v>23.88</v>
      </c>
      <c r="F212" s="131">
        <v>4.4999999999999998E-2</v>
      </c>
      <c r="G212" s="126">
        <f t="shared" si="3"/>
        <v>25.005235602094242</v>
      </c>
      <c r="H212" s="126" t="s">
        <v>211</v>
      </c>
      <c r="I212" s="127" t="s">
        <v>214</v>
      </c>
      <c r="J212" s="126">
        <v>1.49</v>
      </c>
      <c r="K212" s="126">
        <v>100</v>
      </c>
      <c r="L212" s="129">
        <f>INT(base[[#This Row],[Data de liquidação]])</f>
        <v>46009</v>
      </c>
      <c r="M212" s="126">
        <f>base[[#This Row],[L/P Bruto]]-base[[#This Row],[L/P Líquido]]</f>
        <v>1.1252356020942429</v>
      </c>
      <c r="N212" s="126">
        <f>base[[#This Row],[L/P Líquido]]/base[[#This Row],[Stake/Responsabilidade]]</f>
        <v>0.23879999999999998</v>
      </c>
      <c r="O212" s="132">
        <f>IF(base[[#This Row],[L/P Líquido]]&gt;0,1,0)</f>
        <v>1</v>
      </c>
      <c r="P212" s="132"/>
      <c r="Q212" s="132" t="str">
        <f>LEFT(base[[#This Row],[Evento / Mercado]],FIND("vs",base[[#This Row],[Evento / Mercado]])-2)</f>
        <v>Santa Clara</v>
      </c>
      <c r="R2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212" s="132" t="e">
        <f>LEFT(base[[#This Row],[Evento / Mercado]],FIND("/",base[[#This Row],[Evento / Mercado]])-2)</f>
        <v>#VALUE!</v>
      </c>
    </row>
    <row r="213" spans="2:19" ht="15" customHeight="1">
      <c r="B213" s="128" t="s">
        <v>218</v>
      </c>
      <c r="C213" s="128" t="s">
        <v>2982</v>
      </c>
      <c r="D213" s="129">
        <v>46009.752280092594</v>
      </c>
      <c r="E213" s="130">
        <v>29.13</v>
      </c>
      <c r="F213" s="131">
        <v>4.4999999999999998E-2</v>
      </c>
      <c r="G213" s="126">
        <f t="shared" si="3"/>
        <v>30.502617801047119</v>
      </c>
      <c r="H213" s="126" t="s">
        <v>211</v>
      </c>
      <c r="I213" s="127" t="s">
        <v>212</v>
      </c>
      <c r="J213" s="126">
        <v>1.62</v>
      </c>
      <c r="K213" s="126">
        <v>100</v>
      </c>
      <c r="L213" s="129">
        <f>INT(base[[#This Row],[Data de liquidação]])</f>
        <v>46009</v>
      </c>
      <c r="M213" s="126">
        <f>base[[#This Row],[L/P Bruto]]-base[[#This Row],[L/P Líquido]]</f>
        <v>1.3726178010471202</v>
      </c>
      <c r="N213" s="126">
        <f>base[[#This Row],[L/P Líquido]]/base[[#This Row],[Stake/Responsabilidade]]</f>
        <v>0.2913</v>
      </c>
      <c r="O213" s="132">
        <f>IF(base[[#This Row],[L/P Líquido]]&gt;0,1,0)</f>
        <v>1</v>
      </c>
      <c r="P213" s="132"/>
      <c r="Q213" s="132" t="str">
        <f>LEFT(base[[#This Row],[Evento / Mercado]],FIND("vs",base[[#This Row],[Evento / Mercado]])-2)</f>
        <v>USM Alger</v>
      </c>
      <c r="R2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 Ben Aknoun</v>
      </c>
      <c r="S213" s="132" t="e">
        <f>LEFT(base[[#This Row],[Evento / Mercado]],FIND("/",base[[#This Row],[Evento / Mercado]])-2)</f>
        <v>#VALUE!</v>
      </c>
    </row>
    <row r="214" spans="2:19" ht="15" customHeight="1">
      <c r="B214" s="128" t="s">
        <v>217</v>
      </c>
      <c r="C214" s="128" t="s">
        <v>2982</v>
      </c>
      <c r="D214" s="129">
        <v>46009.785243055558</v>
      </c>
      <c r="E214" s="130">
        <v>-10.26</v>
      </c>
      <c r="F214" s="131">
        <v>4.4999999999999998E-2</v>
      </c>
      <c r="G214" s="126">
        <f t="shared" si="3"/>
        <v>-10.26</v>
      </c>
      <c r="H214" s="126" t="s">
        <v>211</v>
      </c>
      <c r="I214" s="127" t="s">
        <v>212</v>
      </c>
      <c r="J214" s="126">
        <v>1.4</v>
      </c>
      <c r="K214" s="126">
        <v>100</v>
      </c>
      <c r="L214" s="129">
        <f>INT(base[[#This Row],[Data de liquidação]])</f>
        <v>46009</v>
      </c>
      <c r="M214" s="126">
        <f>base[[#This Row],[L/P Bruto]]-base[[#This Row],[L/P Líquido]]</f>
        <v>0</v>
      </c>
      <c r="N214" s="126">
        <f>base[[#This Row],[L/P Líquido]]/base[[#This Row],[Stake/Responsabilidade]]</f>
        <v>-0.1026</v>
      </c>
      <c r="O214" s="132">
        <f>IF(base[[#This Row],[L/P Líquido]]&gt;0,1,0)</f>
        <v>0</v>
      </c>
      <c r="P214" s="132"/>
      <c r="Q214" s="132" t="str">
        <f>LEFT(base[[#This Row],[Evento / Mercado]],FIND("vs",base[[#This Row],[Evento / Mercado]])-2)</f>
        <v>NK Celje</v>
      </c>
      <c r="R2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Shelbourne FC</v>
      </c>
      <c r="S214" s="132" t="e">
        <f>LEFT(base[[#This Row],[Evento / Mercado]],FIND("/",base[[#This Row],[Evento / Mercado]])-2)</f>
        <v>#VALUE!</v>
      </c>
    </row>
    <row r="215" spans="2:19" ht="15" customHeight="1">
      <c r="B215" s="128" t="s">
        <v>216</v>
      </c>
      <c r="C215" s="128" t="s">
        <v>2982</v>
      </c>
      <c r="D215" s="129">
        <v>46009.789756944447</v>
      </c>
      <c r="E215" s="130">
        <v>-12.5</v>
      </c>
      <c r="F215" s="131">
        <v>4.4999999999999998E-2</v>
      </c>
      <c r="G215" s="126">
        <f t="shared" si="3"/>
        <v>-12.5</v>
      </c>
      <c r="H215" s="126" t="s">
        <v>211</v>
      </c>
      <c r="I215" s="127" t="s">
        <v>212</v>
      </c>
      <c r="J215" s="126">
        <v>1.4</v>
      </c>
      <c r="K215" s="126">
        <v>100</v>
      </c>
      <c r="L215" s="129">
        <f>INT(base[[#This Row],[Data de liquidação]])</f>
        <v>46009</v>
      </c>
      <c r="M215" s="126">
        <f>base[[#This Row],[L/P Bruto]]-base[[#This Row],[L/P Líquido]]</f>
        <v>0</v>
      </c>
      <c r="N215" s="126">
        <f>base[[#This Row],[L/P Líquido]]/base[[#This Row],[Stake/Responsabilidade]]</f>
        <v>-0.125</v>
      </c>
      <c r="O215" s="132">
        <f>IF(base[[#This Row],[L/P Líquido]]&gt;0,1,0)</f>
        <v>0</v>
      </c>
      <c r="P215" s="132"/>
      <c r="Q215" s="132" t="str">
        <f>LEFT(base[[#This Row],[Evento / Mercado]],FIND("vs",base[[#This Row],[Evento / Mercado]])-2)</f>
        <v>AZ Alkmaar</v>
      </c>
      <c r="R2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Jagiellonia Bialystok</v>
      </c>
      <c r="S215" s="132" t="e">
        <f>LEFT(base[[#This Row],[Evento / Mercado]],FIND("/",base[[#This Row],[Evento / Mercado]])-2)</f>
        <v>#VALUE!</v>
      </c>
    </row>
    <row r="216" spans="2:19" ht="15" customHeight="1">
      <c r="B216" s="128" t="s">
        <v>215</v>
      </c>
      <c r="C216" s="128" t="s">
        <v>2982</v>
      </c>
      <c r="D216" s="129">
        <v>46009.795208333337</v>
      </c>
      <c r="E216" s="130">
        <v>-8.67</v>
      </c>
      <c r="F216" s="131">
        <v>4.4999999999999998E-2</v>
      </c>
      <c r="G216" s="126">
        <f t="shared" si="3"/>
        <v>-8.67</v>
      </c>
      <c r="H216" s="126" t="s">
        <v>211</v>
      </c>
      <c r="I216" s="127" t="s">
        <v>212</v>
      </c>
      <c r="J216" s="126">
        <v>1.37</v>
      </c>
      <c r="K216" s="126">
        <v>100</v>
      </c>
      <c r="L216" s="129">
        <f>INT(base[[#This Row],[Data de liquidação]])</f>
        <v>46009</v>
      </c>
      <c r="M216" s="126">
        <f>base[[#This Row],[L/P Bruto]]-base[[#This Row],[L/P Líquido]]</f>
        <v>0</v>
      </c>
      <c r="N216" s="126">
        <f>base[[#This Row],[L/P Líquido]]/base[[#This Row],[Stake/Responsabilidade]]</f>
        <v>-8.6699999999999999E-2</v>
      </c>
      <c r="O216" s="132">
        <f>IF(base[[#This Row],[L/P Líquido]]&gt;0,1,0)</f>
        <v>0</v>
      </c>
      <c r="P216" s="132"/>
      <c r="Q216" s="132" t="str">
        <f>LEFT(base[[#This Row],[Evento / Mercado]],FIND("vs",base[[#This Row],[Evento / Mercado]])-2)</f>
        <v>AEK Athens</v>
      </c>
      <c r="R2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CS Universitatea Craiova</v>
      </c>
      <c r="S216" s="132" t="e">
        <f>LEFT(base[[#This Row],[Evento / Mercado]],FIND("/",base[[#This Row],[Evento / Mercado]])-2)</f>
        <v>#VALUE!</v>
      </c>
    </row>
    <row r="217" spans="2:19" ht="15" customHeight="1">
      <c r="B217" s="128" t="s">
        <v>230</v>
      </c>
      <c r="C217" s="128" t="s">
        <v>2982</v>
      </c>
      <c r="D217" s="129">
        <v>46010.3281712963</v>
      </c>
      <c r="E217" s="130">
        <v>9.5500000000000007</v>
      </c>
      <c r="F217" s="131">
        <v>4.4999999999999998E-2</v>
      </c>
      <c r="G217" s="126">
        <f t="shared" si="3"/>
        <v>10.000000000000002</v>
      </c>
      <c r="H217" s="126" t="s">
        <v>210</v>
      </c>
      <c r="I217" s="127" t="s">
        <v>16</v>
      </c>
      <c r="J217" s="126">
        <v>11</v>
      </c>
      <c r="K217" s="126">
        <v>100</v>
      </c>
      <c r="L217" s="129">
        <f>INT(base[[#This Row],[Data de liquidação]])</f>
        <v>46010</v>
      </c>
      <c r="M217" s="126">
        <f>base[[#This Row],[L/P Bruto]]-base[[#This Row],[L/P Líquido]]</f>
        <v>0.45000000000000107</v>
      </c>
      <c r="N217" s="126">
        <f>base[[#This Row],[L/P Líquido]]/base[[#This Row],[Stake/Responsabilidade]]</f>
        <v>9.5500000000000002E-2</v>
      </c>
      <c r="O217" s="132">
        <f>IF(base[[#This Row],[L/P Líquido]]&gt;0,1,0)</f>
        <v>1</v>
      </c>
      <c r="P217" s="132"/>
      <c r="Q217" s="132" t="str">
        <f>LEFT(base[[#This Row],[Evento / Mercado]],FIND("vs",base[[#This Row],[Evento / Mercado]])-2)</f>
        <v>Pulau Pinang</v>
      </c>
      <c r="R2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PDRM FA</v>
      </c>
      <c r="S217" s="132" t="e">
        <f>LEFT(base[[#This Row],[Evento / Mercado]],FIND("/",base[[#This Row],[Evento / Mercado]])-2)</f>
        <v>#VALUE!</v>
      </c>
    </row>
    <row r="218" spans="2:19" ht="15" customHeight="1">
      <c r="B218" s="128" t="s">
        <v>229</v>
      </c>
      <c r="C218" s="128" t="s">
        <v>2982</v>
      </c>
      <c r="D218" s="129">
        <v>46010.468692129631</v>
      </c>
      <c r="E218" s="130">
        <v>5.42</v>
      </c>
      <c r="F218" s="131">
        <v>4.4999999999999998E-2</v>
      </c>
      <c r="G218" s="126">
        <f t="shared" si="3"/>
        <v>5.6753926701570681</v>
      </c>
      <c r="H218" s="126" t="s">
        <v>210</v>
      </c>
      <c r="I218" s="127" t="s">
        <v>16</v>
      </c>
      <c r="J218" s="126">
        <v>18</v>
      </c>
      <c r="K218" s="126">
        <v>96.52</v>
      </c>
      <c r="L218" s="129">
        <f>INT(base[[#This Row],[Data de liquidação]])</f>
        <v>46010</v>
      </c>
      <c r="M218" s="126">
        <f>base[[#This Row],[L/P Bruto]]-base[[#This Row],[L/P Líquido]]</f>
        <v>0.25539267015706812</v>
      </c>
      <c r="N218" s="126">
        <f>base[[#This Row],[L/P Líquido]]/base[[#This Row],[Stake/Responsabilidade]]</f>
        <v>5.6154164939908831E-2</v>
      </c>
      <c r="O218" s="132">
        <f>IF(base[[#This Row],[L/P Líquido]]&gt;0,1,0)</f>
        <v>1</v>
      </c>
      <c r="P218" s="132"/>
      <c r="Q218" s="132" t="str">
        <f>LEFT(base[[#This Row],[Evento / Mercado]],FIND("vs",base[[#This Row],[Evento / Mercado]])-2)</f>
        <v>Kuching City</v>
      </c>
      <c r="R2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Melaka FC</v>
      </c>
      <c r="S218" s="132" t="e">
        <f>LEFT(base[[#This Row],[Evento / Mercado]],FIND("/",base[[#This Row],[Evento / Mercado]])-2)</f>
        <v>#VALUE!</v>
      </c>
    </row>
    <row r="219" spans="2:19" ht="15" customHeight="1">
      <c r="B219" s="128" t="s">
        <v>228</v>
      </c>
      <c r="C219" s="128" t="s">
        <v>2982</v>
      </c>
      <c r="D219" s="129">
        <v>46010.654895833337</v>
      </c>
      <c r="E219" s="130">
        <v>44.12</v>
      </c>
      <c r="F219" s="131">
        <v>4.4999999999999998E-2</v>
      </c>
      <c r="G219" s="126">
        <f t="shared" si="3"/>
        <v>46.198952879581149</v>
      </c>
      <c r="H219" s="126" t="s">
        <v>231</v>
      </c>
      <c r="I219" s="127" t="s">
        <v>232</v>
      </c>
      <c r="J219" s="126">
        <v>1.77</v>
      </c>
      <c r="K219" s="126">
        <v>60</v>
      </c>
      <c r="L219" s="129">
        <f>INT(base[[#This Row],[Data de liquidação]])</f>
        <v>46010</v>
      </c>
      <c r="M219" s="126">
        <f>base[[#This Row],[L/P Bruto]]-base[[#This Row],[L/P Líquido]]</f>
        <v>2.078952879581152</v>
      </c>
      <c r="N219" s="126">
        <f>base[[#This Row],[L/P Líquido]]/base[[#This Row],[Stake/Responsabilidade]]</f>
        <v>0.73533333333333328</v>
      </c>
      <c r="O219" s="132">
        <f>IF(base[[#This Row],[L/P Líquido]]&gt;0,1,0)</f>
        <v>1</v>
      </c>
      <c r="P219" s="132"/>
      <c r="Q219" s="132" t="str">
        <f>LEFT(base[[#This Row],[Evento / Mercado]],FIND("vs",base[[#This Row],[Evento / Mercado]])-2)</f>
        <v>SC Paderborn 07</v>
      </c>
      <c r="R2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219" s="132" t="e">
        <f>LEFT(base[[#This Row],[Evento / Mercado]],FIND("/",base[[#This Row],[Evento / Mercado]])-2)</f>
        <v>#VALUE!</v>
      </c>
    </row>
    <row r="220" spans="2:19" ht="15" customHeight="1">
      <c r="B220" s="128" t="s">
        <v>227</v>
      </c>
      <c r="C220" s="128" t="s">
        <v>2982</v>
      </c>
      <c r="D220" s="129">
        <v>46010.68608796296</v>
      </c>
      <c r="E220" s="130">
        <v>42.4</v>
      </c>
      <c r="F220" s="131">
        <v>4.4999999999999998E-2</v>
      </c>
      <c r="G220" s="126">
        <f t="shared" si="3"/>
        <v>44.397905759162306</v>
      </c>
      <c r="H220" s="126" t="s">
        <v>231</v>
      </c>
      <c r="I220" s="127" t="s">
        <v>233</v>
      </c>
      <c r="J220" s="126">
        <v>1.74</v>
      </c>
      <c r="K220" s="126">
        <v>60</v>
      </c>
      <c r="L220" s="129">
        <f>INT(base[[#This Row],[Data de liquidação]])</f>
        <v>46010</v>
      </c>
      <c r="M220" s="126">
        <f>base[[#This Row],[L/P Bruto]]-base[[#This Row],[L/P Líquido]]</f>
        <v>1.9979057591623075</v>
      </c>
      <c r="N220" s="126">
        <f>base[[#This Row],[L/P Líquido]]/base[[#This Row],[Stake/Responsabilidade]]</f>
        <v>0.70666666666666667</v>
      </c>
      <c r="O220" s="132">
        <f>IF(base[[#This Row],[L/P Líquido]]&gt;0,1,0)</f>
        <v>1</v>
      </c>
      <c r="P220" s="132"/>
      <c r="Q220" s="132" t="str">
        <f>LEFT(base[[#This Row],[Evento / Mercado]],FIND("vs",base[[#This Row],[Evento / Mercado]])-2)</f>
        <v>ADO Den Haag</v>
      </c>
      <c r="R2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PSV Eindhoven</v>
      </c>
      <c r="S220" s="132" t="e">
        <f>LEFT(base[[#This Row],[Evento / Mercado]],FIND("/",base[[#This Row],[Evento / Mercado]])-2)</f>
        <v>#VALUE!</v>
      </c>
    </row>
    <row r="221" spans="2:19" ht="15" customHeight="1">
      <c r="B221" s="128" t="s">
        <v>226</v>
      </c>
      <c r="C221" s="128" t="s">
        <v>2982</v>
      </c>
      <c r="D221" s="129">
        <v>46010.767951388887</v>
      </c>
      <c r="E221" s="130">
        <f>15.91/2</f>
        <v>7.9550000000000001</v>
      </c>
      <c r="F221" s="131">
        <v>4.4999999999999998E-2</v>
      </c>
      <c r="G221" s="126">
        <f t="shared" si="3"/>
        <v>8.3298429319371738</v>
      </c>
      <c r="H221" s="126" t="s">
        <v>74</v>
      </c>
      <c r="I221" s="127" t="s">
        <v>477</v>
      </c>
      <c r="J221" s="126">
        <v>13</v>
      </c>
      <c r="K221" s="126">
        <v>99.96</v>
      </c>
      <c r="L221" s="129">
        <f>INT(base[[#This Row],[Data de liquidação]])</f>
        <v>46010</v>
      </c>
      <c r="M221" s="126">
        <f>base[[#This Row],[L/P Bruto]]-base[[#This Row],[L/P Líquido]]</f>
        <v>0.37484293193717377</v>
      </c>
      <c r="N221" s="139">
        <f>base[[#This Row],[L/P Líquido]]/base[[#This Row],[Stake/Responsabilidade]]</f>
        <v>7.9581832733093244E-2</v>
      </c>
      <c r="O221" s="132">
        <f>IF(base[[#This Row],[L/P Líquido]]&gt;0,1,0)</f>
        <v>1</v>
      </c>
      <c r="P221" s="132" t="s">
        <v>962</v>
      </c>
      <c r="Q221" s="132" t="str">
        <f>LEFT(base[[#This Row],[Evento / Mercado]],FIND("vs",base[[#This Row],[Evento / Mercado]])-2)</f>
        <v>Borussia Dortmund</v>
      </c>
      <c r="R2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221" s="132" t="e">
        <f>LEFT(base[[#This Row],[Evento / Mercado]],FIND("/",base[[#This Row],[Evento / Mercado]])-2)</f>
        <v>#VALUE!</v>
      </c>
    </row>
    <row r="222" spans="2:19" ht="15" customHeight="1">
      <c r="B222" s="128" t="s">
        <v>226</v>
      </c>
      <c r="C222" s="128" t="s">
        <v>2982</v>
      </c>
      <c r="D222" s="129">
        <v>46010.767951388887</v>
      </c>
      <c r="E222" s="130">
        <f>15.91/2</f>
        <v>7.9550000000000001</v>
      </c>
      <c r="F222" s="131">
        <v>4.4999999999999998E-2</v>
      </c>
      <c r="G222" s="126">
        <f t="shared" si="3"/>
        <v>8.3298429319371738</v>
      </c>
      <c r="H222" s="126" t="s">
        <v>73</v>
      </c>
      <c r="I222" s="127" t="s">
        <v>16</v>
      </c>
      <c r="J222" s="126">
        <v>13</v>
      </c>
      <c r="K222" s="126">
        <v>99.96</v>
      </c>
      <c r="L222" s="129">
        <f>INT(base[[#This Row],[Data de liquidação]])</f>
        <v>46010</v>
      </c>
      <c r="M222" s="126">
        <f>base[[#This Row],[L/P Bruto]]-base[[#This Row],[L/P Líquido]]</f>
        <v>0.37484293193717377</v>
      </c>
      <c r="N222" s="126">
        <f>base[[#This Row],[L/P Líquido]]/base[[#This Row],[Stake/Responsabilidade]]</f>
        <v>7.9581832733093244E-2</v>
      </c>
      <c r="O222" s="132">
        <f>IF(base[[#This Row],[L/P Líquido]]&gt;0,1,0)</f>
        <v>1</v>
      </c>
      <c r="P222" s="132"/>
      <c r="Q222" s="132" t="str">
        <f>LEFT(base[[#This Row],[Evento / Mercado]],FIND("vs",base[[#This Row],[Evento / Mercado]])-2)</f>
        <v>Borussia Dortmund</v>
      </c>
      <c r="R2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222" s="132" t="e">
        <f>LEFT(base[[#This Row],[Evento / Mercado]],FIND("/",base[[#This Row],[Evento / Mercado]])-2)</f>
        <v>#VALUE!</v>
      </c>
    </row>
    <row r="223" spans="2:19" ht="15" customHeight="1">
      <c r="B223" s="128" t="s">
        <v>225</v>
      </c>
      <c r="C223" s="128" t="s">
        <v>2982</v>
      </c>
      <c r="D223" s="129">
        <v>46010.776377314818</v>
      </c>
      <c r="E223" s="130">
        <v>-97.18</v>
      </c>
      <c r="F223" s="131">
        <v>4.4999999999999998E-2</v>
      </c>
      <c r="G223" s="126">
        <f t="shared" si="3"/>
        <v>-97.18</v>
      </c>
      <c r="H223" s="126" t="s">
        <v>73</v>
      </c>
      <c r="I223" s="127" t="s">
        <v>13</v>
      </c>
      <c r="J223" s="126">
        <v>17</v>
      </c>
      <c r="K223" s="126">
        <v>97.18</v>
      </c>
      <c r="L223" s="129">
        <f>INT(base[[#This Row],[Data de liquidação]])</f>
        <v>46010</v>
      </c>
      <c r="M223" s="126">
        <f>base[[#This Row],[L/P Bruto]]-base[[#This Row],[L/P Líquido]]</f>
        <v>0</v>
      </c>
      <c r="N223" s="126">
        <f>base[[#This Row],[L/P Líquido]]/base[[#This Row],[Stake/Responsabilidade]]</f>
        <v>-1</v>
      </c>
      <c r="O223" s="132">
        <f>IF(base[[#This Row],[L/P Líquido]]&gt;0,1,0)</f>
        <v>0</v>
      </c>
      <c r="P223" s="132"/>
      <c r="Q223" s="132" t="str">
        <f>LEFT(base[[#This Row],[Evento / Mercado]],FIND("vs",base[[#This Row],[Evento / Mercado]])-2)</f>
        <v>En Avant Guingamp</v>
      </c>
      <c r="R2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Lavallois</v>
      </c>
      <c r="S223" s="132" t="e">
        <f>LEFT(base[[#This Row],[Evento / Mercado]],FIND("/",base[[#This Row],[Evento / Mercado]])-2)</f>
        <v>#VALUE!</v>
      </c>
    </row>
    <row r="224" spans="2:19" ht="15" customHeight="1">
      <c r="B224" s="128" t="s">
        <v>224</v>
      </c>
      <c r="C224" s="128" t="s">
        <v>2982</v>
      </c>
      <c r="D224" s="129">
        <v>46010.776516203703</v>
      </c>
      <c r="E224" s="130">
        <v>8.68</v>
      </c>
      <c r="F224" s="131">
        <v>4.4999999999999998E-2</v>
      </c>
      <c r="G224" s="126">
        <f t="shared" si="3"/>
        <v>9.0890052356020945</v>
      </c>
      <c r="H224" s="126" t="s">
        <v>73</v>
      </c>
      <c r="I224" s="127" t="s">
        <v>13</v>
      </c>
      <c r="J224" s="126">
        <v>12</v>
      </c>
      <c r="K224" s="126">
        <v>99.99</v>
      </c>
      <c r="L224" s="129">
        <f>INT(base[[#This Row],[Data de liquidação]])</f>
        <v>46010</v>
      </c>
      <c r="M224" s="126">
        <f>base[[#This Row],[L/P Bruto]]-base[[#This Row],[L/P Líquido]]</f>
        <v>0.40900523560209479</v>
      </c>
      <c r="N224" s="126">
        <f>base[[#This Row],[L/P Líquido]]/base[[#This Row],[Stake/Responsabilidade]]</f>
        <v>8.680868086808681E-2</v>
      </c>
      <c r="O224" s="132">
        <f>IF(base[[#This Row],[L/P Líquido]]&gt;0,1,0)</f>
        <v>1</v>
      </c>
      <c r="P224" s="132"/>
      <c r="Q224" s="132" t="str">
        <f>LEFT(base[[#This Row],[Evento / Mercado]],FIND("vs",base[[#This Row],[Evento / Mercado]])-2)</f>
        <v>US Avranches</v>
      </c>
      <c r="R2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224" s="132" t="e">
        <f>LEFT(base[[#This Row],[Evento / Mercado]],FIND("/",base[[#This Row],[Evento / Mercado]])-2)</f>
        <v>#VALUE!</v>
      </c>
    </row>
    <row r="225" spans="2:19" ht="15" customHeight="1">
      <c r="B225" s="128" t="s">
        <v>223</v>
      </c>
      <c r="C225" s="128" t="s">
        <v>2982</v>
      </c>
      <c r="D225" s="129">
        <v>46010.798773148148</v>
      </c>
      <c r="E225" s="130">
        <v>6.37</v>
      </c>
      <c r="F225" s="131">
        <v>4.4999999999999998E-2</v>
      </c>
      <c r="G225" s="126">
        <f t="shared" si="3"/>
        <v>6.6701570680628279</v>
      </c>
      <c r="H225" s="126" t="s">
        <v>74</v>
      </c>
      <c r="I225" s="127" t="s">
        <v>75</v>
      </c>
      <c r="J225" s="126">
        <v>16</v>
      </c>
      <c r="K225" s="126">
        <v>100.05</v>
      </c>
      <c r="L225" s="129">
        <f>INT(base[[#This Row],[Data de liquidação]])</f>
        <v>46010</v>
      </c>
      <c r="M225" s="126">
        <f>base[[#This Row],[L/P Bruto]]-base[[#This Row],[L/P Líquido]]</f>
        <v>0.30015706806282783</v>
      </c>
      <c r="N225" s="139">
        <f>base[[#This Row],[L/P Líquido]]/base[[#This Row],[Stake/Responsabilidade]]</f>
        <v>6.3668165917041483E-2</v>
      </c>
      <c r="O225" s="132">
        <f>IF(base[[#This Row],[L/P Líquido]]&gt;0,1,0)</f>
        <v>1</v>
      </c>
      <c r="P225" s="132" t="s">
        <v>965</v>
      </c>
      <c r="Q225" s="132" t="str">
        <f>LEFT(base[[#This Row],[Evento / Mercado]],FIND("vs",base[[#This Row],[Evento / Mercado]])-2)</f>
        <v>Estoril-Praia</v>
      </c>
      <c r="R2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Braga</v>
      </c>
      <c r="S225" s="132" t="e">
        <f>LEFT(base[[#This Row],[Evento / Mercado]],FIND("/",base[[#This Row],[Evento / Mercado]])-2)</f>
        <v>#VALUE!</v>
      </c>
    </row>
    <row r="226" spans="2:19" ht="15" customHeight="1">
      <c r="B226" s="128" t="s">
        <v>265</v>
      </c>
      <c r="C226" s="128" t="s">
        <v>2982</v>
      </c>
      <c r="D226" s="129">
        <v>46011.40289351852</v>
      </c>
      <c r="E226" s="130">
        <v>-97.5</v>
      </c>
      <c r="F226" s="131">
        <v>4.4999999999999998E-2</v>
      </c>
      <c r="G226" s="126">
        <f t="shared" si="3"/>
        <v>-97.5</v>
      </c>
      <c r="H226" s="126" t="s">
        <v>73</v>
      </c>
      <c r="I226" s="127" t="s">
        <v>13</v>
      </c>
      <c r="J226" s="126">
        <v>8.8000000000000007</v>
      </c>
      <c r="K226" s="126">
        <v>97.5</v>
      </c>
      <c r="L226" s="129">
        <f>INT(base[[#This Row],[Data de liquidação]])</f>
        <v>46011</v>
      </c>
      <c r="M226" s="126">
        <f>base[[#This Row],[L/P Bruto]]-base[[#This Row],[L/P Líquido]]</f>
        <v>0</v>
      </c>
      <c r="N226" s="126">
        <f>base[[#This Row],[L/P Líquido]]/base[[#This Row],[Stake/Responsabilidade]]</f>
        <v>-1</v>
      </c>
      <c r="O226" s="132">
        <f>IF(base[[#This Row],[L/P Líquido]]&gt;0,1,0)</f>
        <v>0</v>
      </c>
      <c r="P226" s="132"/>
      <c r="Q226" s="132" t="str">
        <f>LEFT(base[[#This Row],[Evento / Mercado]],FIND("vs",base[[#This Row],[Evento / Mercado]])-2)</f>
        <v>Perth Glory</v>
      </c>
      <c r="R2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Adelaide United</v>
      </c>
      <c r="S226" s="132" t="e">
        <f>LEFT(base[[#This Row],[Evento / Mercado]],FIND("/",base[[#This Row],[Evento / Mercado]])-2)</f>
        <v>#VALUE!</v>
      </c>
    </row>
    <row r="227" spans="2:19" ht="15" customHeight="1">
      <c r="B227" s="128" t="s">
        <v>264</v>
      </c>
      <c r="C227" s="128" t="s">
        <v>2982</v>
      </c>
      <c r="D227" s="129">
        <v>46011.444803240738</v>
      </c>
      <c r="E227" s="130">
        <v>42.98</v>
      </c>
      <c r="F227" s="131">
        <v>4.4999999999999998E-2</v>
      </c>
      <c r="G227" s="126">
        <f t="shared" si="3"/>
        <v>45.005235602094238</v>
      </c>
      <c r="H227" s="126" t="s">
        <v>231</v>
      </c>
      <c r="I227" s="127" t="s">
        <v>232</v>
      </c>
      <c r="J227" s="126">
        <v>1.75</v>
      </c>
      <c r="K227" s="126">
        <v>60</v>
      </c>
      <c r="L227" s="129">
        <f>INT(base[[#This Row],[Data de liquidação]])</f>
        <v>46011</v>
      </c>
      <c r="M227" s="126">
        <f>base[[#This Row],[L/P Bruto]]-base[[#This Row],[L/P Líquido]]</f>
        <v>2.0252356020942415</v>
      </c>
      <c r="N227" s="126">
        <f>base[[#This Row],[L/P Líquido]]/base[[#This Row],[Stake/Responsabilidade]]</f>
        <v>0.71633333333333327</v>
      </c>
      <c r="O227" s="132">
        <f>IF(base[[#This Row],[L/P Líquido]]&gt;0,1,0)</f>
        <v>1</v>
      </c>
      <c r="P227" s="132"/>
      <c r="Q227" s="132" t="str">
        <f>LEFT(base[[#This Row],[Evento / Mercado]],FIND("vs",base[[#This Row],[Evento / Mercado]])-2)</f>
        <v>Newcastle United</v>
      </c>
      <c r="R2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227" s="132" t="e">
        <f>LEFT(base[[#This Row],[Evento / Mercado]],FIND("/",base[[#This Row],[Evento / Mercado]])-2)</f>
        <v>#VALUE!</v>
      </c>
    </row>
    <row r="228" spans="2:19" ht="15" customHeight="1">
      <c r="B228" s="128" t="s">
        <v>263</v>
      </c>
      <c r="C228" s="128" t="s">
        <v>2982</v>
      </c>
      <c r="D228" s="129">
        <v>46011.477141203701</v>
      </c>
      <c r="E228" s="130">
        <v>5.97</v>
      </c>
      <c r="F228" s="131">
        <v>4.4999999999999998E-2</v>
      </c>
      <c r="G228" s="126">
        <f t="shared" si="3"/>
        <v>6.2513089005235605</v>
      </c>
      <c r="H228" s="126" t="s">
        <v>73</v>
      </c>
      <c r="I228" s="127" t="s">
        <v>13</v>
      </c>
      <c r="J228" s="126">
        <v>17</v>
      </c>
      <c r="K228" s="126">
        <v>100</v>
      </c>
      <c r="L228" s="129">
        <f>INT(base[[#This Row],[Data de liquidação]])</f>
        <v>46011</v>
      </c>
      <c r="M228" s="126">
        <f>base[[#This Row],[L/P Bruto]]-base[[#This Row],[L/P Líquido]]</f>
        <v>0.28130890052356072</v>
      </c>
      <c r="N228" s="126">
        <f>base[[#This Row],[L/P Líquido]]/base[[#This Row],[Stake/Responsabilidade]]</f>
        <v>5.9699999999999996E-2</v>
      </c>
      <c r="O228" s="132">
        <f>IF(base[[#This Row],[L/P Líquido]]&gt;0,1,0)</f>
        <v>1</v>
      </c>
      <c r="P228" s="132"/>
      <c r="Q228" s="132" t="str">
        <f>LEFT(base[[#This Row],[Evento / Mercado]],FIND("vs",base[[#This Row],[Evento / Mercado]])-2)</f>
        <v>Southampton</v>
      </c>
      <c r="R2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228" s="132" t="e">
        <f>LEFT(base[[#This Row],[Evento / Mercado]],FIND("/",base[[#This Row],[Evento / Mercado]])-2)</f>
        <v>#VALUE!</v>
      </c>
    </row>
    <row r="229" spans="2:19" ht="15" customHeight="1">
      <c r="B229" s="128" t="s">
        <v>263</v>
      </c>
      <c r="C229" s="128" t="s">
        <v>2982</v>
      </c>
      <c r="D229" s="129">
        <v>46011.477384259262</v>
      </c>
      <c r="E229" s="130">
        <v>-60</v>
      </c>
      <c r="F229" s="131">
        <v>4.4999999999999998E-2</v>
      </c>
      <c r="G229" s="126">
        <f t="shared" si="3"/>
        <v>-60</v>
      </c>
      <c r="H229" s="126" t="s">
        <v>231</v>
      </c>
      <c r="I229" s="127" t="s">
        <v>232</v>
      </c>
      <c r="J229" s="126">
        <v>1.68</v>
      </c>
      <c r="K229" s="126">
        <v>60</v>
      </c>
      <c r="L229" s="129">
        <f>INT(base[[#This Row],[Data de liquidação]])</f>
        <v>46011</v>
      </c>
      <c r="M229" s="126">
        <f>base[[#This Row],[L/P Bruto]]-base[[#This Row],[L/P Líquido]]</f>
        <v>0</v>
      </c>
      <c r="N229" s="126">
        <f>base[[#This Row],[L/P Líquido]]/base[[#This Row],[Stake/Responsabilidade]]</f>
        <v>-1</v>
      </c>
      <c r="O229" s="132">
        <f>IF(base[[#This Row],[L/P Líquido]]&gt;0,1,0)</f>
        <v>0</v>
      </c>
      <c r="P229" s="132"/>
      <c r="Q229" s="132" t="str">
        <f>LEFT(base[[#This Row],[Evento / Mercado]],FIND("vs",base[[#This Row],[Evento / Mercado]])-2)</f>
        <v>Southampton</v>
      </c>
      <c r="R2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229" s="132" t="e">
        <f>LEFT(base[[#This Row],[Evento / Mercado]],FIND("/",base[[#This Row],[Evento / Mercado]])-2)</f>
        <v>#VALUE!</v>
      </c>
    </row>
    <row r="230" spans="2:19" ht="15" customHeight="1">
      <c r="B230" s="128" t="s">
        <v>262</v>
      </c>
      <c r="C230" s="128" t="s">
        <v>2982</v>
      </c>
      <c r="D230" s="129">
        <v>46011.478020833332</v>
      </c>
      <c r="E230" s="130">
        <v>45.27</v>
      </c>
      <c r="F230" s="131">
        <v>4.4999999999999998E-2</v>
      </c>
      <c r="G230" s="126">
        <f t="shared" si="3"/>
        <v>47.403141361256552</v>
      </c>
      <c r="H230" s="126" t="s">
        <v>231</v>
      </c>
      <c r="I230" s="127" t="s">
        <v>266</v>
      </c>
      <c r="J230" s="126">
        <v>1.79</v>
      </c>
      <c r="K230" s="126">
        <v>60</v>
      </c>
      <c r="L230" s="129">
        <f>INT(base[[#This Row],[Data de liquidação]])</f>
        <v>46011</v>
      </c>
      <c r="M230" s="126">
        <f>base[[#This Row],[L/P Bruto]]-base[[#This Row],[L/P Líquido]]</f>
        <v>2.1331413612565484</v>
      </c>
      <c r="N230" s="126">
        <f>base[[#This Row],[L/P Líquido]]/base[[#This Row],[Stake/Responsabilidade]]</f>
        <v>0.75450000000000006</v>
      </c>
      <c r="O230" s="132">
        <f>IF(base[[#This Row],[L/P Líquido]]&gt;0,1,0)</f>
        <v>1</v>
      </c>
      <c r="P230" s="132"/>
      <c r="Q230" s="132" t="str">
        <f>LEFT(base[[#This Row],[Evento / Mercado]],FIND("vs",base[[#This Row],[Evento / Mercado]])-2)</f>
        <v>Preston North End</v>
      </c>
      <c r="R2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230" s="132" t="e">
        <f>LEFT(base[[#This Row],[Evento / Mercado]],FIND("/",base[[#This Row],[Evento / Mercado]])-2)</f>
        <v>#VALUE!</v>
      </c>
    </row>
    <row r="231" spans="2:19" ht="15" customHeight="1">
      <c r="B231" s="128" t="s">
        <v>261</v>
      </c>
      <c r="C231" s="128" t="s">
        <v>2982</v>
      </c>
      <c r="D231" s="129">
        <v>46011.480555555558</v>
      </c>
      <c r="E231" s="130">
        <v>5.62</v>
      </c>
      <c r="F231" s="131">
        <v>4.4999999999999998E-2</v>
      </c>
      <c r="G231" s="126">
        <f t="shared" si="3"/>
        <v>5.8848167539267022</v>
      </c>
      <c r="H231" s="126" t="s">
        <v>73</v>
      </c>
      <c r="I231" s="127" t="s">
        <v>13</v>
      </c>
      <c r="J231" s="126">
        <v>18</v>
      </c>
      <c r="K231" s="126">
        <v>99.96</v>
      </c>
      <c r="L231" s="129">
        <f>INT(base[[#This Row],[Data de liquidação]])</f>
        <v>46011</v>
      </c>
      <c r="M231" s="126">
        <f>base[[#This Row],[L/P Bruto]]-base[[#This Row],[L/P Líquido]]</f>
        <v>0.26481675392670212</v>
      </c>
      <c r="N231" s="126">
        <f>base[[#This Row],[L/P Líquido]]/base[[#This Row],[Stake/Responsabilidade]]</f>
        <v>5.6222488995598244E-2</v>
      </c>
      <c r="O231" s="132">
        <f>IF(base[[#This Row],[L/P Líquido]]&gt;0,1,0)</f>
        <v>1</v>
      </c>
      <c r="P231" s="132"/>
      <c r="Q231" s="132" t="str">
        <f>LEFT(base[[#This Row],[Evento / Mercado]],FIND("vs",base[[#This Row],[Evento / Mercado]])-2)</f>
        <v>Zira IK</v>
      </c>
      <c r="R2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Imisli Futbol Klubu</v>
      </c>
      <c r="S231" s="132" t="e">
        <f>LEFT(base[[#This Row],[Evento / Mercado]],FIND("/",base[[#This Row],[Evento / Mercado]])-2)</f>
        <v>#VALUE!</v>
      </c>
    </row>
    <row r="232" spans="2:19" ht="15" customHeight="1">
      <c r="B232" s="128" t="s">
        <v>260</v>
      </c>
      <c r="C232" s="128" t="s">
        <v>2982</v>
      </c>
      <c r="D232" s="129">
        <v>46011.488749999997</v>
      </c>
      <c r="E232" s="130">
        <v>40.11</v>
      </c>
      <c r="F232" s="131">
        <v>4.4999999999999998E-2</v>
      </c>
      <c r="G232" s="126">
        <f t="shared" si="3"/>
        <v>42</v>
      </c>
      <c r="H232" s="126" t="s">
        <v>231</v>
      </c>
      <c r="I232" s="127" t="s">
        <v>266</v>
      </c>
      <c r="J232" s="126">
        <v>1.7</v>
      </c>
      <c r="K232" s="126">
        <v>60</v>
      </c>
      <c r="L232" s="129">
        <f>INT(base[[#This Row],[Data de liquidação]])</f>
        <v>46011</v>
      </c>
      <c r="M232" s="126">
        <f>base[[#This Row],[L/P Bruto]]-base[[#This Row],[L/P Líquido]]</f>
        <v>1.8900000000000006</v>
      </c>
      <c r="N232" s="126">
        <f>base[[#This Row],[L/P Líquido]]/base[[#This Row],[Stake/Responsabilidade]]</f>
        <v>0.66849999999999998</v>
      </c>
      <c r="O232" s="132">
        <f>IF(base[[#This Row],[L/P Líquido]]&gt;0,1,0)</f>
        <v>1</v>
      </c>
      <c r="P232" s="132"/>
      <c r="Q232" s="132" t="str">
        <f>LEFT(base[[#This Row],[Evento / Mercado]],FIND("vs",base[[#This Row],[Evento / Mercado]])-2)</f>
        <v>VfL Wolfsburg</v>
      </c>
      <c r="R2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232" s="132" t="e">
        <f>LEFT(base[[#This Row],[Evento / Mercado]],FIND("/",base[[#This Row],[Evento / Mercado]])-2)</f>
        <v>#VALUE!</v>
      </c>
    </row>
    <row r="233" spans="2:19" ht="15" customHeight="1">
      <c r="B233" s="128" t="s">
        <v>259</v>
      </c>
      <c r="C233" s="128" t="s">
        <v>2982</v>
      </c>
      <c r="D233" s="129">
        <v>46011.496446759258</v>
      </c>
      <c r="E233" s="130">
        <v>5.62</v>
      </c>
      <c r="F233" s="131">
        <v>4.4999999999999998E-2</v>
      </c>
      <c r="G233" s="126">
        <f t="shared" si="3"/>
        <v>5.8848167539267022</v>
      </c>
      <c r="H233" s="126" t="s">
        <v>73</v>
      </c>
      <c r="I233" s="127" t="s">
        <v>13</v>
      </c>
      <c r="J233" s="126">
        <v>18</v>
      </c>
      <c r="K233" s="126">
        <v>100.13</v>
      </c>
      <c r="L233" s="129">
        <f>INT(base[[#This Row],[Data de liquidação]])</f>
        <v>46011</v>
      </c>
      <c r="M233" s="126">
        <f>base[[#This Row],[L/P Bruto]]-base[[#This Row],[L/P Líquido]]</f>
        <v>0.26481675392670212</v>
      </c>
      <c r="N233" s="126">
        <f>base[[#This Row],[L/P Líquido]]/base[[#This Row],[Stake/Responsabilidade]]</f>
        <v>5.6127034854688909E-2</v>
      </c>
      <c r="O233" s="132">
        <f>IF(base[[#This Row],[L/P Líquido]]&gt;0,1,0)</f>
        <v>1</v>
      </c>
      <c r="P233" s="132"/>
      <c r="Q233" s="132" t="str">
        <f>LEFT(base[[#This Row],[Evento / Mercado]],FIND("vs",base[[#This Row],[Evento / Mercado]])-2)</f>
        <v>Kazma Sporting Club</v>
      </c>
      <c r="R2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Naser</v>
      </c>
      <c r="S233" s="132" t="e">
        <f>LEFT(base[[#This Row],[Evento / Mercado]],FIND("/",base[[#This Row],[Evento / Mercado]])-2)</f>
        <v>#VALUE!</v>
      </c>
    </row>
    <row r="234" spans="2:19" ht="15" customHeight="1">
      <c r="B234" s="128" t="s">
        <v>258</v>
      </c>
      <c r="C234" s="128" t="s">
        <v>2982</v>
      </c>
      <c r="D234" s="129">
        <v>46011.498553240737</v>
      </c>
      <c r="E234" s="130">
        <v>8.68</v>
      </c>
      <c r="F234" s="131">
        <v>4.4999999999999998E-2</v>
      </c>
      <c r="G234" s="126">
        <f t="shared" si="3"/>
        <v>9.0890052356020945</v>
      </c>
      <c r="H234" s="126" t="s">
        <v>73</v>
      </c>
      <c r="I234" s="127" t="s">
        <v>16</v>
      </c>
      <c r="J234" s="126">
        <v>12</v>
      </c>
      <c r="K234" s="126">
        <v>99.99</v>
      </c>
      <c r="L234" s="129">
        <f>INT(base[[#This Row],[Data de liquidação]])</f>
        <v>46011</v>
      </c>
      <c r="M234" s="126">
        <f>base[[#This Row],[L/P Bruto]]-base[[#This Row],[L/P Líquido]]</f>
        <v>0.40900523560209479</v>
      </c>
      <c r="N234" s="126">
        <f>base[[#This Row],[L/P Líquido]]/base[[#This Row],[Stake/Responsabilidade]]</f>
        <v>8.680868086808681E-2</v>
      </c>
      <c r="O234" s="132">
        <f>IF(base[[#This Row],[L/P Líquido]]&gt;0,1,0)</f>
        <v>1</v>
      </c>
      <c r="P234" s="132"/>
      <c r="Q234" s="132" t="str">
        <f>LEFT(base[[#This Row],[Evento / Mercado]],FIND("vs",base[[#This Row],[Evento / Mercado]])-2)</f>
        <v>Rot-Weiss Essen</v>
      </c>
      <c r="R2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SSV Ulm 1846</v>
      </c>
      <c r="S234" s="132" t="e">
        <f>LEFT(base[[#This Row],[Evento / Mercado]],FIND("/",base[[#This Row],[Evento / Mercado]])-2)</f>
        <v>#VALUE!</v>
      </c>
    </row>
    <row r="235" spans="2:19" ht="15" customHeight="1">
      <c r="B235" s="128" t="s">
        <v>257</v>
      </c>
      <c r="C235" s="128" t="s">
        <v>2982</v>
      </c>
      <c r="D235" s="129">
        <v>46011.502118055556</v>
      </c>
      <c r="E235" s="130">
        <v>9.5500000000000007</v>
      </c>
      <c r="F235" s="131">
        <v>4.4999999999999998E-2</v>
      </c>
      <c r="G235" s="126">
        <f t="shared" si="3"/>
        <v>10.000000000000002</v>
      </c>
      <c r="H235" s="126" t="s">
        <v>73</v>
      </c>
      <c r="I235" s="127" t="s">
        <v>16</v>
      </c>
      <c r="J235" s="126">
        <v>11</v>
      </c>
      <c r="K235" s="126">
        <v>100</v>
      </c>
      <c r="L235" s="129">
        <f>INT(base[[#This Row],[Data de liquidação]])</f>
        <v>46011</v>
      </c>
      <c r="M235" s="126">
        <f>base[[#This Row],[L/P Bruto]]-base[[#This Row],[L/P Líquido]]</f>
        <v>0.45000000000000107</v>
      </c>
      <c r="N235" s="126">
        <f>base[[#This Row],[L/P Líquido]]/base[[#This Row],[Stake/Responsabilidade]]</f>
        <v>9.5500000000000002E-2</v>
      </c>
      <c r="O235" s="132">
        <f>IF(base[[#This Row],[L/P Líquido]]&gt;0,1,0)</f>
        <v>1</v>
      </c>
      <c r="P235" s="132"/>
      <c r="Q235" s="132" t="str">
        <f>LEFT(base[[#This Row],[Evento / Mercado]],FIND("vs",base[[#This Row],[Evento / Mercado]])-2)</f>
        <v>Hansa Rostock</v>
      </c>
      <c r="R2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Saarbrücken</v>
      </c>
      <c r="S235" s="132" t="e">
        <f>LEFT(base[[#This Row],[Evento / Mercado]],FIND("/",base[[#This Row],[Evento / Mercado]])-2)</f>
        <v>#VALUE!</v>
      </c>
    </row>
    <row r="236" spans="2:19" ht="15" customHeight="1">
      <c r="B236" s="128" t="s">
        <v>256</v>
      </c>
      <c r="C236" s="128" t="s">
        <v>2982</v>
      </c>
      <c r="D236" s="129">
        <v>46011.536273148151</v>
      </c>
      <c r="E236" s="130">
        <v>11.94</v>
      </c>
      <c r="F236" s="131">
        <v>4.4999999999999998E-2</v>
      </c>
      <c r="G236" s="126">
        <f t="shared" si="3"/>
        <v>12.502617801047121</v>
      </c>
      <c r="H236" s="126" t="s">
        <v>73</v>
      </c>
      <c r="I236" s="127" t="s">
        <v>13</v>
      </c>
      <c r="J236" s="126">
        <v>9</v>
      </c>
      <c r="K236" s="126">
        <v>100</v>
      </c>
      <c r="L236" s="129">
        <f>INT(base[[#This Row],[Data de liquidação]])</f>
        <v>46011</v>
      </c>
      <c r="M236" s="126">
        <f>base[[#This Row],[L/P Bruto]]-base[[#This Row],[L/P Líquido]]</f>
        <v>0.56261780104712145</v>
      </c>
      <c r="N236" s="126">
        <f>base[[#This Row],[L/P Líquido]]/base[[#This Row],[Stake/Responsabilidade]]</f>
        <v>0.11939999999999999</v>
      </c>
      <c r="O236" s="132">
        <f>IF(base[[#This Row],[L/P Líquido]]&gt;0,1,0)</f>
        <v>1</v>
      </c>
      <c r="P236" s="132"/>
      <c r="Q236" s="132" t="str">
        <f>LEFT(base[[#This Row],[Evento / Mercado]],FIND("vs",base[[#This Row],[Evento / Mercado]])-2)</f>
        <v>Eyüpspor</v>
      </c>
      <c r="R2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Fenerbahçe SK</v>
      </c>
      <c r="S236" s="132" t="e">
        <f>LEFT(base[[#This Row],[Evento / Mercado]],FIND("/",base[[#This Row],[Evento / Mercado]])-2)</f>
        <v>#VALUE!</v>
      </c>
    </row>
    <row r="237" spans="2:19" ht="15" customHeight="1">
      <c r="B237" s="128" t="s">
        <v>255</v>
      </c>
      <c r="C237" s="128" t="s">
        <v>2982</v>
      </c>
      <c r="D237" s="129">
        <v>46011.539664351854</v>
      </c>
      <c r="E237" s="130">
        <v>-100</v>
      </c>
      <c r="F237" s="131">
        <v>4.4999999999999998E-2</v>
      </c>
      <c r="G237" s="126">
        <f t="shared" si="3"/>
        <v>-100</v>
      </c>
      <c r="H237" s="126" t="s">
        <v>73</v>
      </c>
      <c r="I237" s="127" t="s">
        <v>13</v>
      </c>
      <c r="J237" s="126">
        <v>17</v>
      </c>
      <c r="K237" s="126">
        <v>100</v>
      </c>
      <c r="L237" s="129">
        <f>INT(base[[#This Row],[Data de liquidação]])</f>
        <v>46011</v>
      </c>
      <c r="M237" s="126">
        <f>base[[#This Row],[L/P Bruto]]-base[[#This Row],[L/P Líquido]]</f>
        <v>0</v>
      </c>
      <c r="N237" s="126">
        <f>base[[#This Row],[L/P Líquido]]/base[[#This Row],[Stake/Responsabilidade]]</f>
        <v>-1</v>
      </c>
      <c r="O237" s="132">
        <f>IF(base[[#This Row],[L/P Líquido]]&gt;0,1,0)</f>
        <v>0</v>
      </c>
      <c r="P237" s="132"/>
      <c r="Q237" s="132" t="str">
        <f>LEFT(base[[#This Row],[Evento / Mercado]],FIND("vs",base[[#This Row],[Evento / Mercado]])-2)</f>
        <v>GD Chaves</v>
      </c>
      <c r="R2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Portimonense</v>
      </c>
      <c r="S237" s="132" t="e">
        <f>LEFT(base[[#This Row],[Evento / Mercado]],FIND("/",base[[#This Row],[Evento / Mercado]])-2)</f>
        <v>#VALUE!</v>
      </c>
    </row>
    <row r="238" spans="2:19" ht="15" customHeight="1">
      <c r="B238" s="128" t="s">
        <v>254</v>
      </c>
      <c r="C238" s="128" t="s">
        <v>2982</v>
      </c>
      <c r="D238" s="129">
        <v>46011.559189814812</v>
      </c>
      <c r="E238" s="130">
        <v>20</v>
      </c>
      <c r="F238" s="131">
        <v>4.4999999999999998E-2</v>
      </c>
      <c r="G238" s="126">
        <f t="shared" si="3"/>
        <v>20.942408376963353</v>
      </c>
      <c r="H238" s="126" t="s">
        <v>269</v>
      </c>
      <c r="I238" s="127" t="s">
        <v>267</v>
      </c>
      <c r="J238" s="126">
        <v>1.2</v>
      </c>
      <c r="K238" s="126">
        <v>100</v>
      </c>
      <c r="L238" s="129">
        <f>INT(base[[#This Row],[Data de liquidação]])</f>
        <v>46011</v>
      </c>
      <c r="M238" s="126">
        <f>base[[#This Row],[L/P Bruto]]-base[[#This Row],[L/P Líquido]]</f>
        <v>0.94240837696335333</v>
      </c>
      <c r="N238" s="126">
        <f>base[[#This Row],[L/P Líquido]]/base[[#This Row],[Stake/Responsabilidade]]</f>
        <v>0.2</v>
      </c>
      <c r="O238" s="132">
        <f>IF(base[[#This Row],[L/P Líquido]]&gt;0,1,0)</f>
        <v>1</v>
      </c>
      <c r="P238" s="132"/>
      <c r="Q238" s="132" t="str">
        <f>LEFT(base[[#This Row],[Evento / Mercado]],FIND("vs",base[[#This Row],[Evento / Mercado]])-2)</f>
        <v>VfB Stuttgart</v>
      </c>
      <c r="R2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238" s="132" t="e">
        <f>LEFT(base[[#This Row],[Evento / Mercado]],FIND("/",base[[#This Row],[Evento / Mercado]])-2)</f>
        <v>#VALUE!</v>
      </c>
    </row>
    <row r="239" spans="2:19" ht="15" customHeight="1">
      <c r="B239" s="128" t="s">
        <v>253</v>
      </c>
      <c r="C239" s="128" t="s">
        <v>2982</v>
      </c>
      <c r="D239" s="129">
        <v>46011.562488425923</v>
      </c>
      <c r="E239" s="130">
        <v>-60</v>
      </c>
      <c r="F239" s="131">
        <v>4.4999999999999998E-2</v>
      </c>
      <c r="G239" s="126">
        <f t="shared" si="3"/>
        <v>-60</v>
      </c>
      <c r="H239" s="126" t="s">
        <v>231</v>
      </c>
      <c r="I239" s="127" t="s">
        <v>232</v>
      </c>
      <c r="J239" s="126">
        <v>1.8</v>
      </c>
      <c r="K239" s="126">
        <v>60</v>
      </c>
      <c r="L239" s="129">
        <f>INT(base[[#This Row],[Data de liquidação]])</f>
        <v>46011</v>
      </c>
      <c r="M239" s="126">
        <f>base[[#This Row],[L/P Bruto]]-base[[#This Row],[L/P Líquido]]</f>
        <v>0</v>
      </c>
      <c r="N239" s="126">
        <f>base[[#This Row],[L/P Líquido]]/base[[#This Row],[Stake/Responsabilidade]]</f>
        <v>-1</v>
      </c>
      <c r="O239" s="132">
        <f>IF(base[[#This Row],[L/P Líquido]]&gt;0,1,0)</f>
        <v>0</v>
      </c>
      <c r="P239" s="132"/>
      <c r="Q239" s="132" t="str">
        <f>LEFT(base[[#This Row],[Evento / Mercado]],FIND("vs",base[[#This Row],[Evento / Mercado]])-2)</f>
        <v>Hamburger SV</v>
      </c>
      <c r="R2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239" s="132" t="e">
        <f>LEFT(base[[#This Row],[Evento / Mercado]],FIND("/",base[[#This Row],[Evento / Mercado]])-2)</f>
        <v>#VALUE!</v>
      </c>
    </row>
    <row r="240" spans="2:19" ht="15" customHeight="1">
      <c r="B240" s="128" t="s">
        <v>252</v>
      </c>
      <c r="C240" s="128" t="s">
        <v>2982</v>
      </c>
      <c r="D240" s="129">
        <v>46011.564027777778</v>
      </c>
      <c r="E240" s="130">
        <v>6.37</v>
      </c>
      <c r="F240" s="131">
        <v>4.4999999999999998E-2</v>
      </c>
      <c r="G240" s="126">
        <f t="shared" si="3"/>
        <v>6.6701570680628279</v>
      </c>
      <c r="H240" s="126" t="s">
        <v>73</v>
      </c>
      <c r="I240" s="127" t="s">
        <v>16</v>
      </c>
      <c r="J240" s="126">
        <v>16</v>
      </c>
      <c r="K240" s="126">
        <v>100.05</v>
      </c>
      <c r="L240" s="129">
        <f>INT(base[[#This Row],[Data de liquidação]])</f>
        <v>46011</v>
      </c>
      <c r="M240" s="126">
        <f>base[[#This Row],[L/P Bruto]]-base[[#This Row],[L/P Líquido]]</f>
        <v>0.30015706806282783</v>
      </c>
      <c r="N240" s="126">
        <f>base[[#This Row],[L/P Líquido]]/base[[#This Row],[Stake/Responsabilidade]]</f>
        <v>6.3668165917041483E-2</v>
      </c>
      <c r="O240" s="132">
        <f>IF(base[[#This Row],[L/P Líquido]]&gt;0,1,0)</f>
        <v>1</v>
      </c>
      <c r="P240" s="132"/>
      <c r="Q240" s="132" t="str">
        <f>LEFT(base[[#This Row],[Evento / Mercado]],FIND("vs",base[[#This Row],[Evento / Mercado]])-2)</f>
        <v>Crvena Zvezda</v>
      </c>
      <c r="R2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Mladost Lucani</v>
      </c>
      <c r="S240" s="132" t="e">
        <f>LEFT(base[[#This Row],[Evento / Mercado]],FIND("/",base[[#This Row],[Evento / Mercado]])-2)</f>
        <v>#VALUE!</v>
      </c>
    </row>
    <row r="241" spans="2:21" ht="15" customHeight="1">
      <c r="B241" s="128" t="s">
        <v>251</v>
      </c>
      <c r="C241" s="128" t="s">
        <v>2982</v>
      </c>
      <c r="D241" s="129">
        <v>46011.571701388886</v>
      </c>
      <c r="E241" s="130">
        <v>45.87</v>
      </c>
      <c r="F241" s="131">
        <v>4.4999999999999998E-2</v>
      </c>
      <c r="G241" s="126">
        <f t="shared" si="3"/>
        <v>48.031413612565444</v>
      </c>
      <c r="H241" s="126" t="s">
        <v>231</v>
      </c>
      <c r="I241" s="127" t="s">
        <v>266</v>
      </c>
      <c r="J241" s="126">
        <v>1.8</v>
      </c>
      <c r="K241" s="126">
        <v>60</v>
      </c>
      <c r="L241" s="129">
        <f>INT(base[[#This Row],[Data de liquidação]])</f>
        <v>46011</v>
      </c>
      <c r="M241" s="126">
        <f>base[[#This Row],[L/P Bruto]]-base[[#This Row],[L/P Líquido]]</f>
        <v>2.1614136125654468</v>
      </c>
      <c r="N241" s="126">
        <f>base[[#This Row],[L/P Líquido]]/base[[#This Row],[Stake/Responsabilidade]]</f>
        <v>0.76449999999999996</v>
      </c>
      <c r="O241" s="132">
        <f>IF(base[[#This Row],[L/P Líquido]]&gt;0,1,0)</f>
        <v>1</v>
      </c>
      <c r="P241" s="132"/>
      <c r="Q241" s="132" t="str">
        <f>LEFT(base[[#This Row],[Evento / Mercado]],FIND("vs",base[[#This Row],[Evento / Mercado]])-2)</f>
        <v>Queens Park Rangers</v>
      </c>
      <c r="R2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Leicester City</v>
      </c>
      <c r="S241" s="132" t="e">
        <f>LEFT(base[[#This Row],[Evento / Mercado]],FIND("/",base[[#This Row],[Evento / Mercado]])-2)</f>
        <v>#VALUE!</v>
      </c>
    </row>
    <row r="242" spans="2:21" ht="15" customHeight="1">
      <c r="B242" s="128" t="s">
        <v>250</v>
      </c>
      <c r="C242" s="128" t="s">
        <v>2982</v>
      </c>
      <c r="D242" s="129">
        <v>46011.576493055552</v>
      </c>
      <c r="E242" s="130">
        <v>5.62</v>
      </c>
      <c r="F242" s="131">
        <v>4.4999999999999998E-2</v>
      </c>
      <c r="G242" s="126">
        <f t="shared" si="3"/>
        <v>5.8848167539267022</v>
      </c>
      <c r="H242" s="126" t="s">
        <v>73</v>
      </c>
      <c r="I242" s="127" t="s">
        <v>13</v>
      </c>
      <c r="J242" s="126">
        <v>18</v>
      </c>
      <c r="K242" s="126">
        <v>99.96</v>
      </c>
      <c r="L242" s="129">
        <f>INT(base[[#This Row],[Data de liquidação]])</f>
        <v>46011</v>
      </c>
      <c r="M242" s="126">
        <f>base[[#This Row],[L/P Bruto]]-base[[#This Row],[L/P Líquido]]</f>
        <v>0.26481675392670212</v>
      </c>
      <c r="N242" s="126">
        <f>base[[#This Row],[L/P Líquido]]/base[[#This Row],[Stake/Responsabilidade]]</f>
        <v>5.6222488995598244E-2</v>
      </c>
      <c r="O242" s="132">
        <f>IF(base[[#This Row],[L/P Líquido]]&gt;0,1,0)</f>
        <v>1</v>
      </c>
      <c r="P242" s="132"/>
      <c r="Q242" s="132" t="str">
        <f>LEFT(base[[#This Row],[Evento / Mercado]],FIND("vs",base[[#This Row],[Evento / Mercado]])-2)</f>
        <v>Motherwell</v>
      </c>
      <c r="R2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Dundee</v>
      </c>
      <c r="S242" s="132" t="e">
        <f>LEFT(base[[#This Row],[Evento / Mercado]],FIND("/",base[[#This Row],[Evento / Mercado]])-2)</f>
        <v>#VALUE!</v>
      </c>
    </row>
    <row r="243" spans="2:21" ht="15" customHeight="1">
      <c r="B243" s="128" t="s">
        <v>249</v>
      </c>
      <c r="C243" s="128" t="s">
        <v>2982</v>
      </c>
      <c r="D243" s="129">
        <v>46011.578425925924</v>
      </c>
      <c r="E243" s="130">
        <v>7.34</v>
      </c>
      <c r="F243" s="131">
        <v>4.4999999999999998E-2</v>
      </c>
      <c r="G243" s="126">
        <f t="shared" si="3"/>
        <v>7.6858638743455501</v>
      </c>
      <c r="H243" s="126" t="s">
        <v>122</v>
      </c>
      <c r="I243" s="127" t="s">
        <v>477</v>
      </c>
      <c r="J243" s="126">
        <v>14</v>
      </c>
      <c r="K243" s="126">
        <v>99.97</v>
      </c>
      <c r="L243" s="129">
        <f>INT(base[[#This Row],[Data de liquidação]])</f>
        <v>46011</v>
      </c>
      <c r="M243" s="126">
        <f>base[[#This Row],[L/P Bruto]]-base[[#This Row],[L/P Líquido]]</f>
        <v>0.34586387434555022</v>
      </c>
      <c r="N243" s="126">
        <f>base[[#This Row],[L/P Líquido]]/base[[#This Row],[Stake/Responsabilidade]]</f>
        <v>7.3422026607982388E-2</v>
      </c>
      <c r="O243" s="132">
        <f>IF(base[[#This Row],[L/P Líquido]]&gt;0,1,0)</f>
        <v>1</v>
      </c>
      <c r="P243" s="132" t="s">
        <v>963</v>
      </c>
      <c r="Q243" s="132" t="str">
        <f>LEFT(base[[#This Row],[Evento / Mercado]],FIND("vs",base[[#This Row],[Evento / Mercado]])-2)</f>
        <v>Manchester City</v>
      </c>
      <c r="R2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243" s="132" t="e">
        <f>LEFT(base[[#This Row],[Evento / Mercado]],FIND("/",base[[#This Row],[Evento / Mercado]])-2)</f>
        <v>#VALUE!</v>
      </c>
    </row>
    <row r="244" spans="2:21" ht="15" customHeight="1">
      <c r="B244" s="128" t="s">
        <v>248</v>
      </c>
      <c r="C244" s="128" t="s">
        <v>2982</v>
      </c>
      <c r="D244" s="129">
        <v>46011.580879629626</v>
      </c>
      <c r="E244" s="130">
        <v>-99.99</v>
      </c>
      <c r="F244" s="131">
        <v>4.4999999999999998E-2</v>
      </c>
      <c r="G244" s="126">
        <f t="shared" si="3"/>
        <v>-99.99</v>
      </c>
      <c r="H244" s="126" t="s">
        <v>73</v>
      </c>
      <c r="I244" s="127" t="s">
        <v>16</v>
      </c>
      <c r="J244" s="126">
        <v>12</v>
      </c>
      <c r="K244" s="126">
        <v>99.99</v>
      </c>
      <c r="L244" s="129">
        <f>INT(base[[#This Row],[Data de liquidação]])</f>
        <v>46011</v>
      </c>
      <c r="M244" s="126">
        <f>base[[#This Row],[L/P Bruto]]-base[[#This Row],[L/P Líquido]]</f>
        <v>0</v>
      </c>
      <c r="N244" s="126">
        <f>base[[#This Row],[L/P Líquido]]/base[[#This Row],[Stake/Responsabilidade]]</f>
        <v>-1</v>
      </c>
      <c r="O244" s="132">
        <f>IF(base[[#This Row],[L/P Líquido]]&gt;0,1,0)</f>
        <v>0</v>
      </c>
      <c r="P244" s="132"/>
      <c r="Q244" s="132" t="str">
        <f>LEFT(base[[#This Row],[Evento / Mercado]],FIND("vs",base[[#This Row],[Evento / Mercado]])-2)</f>
        <v>Swindon Town</v>
      </c>
      <c r="R2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Crawley Town</v>
      </c>
      <c r="S244" s="132" t="e">
        <f>LEFT(base[[#This Row],[Evento / Mercado]],FIND("/",base[[#This Row],[Evento / Mercado]])-2)</f>
        <v>#VALUE!</v>
      </c>
    </row>
    <row r="245" spans="2:21" ht="15" customHeight="1">
      <c r="B245" s="128" t="s">
        <v>247</v>
      </c>
      <c r="C245" s="128" t="s">
        <v>2982</v>
      </c>
      <c r="D245" s="129">
        <v>46011.581307870372</v>
      </c>
      <c r="E245" s="130">
        <v>11.9375</v>
      </c>
      <c r="F245" s="131">
        <v>4.4999999999999998E-2</v>
      </c>
      <c r="G245" s="126">
        <f t="shared" si="3"/>
        <v>12.5</v>
      </c>
      <c r="H245" s="126" t="s">
        <v>73</v>
      </c>
      <c r="I245" s="127" t="s">
        <v>16</v>
      </c>
      <c r="J245" s="126">
        <v>9</v>
      </c>
      <c r="K245" s="126">
        <v>100</v>
      </c>
      <c r="L245" s="129">
        <f>INT(base[[#This Row],[Data de liquidação]])</f>
        <v>46011</v>
      </c>
      <c r="M245" s="126">
        <f>base[[#This Row],[L/P Bruto]]-base[[#This Row],[L/P Líquido]]</f>
        <v>0.5625</v>
      </c>
      <c r="N245" s="126">
        <f>base[[#This Row],[L/P Líquido]]/base[[#This Row],[Stake/Responsabilidade]]</f>
        <v>0.119375</v>
      </c>
      <c r="O245" s="132">
        <f>IF(base[[#This Row],[L/P Líquido]]&gt;0,1,0)</f>
        <v>1</v>
      </c>
      <c r="P245" s="132"/>
      <c r="Q245" s="132" t="str">
        <f>LEFT(base[[#This Row],[Evento / Mercado]],FIND("vs",base[[#This Row],[Evento / Mercado]])-2)</f>
        <v>Brighton &amp; Hove Albion</v>
      </c>
      <c r="R2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Sunderland</v>
      </c>
      <c r="S245" s="132" t="e">
        <f>LEFT(base[[#This Row],[Evento / Mercado]],FIND("/",base[[#This Row],[Evento / Mercado]])-2)</f>
        <v>#VALUE!</v>
      </c>
      <c r="T245" s="8">
        <v>12.5</v>
      </c>
      <c r="U245" s="9">
        <f>T245*0.955</f>
        <v>11.9375</v>
      </c>
    </row>
    <row r="246" spans="2:21" ht="15" customHeight="1">
      <c r="B246" s="128" t="s">
        <v>247</v>
      </c>
      <c r="C246" s="128" t="s">
        <v>2982</v>
      </c>
      <c r="D246" s="129">
        <v>46011.581307870372</v>
      </c>
      <c r="E246" s="130">
        <v>5.6153999999999993</v>
      </c>
      <c r="F246" s="131">
        <v>4.4999999999999998E-2</v>
      </c>
      <c r="G246" s="126">
        <f t="shared" si="3"/>
        <v>5.88</v>
      </c>
      <c r="H246" s="126" t="s">
        <v>73</v>
      </c>
      <c r="I246" s="127" t="s">
        <v>13</v>
      </c>
      <c r="J246" s="126">
        <v>18</v>
      </c>
      <c r="K246" s="126">
        <v>99.96</v>
      </c>
      <c r="L246" s="129">
        <f>INT(base[[#This Row],[Data de liquidação]])</f>
        <v>46011</v>
      </c>
      <c r="M246" s="126">
        <f>base[[#This Row],[L/P Bruto]]-base[[#This Row],[L/P Líquido]]</f>
        <v>0.26460000000000061</v>
      </c>
      <c r="N246" s="126">
        <f>base[[#This Row],[L/P Líquido]]/base[[#This Row],[Stake/Responsabilidade]]</f>
        <v>5.6176470588235293E-2</v>
      </c>
      <c r="O246" s="132">
        <f>IF(base[[#This Row],[L/P Líquido]]&gt;0,1,0)</f>
        <v>1</v>
      </c>
      <c r="P246" s="132"/>
      <c r="Q246" s="132" t="str">
        <f>LEFT(base[[#This Row],[Evento / Mercado]],FIND("vs",base[[#This Row],[Evento / Mercado]])-2)</f>
        <v>Brighton &amp; Hove Albion</v>
      </c>
      <c r="R2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Sunderland</v>
      </c>
      <c r="S246" s="132" t="e">
        <f>LEFT(base[[#This Row],[Evento / Mercado]],FIND("/",base[[#This Row],[Evento / Mercado]])-2)</f>
        <v>#VALUE!</v>
      </c>
      <c r="T246" s="8">
        <v>5.88</v>
      </c>
      <c r="U246" s="9">
        <f>T246*0.955</f>
        <v>5.6153999999999993</v>
      </c>
    </row>
    <row r="247" spans="2:21" ht="15" customHeight="1">
      <c r="B247" s="128" t="s">
        <v>246</v>
      </c>
      <c r="C247" s="128" t="s">
        <v>2982</v>
      </c>
      <c r="D247" s="129">
        <v>46011.605416666665</v>
      </c>
      <c r="E247" s="130">
        <v>39.25</v>
      </c>
      <c r="F247" s="131">
        <v>4.4999999999999998E-2</v>
      </c>
      <c r="G247" s="126">
        <f t="shared" si="3"/>
        <v>41.099476439790578</v>
      </c>
      <c r="H247" s="126" t="s">
        <v>231</v>
      </c>
      <c r="I247" s="127" t="s">
        <v>232</v>
      </c>
      <c r="J247" s="126">
        <v>1.68</v>
      </c>
      <c r="K247" s="126">
        <v>60</v>
      </c>
      <c r="L247" s="129">
        <f>INT(base[[#This Row],[Data de liquidação]])</f>
        <v>46011</v>
      </c>
      <c r="M247" s="126">
        <f>base[[#This Row],[L/P Bruto]]-base[[#This Row],[L/P Líquido]]</f>
        <v>1.8494764397905783</v>
      </c>
      <c r="N247" s="126">
        <f>base[[#This Row],[L/P Líquido]]/base[[#This Row],[Stake/Responsabilidade]]</f>
        <v>0.65416666666666667</v>
      </c>
      <c r="O247" s="132">
        <f>IF(base[[#This Row],[L/P Líquido]]&gt;0,1,0)</f>
        <v>1</v>
      </c>
      <c r="P247" s="132"/>
      <c r="Q247" s="132" t="str">
        <f>LEFT(base[[#This Row],[Evento / Mercado]],FIND("vs",base[[#This Row],[Evento / Mercado]])-2)</f>
        <v>Heracles Almelo</v>
      </c>
      <c r="R2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247" s="132" t="e">
        <f>LEFT(base[[#This Row],[Evento / Mercado]],FIND("/",base[[#This Row],[Evento / Mercado]])-2)</f>
        <v>#VALUE!</v>
      </c>
    </row>
    <row r="248" spans="2:21" ht="15" customHeight="1">
      <c r="B248" s="128" t="s">
        <v>245</v>
      </c>
      <c r="C248" s="128" t="s">
        <v>2982</v>
      </c>
      <c r="D248" s="129">
        <v>46011.663900462961</v>
      </c>
      <c r="E248" s="130">
        <v>5.62</v>
      </c>
      <c r="F248" s="131">
        <v>4.4999999999999998E-2</v>
      </c>
      <c r="G248" s="126">
        <f t="shared" si="3"/>
        <v>5.8848167539267022</v>
      </c>
      <c r="H248" s="126" t="s">
        <v>73</v>
      </c>
      <c r="I248" s="127" t="s">
        <v>13</v>
      </c>
      <c r="J248" s="126">
        <v>18</v>
      </c>
      <c r="K248" s="126">
        <v>99.96</v>
      </c>
      <c r="L248" s="129">
        <f>INT(base[[#This Row],[Data de liquidação]])</f>
        <v>46011</v>
      </c>
      <c r="M248" s="126">
        <f>base[[#This Row],[L/P Bruto]]-base[[#This Row],[L/P Líquido]]</f>
        <v>0.26481675392670212</v>
      </c>
      <c r="N248" s="126">
        <f>base[[#This Row],[L/P Líquido]]/base[[#This Row],[Stake/Responsabilidade]]</f>
        <v>5.6222488995598244E-2</v>
      </c>
      <c r="O248" s="132">
        <f>IF(base[[#This Row],[L/P Líquido]]&gt;0,1,0)</f>
        <v>1</v>
      </c>
      <c r="P248" s="132"/>
      <c r="Q248" s="132" t="str">
        <f>LEFT(base[[#This Row],[Evento / Mercado]],FIND("vs",base[[#This Row],[Evento / Mercado]])-2)</f>
        <v>Lazio</v>
      </c>
      <c r="R2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248" s="132" t="e">
        <f>LEFT(base[[#This Row],[Evento / Mercado]],FIND("/",base[[#This Row],[Evento / Mercado]])-2)</f>
        <v>#VALUE!</v>
      </c>
    </row>
    <row r="249" spans="2:21" ht="15" customHeight="1">
      <c r="B249" s="128" t="s">
        <v>244</v>
      </c>
      <c r="C249" s="128" t="s">
        <v>2982</v>
      </c>
      <c r="D249" s="129">
        <v>46011.665289351855</v>
      </c>
      <c r="E249" s="130">
        <v>7.96</v>
      </c>
      <c r="F249" s="131">
        <v>4.4999999999999998E-2</v>
      </c>
      <c r="G249" s="126">
        <f t="shared" si="3"/>
        <v>8.335078534031414</v>
      </c>
      <c r="H249" s="126" t="s">
        <v>73</v>
      </c>
      <c r="I249" s="127" t="s">
        <v>16</v>
      </c>
      <c r="J249" s="126">
        <v>13</v>
      </c>
      <c r="K249" s="126">
        <v>99.96</v>
      </c>
      <c r="L249" s="129">
        <f>INT(base[[#This Row],[Data de liquidação]])</f>
        <v>46011</v>
      </c>
      <c r="M249" s="126">
        <f>base[[#This Row],[L/P Bruto]]-base[[#This Row],[L/P Líquido]]</f>
        <v>0.375078534031414</v>
      </c>
      <c r="N249" s="126">
        <f>base[[#This Row],[L/P Líquido]]/base[[#This Row],[Stake/Responsabilidade]]</f>
        <v>7.9631852741096437E-2</v>
      </c>
      <c r="O249" s="132">
        <f>IF(base[[#This Row],[L/P Líquido]]&gt;0,1,0)</f>
        <v>1</v>
      </c>
      <c r="P249" s="132"/>
      <c r="Q249" s="132" t="str">
        <f>LEFT(base[[#This Row],[Evento / Mercado]],FIND("vs",base[[#This Row],[Evento / Mercado]])-2)</f>
        <v>FC Thun</v>
      </c>
      <c r="R2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Zürich</v>
      </c>
      <c r="S249" s="132" t="e">
        <f>LEFT(base[[#This Row],[Evento / Mercado]],FIND("/",base[[#This Row],[Evento / Mercado]])-2)</f>
        <v>#VALUE!</v>
      </c>
    </row>
    <row r="250" spans="2:21" ht="15" customHeight="1">
      <c r="B250" s="128" t="s">
        <v>243</v>
      </c>
      <c r="C250" s="128" t="s">
        <v>2982</v>
      </c>
      <c r="D250" s="129">
        <v>46011.665300925924</v>
      </c>
      <c r="E250" s="130">
        <v>4.3499999999999996</v>
      </c>
      <c r="F250" s="131">
        <v>4.4999999999999998E-2</v>
      </c>
      <c r="G250" s="126">
        <f t="shared" si="3"/>
        <v>4.5549738219895284</v>
      </c>
      <c r="H250" s="126" t="s">
        <v>122</v>
      </c>
      <c r="I250" s="127" t="s">
        <v>476</v>
      </c>
      <c r="J250" s="126">
        <v>23</v>
      </c>
      <c r="K250" s="126">
        <v>100.1</v>
      </c>
      <c r="L250" s="129">
        <f>INT(base[[#This Row],[Data de liquidação]])</f>
        <v>46011</v>
      </c>
      <c r="M250" s="126">
        <f>base[[#This Row],[L/P Bruto]]-base[[#This Row],[L/P Líquido]]</f>
        <v>0.20497382198952874</v>
      </c>
      <c r="N250" s="126">
        <f>base[[#This Row],[L/P Líquido]]/base[[#This Row],[Stake/Responsabilidade]]</f>
        <v>4.3456543456543456E-2</v>
      </c>
      <c r="O250" s="132">
        <f>IF(base[[#This Row],[L/P Líquido]]&gt;0,1,0)</f>
        <v>1</v>
      </c>
      <c r="P250" s="132" t="s">
        <v>966</v>
      </c>
      <c r="Q250" s="132" t="str">
        <f>LEFT(base[[#This Row],[Evento / Mercado]],FIND("vs",base[[#This Row],[Evento / Mercado]])-2)</f>
        <v>Besiktas JK</v>
      </c>
      <c r="R2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Caykur Rizespor</v>
      </c>
      <c r="S250" s="132" t="e">
        <f>LEFT(base[[#This Row],[Evento / Mercado]],FIND("/",base[[#This Row],[Evento / Mercado]])-2)</f>
        <v>#VALUE!</v>
      </c>
    </row>
    <row r="251" spans="2:21" ht="15" customHeight="1">
      <c r="B251" s="128" t="s">
        <v>242</v>
      </c>
      <c r="C251" s="128" t="s">
        <v>2982</v>
      </c>
      <c r="D251" s="129">
        <v>46011.673425925925</v>
      </c>
      <c r="E251" s="130">
        <v>5.62</v>
      </c>
      <c r="F251" s="131">
        <v>4.4999999999999998E-2</v>
      </c>
      <c r="G251" s="126">
        <f t="shared" si="3"/>
        <v>5.8848167539267022</v>
      </c>
      <c r="H251" s="126" t="s">
        <v>73</v>
      </c>
      <c r="I251" s="127" t="s">
        <v>13</v>
      </c>
      <c r="J251" s="126">
        <v>18</v>
      </c>
      <c r="K251" s="126">
        <v>99.96</v>
      </c>
      <c r="L251" s="129">
        <f>INT(base[[#This Row],[Data de liquidação]])</f>
        <v>46011</v>
      </c>
      <c r="M251" s="126">
        <f>base[[#This Row],[L/P Bruto]]-base[[#This Row],[L/P Líquido]]</f>
        <v>0.26481675392670212</v>
      </c>
      <c r="N251" s="126">
        <f>base[[#This Row],[L/P Líquido]]/base[[#This Row],[Stake/Responsabilidade]]</f>
        <v>5.6222488995598244E-2</v>
      </c>
      <c r="O251" s="132">
        <f>IF(base[[#This Row],[L/P Líquido]]&gt;0,1,0)</f>
        <v>1</v>
      </c>
      <c r="P251" s="132"/>
      <c r="Q251" s="132" t="str">
        <f>LEFT(base[[#This Row],[Evento / Mercado]],FIND("vs",base[[#This Row],[Evento / Mercado]])-2)</f>
        <v>Westerlo</v>
      </c>
      <c r="R2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RAAL La Louviere</v>
      </c>
      <c r="S251" s="132" t="e">
        <f>LEFT(base[[#This Row],[Evento / Mercado]],FIND("/",base[[#This Row],[Evento / Mercado]])-2)</f>
        <v>#VALUE!</v>
      </c>
    </row>
    <row r="252" spans="2:21" ht="15" customHeight="1">
      <c r="B252" s="128" t="s">
        <v>241</v>
      </c>
      <c r="C252" s="128" t="s">
        <v>2982</v>
      </c>
      <c r="D252" s="129">
        <v>46011.677199074074</v>
      </c>
      <c r="E252" s="130">
        <v>37.15</v>
      </c>
      <c r="F252" s="131">
        <v>4.4999999999999998E-2</v>
      </c>
      <c r="G252" s="126">
        <f t="shared" si="3"/>
        <v>38.900523560209422</v>
      </c>
      <c r="H252" s="126" t="s">
        <v>231</v>
      </c>
      <c r="I252" s="127" t="s">
        <v>266</v>
      </c>
      <c r="J252" s="126">
        <v>1.65</v>
      </c>
      <c r="K252" s="126">
        <v>59.85</v>
      </c>
      <c r="L252" s="129">
        <f>INT(base[[#This Row],[Data de liquidação]])</f>
        <v>46011</v>
      </c>
      <c r="M252" s="126">
        <f>base[[#This Row],[L/P Bruto]]-base[[#This Row],[L/P Líquido]]</f>
        <v>1.7505235602094231</v>
      </c>
      <c r="N252" s="126">
        <f>base[[#This Row],[L/P Líquido]]/base[[#This Row],[Stake/Responsabilidade]]</f>
        <v>0.62071846282372589</v>
      </c>
      <c r="O252" s="132">
        <f>IF(base[[#This Row],[L/P Líquido]]&gt;0,1,0)</f>
        <v>1</v>
      </c>
      <c r="P252" s="132"/>
      <c r="Q252" s="132" t="str">
        <f>LEFT(base[[#This Row],[Evento / Mercado]],FIND("vs",base[[#This Row],[Evento / Mercado]])-2)</f>
        <v>Tottenham Hotspur</v>
      </c>
      <c r="R2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252" s="132" t="e">
        <f>LEFT(base[[#This Row],[Evento / Mercado]],FIND("/",base[[#This Row],[Evento / Mercado]])-2)</f>
        <v>#VALUE!</v>
      </c>
    </row>
    <row r="253" spans="2:21" ht="15" customHeight="1">
      <c r="B253" s="128" t="s">
        <v>240</v>
      </c>
      <c r="C253" s="128" t="s">
        <v>2982</v>
      </c>
      <c r="D253" s="129">
        <v>46011.687303240738</v>
      </c>
      <c r="E253" s="130">
        <v>5.45</v>
      </c>
      <c r="F253" s="131">
        <v>4.4999999999999998E-2</v>
      </c>
      <c r="G253" s="126">
        <f t="shared" si="3"/>
        <v>5.7068062827225132</v>
      </c>
      <c r="H253" s="126" t="s">
        <v>122</v>
      </c>
      <c r="I253" s="127" t="s">
        <v>476</v>
      </c>
      <c r="J253" s="126">
        <v>18.5</v>
      </c>
      <c r="K253" s="126">
        <v>99.93</v>
      </c>
      <c r="L253" s="129">
        <f>INT(base[[#This Row],[Data de liquidação]])</f>
        <v>46011</v>
      </c>
      <c r="M253" s="126">
        <f>base[[#This Row],[L/P Bruto]]-base[[#This Row],[L/P Líquido]]</f>
        <v>0.25680628272251305</v>
      </c>
      <c r="N253" s="126">
        <f>base[[#This Row],[L/P Líquido]]/base[[#This Row],[Stake/Responsabilidade]]</f>
        <v>5.4538176723706595E-2</v>
      </c>
      <c r="O253" s="132">
        <f>IF(base[[#This Row],[L/P Líquido]]&gt;0,1,0)</f>
        <v>1</v>
      </c>
      <c r="P253" s="132" t="s">
        <v>962</v>
      </c>
      <c r="Q253" s="132" t="str">
        <f>LEFT(base[[#This Row],[Evento / Mercado]],FIND("vs",base[[#This Row],[Evento / Mercado]])-2)</f>
        <v>RB Leipzig</v>
      </c>
      <c r="R2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Bayer 04 Leverkusen</v>
      </c>
      <c r="S253" s="132" t="e">
        <f>LEFT(base[[#This Row],[Evento / Mercado]],FIND("/",base[[#This Row],[Evento / Mercado]])-2)</f>
        <v>#VALUE!</v>
      </c>
    </row>
    <row r="254" spans="2:21" ht="15" customHeight="1">
      <c r="B254" s="128" t="s">
        <v>239</v>
      </c>
      <c r="C254" s="128" t="s">
        <v>2982</v>
      </c>
      <c r="D254" s="129">
        <v>46011.694687499999</v>
      </c>
      <c r="E254" s="130">
        <v>55.53</v>
      </c>
      <c r="F254" s="131">
        <v>4.4999999999999998E-2</v>
      </c>
      <c r="G254" s="126">
        <f t="shared" si="3"/>
        <v>58.146596858638745</v>
      </c>
      <c r="H254" s="126" t="s">
        <v>231</v>
      </c>
      <c r="I254" s="127" t="s">
        <v>233</v>
      </c>
      <c r="J254" s="126">
        <v>1.97</v>
      </c>
      <c r="K254" s="126">
        <v>59.95</v>
      </c>
      <c r="L254" s="129">
        <f>INT(base[[#This Row],[Data de liquidação]])</f>
        <v>46011</v>
      </c>
      <c r="M254" s="126">
        <f>base[[#This Row],[L/P Bruto]]-base[[#This Row],[L/P Líquido]]</f>
        <v>2.6165968586387436</v>
      </c>
      <c r="N254" s="126">
        <f>base[[#This Row],[L/P Líquido]]/base[[#This Row],[Stake/Responsabilidade]]</f>
        <v>0.92627189324437031</v>
      </c>
      <c r="O254" s="132">
        <f>IF(base[[#This Row],[L/P Líquido]]&gt;0,1,0)</f>
        <v>1</v>
      </c>
      <c r="P254" s="132"/>
      <c r="Q254" s="132" t="str">
        <f>LEFT(base[[#This Row],[Evento / Mercado]],FIND("vs",base[[#This Row],[Evento / Mercado]])-2)</f>
        <v>NEC</v>
      </c>
      <c r="R2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254" s="132" t="e">
        <f>LEFT(base[[#This Row],[Evento / Mercado]],FIND("/",base[[#This Row],[Evento / Mercado]])-2)</f>
        <v>#VALUE!</v>
      </c>
    </row>
    <row r="255" spans="2:21" ht="15" customHeight="1">
      <c r="B255" s="128" t="s">
        <v>238</v>
      </c>
      <c r="C255" s="128" t="s">
        <v>2982</v>
      </c>
      <c r="D255" s="129">
        <v>46011.709328703706</v>
      </c>
      <c r="E255" s="130">
        <v>6.16</v>
      </c>
      <c r="F255" s="131">
        <v>4.4999999999999998E-2</v>
      </c>
      <c r="G255" s="126">
        <f t="shared" si="3"/>
        <v>6.4502617801047126</v>
      </c>
      <c r="H255" s="126" t="s">
        <v>73</v>
      </c>
      <c r="I255" s="127" t="s">
        <v>13</v>
      </c>
      <c r="J255" s="126">
        <v>16.5</v>
      </c>
      <c r="K255" s="126">
        <v>99.98</v>
      </c>
      <c r="L255" s="129">
        <f>INT(base[[#This Row],[Data de liquidação]])</f>
        <v>46011</v>
      </c>
      <c r="M255" s="126">
        <f>base[[#This Row],[L/P Bruto]]-base[[#This Row],[L/P Líquido]]</f>
        <v>0.29026178010471249</v>
      </c>
      <c r="N255" s="126">
        <f>base[[#This Row],[L/P Líquido]]/base[[#This Row],[Stake/Responsabilidade]]</f>
        <v>6.16123224644929E-2</v>
      </c>
      <c r="O255" s="132">
        <f>IF(base[[#This Row],[L/P Líquido]]&gt;0,1,0)</f>
        <v>1</v>
      </c>
      <c r="P255" s="132"/>
      <c r="Q255" s="132" t="str">
        <f>LEFT(base[[#This Row],[Evento / Mercado]],FIND("vs",base[[#This Row],[Evento / Mercado]])-2)</f>
        <v>Gil Vicente</v>
      </c>
      <c r="R2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Rio Ave</v>
      </c>
      <c r="S255" s="132" t="e">
        <f>LEFT(base[[#This Row],[Evento / Mercado]],FIND("/",base[[#This Row],[Evento / Mercado]])-2)</f>
        <v>#VALUE!</v>
      </c>
    </row>
    <row r="256" spans="2:21" ht="15" customHeight="1">
      <c r="B256" s="128" t="s">
        <v>237</v>
      </c>
      <c r="C256" s="128" t="s">
        <v>2982</v>
      </c>
      <c r="D256" s="129">
        <v>46011.778692129628</v>
      </c>
      <c r="E256" s="130">
        <v>5.62</v>
      </c>
      <c r="F256" s="131">
        <v>4.4999999999999998E-2</v>
      </c>
      <c r="G256" s="126">
        <f t="shared" si="3"/>
        <v>5.8848167539267022</v>
      </c>
      <c r="H256" s="126" t="s">
        <v>73</v>
      </c>
      <c r="I256" s="127" t="s">
        <v>13</v>
      </c>
      <c r="J256" s="126">
        <v>18</v>
      </c>
      <c r="K256" s="126">
        <v>99.96</v>
      </c>
      <c r="L256" s="129">
        <f>INT(base[[#This Row],[Data de liquidação]])</f>
        <v>46011</v>
      </c>
      <c r="M256" s="126">
        <f>base[[#This Row],[L/P Bruto]]-base[[#This Row],[L/P Líquido]]</f>
        <v>0.26481675392670212</v>
      </c>
      <c r="N256" s="126">
        <f>base[[#This Row],[L/P Líquido]]/base[[#This Row],[Stake/Responsabilidade]]</f>
        <v>5.6222488995598244E-2</v>
      </c>
      <c r="O256" s="132">
        <f>IF(base[[#This Row],[L/P Líquido]]&gt;0,1,0)</f>
        <v>1</v>
      </c>
      <c r="P256" s="132"/>
      <c r="Q256" s="132" t="str">
        <f>LEFT(base[[#This Row],[Evento / Mercado]],FIND("vs",base[[#This Row],[Evento / Mercado]])-2)</f>
        <v>Union Saint Gilloise</v>
      </c>
      <c r="R2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Zulte Waregem</v>
      </c>
      <c r="S256" s="132" t="e">
        <f>LEFT(base[[#This Row],[Evento / Mercado]],FIND("/",base[[#This Row],[Evento / Mercado]])-2)</f>
        <v>#VALUE!</v>
      </c>
    </row>
    <row r="257" spans="2:21" ht="15" customHeight="1">
      <c r="B257" s="128" t="s">
        <v>236</v>
      </c>
      <c r="C257" s="128" t="s">
        <v>2982</v>
      </c>
      <c r="D257" s="129">
        <v>46011.786400462966</v>
      </c>
      <c r="E257" s="130">
        <v>54.06</v>
      </c>
      <c r="F257" s="131">
        <v>4.4999999999999998E-2</v>
      </c>
      <c r="G257" s="126">
        <f t="shared" si="3"/>
        <v>56.607329842931939</v>
      </c>
      <c r="H257" s="126" t="s">
        <v>231</v>
      </c>
      <c r="I257" s="127" t="s">
        <v>266</v>
      </c>
      <c r="J257" s="126">
        <v>1.94</v>
      </c>
      <c r="K257" s="126">
        <v>60</v>
      </c>
      <c r="L257" s="129">
        <f>INT(base[[#This Row],[Data de liquidação]])</f>
        <v>46011</v>
      </c>
      <c r="M257" s="126">
        <f>base[[#This Row],[L/P Bruto]]-base[[#This Row],[L/P Líquido]]</f>
        <v>2.5473298429319371</v>
      </c>
      <c r="N257" s="126">
        <f>base[[#This Row],[L/P Líquido]]/base[[#This Row],[Stake/Responsabilidade]]</f>
        <v>0.90100000000000002</v>
      </c>
      <c r="O257" s="132">
        <f>IF(base[[#This Row],[L/P Líquido]]&gt;0,1,0)</f>
        <v>1</v>
      </c>
      <c r="P257" s="132"/>
      <c r="Q257" s="132" t="str">
        <f>LEFT(base[[#This Row],[Evento / Mercado]],FIND("vs",base[[#This Row],[Evento / Mercado]])-2)</f>
        <v>Leeds United</v>
      </c>
      <c r="R2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257" s="132" t="e">
        <f>LEFT(base[[#This Row],[Evento / Mercado]],FIND("/",base[[#This Row],[Evento / Mercado]])-2)</f>
        <v>#VALUE!</v>
      </c>
    </row>
    <row r="258" spans="2:21" ht="15" customHeight="1">
      <c r="B258" s="128" t="s">
        <v>236</v>
      </c>
      <c r="C258" s="128" t="s">
        <v>2982</v>
      </c>
      <c r="D258" s="129">
        <v>46011.786400462966</v>
      </c>
      <c r="E258" s="130">
        <v>-100</v>
      </c>
      <c r="F258" s="131">
        <v>4.4999999999999998E-2</v>
      </c>
      <c r="G258" s="126">
        <f t="shared" si="3"/>
        <v>-100</v>
      </c>
      <c r="H258" s="126" t="s">
        <v>269</v>
      </c>
      <c r="I258" s="127" t="s">
        <v>213</v>
      </c>
      <c r="J258" s="126">
        <v>2</v>
      </c>
      <c r="K258" s="126">
        <v>100</v>
      </c>
      <c r="L258" s="129">
        <f>INT(base[[#This Row],[Data de liquidação]])</f>
        <v>46011</v>
      </c>
      <c r="M258" s="126">
        <f>base[[#This Row],[L/P Bruto]]-base[[#This Row],[L/P Líquido]]</f>
        <v>0</v>
      </c>
      <c r="N258" s="126">
        <f>base[[#This Row],[L/P Líquido]]/base[[#This Row],[Stake/Responsabilidade]]</f>
        <v>-1</v>
      </c>
      <c r="O258" s="132">
        <f>IF(base[[#This Row],[L/P Líquido]]&gt;0,1,0)</f>
        <v>0</v>
      </c>
      <c r="P258" s="132"/>
      <c r="Q258" s="132" t="str">
        <f>LEFT(base[[#This Row],[Evento / Mercado]],FIND("vs",base[[#This Row],[Evento / Mercado]])-2)</f>
        <v>Leeds United</v>
      </c>
      <c r="R2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258" s="132" t="e">
        <f>LEFT(base[[#This Row],[Evento / Mercado]],FIND("/",base[[#This Row],[Evento / Mercado]])-2)</f>
        <v>#VALUE!</v>
      </c>
    </row>
    <row r="259" spans="2:21" ht="15" customHeight="1">
      <c r="B259" s="128" t="s">
        <v>235</v>
      </c>
      <c r="C259" s="128" t="s">
        <v>2982</v>
      </c>
      <c r="D259" s="129">
        <v>46011.787233796298</v>
      </c>
      <c r="E259" s="130">
        <v>5.62</v>
      </c>
      <c r="F259" s="131">
        <v>4.4999999999999998E-2</v>
      </c>
      <c r="G259" s="126">
        <f t="shared" ref="G259:G322" si="4">IF(E259&gt;0,E259/(1-F259),E259)</f>
        <v>5.8848167539267022</v>
      </c>
      <c r="H259" s="126" t="s">
        <v>73</v>
      </c>
      <c r="I259" s="127" t="s">
        <v>13</v>
      </c>
      <c r="J259" s="126">
        <v>18</v>
      </c>
      <c r="K259" s="126">
        <v>99.96</v>
      </c>
      <c r="L259" s="129">
        <f>INT(base[[#This Row],[Data de liquidação]])</f>
        <v>46011</v>
      </c>
      <c r="M259" s="126">
        <f>base[[#This Row],[L/P Bruto]]-base[[#This Row],[L/P Líquido]]</f>
        <v>0.26481675392670212</v>
      </c>
      <c r="N259" s="126">
        <f>base[[#This Row],[L/P Líquido]]/base[[#This Row],[Stake/Responsabilidade]]</f>
        <v>5.6222488995598244E-2</v>
      </c>
      <c r="O259" s="132">
        <f>IF(base[[#This Row],[L/P Líquido]]&gt;0,1,0)</f>
        <v>1</v>
      </c>
      <c r="P259" s="132"/>
      <c r="Q259" s="132" t="str">
        <f>LEFT(base[[#This Row],[Evento / Mercado]],FIND("vs",base[[#This Row],[Evento / Mercado]])-2)</f>
        <v>UD Las Palmas</v>
      </c>
      <c r="R2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Cultural Leonesa</v>
      </c>
      <c r="S259" s="132" t="e">
        <f>LEFT(base[[#This Row],[Evento / Mercado]],FIND("/",base[[#This Row],[Evento / Mercado]])-2)</f>
        <v>#VALUE!</v>
      </c>
    </row>
    <row r="260" spans="2:21" ht="15" customHeight="1">
      <c r="B260" s="128" t="s">
        <v>234</v>
      </c>
      <c r="C260" s="128" t="s">
        <v>2982</v>
      </c>
      <c r="D260" s="129">
        <v>46011.791759259257</v>
      </c>
      <c r="E260" s="130">
        <v>7.64</v>
      </c>
      <c r="F260" s="131">
        <v>4.4999999999999998E-2</v>
      </c>
      <c r="G260" s="126">
        <f t="shared" si="4"/>
        <v>8</v>
      </c>
      <c r="H260" s="126" t="s">
        <v>74</v>
      </c>
      <c r="I260" s="127" t="s">
        <v>541</v>
      </c>
      <c r="J260" s="126">
        <v>13.5</v>
      </c>
      <c r="K260" s="126">
        <v>100</v>
      </c>
      <c r="L260" s="129">
        <f>INT(base[[#This Row],[Data de liquidação]])</f>
        <v>46011</v>
      </c>
      <c r="M260" s="126">
        <f>base[[#This Row],[L/P Bruto]]-base[[#This Row],[L/P Líquido]]</f>
        <v>0.36000000000000032</v>
      </c>
      <c r="N260" s="139">
        <f>base[[#This Row],[L/P Líquido]]/base[[#This Row],[Stake/Responsabilidade]]</f>
        <v>7.6399999999999996E-2</v>
      </c>
      <c r="O260" s="132">
        <f>IF(base[[#This Row],[L/P Líquido]]&gt;0,1,0)</f>
        <v>1</v>
      </c>
      <c r="P260" s="132" t="s">
        <v>963</v>
      </c>
      <c r="Q260" s="132" t="str">
        <f>LEFT(base[[#This Row],[Evento / Mercado]],FIND("vs",base[[#This Row],[Evento / Mercado]])-2)</f>
        <v>Everton</v>
      </c>
      <c r="R2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260" s="132" t="e">
        <f>LEFT(base[[#This Row],[Evento / Mercado]],FIND("/",base[[#This Row],[Evento / Mercado]])-2)</f>
        <v>#VALUE!</v>
      </c>
      <c r="T260" s="8">
        <v>8</v>
      </c>
      <c r="U260" s="9">
        <f>T260*0.955</f>
        <v>7.64</v>
      </c>
    </row>
    <row r="261" spans="2:21" ht="15" customHeight="1">
      <c r="B261" s="128" t="s">
        <v>234</v>
      </c>
      <c r="C261" s="128" t="s">
        <v>2982</v>
      </c>
      <c r="D261" s="129">
        <v>46011.791759259257</v>
      </c>
      <c r="E261" s="130">
        <v>7.9551499999999997</v>
      </c>
      <c r="F261" s="131">
        <v>4.4999999999999998E-2</v>
      </c>
      <c r="G261" s="126">
        <f t="shared" si="4"/>
        <v>8.33</v>
      </c>
      <c r="H261" s="126" t="s">
        <v>122</v>
      </c>
      <c r="I261" s="127" t="s">
        <v>268</v>
      </c>
      <c r="J261" s="126">
        <v>13</v>
      </c>
      <c r="K261" s="126">
        <v>99.96</v>
      </c>
      <c r="L261" s="129">
        <f>INT(base[[#This Row],[Data de liquidação]])</f>
        <v>46011</v>
      </c>
      <c r="M261" s="126">
        <f>base[[#This Row],[L/P Bruto]]-base[[#This Row],[L/P Líquido]]</f>
        <v>0.37485000000000035</v>
      </c>
      <c r="N261" s="126">
        <f>base[[#This Row],[L/P Líquido]]/base[[#This Row],[Stake/Responsabilidade]]</f>
        <v>7.9583333333333339E-2</v>
      </c>
      <c r="O261" s="132">
        <f>IF(base[[#This Row],[L/P Líquido]]&gt;0,1,0)</f>
        <v>1</v>
      </c>
      <c r="P261" s="132" t="s">
        <v>963</v>
      </c>
      <c r="Q261" s="132" t="str">
        <f>LEFT(base[[#This Row],[Evento / Mercado]],FIND("vs",base[[#This Row],[Evento / Mercado]])-2)</f>
        <v>Everton</v>
      </c>
      <c r="R2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261" s="132" t="e">
        <f>LEFT(base[[#This Row],[Evento / Mercado]],FIND("/",base[[#This Row],[Evento / Mercado]])-2)</f>
        <v>#VALUE!</v>
      </c>
      <c r="T261" s="8">
        <v>8.33</v>
      </c>
      <c r="U261" s="9">
        <f>T261*0.955</f>
        <v>7.9551499999999997</v>
      </c>
    </row>
    <row r="262" spans="2:21" ht="15" customHeight="1">
      <c r="B262" s="128" t="s">
        <v>283</v>
      </c>
      <c r="C262" s="128" t="s">
        <v>2982</v>
      </c>
      <c r="D262" s="129">
        <v>46012.433506944442</v>
      </c>
      <c r="E262" s="130">
        <v>6.1884000000000006</v>
      </c>
      <c r="F262" s="131">
        <v>4.4999999999999998E-2</v>
      </c>
      <c r="G262" s="126">
        <f t="shared" si="4"/>
        <v>6.48</v>
      </c>
      <c r="H262" s="126" t="s">
        <v>73</v>
      </c>
      <c r="I262" s="127" t="s">
        <v>13</v>
      </c>
      <c r="J262" s="126">
        <v>16.5</v>
      </c>
      <c r="K262" s="126">
        <v>100.44</v>
      </c>
      <c r="L262" s="129">
        <f>INT(base[[#This Row],[Data de liquidação]])</f>
        <v>46012</v>
      </c>
      <c r="M262" s="126">
        <f>base[[#This Row],[L/P Bruto]]-base[[#This Row],[L/P Líquido]]</f>
        <v>0.29159999999999986</v>
      </c>
      <c r="N262" s="126">
        <f>base[[#This Row],[L/P Líquido]]/base[[#This Row],[Stake/Responsabilidade]]</f>
        <v>6.161290322580646E-2</v>
      </c>
      <c r="O262" s="132">
        <f>IF(base[[#This Row],[L/P Líquido]]&gt;0,1,0)</f>
        <v>1</v>
      </c>
      <c r="P262" s="132"/>
      <c r="Q262" s="132" t="str">
        <f>LEFT(base[[#This Row],[Evento / Mercado]],FIND("vs",base[[#This Row],[Evento / Mercado]])-2)</f>
        <v>Alanyaspor</v>
      </c>
      <c r="R2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Fatih Karagümrük Istanbul</v>
      </c>
      <c r="S262" s="132" t="e">
        <f>LEFT(base[[#This Row],[Evento / Mercado]],FIND("/",base[[#This Row],[Evento / Mercado]])-2)</f>
        <v>#VALUE!</v>
      </c>
      <c r="T262" s="8">
        <v>6.48</v>
      </c>
      <c r="U262" s="9">
        <f>T262*0.955</f>
        <v>6.1884000000000006</v>
      </c>
    </row>
    <row r="263" spans="2:21" ht="15" customHeight="1">
      <c r="B263" s="128" t="s">
        <v>283</v>
      </c>
      <c r="C263" s="128" t="s">
        <v>2982</v>
      </c>
      <c r="D263" s="129">
        <v>46012.433506944442</v>
      </c>
      <c r="E263" s="130">
        <v>13.169449999999999</v>
      </c>
      <c r="F263" s="131">
        <v>4.4999999999999998E-2</v>
      </c>
      <c r="G263" s="126">
        <f t="shared" si="4"/>
        <v>13.79</v>
      </c>
      <c r="H263" s="126" t="s">
        <v>73</v>
      </c>
      <c r="I263" s="127" t="s">
        <v>16</v>
      </c>
      <c r="J263" s="126">
        <v>8.1999999999999993</v>
      </c>
      <c r="K263" s="126">
        <v>99.27</v>
      </c>
      <c r="L263" s="129">
        <f>INT(base[[#This Row],[Data de liquidação]])</f>
        <v>46012</v>
      </c>
      <c r="M263" s="126">
        <f>base[[#This Row],[L/P Bruto]]-base[[#This Row],[L/P Líquido]]</f>
        <v>0.62054999999999971</v>
      </c>
      <c r="N263" s="126">
        <f>base[[#This Row],[L/P Líquido]]/base[[#This Row],[Stake/Responsabilidade]]</f>
        <v>0.13266293945804372</v>
      </c>
      <c r="O263" s="132">
        <f>IF(base[[#This Row],[L/P Líquido]]&gt;0,1,0)</f>
        <v>1</v>
      </c>
      <c r="P263" s="132"/>
      <c r="Q263" s="132" t="str">
        <f>LEFT(base[[#This Row],[Evento / Mercado]],FIND("vs",base[[#This Row],[Evento / Mercado]])-2)</f>
        <v>Alanyaspor</v>
      </c>
      <c r="R2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Fatih Karagümrük Istanbul</v>
      </c>
      <c r="S263" s="132" t="e">
        <f>LEFT(base[[#This Row],[Evento / Mercado]],FIND("/",base[[#This Row],[Evento / Mercado]])-2)</f>
        <v>#VALUE!</v>
      </c>
      <c r="T263" s="8">
        <v>13.79</v>
      </c>
      <c r="U263" s="9">
        <f>T263*0.955</f>
        <v>13.169449999999999</v>
      </c>
    </row>
    <row r="264" spans="2:21" ht="15" customHeight="1">
      <c r="B264" s="128" t="s">
        <v>282</v>
      </c>
      <c r="C264" s="128" t="s">
        <v>2982</v>
      </c>
      <c r="D264" s="129">
        <v>46012.478263888886</v>
      </c>
      <c r="E264" s="130">
        <v>42.76</v>
      </c>
      <c r="F264" s="131">
        <v>4.4999999999999998E-2</v>
      </c>
      <c r="G264" s="126">
        <f t="shared" si="4"/>
        <v>44.774869109947645</v>
      </c>
      <c r="H264" s="126" t="s">
        <v>231</v>
      </c>
      <c r="I264" s="127" t="s">
        <v>266</v>
      </c>
      <c r="J264" s="126">
        <v>1.75</v>
      </c>
      <c r="K264" s="126">
        <v>60</v>
      </c>
      <c r="L264" s="129">
        <f>INT(base[[#This Row],[Data de liquidação]])</f>
        <v>46012</v>
      </c>
      <c r="M264" s="126">
        <f>base[[#This Row],[L/P Bruto]]-base[[#This Row],[L/P Líquido]]</f>
        <v>2.0148691099476466</v>
      </c>
      <c r="N264" s="126">
        <f>base[[#This Row],[L/P Líquido]]/base[[#This Row],[Stake/Responsabilidade]]</f>
        <v>0.71266666666666667</v>
      </c>
      <c r="O264" s="132">
        <f>IF(base[[#This Row],[L/P Líquido]]&gt;0,1,0)</f>
        <v>1</v>
      </c>
      <c r="P264" s="132"/>
      <c r="Q264" s="132" t="str">
        <f>LEFT(base[[#This Row],[Evento / Mercado]],FIND("vs",base[[#This Row],[Evento / Mercado]])-2)</f>
        <v>Málaga</v>
      </c>
      <c r="R2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Almería</v>
      </c>
      <c r="S264" s="132" t="e">
        <f>LEFT(base[[#This Row],[Evento / Mercado]],FIND("/",base[[#This Row],[Evento / Mercado]])-2)</f>
        <v>#VALUE!</v>
      </c>
    </row>
    <row r="265" spans="2:21" ht="15" customHeight="1">
      <c r="B265" s="128" t="s">
        <v>281</v>
      </c>
      <c r="C265" s="128" t="s">
        <v>2982</v>
      </c>
      <c r="D265" s="129">
        <v>46012.479050925926</v>
      </c>
      <c r="E265" s="130">
        <v>41.52</v>
      </c>
      <c r="F265" s="131">
        <v>4.4999999999999998E-2</v>
      </c>
      <c r="G265" s="126">
        <f t="shared" si="4"/>
        <v>43.476439790575924</v>
      </c>
      <c r="H265" s="126" t="s">
        <v>231</v>
      </c>
      <c r="I265" s="127" t="s">
        <v>266</v>
      </c>
      <c r="J265" s="126">
        <v>1.72</v>
      </c>
      <c r="K265" s="126">
        <v>60</v>
      </c>
      <c r="L265" s="129">
        <f>INT(base[[#This Row],[Data de liquidação]])</f>
        <v>46012</v>
      </c>
      <c r="M265" s="126">
        <f>base[[#This Row],[L/P Bruto]]-base[[#This Row],[L/P Líquido]]</f>
        <v>1.9564397905759208</v>
      </c>
      <c r="N265" s="126">
        <f>base[[#This Row],[L/P Líquido]]/base[[#This Row],[Stake/Responsabilidade]]</f>
        <v>0.69200000000000006</v>
      </c>
      <c r="O265" s="132">
        <f>IF(base[[#This Row],[L/P Líquido]]&gt;0,1,0)</f>
        <v>1</v>
      </c>
      <c r="P265" s="132"/>
      <c r="Q265" s="132" t="str">
        <f>LEFT(base[[#This Row],[Evento / Mercado]],FIND("vs",base[[#This Row],[Evento / Mercado]])-2)</f>
        <v>Preußen Münster</v>
      </c>
      <c r="R2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Elversberg</v>
      </c>
      <c r="S265" s="132" t="e">
        <f>LEFT(base[[#This Row],[Evento / Mercado]],FIND("/",base[[#This Row],[Evento / Mercado]])-2)</f>
        <v>#VALUE!</v>
      </c>
    </row>
    <row r="266" spans="2:21" ht="15" customHeight="1">
      <c r="B266" s="128" t="s">
        <v>280</v>
      </c>
      <c r="C266" s="128" t="s">
        <v>2982</v>
      </c>
      <c r="D266" s="129">
        <v>46012.494317129633</v>
      </c>
      <c r="E266" s="130">
        <v>45.84</v>
      </c>
      <c r="F266" s="131">
        <v>4.4999999999999998E-2</v>
      </c>
      <c r="G266" s="126">
        <f t="shared" si="4"/>
        <v>48.000000000000007</v>
      </c>
      <c r="H266" s="126" t="s">
        <v>231</v>
      </c>
      <c r="I266" s="127" t="s">
        <v>232</v>
      </c>
      <c r="J266" s="126">
        <v>1.8</v>
      </c>
      <c r="K266" s="126">
        <v>60</v>
      </c>
      <c r="L266" s="129">
        <f>INT(base[[#This Row],[Data de liquidação]])</f>
        <v>46012</v>
      </c>
      <c r="M266" s="126">
        <f>base[[#This Row],[L/P Bruto]]-base[[#This Row],[L/P Líquido]]</f>
        <v>2.1600000000000037</v>
      </c>
      <c r="N266" s="126">
        <f>base[[#This Row],[L/P Líquido]]/base[[#This Row],[Stake/Responsabilidade]]</f>
        <v>0.76400000000000001</v>
      </c>
      <c r="O266" s="132">
        <f>IF(base[[#This Row],[L/P Líquido]]&gt;0,1,0)</f>
        <v>1</v>
      </c>
      <c r="P266" s="132"/>
      <c r="Q266" s="132" t="str">
        <f>LEFT(base[[#This Row],[Evento / Mercado]],FIND("vs",base[[#This Row],[Evento / Mercado]])-2)</f>
        <v>Girona</v>
      </c>
      <c r="R2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266" s="132" t="e">
        <f>LEFT(base[[#This Row],[Evento / Mercado]],FIND("/",base[[#This Row],[Evento / Mercado]])-2)</f>
        <v>#VALUE!</v>
      </c>
    </row>
    <row r="267" spans="2:21" ht="15" customHeight="1">
      <c r="B267" s="128" t="s">
        <v>279</v>
      </c>
      <c r="C267" s="128" t="s">
        <v>2982</v>
      </c>
      <c r="D267" s="129">
        <v>46012.518182870372</v>
      </c>
      <c r="E267" s="130">
        <v>4.3499999999999996</v>
      </c>
      <c r="F267" s="131">
        <v>4.4999999999999998E-2</v>
      </c>
      <c r="G267" s="126">
        <f t="shared" si="4"/>
        <v>4.5549738219895284</v>
      </c>
      <c r="H267" s="126" t="s">
        <v>122</v>
      </c>
      <c r="I267" s="127" t="s">
        <v>476</v>
      </c>
      <c r="J267" s="126">
        <v>23</v>
      </c>
      <c r="K267" s="126">
        <v>100.1</v>
      </c>
      <c r="L267" s="129">
        <f>INT(base[[#This Row],[Data de liquidação]])</f>
        <v>46012</v>
      </c>
      <c r="M267" s="126">
        <f>base[[#This Row],[L/P Bruto]]-base[[#This Row],[L/P Líquido]]</f>
        <v>0.20497382198952874</v>
      </c>
      <c r="N267" s="126">
        <f>base[[#This Row],[L/P Líquido]]/base[[#This Row],[Stake/Responsabilidade]]</f>
        <v>4.3456543456543456E-2</v>
      </c>
      <c r="O267" s="132">
        <f>IF(base[[#This Row],[L/P Líquido]]&gt;0,1,0)</f>
        <v>1</v>
      </c>
      <c r="P267" s="132" t="s">
        <v>967</v>
      </c>
      <c r="Q267" s="132" t="str">
        <f>LEFT(base[[#This Row],[Evento / Mercado]],FIND("vs",base[[#This Row],[Evento / Mercado]])-2)</f>
        <v>Feyenoord</v>
      </c>
      <c r="R2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267" s="132" t="e">
        <f>LEFT(base[[#This Row],[Evento / Mercado]],FIND("/",base[[#This Row],[Evento / Mercado]])-2)</f>
        <v>#VALUE!</v>
      </c>
    </row>
    <row r="268" spans="2:21" ht="15" customHeight="1">
      <c r="B268" s="128" t="s">
        <v>278</v>
      </c>
      <c r="C268" s="128" t="s">
        <v>2982</v>
      </c>
      <c r="D268" s="129">
        <v>46012.589895833335</v>
      </c>
      <c r="E268" s="130">
        <v>8.59</v>
      </c>
      <c r="F268" s="131">
        <v>4.4999999999999998E-2</v>
      </c>
      <c r="G268" s="126">
        <f t="shared" si="4"/>
        <v>8.9947643979057599</v>
      </c>
      <c r="H268" s="126" t="s">
        <v>122</v>
      </c>
      <c r="I268" s="127" t="s">
        <v>542</v>
      </c>
      <c r="J268" s="126">
        <v>32</v>
      </c>
      <c r="K268" s="126">
        <v>100.13</v>
      </c>
      <c r="L268" s="129">
        <f>INT(base[[#This Row],[Data de liquidação]])</f>
        <v>46012</v>
      </c>
      <c r="M268" s="126">
        <f>base[[#This Row],[L/P Bruto]]-base[[#This Row],[L/P Líquido]]</f>
        <v>0.40476439790576002</v>
      </c>
      <c r="N268" s="126">
        <f>base[[#This Row],[L/P Líquido]]/base[[#This Row],[Stake/Responsabilidade]]</f>
        <v>8.5788474982522719E-2</v>
      </c>
      <c r="O268" s="132">
        <f>IF(base[[#This Row],[L/P Líquido]]&gt;0,1,0)</f>
        <v>1</v>
      </c>
      <c r="P268" s="132" t="s">
        <v>964</v>
      </c>
      <c r="Q268" s="132" t="str">
        <f>LEFT(base[[#This Row],[Evento / Mercado]],FIND("vs",base[[#This Row],[Evento / Mercado]])-2)</f>
        <v>Villarreal</v>
      </c>
      <c r="R2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268" s="132" t="e">
        <f>LEFT(base[[#This Row],[Evento / Mercado]],FIND("/",base[[#This Row],[Evento / Mercado]])-2)</f>
        <v>#VALUE!</v>
      </c>
    </row>
    <row r="269" spans="2:21" ht="15" customHeight="1">
      <c r="B269" s="128" t="s">
        <v>277</v>
      </c>
      <c r="C269" s="128" t="s">
        <v>2982</v>
      </c>
      <c r="D269" s="129">
        <v>46012.59003472222</v>
      </c>
      <c r="E269" s="130">
        <v>35.369999999999997</v>
      </c>
      <c r="F269" s="131">
        <v>4.4999999999999998E-2</v>
      </c>
      <c r="G269" s="126">
        <f t="shared" si="4"/>
        <v>37.036649214659683</v>
      </c>
      <c r="H269" s="126" t="s">
        <v>231</v>
      </c>
      <c r="I269" s="127" t="s">
        <v>232</v>
      </c>
      <c r="J269" s="126">
        <v>1.62</v>
      </c>
      <c r="K269" s="126">
        <v>60</v>
      </c>
      <c r="L269" s="129">
        <f>INT(base[[#This Row],[Data de liquidação]])</f>
        <v>46012</v>
      </c>
      <c r="M269" s="126">
        <f>base[[#This Row],[L/P Bruto]]-base[[#This Row],[L/P Líquido]]</f>
        <v>1.6666492146596852</v>
      </c>
      <c r="N269" s="126">
        <f>base[[#This Row],[L/P Líquido]]/base[[#This Row],[Stake/Responsabilidade]]</f>
        <v>0.58949999999999991</v>
      </c>
      <c r="O269" s="132">
        <f>IF(base[[#This Row],[L/P Líquido]]&gt;0,1,0)</f>
        <v>1</v>
      </c>
      <c r="P269" s="132"/>
      <c r="Q269" s="132" t="str">
        <f>LEFT(base[[#This Row],[Evento / Mercado]],FIND("vs",base[[#This Row],[Evento / Mercado]])-2)</f>
        <v>1899 Hoffenheim II</v>
      </c>
      <c r="R2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Wehen Wiesbaden</v>
      </c>
      <c r="S269" s="132" t="e">
        <f>LEFT(base[[#This Row],[Evento / Mercado]],FIND("/",base[[#This Row],[Evento / Mercado]])-2)</f>
        <v>#VALUE!</v>
      </c>
    </row>
    <row r="270" spans="2:21" ht="15" customHeight="1">
      <c r="B270" s="128" t="s">
        <v>276</v>
      </c>
      <c r="C270" s="128" t="s">
        <v>2982</v>
      </c>
      <c r="D270" s="129">
        <v>46012.609571759262</v>
      </c>
      <c r="E270" s="130">
        <v>-60</v>
      </c>
      <c r="F270" s="131">
        <v>4.4999999999999998E-2</v>
      </c>
      <c r="G270" s="126">
        <f t="shared" si="4"/>
        <v>-60</v>
      </c>
      <c r="H270" s="126" t="s">
        <v>231</v>
      </c>
      <c r="I270" s="127" t="s">
        <v>232</v>
      </c>
      <c r="J270" s="126">
        <v>1.68</v>
      </c>
      <c r="K270" s="126">
        <v>60</v>
      </c>
      <c r="L270" s="129">
        <f>INT(base[[#This Row],[Data de liquidação]])</f>
        <v>46012</v>
      </c>
      <c r="M270" s="126">
        <f>base[[#This Row],[L/P Bruto]]-base[[#This Row],[L/P Líquido]]</f>
        <v>0</v>
      </c>
      <c r="N270" s="126">
        <f>base[[#This Row],[L/P Líquido]]/base[[#This Row],[Stake/Responsabilidade]]</f>
        <v>-1</v>
      </c>
      <c r="O270" s="132">
        <f>IF(base[[#This Row],[L/P Líquido]]&gt;0,1,0)</f>
        <v>0</v>
      </c>
      <c r="P270" s="132"/>
      <c r="Q270" s="132" t="str">
        <f>LEFT(base[[#This Row],[Evento / Mercado]],FIND("vs",base[[#This Row],[Evento / Mercado]])-2)</f>
        <v>FC Volendam</v>
      </c>
      <c r="R2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Sparta Rotterdam</v>
      </c>
      <c r="S270" s="132" t="e">
        <f>LEFT(base[[#This Row],[Evento / Mercado]],FIND("/",base[[#This Row],[Evento / Mercado]])-2)</f>
        <v>#VALUE!</v>
      </c>
    </row>
    <row r="271" spans="2:21" ht="15" customHeight="1">
      <c r="B271" s="128" t="s">
        <v>275</v>
      </c>
      <c r="C271" s="128" t="s">
        <v>2982</v>
      </c>
      <c r="D271" s="129">
        <v>46012.623877314814</v>
      </c>
      <c r="E271" s="130">
        <v>-150</v>
      </c>
      <c r="F271" s="131">
        <v>4.4999999999999998E-2</v>
      </c>
      <c r="G271" s="126">
        <f t="shared" si="4"/>
        <v>-150</v>
      </c>
      <c r="H271" s="126" t="s">
        <v>269</v>
      </c>
      <c r="I271" s="127" t="s">
        <v>213</v>
      </c>
      <c r="J271" s="126">
        <v>1.82</v>
      </c>
      <c r="K271" s="126">
        <v>150</v>
      </c>
      <c r="L271" s="129">
        <f>INT(base[[#This Row],[Data de liquidação]])</f>
        <v>46012</v>
      </c>
      <c r="M271" s="126">
        <f>base[[#This Row],[L/P Bruto]]-base[[#This Row],[L/P Líquido]]</f>
        <v>0</v>
      </c>
      <c r="N271" s="126">
        <f>base[[#This Row],[L/P Líquido]]/base[[#This Row],[Stake/Responsabilidade]]</f>
        <v>-1</v>
      </c>
      <c r="O271" s="132">
        <f>IF(base[[#This Row],[L/P Líquido]]&gt;0,1,0)</f>
        <v>0</v>
      </c>
      <c r="P271" s="132"/>
      <c r="Q271" s="132" t="str">
        <f>LEFT(base[[#This Row],[Evento / Mercado]],FIND("vs",base[[#This Row],[Evento / Mercado]])-2)</f>
        <v>Fiorentina</v>
      </c>
      <c r="R2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Udinese</v>
      </c>
      <c r="S271" s="132" t="e">
        <f>LEFT(base[[#This Row],[Evento / Mercado]],FIND("/",base[[#This Row],[Evento / Mercado]])-2)</f>
        <v>#VALUE!</v>
      </c>
    </row>
    <row r="272" spans="2:21" ht="15" customHeight="1">
      <c r="B272" s="128" t="s">
        <v>274</v>
      </c>
      <c r="C272" s="128" t="s">
        <v>2982</v>
      </c>
      <c r="D272" s="129">
        <v>46012.640925925924</v>
      </c>
      <c r="E272" s="130">
        <v>6.37</v>
      </c>
      <c r="F272" s="131">
        <v>4.4999999999999998E-2</v>
      </c>
      <c r="G272" s="126">
        <f t="shared" si="4"/>
        <v>6.6701570680628279</v>
      </c>
      <c r="H272" s="126" t="s">
        <v>122</v>
      </c>
      <c r="I272" s="127" t="s">
        <v>541</v>
      </c>
      <c r="J272" s="126">
        <v>16</v>
      </c>
      <c r="K272" s="126">
        <v>100.05</v>
      </c>
      <c r="L272" s="129">
        <f>INT(base[[#This Row],[Data de liquidação]])</f>
        <v>46012</v>
      </c>
      <c r="M272" s="126">
        <f>base[[#This Row],[L/P Bruto]]-base[[#This Row],[L/P Líquido]]</f>
        <v>0.30015706806282783</v>
      </c>
      <c r="N272" s="126">
        <f>base[[#This Row],[L/P Líquido]]/base[[#This Row],[Stake/Responsabilidade]]</f>
        <v>6.3668165917041483E-2</v>
      </c>
      <c r="O272" s="132">
        <f>IF(base[[#This Row],[L/P Líquido]]&gt;0,1,0)</f>
        <v>1</v>
      </c>
      <c r="P272" s="132" t="s">
        <v>962</v>
      </c>
      <c r="Q272" s="132" t="str">
        <f>LEFT(base[[#This Row],[Evento / Mercado]],FIND("vs",base[[#This Row],[Evento / Mercado]])-2)</f>
        <v>1. FC Heidenheim</v>
      </c>
      <c r="R2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272" s="132" t="e">
        <f>LEFT(base[[#This Row],[Evento / Mercado]],FIND("/",base[[#This Row],[Evento / Mercado]])-2)</f>
        <v>#VALUE!</v>
      </c>
    </row>
    <row r="273" spans="2:19" ht="15" customHeight="1">
      <c r="B273" s="128" t="s">
        <v>273</v>
      </c>
      <c r="C273" s="128" t="s">
        <v>2982</v>
      </c>
      <c r="D273" s="129">
        <v>46012.643773148149</v>
      </c>
      <c r="E273" s="130">
        <v>5.35</v>
      </c>
      <c r="F273" s="131">
        <v>4.4999999999999998E-2</v>
      </c>
      <c r="G273" s="126">
        <f t="shared" si="4"/>
        <v>5.6020942408376966</v>
      </c>
      <c r="H273" s="126" t="s">
        <v>74</v>
      </c>
      <c r="I273" s="127" t="s">
        <v>476</v>
      </c>
      <c r="J273" s="126">
        <v>19</v>
      </c>
      <c r="K273" s="126">
        <v>100.8</v>
      </c>
      <c r="L273" s="129">
        <f>INT(base[[#This Row],[Data de liquidação]])</f>
        <v>46012</v>
      </c>
      <c r="M273" s="126">
        <f>base[[#This Row],[L/P Bruto]]-base[[#This Row],[L/P Líquido]]</f>
        <v>0.25209424083769694</v>
      </c>
      <c r="N273" s="139">
        <f>base[[#This Row],[L/P Líquido]]/base[[#This Row],[Stake/Responsabilidade]]</f>
        <v>5.3075396825396824E-2</v>
      </c>
      <c r="O273" s="132">
        <f>IF(base[[#This Row],[L/P Líquido]]&gt;0,1,0)</f>
        <v>1</v>
      </c>
      <c r="P273" s="132" t="s">
        <v>963</v>
      </c>
      <c r="Q273" s="132" t="str">
        <f>LEFT(base[[#This Row],[Evento / Mercado]],FIND("vs",base[[#This Row],[Evento / Mercado]])-2)</f>
        <v>Aston Villa</v>
      </c>
      <c r="R2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273" s="132" t="e">
        <f>LEFT(base[[#This Row],[Evento / Mercado]],FIND("/",base[[#This Row],[Evento / Mercado]])-2)</f>
        <v>#VALUE!</v>
      </c>
    </row>
    <row r="274" spans="2:19" ht="15" customHeight="1">
      <c r="B274" s="128" t="s">
        <v>272</v>
      </c>
      <c r="C274" s="128" t="s">
        <v>2982</v>
      </c>
      <c r="D274" s="129">
        <v>46012.686909722222</v>
      </c>
      <c r="E274" s="130">
        <v>6.63</v>
      </c>
      <c r="F274" s="131">
        <v>4.4999999999999998E-2</v>
      </c>
      <c r="G274" s="126">
        <f t="shared" si="4"/>
        <v>6.9424083769633507</v>
      </c>
      <c r="H274" s="126" t="s">
        <v>73</v>
      </c>
      <c r="I274" s="127" t="s">
        <v>13</v>
      </c>
      <c r="J274" s="126">
        <v>15.5</v>
      </c>
      <c r="K274" s="126">
        <v>100.63</v>
      </c>
      <c r="L274" s="129">
        <f>INT(base[[#This Row],[Data de liquidação]])</f>
        <v>46012</v>
      </c>
      <c r="M274" s="126">
        <f>base[[#This Row],[L/P Bruto]]-base[[#This Row],[L/P Líquido]]</f>
        <v>0.31240837696335078</v>
      </c>
      <c r="N274" s="126">
        <f>base[[#This Row],[L/P Líquido]]/base[[#This Row],[Stake/Responsabilidade]]</f>
        <v>6.5884924972672163E-2</v>
      </c>
      <c r="O274" s="132">
        <f>IF(base[[#This Row],[L/P Líquido]]&gt;0,1,0)</f>
        <v>1</v>
      </c>
      <c r="P274" s="132"/>
      <c r="Q274" s="132" t="str">
        <f>LEFT(base[[#This Row],[Evento / Mercado]],FIND("vs",base[[#This Row],[Evento / Mercado]])-2)</f>
        <v>Granada CF</v>
      </c>
      <c r="R2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Albacete Balompié</v>
      </c>
      <c r="S274" s="132" t="e">
        <f>LEFT(base[[#This Row],[Evento / Mercado]],FIND("/",base[[#This Row],[Evento / Mercado]])-2)</f>
        <v>#VALUE!</v>
      </c>
    </row>
    <row r="275" spans="2:19" ht="15" customHeight="1">
      <c r="B275" s="128" t="s">
        <v>271</v>
      </c>
      <c r="C275" s="128" t="s">
        <v>2982</v>
      </c>
      <c r="D275" s="129">
        <v>46012.786631944444</v>
      </c>
      <c r="E275" s="130">
        <v>9.5500000000000007</v>
      </c>
      <c r="F275" s="131">
        <v>4.4999999999999998E-2</v>
      </c>
      <c r="G275" s="126">
        <f t="shared" si="4"/>
        <v>10.000000000000002</v>
      </c>
      <c r="H275" s="126" t="s">
        <v>73</v>
      </c>
      <c r="I275" s="127" t="s">
        <v>16</v>
      </c>
      <c r="J275" s="126">
        <v>11</v>
      </c>
      <c r="K275" s="126">
        <v>100</v>
      </c>
      <c r="L275" s="129">
        <f>INT(base[[#This Row],[Data de liquidação]])</f>
        <v>46012</v>
      </c>
      <c r="M275" s="126">
        <f>base[[#This Row],[L/P Bruto]]-base[[#This Row],[L/P Líquido]]</f>
        <v>0.45000000000000107</v>
      </c>
      <c r="N275" s="126">
        <f>base[[#This Row],[L/P Líquido]]/base[[#This Row],[Stake/Responsabilidade]]</f>
        <v>9.5500000000000002E-2</v>
      </c>
      <c r="O275" s="132">
        <f>IF(base[[#This Row],[L/P Líquido]]&gt;0,1,0)</f>
        <v>1</v>
      </c>
      <c r="P275" s="132"/>
      <c r="Q275" s="132" t="str">
        <f>LEFT(base[[#This Row],[Evento / Mercado]],FIND("vs",base[[#This Row],[Evento / Mercado]])-2)</f>
        <v>Mount Pleasant FA</v>
      </c>
      <c r="R2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Spanish Town Police</v>
      </c>
      <c r="S275" s="132" t="e">
        <f>LEFT(base[[#This Row],[Evento / Mercado]],FIND("/",base[[#This Row],[Evento / Mercado]])-2)</f>
        <v>#VALUE!</v>
      </c>
    </row>
    <row r="276" spans="2:19" ht="15" customHeight="1">
      <c r="B276" s="128" t="s">
        <v>270</v>
      </c>
      <c r="C276" s="128" t="s">
        <v>2982</v>
      </c>
      <c r="D276" s="129">
        <v>46012.791770833333</v>
      </c>
      <c r="E276" s="130">
        <v>7.34</v>
      </c>
      <c r="F276" s="131">
        <v>4.4999999999999998E-2</v>
      </c>
      <c r="G276" s="126">
        <f t="shared" si="4"/>
        <v>7.6858638743455501</v>
      </c>
      <c r="H276" s="126" t="s">
        <v>73</v>
      </c>
      <c r="I276" s="127" t="s">
        <v>13</v>
      </c>
      <c r="J276" s="126">
        <v>14</v>
      </c>
      <c r="K276" s="126">
        <v>99.97</v>
      </c>
      <c r="L276" s="129">
        <f>INT(base[[#This Row],[Data de liquidação]])</f>
        <v>46012</v>
      </c>
      <c r="M276" s="126">
        <f>base[[#This Row],[L/P Bruto]]-base[[#This Row],[L/P Líquido]]</f>
        <v>0.34586387434555022</v>
      </c>
      <c r="N276" s="126">
        <f>base[[#This Row],[L/P Líquido]]/base[[#This Row],[Stake/Responsabilidade]]</f>
        <v>7.3422026607982388E-2</v>
      </c>
      <c r="O276" s="132">
        <f>IF(base[[#This Row],[L/P Líquido]]&gt;0,1,0)</f>
        <v>1</v>
      </c>
      <c r="P276" s="132"/>
      <c r="Q276" s="132" t="str">
        <f>LEFT(base[[#This Row],[Evento / Mercado]],FIND("vs",base[[#This Row],[Evento / Mercado]])-2)</f>
        <v>Real Betis</v>
      </c>
      <c r="R2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Getafe</v>
      </c>
      <c r="S276" s="132" t="e">
        <f>LEFT(base[[#This Row],[Evento / Mercado]],FIND("/",base[[#This Row],[Evento / Mercado]])-2)</f>
        <v>#VALUE!</v>
      </c>
    </row>
    <row r="277" spans="2:19" ht="15" customHeight="1">
      <c r="B277" s="128" t="s">
        <v>285</v>
      </c>
      <c r="C277" s="128" t="s">
        <v>2982</v>
      </c>
      <c r="D277" s="129">
        <v>46017.532280092593</v>
      </c>
      <c r="E277" s="130">
        <v>42.98</v>
      </c>
      <c r="F277" s="131">
        <v>4.4999999999999998E-2</v>
      </c>
      <c r="G277" s="126">
        <f t="shared" si="4"/>
        <v>45.005235602094238</v>
      </c>
      <c r="H277" s="126" t="s">
        <v>231</v>
      </c>
      <c r="I277" s="127" t="s">
        <v>266</v>
      </c>
      <c r="J277" s="126">
        <v>1.75</v>
      </c>
      <c r="K277" s="126">
        <v>60</v>
      </c>
      <c r="L277" s="129">
        <f>INT(base[[#This Row],[Data de liquidação]])</f>
        <v>46017</v>
      </c>
      <c r="M277" s="126">
        <f>base[[#This Row],[L/P Bruto]]-base[[#This Row],[L/P Líquido]]</f>
        <v>2.0252356020942415</v>
      </c>
      <c r="N277" s="126">
        <f>base[[#This Row],[L/P Líquido]]/base[[#This Row],[Stake/Responsabilidade]]</f>
        <v>0.71633333333333327</v>
      </c>
      <c r="O277" s="132">
        <f>IF(base[[#This Row],[L/P Líquido]]&gt;0,1,0)</f>
        <v>1</v>
      </c>
      <c r="P277" s="132"/>
      <c r="Q277" s="132" t="str">
        <f>LEFT(base[[#This Row],[Evento / Mercado]],FIND("vs",base[[#This Row],[Evento / Mercado]])-2)</f>
        <v>Leicester City</v>
      </c>
      <c r="R2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Watford</v>
      </c>
      <c r="S277" s="132" t="e">
        <f>LEFT(base[[#This Row],[Evento / Mercado]],FIND("/",base[[#This Row],[Evento / Mercado]])-2)</f>
        <v>#VALUE!</v>
      </c>
    </row>
    <row r="278" spans="2:19" ht="15" customHeight="1">
      <c r="B278" s="128" t="s">
        <v>284</v>
      </c>
      <c r="C278" s="128" t="s">
        <v>2982</v>
      </c>
      <c r="D278" s="129">
        <v>46017.577094907407</v>
      </c>
      <c r="E278" s="130">
        <v>-60</v>
      </c>
      <c r="F278" s="131">
        <v>4.4999999999999998E-2</v>
      </c>
      <c r="G278" s="126">
        <f t="shared" si="4"/>
        <v>-60</v>
      </c>
      <c r="H278" s="126" t="s">
        <v>231</v>
      </c>
      <c r="I278" s="127" t="s">
        <v>232</v>
      </c>
      <c r="J278" s="126">
        <v>1.72</v>
      </c>
      <c r="K278" s="126">
        <v>60</v>
      </c>
      <c r="L278" s="129">
        <f>INT(base[[#This Row],[Data de liquidação]])</f>
        <v>46017</v>
      </c>
      <c r="M278" s="126">
        <f>base[[#This Row],[L/P Bruto]]-base[[#This Row],[L/P Líquido]]</f>
        <v>0</v>
      </c>
      <c r="N278" s="126">
        <f>base[[#This Row],[L/P Líquido]]/base[[#This Row],[Stake/Responsabilidade]]</f>
        <v>-1</v>
      </c>
      <c r="O278" s="132">
        <f>IF(base[[#This Row],[L/P Líquido]]&gt;0,1,0)</f>
        <v>0</v>
      </c>
      <c r="P278" s="132"/>
      <c r="Q278" s="132" t="str">
        <f>LEFT(base[[#This Row],[Evento / Mercado]],FIND("vs",base[[#This Row],[Evento / Mercado]])-2)</f>
        <v>Coventry City</v>
      </c>
      <c r="R2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Swansea City</v>
      </c>
      <c r="S278" s="132" t="e">
        <f>LEFT(base[[#This Row],[Evento / Mercado]],FIND("/",base[[#This Row],[Evento / Mercado]])-2)</f>
        <v>#VALUE!</v>
      </c>
    </row>
    <row r="279" spans="2:19" ht="15" customHeight="1">
      <c r="B279" s="128" t="s">
        <v>289</v>
      </c>
      <c r="C279" s="128" t="s">
        <v>2982</v>
      </c>
      <c r="D279" s="129">
        <v>46018.466770833336</v>
      </c>
      <c r="E279" s="130">
        <v>40.35</v>
      </c>
      <c r="F279" s="131">
        <v>4.4999999999999998E-2</v>
      </c>
      <c r="G279" s="126">
        <f t="shared" si="4"/>
        <v>42.251308900523561</v>
      </c>
      <c r="H279" s="126" t="s">
        <v>231</v>
      </c>
      <c r="I279" s="127" t="s">
        <v>232</v>
      </c>
      <c r="J279" s="126">
        <v>1.7</v>
      </c>
      <c r="K279" s="126">
        <v>60</v>
      </c>
      <c r="L279" s="129">
        <f>INT(base[[#This Row],[Data de liquidação]])</f>
        <v>46018</v>
      </c>
      <c r="M279" s="126">
        <f>base[[#This Row],[L/P Bruto]]-base[[#This Row],[L/P Líquido]]</f>
        <v>1.9013089005235599</v>
      </c>
      <c r="N279" s="126">
        <f>base[[#This Row],[L/P Líquido]]/base[[#This Row],[Stake/Responsabilidade]]</f>
        <v>0.67249999999999999</v>
      </c>
      <c r="O279" s="132">
        <f>IF(base[[#This Row],[L/P Líquido]]&gt;0,1,0)</f>
        <v>1</v>
      </c>
      <c r="P279" s="132"/>
      <c r="Q279" s="132" t="str">
        <f>LEFT(base[[#This Row],[Evento / Mercado]],FIND("vs",base[[#This Row],[Evento / Mercado]])-2)</f>
        <v>Nottingham Forest</v>
      </c>
      <c r="R2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279" s="132" t="e">
        <f>LEFT(base[[#This Row],[Evento / Mercado]],FIND("/",base[[#This Row],[Evento / Mercado]])-2)</f>
        <v>#VALUE!</v>
      </c>
    </row>
    <row r="280" spans="2:19" ht="15" customHeight="1">
      <c r="B280" s="128" t="s">
        <v>289</v>
      </c>
      <c r="C280" s="128" t="s">
        <v>2982</v>
      </c>
      <c r="D280" s="129">
        <v>46018.474247685182</v>
      </c>
      <c r="E280" s="130">
        <v>10.06</v>
      </c>
      <c r="F280" s="131">
        <v>4.4999999999999998E-2</v>
      </c>
      <c r="G280" s="126">
        <f t="shared" si="4"/>
        <v>10.534031413612567</v>
      </c>
      <c r="H280" s="126" t="s">
        <v>74</v>
      </c>
      <c r="I280" s="127" t="s">
        <v>541</v>
      </c>
      <c r="J280" s="126">
        <v>10.5</v>
      </c>
      <c r="K280" s="126">
        <v>100.04</v>
      </c>
      <c r="L280" s="129">
        <f>INT(base[[#This Row],[Data de liquidação]])</f>
        <v>46018</v>
      </c>
      <c r="M280" s="126">
        <f>base[[#This Row],[L/P Bruto]]-base[[#This Row],[L/P Líquido]]</f>
        <v>0.47403141361256651</v>
      </c>
      <c r="N280" s="139">
        <f>base[[#This Row],[L/P Líquido]]/base[[#This Row],[Stake/Responsabilidade]]</f>
        <v>0.10055977608956418</v>
      </c>
      <c r="O280" s="132">
        <f>IF(base[[#This Row],[L/P Líquido]]&gt;0,1,0)</f>
        <v>1</v>
      </c>
      <c r="P280" s="132" t="s">
        <v>963</v>
      </c>
      <c r="Q280" s="132" t="str">
        <f>LEFT(base[[#This Row],[Evento / Mercado]],FIND("vs",base[[#This Row],[Evento / Mercado]])-2)</f>
        <v>Nottingham Forest</v>
      </c>
      <c r="R2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280" s="132" t="e">
        <f>LEFT(base[[#This Row],[Evento / Mercado]],FIND("/",base[[#This Row],[Evento / Mercado]])-2)</f>
        <v>#VALUE!</v>
      </c>
    </row>
    <row r="281" spans="2:19" ht="15" customHeight="1">
      <c r="B281" s="128" t="s">
        <v>288</v>
      </c>
      <c r="C281" s="128" t="s">
        <v>2982</v>
      </c>
      <c r="D281" s="129">
        <v>46018.538472222222</v>
      </c>
      <c r="E281" s="130">
        <v>-60</v>
      </c>
      <c r="F281" s="131">
        <v>4.4999999999999998E-2</v>
      </c>
      <c r="G281" s="126">
        <f t="shared" si="4"/>
        <v>-60</v>
      </c>
      <c r="H281" s="126" t="s">
        <v>231</v>
      </c>
      <c r="I281" s="127" t="s">
        <v>266</v>
      </c>
      <c r="J281" s="126">
        <v>1.86</v>
      </c>
      <c r="K281" s="126">
        <v>60</v>
      </c>
      <c r="L281" s="129">
        <f>INT(base[[#This Row],[Data de liquidação]])</f>
        <v>46018</v>
      </c>
      <c r="M281" s="126">
        <f>base[[#This Row],[L/P Bruto]]-base[[#This Row],[L/P Líquido]]</f>
        <v>0</v>
      </c>
      <c r="N281" s="126">
        <f>base[[#This Row],[L/P Líquido]]/base[[#This Row],[Stake/Responsabilidade]]</f>
        <v>-1</v>
      </c>
      <c r="O281" s="132">
        <f>IF(base[[#This Row],[L/P Líquido]]&gt;0,1,0)</f>
        <v>0</v>
      </c>
      <c r="P281" s="132"/>
      <c r="Q281" s="132" t="str">
        <f>LEFT(base[[#This Row],[Evento / Mercado]],FIND("vs",base[[#This Row],[Evento / Mercado]])-2)</f>
        <v>Catanzaro</v>
      </c>
      <c r="R2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Cesena</v>
      </c>
      <c r="S281" s="132" t="e">
        <f>LEFT(base[[#This Row],[Evento / Mercado]],FIND("/",base[[#This Row],[Evento / Mercado]])-2)</f>
        <v>#VALUE!</v>
      </c>
    </row>
    <row r="282" spans="2:19" ht="15" customHeight="1">
      <c r="B282" s="128" t="s">
        <v>287</v>
      </c>
      <c r="C282" s="128" t="s">
        <v>2982</v>
      </c>
      <c r="D282" s="129">
        <v>46018.549259259256</v>
      </c>
      <c r="E282" s="130">
        <v>42.13</v>
      </c>
      <c r="F282" s="131">
        <v>4.4999999999999998E-2</v>
      </c>
      <c r="G282" s="126">
        <f t="shared" si="4"/>
        <v>44.1151832460733</v>
      </c>
      <c r="H282" s="126" t="s">
        <v>231</v>
      </c>
      <c r="I282" s="127" t="s">
        <v>232</v>
      </c>
      <c r="J282" s="126">
        <v>1.74</v>
      </c>
      <c r="K282" s="126">
        <v>60</v>
      </c>
      <c r="L282" s="129">
        <f>INT(base[[#This Row],[Data de liquidação]])</f>
        <v>46018</v>
      </c>
      <c r="M282" s="126">
        <f>base[[#This Row],[L/P Bruto]]-base[[#This Row],[L/P Líquido]]</f>
        <v>1.9851832460732979</v>
      </c>
      <c r="N282" s="126">
        <f>base[[#This Row],[L/P Líquido]]/base[[#This Row],[Stake/Responsabilidade]]</f>
        <v>0.70216666666666672</v>
      </c>
      <c r="O282" s="132">
        <f>IF(base[[#This Row],[L/P Líquido]]&gt;0,1,0)</f>
        <v>1</v>
      </c>
      <c r="P282" s="132"/>
      <c r="Q282" s="132" t="str">
        <f>LEFT(base[[#This Row],[Evento / Mercado]],FIND("vs",base[[#This Row],[Evento / Mercado]])-2)</f>
        <v>Brentford</v>
      </c>
      <c r="R2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282" s="132" t="e">
        <f>LEFT(base[[#This Row],[Evento / Mercado]],FIND("/",base[[#This Row],[Evento / Mercado]])-2)</f>
        <v>#VALUE!</v>
      </c>
    </row>
    <row r="283" spans="2:19" ht="15" customHeight="1">
      <c r="B283" s="128" t="s">
        <v>286</v>
      </c>
      <c r="C283" s="128" t="s">
        <v>2982</v>
      </c>
      <c r="D283" s="129">
        <v>46018.66070601852</v>
      </c>
      <c r="E283" s="130">
        <v>44.69</v>
      </c>
      <c r="F283" s="131">
        <v>4.4999999999999998E-2</v>
      </c>
      <c r="G283" s="126">
        <f t="shared" si="4"/>
        <v>46.795811518324605</v>
      </c>
      <c r="H283" s="126" t="s">
        <v>231</v>
      </c>
      <c r="I283" s="127" t="s">
        <v>266</v>
      </c>
      <c r="J283" s="126">
        <v>1.78</v>
      </c>
      <c r="K283" s="126">
        <v>60</v>
      </c>
      <c r="L283" s="129">
        <f>INT(base[[#This Row],[Data de liquidação]])</f>
        <v>46018</v>
      </c>
      <c r="M283" s="126">
        <f>base[[#This Row],[L/P Bruto]]-base[[#This Row],[L/P Líquido]]</f>
        <v>2.1058115183246073</v>
      </c>
      <c r="N283" s="126">
        <f>base[[#This Row],[L/P Líquido]]/base[[#This Row],[Stake/Responsabilidade]]</f>
        <v>0.74483333333333335</v>
      </c>
      <c r="O283" s="132">
        <f>IF(base[[#This Row],[L/P Líquido]]&gt;0,1,0)</f>
        <v>1</v>
      </c>
      <c r="P283" s="132"/>
      <c r="Q283" s="132" t="str">
        <f>LEFT(base[[#This Row],[Evento / Mercado]],FIND("vs",base[[#This Row],[Evento / Mercado]])-2)</f>
        <v>Chelsea</v>
      </c>
      <c r="R2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283" s="132" t="e">
        <f>LEFT(base[[#This Row],[Evento / Mercado]],FIND("/",base[[#This Row],[Evento / Mercado]])-2)</f>
        <v>#VALUE!</v>
      </c>
    </row>
    <row r="284" spans="2:19" ht="15" customHeight="1">
      <c r="B284" s="128" t="s">
        <v>286</v>
      </c>
      <c r="C284" s="128" t="s">
        <v>2982</v>
      </c>
      <c r="D284" s="129">
        <v>46018.683171296296</v>
      </c>
      <c r="E284" s="130">
        <v>10.06</v>
      </c>
      <c r="F284" s="131">
        <v>4.4999999999999998E-2</v>
      </c>
      <c r="G284" s="126">
        <f t="shared" si="4"/>
        <v>10.534031413612567</v>
      </c>
      <c r="H284" s="126" t="s">
        <v>74</v>
      </c>
      <c r="I284" s="127" t="s">
        <v>477</v>
      </c>
      <c r="J284" s="126">
        <v>10.5</v>
      </c>
      <c r="K284" s="126">
        <v>100.04</v>
      </c>
      <c r="L284" s="129">
        <f>INT(base[[#This Row],[Data de liquidação]])</f>
        <v>46018</v>
      </c>
      <c r="M284" s="126">
        <f>base[[#This Row],[L/P Bruto]]-base[[#This Row],[L/P Líquido]]</f>
        <v>0.47403141361256651</v>
      </c>
      <c r="N284" s="139">
        <f>base[[#This Row],[L/P Líquido]]/base[[#This Row],[Stake/Responsabilidade]]</f>
        <v>0.10055977608956418</v>
      </c>
      <c r="O284" s="132">
        <f>IF(base[[#This Row],[L/P Líquido]]&gt;0,1,0)</f>
        <v>1</v>
      </c>
      <c r="P284" s="132" t="s">
        <v>963</v>
      </c>
      <c r="Q284" s="132" t="str">
        <f>LEFT(base[[#This Row],[Evento / Mercado]],FIND("vs",base[[#This Row],[Evento / Mercado]])-2)</f>
        <v>Chelsea</v>
      </c>
      <c r="R2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284" s="132" t="e">
        <f>LEFT(base[[#This Row],[Evento / Mercado]],FIND("/",base[[#This Row],[Evento / Mercado]])-2)</f>
        <v>#VALUE!</v>
      </c>
    </row>
    <row r="285" spans="2:19" ht="15" customHeight="1">
      <c r="B285" s="128" t="s">
        <v>295</v>
      </c>
      <c r="C285" s="128" t="s">
        <v>2982</v>
      </c>
      <c r="D285" s="129">
        <v>46019.538819444446</v>
      </c>
      <c r="E285" s="130">
        <v>11.36</v>
      </c>
      <c r="F285" s="131">
        <v>4.4999999999999998E-2</v>
      </c>
      <c r="G285" s="126">
        <f t="shared" si="4"/>
        <v>11.895287958115183</v>
      </c>
      <c r="H285" s="126" t="s">
        <v>122</v>
      </c>
      <c r="I285" s="127" t="s">
        <v>541</v>
      </c>
      <c r="J285" s="126">
        <v>9.4</v>
      </c>
      <c r="K285" s="126">
        <v>99.96</v>
      </c>
      <c r="L285" s="129">
        <f>INT(base[[#This Row],[Data de liquidação]])</f>
        <v>46019</v>
      </c>
      <c r="M285" s="126">
        <f>base[[#This Row],[L/P Bruto]]-base[[#This Row],[L/P Líquido]]</f>
        <v>0.53528795811518393</v>
      </c>
      <c r="N285" s="126">
        <f>base[[#This Row],[L/P Líquido]]/base[[#This Row],[Stake/Responsabilidade]]</f>
        <v>0.1136454581832733</v>
      </c>
      <c r="O285" s="132">
        <f>IF(base[[#This Row],[L/P Líquido]]&gt;0,1,0)</f>
        <v>1</v>
      </c>
      <c r="P285" s="132" t="s">
        <v>963</v>
      </c>
      <c r="Q285" s="132" t="str">
        <f>LEFT(base[[#This Row],[Evento / Mercado]],FIND("vs",base[[#This Row],[Evento / Mercado]])-2)</f>
        <v>Sunderland</v>
      </c>
      <c r="R2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285" s="132" t="e">
        <f>LEFT(base[[#This Row],[Evento / Mercado]],FIND("/",base[[#This Row],[Evento / Mercado]])-2)</f>
        <v>#VALUE!</v>
      </c>
    </row>
    <row r="286" spans="2:19" ht="15" customHeight="1">
      <c r="B286" s="128" t="s">
        <v>294</v>
      </c>
      <c r="C286" s="128" t="s">
        <v>2982</v>
      </c>
      <c r="D286" s="129">
        <v>46019.642083333332</v>
      </c>
      <c r="E286" s="130">
        <v>53.22</v>
      </c>
      <c r="F286" s="131">
        <v>4.4999999999999998E-2</v>
      </c>
      <c r="G286" s="126">
        <f t="shared" si="4"/>
        <v>55.727748691099478</v>
      </c>
      <c r="H286" s="126" t="s">
        <v>231</v>
      </c>
      <c r="I286" s="127" t="s">
        <v>266</v>
      </c>
      <c r="J286" s="126">
        <f>(1.93*47.73+1.94*12.27)/base[[#This Row],[Stake/Responsabilidade]]</f>
        <v>1.9320449999999998</v>
      </c>
      <c r="K286" s="126">
        <f>47.73+12.27</f>
        <v>60</v>
      </c>
      <c r="L286" s="129">
        <f>INT(base[[#This Row],[Data de liquidação]])</f>
        <v>46019</v>
      </c>
      <c r="M286" s="126">
        <f>base[[#This Row],[L/P Bruto]]-base[[#This Row],[L/P Líquido]]</f>
        <v>2.5077486910994793</v>
      </c>
      <c r="N286" s="126">
        <f>base[[#This Row],[L/P Líquido]]/base[[#This Row],[Stake/Responsabilidade]]</f>
        <v>0.88700000000000001</v>
      </c>
      <c r="O286" s="132">
        <f>IF(base[[#This Row],[L/P Líquido]]&gt;0,1,0)</f>
        <v>1</v>
      </c>
      <c r="P286" s="132"/>
      <c r="Q286" s="132" t="str">
        <f>LEFT(base[[#This Row],[Evento / Mercado]],FIND("vs",base[[#This Row],[Evento / Mercado]])-2)</f>
        <v>Bologna</v>
      </c>
      <c r="R2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Sassuolo</v>
      </c>
      <c r="S286" s="132" t="e">
        <f>LEFT(base[[#This Row],[Evento / Mercado]],FIND("/",base[[#This Row],[Evento / Mercado]])-2)</f>
        <v>#VALUE!</v>
      </c>
    </row>
    <row r="287" spans="2:19" ht="15" customHeight="1">
      <c r="B287" s="128" t="s">
        <v>293</v>
      </c>
      <c r="C287" s="128" t="s">
        <v>2982</v>
      </c>
      <c r="D287" s="129">
        <v>46019.64439814815</v>
      </c>
      <c r="E287" s="130">
        <v>-60</v>
      </c>
      <c r="F287" s="131">
        <v>4.4999999999999998E-2</v>
      </c>
      <c r="G287" s="126">
        <f t="shared" si="4"/>
        <v>-60</v>
      </c>
      <c r="H287" s="126" t="s">
        <v>231</v>
      </c>
      <c r="I287" s="127" t="s">
        <v>232</v>
      </c>
      <c r="J287" s="126">
        <v>2.0099999999999998</v>
      </c>
      <c r="K287" s="126">
        <v>60</v>
      </c>
      <c r="L287" s="129">
        <f>INT(base[[#This Row],[Data de liquidação]])</f>
        <v>46019</v>
      </c>
      <c r="M287" s="126">
        <f>base[[#This Row],[L/P Bruto]]-base[[#This Row],[L/P Líquido]]</f>
        <v>0</v>
      </c>
      <c r="N287" s="126">
        <f>base[[#This Row],[L/P Líquido]]/base[[#This Row],[Stake/Responsabilidade]]</f>
        <v>-1</v>
      </c>
      <c r="O287" s="132">
        <f>IF(base[[#This Row],[L/P Líquido]]&gt;0,1,0)</f>
        <v>0</v>
      </c>
      <c r="P287" s="132"/>
      <c r="Q287" s="132" t="str">
        <f>LEFT(base[[#This Row],[Evento / Mercado]],FIND("vs",base[[#This Row],[Evento / Mercado]])-2)</f>
        <v>Crystal Palace</v>
      </c>
      <c r="R2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287" s="132" t="e">
        <f>LEFT(base[[#This Row],[Evento / Mercado]],FIND("/",base[[#This Row],[Evento / Mercado]])-2)</f>
        <v>#VALUE!</v>
      </c>
    </row>
    <row r="288" spans="2:19" ht="15" customHeight="1">
      <c r="B288" s="128" t="s">
        <v>292</v>
      </c>
      <c r="C288" s="128" t="s">
        <v>2982</v>
      </c>
      <c r="D288" s="129">
        <v>46019.646967592591</v>
      </c>
      <c r="E288" s="130">
        <v>7.96</v>
      </c>
      <c r="F288" s="131">
        <v>4.4999999999999998E-2</v>
      </c>
      <c r="G288" s="126">
        <f t="shared" si="4"/>
        <v>8.335078534031414</v>
      </c>
      <c r="H288" s="126" t="s">
        <v>73</v>
      </c>
      <c r="I288" s="127" t="s">
        <v>13</v>
      </c>
      <c r="J288" s="126">
        <v>13</v>
      </c>
      <c r="K288" s="126">
        <v>99.96</v>
      </c>
      <c r="L288" s="129">
        <f>INT(base[[#This Row],[Data de liquidação]])</f>
        <v>46019</v>
      </c>
      <c r="M288" s="126">
        <f>base[[#This Row],[L/P Bruto]]-base[[#This Row],[L/P Líquido]]</f>
        <v>0.375078534031414</v>
      </c>
      <c r="N288" s="126">
        <f>base[[#This Row],[L/P Líquido]]/base[[#This Row],[Stake/Responsabilidade]]</f>
        <v>7.9631852741096437E-2</v>
      </c>
      <c r="O288" s="132">
        <f>IF(base[[#This Row],[L/P Líquido]]&gt;0,1,0)</f>
        <v>1</v>
      </c>
      <c r="P288" s="132"/>
      <c r="Q288" s="132" t="str">
        <f>LEFT(base[[#This Row],[Evento / Mercado]],FIND("vs",base[[#This Row],[Evento / Mercado]])-2)</f>
        <v>Al-Arabi Doha</v>
      </c>
      <c r="R2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Al-Rayyan</v>
      </c>
      <c r="S288" s="132" t="e">
        <f>LEFT(base[[#This Row],[Evento / Mercado]],FIND("/",base[[#This Row],[Evento / Mercado]])-2)</f>
        <v>#VALUE!</v>
      </c>
    </row>
    <row r="289" spans="2:21" ht="15" customHeight="1">
      <c r="B289" s="128" t="s">
        <v>291</v>
      </c>
      <c r="C289" s="128" t="s">
        <v>2982</v>
      </c>
      <c r="D289" s="129">
        <v>46019.80840277778</v>
      </c>
      <c r="E289" s="130">
        <v>9.5500000000000007</v>
      </c>
      <c r="F289" s="131">
        <v>4.4999999999999998E-2</v>
      </c>
      <c r="G289" s="126">
        <f t="shared" si="4"/>
        <v>10.000000000000002</v>
      </c>
      <c r="H289" s="126" t="s">
        <v>74</v>
      </c>
      <c r="I289" s="127" t="s">
        <v>477</v>
      </c>
      <c r="J289" s="126">
        <v>11</v>
      </c>
      <c r="K289" s="126">
        <v>100</v>
      </c>
      <c r="L289" s="129">
        <f>INT(base[[#This Row],[Data de liquidação]])</f>
        <v>46019</v>
      </c>
      <c r="M289" s="126">
        <f>base[[#This Row],[L/P Bruto]]-base[[#This Row],[L/P Líquido]]</f>
        <v>0.45000000000000107</v>
      </c>
      <c r="N289" s="139">
        <f>base[[#This Row],[L/P Líquido]]/base[[#This Row],[Stake/Responsabilidade]]</f>
        <v>9.5500000000000002E-2</v>
      </c>
      <c r="O289" s="132">
        <f>IF(base[[#This Row],[L/P Líquido]]&gt;0,1,0)</f>
        <v>1</v>
      </c>
      <c r="P289" s="132" t="s">
        <v>965</v>
      </c>
      <c r="Q289" s="132" t="str">
        <f>LEFT(base[[#This Row],[Evento / Mercado]],FIND("vs",base[[#This Row],[Evento / Mercado]])-2)</f>
        <v>Sporting CP</v>
      </c>
      <c r="R2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Rio Ave</v>
      </c>
      <c r="S289" s="132" t="e">
        <f>LEFT(base[[#This Row],[Evento / Mercado]],FIND("/",base[[#This Row],[Evento / Mercado]])-2)</f>
        <v>#VALUE!</v>
      </c>
    </row>
    <row r="290" spans="2:21" ht="15" customHeight="1">
      <c r="B290" s="128" t="s">
        <v>290</v>
      </c>
      <c r="C290" s="128" t="s">
        <v>2982</v>
      </c>
      <c r="D290" s="129">
        <v>46019.876689814817</v>
      </c>
      <c r="E290" s="130">
        <v>11.13</v>
      </c>
      <c r="F290" s="131">
        <v>4.4999999999999998E-2</v>
      </c>
      <c r="G290" s="126">
        <f t="shared" si="4"/>
        <v>11.654450261780106</v>
      </c>
      <c r="H290" s="126" t="s">
        <v>73</v>
      </c>
      <c r="I290" s="127" t="s">
        <v>16</v>
      </c>
      <c r="J290" s="126">
        <v>9.6</v>
      </c>
      <c r="K290" s="126">
        <v>100.19</v>
      </c>
      <c r="L290" s="129">
        <f>INT(base[[#This Row],[Data de liquidação]])</f>
        <v>46019</v>
      </c>
      <c r="M290" s="126">
        <f>base[[#This Row],[L/P Bruto]]-base[[#This Row],[L/P Líquido]]</f>
        <v>0.52445026178010501</v>
      </c>
      <c r="N290" s="126">
        <f>base[[#This Row],[L/P Líquido]]/base[[#This Row],[Stake/Responsabilidade]]</f>
        <v>0.11108893103104103</v>
      </c>
      <c r="O290" s="132">
        <f>IF(base[[#This Row],[L/P Líquido]]&gt;0,1,0)</f>
        <v>1</v>
      </c>
      <c r="P290" s="132"/>
      <c r="Q290" s="132" t="str">
        <f>LEFT(base[[#This Row],[Evento / Mercado]],FIND("vs",base[[#This Row],[Evento / Mercado]])-2)</f>
        <v>Marathón</v>
      </c>
      <c r="R2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Olancho FC</v>
      </c>
      <c r="S290" s="132" t="e">
        <f>LEFT(base[[#This Row],[Evento / Mercado]],FIND("/",base[[#This Row],[Evento / Mercado]])-2)</f>
        <v>#VALUE!</v>
      </c>
    </row>
    <row r="291" spans="2:21" ht="15" customHeight="1">
      <c r="B291" s="128" t="s">
        <v>296</v>
      </c>
      <c r="C291" s="128" t="s">
        <v>2982</v>
      </c>
      <c r="D291" s="129">
        <v>46021.494571759256</v>
      </c>
      <c r="E291" s="130">
        <v>14.05</v>
      </c>
      <c r="F291" s="131">
        <v>4.4999999999999998E-2</v>
      </c>
      <c r="G291" s="126">
        <f t="shared" si="4"/>
        <v>14.712041884816756</v>
      </c>
      <c r="H291" s="126" t="s">
        <v>210</v>
      </c>
      <c r="I291" s="127" t="s">
        <v>16</v>
      </c>
      <c r="J291" s="126">
        <v>7.8</v>
      </c>
      <c r="K291" s="126">
        <v>100.03</v>
      </c>
      <c r="L291" s="129">
        <f>INT(base[[#This Row],[Data de liquidação]])</f>
        <v>46021</v>
      </c>
      <c r="M291" s="126">
        <f>base[[#This Row],[L/P Bruto]]-base[[#This Row],[L/P Líquido]]</f>
        <v>0.6620418848167553</v>
      </c>
      <c r="N291" s="126">
        <f>base[[#This Row],[L/P Líquido]]/base[[#This Row],[Stake/Responsabilidade]]</f>
        <v>0.14045786264120763</v>
      </c>
      <c r="O291" s="132">
        <f>IF(base[[#This Row],[L/P Líquido]]&gt;0,1,0)</f>
        <v>1</v>
      </c>
      <c r="P291" s="132"/>
      <c r="Q291" s="132" t="str">
        <f>LEFT(base[[#This Row],[Evento / Mercado]],FIND("vs",base[[#This Row],[Evento / Mercado]])-2)</f>
        <v>Al-Ula FC</v>
      </c>
      <c r="R2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Al-Anwar Club</v>
      </c>
      <c r="S291" s="132" t="e">
        <f>LEFT(base[[#This Row],[Evento / Mercado]],FIND("/",base[[#This Row],[Evento / Mercado]])-2)</f>
        <v>#VALUE!</v>
      </c>
    </row>
    <row r="292" spans="2:21" ht="15" customHeight="1">
      <c r="B292" s="128" t="s">
        <v>202</v>
      </c>
      <c r="C292" s="128" t="s">
        <v>2982</v>
      </c>
      <c r="D292" s="129">
        <v>46021.800370370373</v>
      </c>
      <c r="E292" s="130">
        <v>5.45</v>
      </c>
      <c r="F292" s="131">
        <v>4.4999999999999998E-2</v>
      </c>
      <c r="G292" s="126">
        <f t="shared" si="4"/>
        <v>5.7068062827225132</v>
      </c>
      <c r="H292" s="126" t="s">
        <v>74</v>
      </c>
      <c r="I292" s="127" t="s">
        <v>75</v>
      </c>
      <c r="J292" s="126">
        <v>18.5</v>
      </c>
      <c r="K292" s="126">
        <v>99.93</v>
      </c>
      <c r="L292" s="129">
        <f>INT(base[[#This Row],[Data de liquidação]])</f>
        <v>46021</v>
      </c>
      <c r="M292" s="126">
        <f>base[[#This Row],[L/P Bruto]]-base[[#This Row],[L/P Líquido]]</f>
        <v>0.25680628272251305</v>
      </c>
      <c r="N292" s="139">
        <f>base[[#This Row],[L/P Líquido]]/base[[#This Row],[Stake/Responsabilidade]]</f>
        <v>5.4538176723706595E-2</v>
      </c>
      <c r="O292" s="132">
        <f>IF(base[[#This Row],[L/P Líquido]]&gt;0,1,0)</f>
        <v>1</v>
      </c>
      <c r="P292" s="132" t="s">
        <v>963</v>
      </c>
      <c r="Q292" s="132" t="str">
        <f>LEFT(base[[#This Row],[Evento / Mercado]],FIND("vs",base[[#This Row],[Evento / Mercado]])-2)</f>
        <v>Arsenal</v>
      </c>
      <c r="R2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292" s="132" t="e">
        <f>LEFT(base[[#This Row],[Evento / Mercado]],FIND("/",base[[#This Row],[Evento / Mercado]])-2)</f>
        <v>#VALUE!</v>
      </c>
    </row>
    <row r="293" spans="2:21" ht="15" customHeight="1">
      <c r="B293" s="128" t="s">
        <v>297</v>
      </c>
      <c r="C293" s="128" t="s">
        <v>2982</v>
      </c>
      <c r="D293" s="129">
        <v>46021.800370370373</v>
      </c>
      <c r="E293" s="130">
        <v>262.35000000000002</v>
      </c>
      <c r="F293" s="131">
        <v>0</v>
      </c>
      <c r="G293" s="126">
        <f t="shared" si="4"/>
        <v>262.35000000000002</v>
      </c>
      <c r="H293" s="126" t="s">
        <v>269</v>
      </c>
      <c r="I293" s="127" t="s">
        <v>213</v>
      </c>
      <c r="J293" s="126"/>
      <c r="K293" s="126">
        <v>100</v>
      </c>
      <c r="L293" s="129">
        <f>INT(base[[#This Row],[Data de liquidação]])</f>
        <v>46021</v>
      </c>
      <c r="M293" s="126">
        <f>base[[#This Row],[L/P Bruto]]-base[[#This Row],[L/P Líquido]]</f>
        <v>0</v>
      </c>
      <c r="N293" s="126">
        <f>base[[#This Row],[L/P Líquido]]/base[[#This Row],[Stake/Responsabilidade]]</f>
        <v>2.6235000000000004</v>
      </c>
      <c r="O293" s="132">
        <f>IF(base[[#This Row],[L/P Líquido]]&gt;0,1,0)</f>
        <v>1</v>
      </c>
      <c r="P293" s="132"/>
      <c r="Q293" s="132" t="e">
        <f>LEFT(base[[#This Row],[Evento / Mercado]],FIND("vs",base[[#This Row],[Evento / Mercado]])-2)</f>
        <v>#VALUE!</v>
      </c>
      <c r="R293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93" s="132" t="e">
        <f>LEFT(base[[#This Row],[Evento / Mercado]],FIND("/",base[[#This Row],[Evento / Mercado]])-2)</f>
        <v>#VALUE!</v>
      </c>
    </row>
    <row r="294" spans="2:21" ht="15" customHeight="1">
      <c r="B294" s="128" t="s">
        <v>297</v>
      </c>
      <c r="C294" s="128" t="s">
        <v>2982</v>
      </c>
      <c r="D294" s="129">
        <v>46021.800370370373</v>
      </c>
      <c r="E294" s="130">
        <v>7.64</v>
      </c>
      <c r="F294" s="131">
        <v>0</v>
      </c>
      <c r="G294" s="126">
        <f t="shared" si="4"/>
        <v>7.64</v>
      </c>
      <c r="H294" s="126" t="s">
        <v>269</v>
      </c>
      <c r="I294" s="127" t="s">
        <v>298</v>
      </c>
      <c r="J294" s="126"/>
      <c r="K294" s="126">
        <v>100</v>
      </c>
      <c r="L294" s="129">
        <f>INT(base[[#This Row],[Data de liquidação]])</f>
        <v>46021</v>
      </c>
      <c r="M294" s="126">
        <f>base[[#This Row],[L/P Bruto]]-base[[#This Row],[L/P Líquido]]</f>
        <v>0</v>
      </c>
      <c r="N294" s="126">
        <f>base[[#This Row],[L/P Líquido]]/base[[#This Row],[Stake/Responsabilidade]]</f>
        <v>7.6399999999999996E-2</v>
      </c>
      <c r="O294" s="132">
        <f>IF(base[[#This Row],[L/P Líquido]]&gt;0,1,0)</f>
        <v>1</v>
      </c>
      <c r="P294" s="132"/>
      <c r="Q294" s="132" t="e">
        <f>LEFT(base[[#This Row],[Evento / Mercado]],FIND("vs",base[[#This Row],[Evento / Mercado]])-2)</f>
        <v>#VALUE!</v>
      </c>
      <c r="R294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94" s="132" t="e">
        <f>LEFT(base[[#This Row],[Evento / Mercado]],FIND("/",base[[#This Row],[Evento / Mercado]])-2)</f>
        <v>#VALUE!</v>
      </c>
    </row>
    <row r="295" spans="2:21" ht="15" customHeight="1">
      <c r="B295" s="128" t="s">
        <v>297</v>
      </c>
      <c r="C295" s="128" t="s">
        <v>2982</v>
      </c>
      <c r="D295" s="129">
        <v>46021.800370370373</v>
      </c>
      <c r="E295" s="130">
        <v>-20</v>
      </c>
      <c r="F295" s="131">
        <v>0</v>
      </c>
      <c r="G295" s="126">
        <f t="shared" si="4"/>
        <v>-20</v>
      </c>
      <c r="H295" s="126" t="s">
        <v>269</v>
      </c>
      <c r="I295" s="127" t="s">
        <v>267</v>
      </c>
      <c r="J295" s="126"/>
      <c r="K295" s="126">
        <v>100</v>
      </c>
      <c r="L295" s="129">
        <f>INT(base[[#This Row],[Data de liquidação]])</f>
        <v>46021</v>
      </c>
      <c r="M295" s="126">
        <f>base[[#This Row],[L/P Bruto]]-base[[#This Row],[L/P Líquido]]</f>
        <v>0</v>
      </c>
      <c r="N295" s="126">
        <f>base[[#This Row],[L/P Líquido]]/base[[#This Row],[Stake/Responsabilidade]]</f>
        <v>-0.2</v>
      </c>
      <c r="O295" s="132">
        <f>IF(base[[#This Row],[L/P Líquido]]&gt;0,1,0)</f>
        <v>0</v>
      </c>
      <c r="P295" s="132"/>
      <c r="Q295" s="132" t="e">
        <f>LEFT(base[[#This Row],[Evento / Mercado]],FIND("vs",base[[#This Row],[Evento / Mercado]])-2)</f>
        <v>#VALUE!</v>
      </c>
      <c r="R295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95" s="132" t="e">
        <f>LEFT(base[[#This Row],[Evento / Mercado]],FIND("/",base[[#This Row],[Evento / Mercado]])-2)</f>
        <v>#VALUE!</v>
      </c>
    </row>
    <row r="296" spans="2:21" ht="15" customHeight="1">
      <c r="B296" s="128" t="s">
        <v>297</v>
      </c>
      <c r="C296" s="128" t="s">
        <v>2982</v>
      </c>
      <c r="D296" s="129">
        <v>46021.800370370373</v>
      </c>
      <c r="E296" s="130">
        <v>4.01</v>
      </c>
      <c r="F296" s="131">
        <v>0</v>
      </c>
      <c r="G296" s="126">
        <f t="shared" si="4"/>
        <v>4.01</v>
      </c>
      <c r="H296" s="126" t="s">
        <v>269</v>
      </c>
      <c r="I296" s="127" t="s">
        <v>299</v>
      </c>
      <c r="J296" s="126"/>
      <c r="K296" s="126">
        <v>100</v>
      </c>
      <c r="L296" s="129">
        <f>INT(base[[#This Row],[Data de liquidação]])</f>
        <v>46021</v>
      </c>
      <c r="M296" s="126">
        <f>base[[#This Row],[L/P Bruto]]-base[[#This Row],[L/P Líquido]]</f>
        <v>0</v>
      </c>
      <c r="N296" s="126">
        <f>base[[#This Row],[L/P Líquido]]/base[[#This Row],[Stake/Responsabilidade]]</f>
        <v>4.0099999999999997E-2</v>
      </c>
      <c r="O296" s="132">
        <f>IF(base[[#This Row],[L/P Líquido]]&gt;0,1,0)</f>
        <v>1</v>
      </c>
      <c r="P296" s="132"/>
      <c r="Q296" s="132" t="e">
        <f>LEFT(base[[#This Row],[Evento / Mercado]],FIND("vs",base[[#This Row],[Evento / Mercado]])-2)</f>
        <v>#VALUE!</v>
      </c>
      <c r="R296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96" s="132" t="e">
        <f>LEFT(base[[#This Row],[Evento / Mercado]],FIND("/",base[[#This Row],[Evento / Mercado]])-2)</f>
        <v>#VALUE!</v>
      </c>
    </row>
    <row r="297" spans="2:21" ht="15" customHeight="1">
      <c r="B297" s="128" t="s">
        <v>318</v>
      </c>
      <c r="C297" s="128" t="s">
        <v>2982</v>
      </c>
      <c r="D297" s="129">
        <v>46023.577719907407</v>
      </c>
      <c r="E297" s="130">
        <v>5.96875</v>
      </c>
      <c r="F297" s="131">
        <v>4.4999999999999998E-2</v>
      </c>
      <c r="G297" s="126">
        <f t="shared" si="4"/>
        <v>6.25</v>
      </c>
      <c r="H297" s="126" t="s">
        <v>73</v>
      </c>
      <c r="I297" s="127" t="s">
        <v>13</v>
      </c>
      <c r="J297" s="126">
        <v>17</v>
      </c>
      <c r="K297" s="126">
        <v>100</v>
      </c>
      <c r="L297" s="129">
        <f>INT(base[[#This Row],[Data de liquidação]])</f>
        <v>46023</v>
      </c>
      <c r="M297" s="126">
        <f>base[[#This Row],[L/P Bruto]]-base[[#This Row],[L/P Líquido]]</f>
        <v>0.28125</v>
      </c>
      <c r="N297" s="126">
        <f>base[[#This Row],[L/P Líquido]]/base[[#This Row],[Stake/Responsabilidade]]</f>
        <v>5.9687499999999998E-2</v>
      </c>
      <c r="O297" s="132">
        <f>IF(base[[#This Row],[L/P Líquido]]&gt;0,1,0)</f>
        <v>1</v>
      </c>
      <c r="P297" s="132"/>
      <c r="Q297" s="132" t="str">
        <f>LEFT(base[[#This Row],[Evento / Mercado]],FIND("vs",base[[#This Row],[Evento / Mercado]])-2)</f>
        <v>Bristol City</v>
      </c>
      <c r="R2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Portsmouth</v>
      </c>
      <c r="S297" s="132" t="e">
        <f>LEFT(base[[#This Row],[Evento / Mercado]],FIND("/",base[[#This Row],[Evento / Mercado]])-2)</f>
        <v>#VALUE!</v>
      </c>
      <c r="T297" s="8">
        <v>6.25</v>
      </c>
      <c r="U297" s="9">
        <f>T297*0.955</f>
        <v>5.96875</v>
      </c>
    </row>
    <row r="298" spans="2:21" ht="15" customHeight="1">
      <c r="B298" s="128" t="s">
        <v>318</v>
      </c>
      <c r="C298" s="128" t="s">
        <v>2982</v>
      </c>
      <c r="D298" s="129">
        <v>46023.577719907407</v>
      </c>
      <c r="E298" s="130">
        <v>14.04805</v>
      </c>
      <c r="F298" s="131">
        <v>4.4999999999999998E-2</v>
      </c>
      <c r="G298" s="126">
        <f t="shared" si="4"/>
        <v>14.71</v>
      </c>
      <c r="H298" s="126" t="s">
        <v>73</v>
      </c>
      <c r="I298" s="127" t="s">
        <v>16</v>
      </c>
      <c r="J298" s="126">
        <v>7.8</v>
      </c>
      <c r="K298" s="126">
        <f>16.73+83.3</f>
        <v>100.03</v>
      </c>
      <c r="L298" s="129">
        <f>INT(base[[#This Row],[Data de liquidação]])</f>
        <v>46023</v>
      </c>
      <c r="M298" s="126">
        <f>base[[#This Row],[L/P Bruto]]-base[[#This Row],[L/P Líquido]]</f>
        <v>0.66195000000000093</v>
      </c>
      <c r="N298" s="126">
        <f>base[[#This Row],[L/P Líquido]]/base[[#This Row],[Stake/Responsabilidade]]</f>
        <v>0.14043836848945315</v>
      </c>
      <c r="O298" s="132">
        <f>IF(base[[#This Row],[L/P Líquido]]&gt;0,1,0)</f>
        <v>1</v>
      </c>
      <c r="P298" s="132"/>
      <c r="Q298" s="132" t="str">
        <f>LEFT(base[[#This Row],[Evento / Mercado]],FIND("vs",base[[#This Row],[Evento / Mercado]])-2)</f>
        <v>Bristol City</v>
      </c>
      <c r="R2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Portsmouth</v>
      </c>
      <c r="S298" s="132" t="e">
        <f>LEFT(base[[#This Row],[Evento / Mercado]],FIND("/",base[[#This Row],[Evento / Mercado]])-2)</f>
        <v>#VALUE!</v>
      </c>
      <c r="T298" s="8">
        <f>2.46+12.25</f>
        <v>14.71</v>
      </c>
      <c r="U298" s="9">
        <f>T298*0.955</f>
        <v>14.04805</v>
      </c>
    </row>
    <row r="299" spans="2:21" ht="15" customHeight="1">
      <c r="B299" s="128" t="s">
        <v>317</v>
      </c>
      <c r="C299" s="128" t="s">
        <v>2982</v>
      </c>
      <c r="D299" s="129">
        <v>46023.577951388892</v>
      </c>
      <c r="E299" s="130">
        <v>5.62</v>
      </c>
      <c r="F299" s="131">
        <v>4.4999999999999998E-2</v>
      </c>
      <c r="G299" s="126">
        <f t="shared" si="4"/>
        <v>5.8848167539267022</v>
      </c>
      <c r="H299" s="126" t="s">
        <v>73</v>
      </c>
      <c r="I299" s="127" t="s">
        <v>13</v>
      </c>
      <c r="J299" s="126">
        <v>18</v>
      </c>
      <c r="K299" s="126">
        <v>99.96</v>
      </c>
      <c r="L299" s="129">
        <f>INT(base[[#This Row],[Data de liquidação]])</f>
        <v>46023</v>
      </c>
      <c r="M299" s="126">
        <f>base[[#This Row],[L/P Bruto]]-base[[#This Row],[L/P Líquido]]</f>
        <v>0.26481675392670212</v>
      </c>
      <c r="N299" s="126">
        <f>base[[#This Row],[L/P Líquido]]/base[[#This Row],[Stake/Responsabilidade]]</f>
        <v>5.6222488995598244E-2</v>
      </c>
      <c r="O299" s="132">
        <f>IF(base[[#This Row],[L/P Líquido]]&gt;0,1,0)</f>
        <v>1</v>
      </c>
      <c r="P299" s="132"/>
      <c r="Q299" s="132" t="str">
        <f>LEFT(base[[#This Row],[Evento / Mercado]],FIND("vs",base[[#This Row],[Evento / Mercado]])-2)</f>
        <v>Preston North End</v>
      </c>
      <c r="R2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Wednesday</v>
      </c>
      <c r="S299" s="132" t="e">
        <f>LEFT(base[[#This Row],[Evento / Mercado]],FIND("/",base[[#This Row],[Evento / Mercado]])-2)</f>
        <v>#VALUE!</v>
      </c>
    </row>
    <row r="300" spans="2:21" ht="15" customHeight="1">
      <c r="B300" s="128" t="s">
        <v>316</v>
      </c>
      <c r="C300" s="128" t="s">
        <v>2982</v>
      </c>
      <c r="D300" s="129">
        <v>46023.58017361111</v>
      </c>
      <c r="E300" s="130">
        <v>10.61</v>
      </c>
      <c r="F300" s="131">
        <v>4.4999999999999998E-2</v>
      </c>
      <c r="G300" s="126">
        <f t="shared" si="4"/>
        <v>11.109947643979057</v>
      </c>
      <c r="H300" s="126" t="s">
        <v>73</v>
      </c>
      <c r="I300" s="127" t="s">
        <v>16</v>
      </c>
      <c r="J300" s="126">
        <v>10</v>
      </c>
      <c r="K300" s="126">
        <v>99.99</v>
      </c>
      <c r="L300" s="129">
        <f>INT(base[[#This Row],[Data de liquidação]])</f>
        <v>46023</v>
      </c>
      <c r="M300" s="126">
        <f>base[[#This Row],[L/P Bruto]]-base[[#This Row],[L/P Líquido]]</f>
        <v>0.49994764397905733</v>
      </c>
      <c r="N300" s="126">
        <f>base[[#This Row],[L/P Líquido]]/base[[#This Row],[Stake/Responsabilidade]]</f>
        <v>0.10611061106110611</v>
      </c>
      <c r="O300" s="132">
        <f>IF(base[[#This Row],[L/P Líquido]]&gt;0,1,0)</f>
        <v>1</v>
      </c>
      <c r="P300" s="132"/>
      <c r="Q300" s="132" t="str">
        <f>LEFT(base[[#This Row],[Evento / Mercado]],FIND("vs",base[[#This Row],[Evento / Mercado]])-2)</f>
        <v>Southampton</v>
      </c>
      <c r="R3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Millwall</v>
      </c>
      <c r="S300" s="132" t="e">
        <f>LEFT(base[[#This Row],[Evento / Mercado]],FIND("/",base[[#This Row],[Evento / Mercado]])-2)</f>
        <v>#VALUE!</v>
      </c>
    </row>
    <row r="301" spans="2:21" ht="15" customHeight="1">
      <c r="B301" s="128" t="s">
        <v>315</v>
      </c>
      <c r="C301" s="128" t="s">
        <v>2982</v>
      </c>
      <c r="D301" s="129">
        <v>46023.580358796295</v>
      </c>
      <c r="E301" s="130">
        <v>10.06</v>
      </c>
      <c r="F301" s="131">
        <v>4.4999999999999998E-2</v>
      </c>
      <c r="G301" s="126">
        <f t="shared" si="4"/>
        <v>10.534031413612567</v>
      </c>
      <c r="H301" s="126" t="s">
        <v>74</v>
      </c>
      <c r="I301" s="127" t="s">
        <v>75</v>
      </c>
      <c r="J301" s="126">
        <v>10.5</v>
      </c>
      <c r="K301" s="126">
        <v>100.04</v>
      </c>
      <c r="L301" s="129">
        <f>INT(base[[#This Row],[Data de liquidação]])</f>
        <v>46023</v>
      </c>
      <c r="M301" s="126">
        <f>base[[#This Row],[L/P Bruto]]-base[[#This Row],[L/P Líquido]]</f>
        <v>0.47403141361256651</v>
      </c>
      <c r="N301" s="139">
        <f>base[[#This Row],[L/P Líquido]]/base[[#This Row],[Stake/Responsabilidade]]</f>
        <v>0.10055977608956418</v>
      </c>
      <c r="O301" s="132">
        <f>IF(base[[#This Row],[L/P Líquido]]&gt;0,1,0)</f>
        <v>1</v>
      </c>
      <c r="P301" s="132" t="s">
        <v>968</v>
      </c>
      <c r="Q301" s="132" t="str">
        <f>LEFT(base[[#This Row],[Evento / Mercado]],FIND("vs",base[[#This Row],[Evento / Mercado]])-2)</f>
        <v>Derby County</v>
      </c>
      <c r="R3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Middlesbrough</v>
      </c>
      <c r="S301" s="132" t="e">
        <f>LEFT(base[[#This Row],[Evento / Mercado]],FIND("/",base[[#This Row],[Evento / Mercado]])-2)</f>
        <v>#VALUE!</v>
      </c>
    </row>
    <row r="302" spans="2:21" ht="15" customHeight="1">
      <c r="B302" s="128" t="s">
        <v>314</v>
      </c>
      <c r="C302" s="128" t="s">
        <v>2982</v>
      </c>
      <c r="D302" s="129">
        <v>46023.684016203704</v>
      </c>
      <c r="E302" s="130">
        <v>5.88</v>
      </c>
      <c r="F302" s="131">
        <v>4.4999999999999998E-2</v>
      </c>
      <c r="G302" s="126">
        <f t="shared" si="4"/>
        <v>6.157068062827225</v>
      </c>
      <c r="H302" s="126" t="s">
        <v>73</v>
      </c>
      <c r="I302" s="127" t="s">
        <v>13</v>
      </c>
      <c r="J302" s="126">
        <v>18</v>
      </c>
      <c r="K302" s="126">
        <v>99.96</v>
      </c>
      <c r="L302" s="129">
        <f>INT(base[[#This Row],[Data de liquidação]])</f>
        <v>46023</v>
      </c>
      <c r="M302" s="126">
        <f>base[[#This Row],[L/P Bruto]]-base[[#This Row],[L/P Líquido]]</f>
        <v>0.27706806282722507</v>
      </c>
      <c r="N302" s="126">
        <f>base[[#This Row],[L/P Líquido]]/base[[#This Row],[Stake/Responsabilidade]]</f>
        <v>5.8823529411764705E-2</v>
      </c>
      <c r="O302" s="132">
        <f>IF(base[[#This Row],[L/P Líquido]]&gt;0,1,0)</f>
        <v>1</v>
      </c>
      <c r="P302" s="132"/>
      <c r="Q302" s="132" t="str">
        <f>LEFT(base[[#This Row],[Evento / Mercado]],FIND("vs",base[[#This Row],[Evento / Mercado]])-2)</f>
        <v>Liverpool</v>
      </c>
      <c r="R3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302" s="132" t="e">
        <f>LEFT(base[[#This Row],[Evento / Mercado]],FIND("/",base[[#This Row],[Evento / Mercado]])-2)</f>
        <v>#VALUE!</v>
      </c>
    </row>
    <row r="303" spans="2:21" ht="15" customHeight="1">
      <c r="B303" s="128" t="s">
        <v>314</v>
      </c>
      <c r="C303" s="128" t="s">
        <v>2982</v>
      </c>
      <c r="D303" s="129">
        <v>46023.684016203704</v>
      </c>
      <c r="E303" s="130">
        <v>-100.08</v>
      </c>
      <c r="F303" s="131">
        <v>4.4999999999999998E-2</v>
      </c>
      <c r="G303" s="126">
        <f t="shared" si="4"/>
        <v>-100.08</v>
      </c>
      <c r="H303" s="126" t="s">
        <v>74</v>
      </c>
      <c r="I303" s="127" t="s">
        <v>75</v>
      </c>
      <c r="J303" s="126">
        <v>19</v>
      </c>
      <c r="K303" s="126">
        <v>100.08</v>
      </c>
      <c r="L303" s="129">
        <f>INT(base[[#This Row],[Data de liquidação]])</f>
        <v>46023</v>
      </c>
      <c r="M303" s="126">
        <f>base[[#This Row],[L/P Bruto]]-base[[#This Row],[L/P Líquido]]</f>
        <v>0</v>
      </c>
      <c r="N303" s="139">
        <f>base[[#This Row],[L/P Líquido]]/base[[#This Row],[Stake/Responsabilidade]]</f>
        <v>-1</v>
      </c>
      <c r="O303" s="132">
        <f>IF(base[[#This Row],[L/P Líquido]]&gt;0,1,0)</f>
        <v>0</v>
      </c>
      <c r="P303" s="132" t="s">
        <v>963</v>
      </c>
      <c r="Q303" s="132" t="str">
        <f>LEFT(base[[#This Row],[Evento / Mercado]],FIND("vs",base[[#This Row],[Evento / Mercado]])-2)</f>
        <v>Liverpool</v>
      </c>
      <c r="R3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303" s="132" t="e">
        <f>LEFT(base[[#This Row],[Evento / Mercado]],FIND("/",base[[#This Row],[Evento / Mercado]])-2)</f>
        <v>#VALUE!</v>
      </c>
    </row>
    <row r="304" spans="2:21" ht="15" customHeight="1">
      <c r="B304" s="128" t="s">
        <v>313</v>
      </c>
      <c r="C304" s="128" t="s">
        <v>2982</v>
      </c>
      <c r="D304" s="129">
        <v>46023.786423611113</v>
      </c>
      <c r="E304" s="130">
        <v>-100</v>
      </c>
      <c r="F304" s="131">
        <v>4.4999999999999998E-2</v>
      </c>
      <c r="G304" s="126">
        <f t="shared" si="4"/>
        <v>-100</v>
      </c>
      <c r="H304" s="126" t="s">
        <v>74</v>
      </c>
      <c r="I304" s="127" t="s">
        <v>75</v>
      </c>
      <c r="J304" s="126">
        <v>13.5</v>
      </c>
      <c r="K304" s="126">
        <v>100</v>
      </c>
      <c r="L304" s="129">
        <f>INT(base[[#This Row],[Data de liquidação]])</f>
        <v>46023</v>
      </c>
      <c r="M304" s="126">
        <f>base[[#This Row],[L/P Bruto]]-base[[#This Row],[L/P Líquido]]</f>
        <v>0</v>
      </c>
      <c r="N304" s="139">
        <f>base[[#This Row],[L/P Líquido]]/base[[#This Row],[Stake/Responsabilidade]]</f>
        <v>-1</v>
      </c>
      <c r="O304" s="132">
        <f>IF(base[[#This Row],[L/P Líquido]]&gt;0,1,0)</f>
        <v>0</v>
      </c>
      <c r="P304" s="132" t="s">
        <v>963</v>
      </c>
      <c r="Q304" s="132" t="str">
        <f>LEFT(base[[#This Row],[Evento / Mercado]],FIND("vs",base[[#This Row],[Evento / Mercado]])-2)</f>
        <v>Brentford</v>
      </c>
      <c r="R3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304" s="132" t="e">
        <f>LEFT(base[[#This Row],[Evento / Mercado]],FIND("/",base[[#This Row],[Evento / Mercado]])-2)</f>
        <v>#VALUE!</v>
      </c>
    </row>
    <row r="305" spans="2:21" ht="15" customHeight="1">
      <c r="B305" s="128" t="s">
        <v>312</v>
      </c>
      <c r="C305" s="128" t="s">
        <v>2982</v>
      </c>
      <c r="D305" s="129">
        <v>46023.788773148146</v>
      </c>
      <c r="E305" s="130">
        <v>12.25</v>
      </c>
      <c r="F305" s="131">
        <v>4.4999999999999998E-2</v>
      </c>
      <c r="G305" s="126">
        <f t="shared" si="4"/>
        <v>12.827225130890053</v>
      </c>
      <c r="H305" s="126" t="s">
        <v>73</v>
      </c>
      <c r="I305" s="127" t="s">
        <v>13</v>
      </c>
      <c r="J305" s="126">
        <v>9</v>
      </c>
      <c r="K305" s="126">
        <v>98</v>
      </c>
      <c r="L305" s="129">
        <f>INT(base[[#This Row],[Data de liquidação]])</f>
        <v>46023</v>
      </c>
      <c r="M305" s="126">
        <f>base[[#This Row],[L/P Bruto]]-base[[#This Row],[L/P Líquido]]</f>
        <v>0.5772251308900529</v>
      </c>
      <c r="N305" s="126">
        <f>base[[#This Row],[L/P Líquido]]/base[[#This Row],[Stake/Responsabilidade]]</f>
        <v>0.125</v>
      </c>
      <c r="O305" s="132">
        <f>IF(base[[#This Row],[L/P Líquido]]&gt;0,1,0)</f>
        <v>1</v>
      </c>
      <c r="P305" s="132"/>
      <c r="Q305" s="132" t="str">
        <f>LEFT(base[[#This Row],[Evento / Mercado]],FIND("vs",base[[#This Row],[Evento / Mercado]])-2)</f>
        <v>Sunderland</v>
      </c>
      <c r="R3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305" s="132" t="e">
        <f>LEFT(base[[#This Row],[Evento / Mercado]],FIND("/",base[[#This Row],[Evento / Mercado]])-2)</f>
        <v>#VALUE!</v>
      </c>
    </row>
    <row r="306" spans="2:21" ht="15" customHeight="1">
      <c r="B306" s="128" t="s">
        <v>312</v>
      </c>
      <c r="C306" s="128" t="s">
        <v>2982</v>
      </c>
      <c r="D306" s="129">
        <v>46023.788773148146</v>
      </c>
      <c r="E306" s="130">
        <v>-96.88</v>
      </c>
      <c r="F306" s="131">
        <v>4.4999999999999998E-2</v>
      </c>
      <c r="G306" s="126">
        <f t="shared" si="4"/>
        <v>-96.88</v>
      </c>
      <c r="H306" s="126" t="s">
        <v>74</v>
      </c>
      <c r="I306" s="127" t="s">
        <v>75</v>
      </c>
      <c r="J306" s="126">
        <v>16.5</v>
      </c>
      <c r="K306" s="126">
        <v>96.88</v>
      </c>
      <c r="L306" s="129">
        <f>INT(base[[#This Row],[Data de liquidação]])</f>
        <v>46023</v>
      </c>
      <c r="M306" s="126">
        <f>base[[#This Row],[L/P Bruto]]-base[[#This Row],[L/P Líquido]]</f>
        <v>0</v>
      </c>
      <c r="N306" s="139">
        <f>base[[#This Row],[L/P Líquido]]/base[[#This Row],[Stake/Responsabilidade]]</f>
        <v>-1</v>
      </c>
      <c r="O306" s="132">
        <f>IF(base[[#This Row],[L/P Líquido]]&gt;0,1,0)</f>
        <v>0</v>
      </c>
      <c r="P306" s="132" t="s">
        <v>963</v>
      </c>
      <c r="Q306" s="132" t="str">
        <f>LEFT(base[[#This Row],[Evento / Mercado]],FIND("vs",base[[#This Row],[Evento / Mercado]])-2)</f>
        <v>Sunderland</v>
      </c>
      <c r="R3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306" s="132" t="e">
        <f>LEFT(base[[#This Row],[Evento / Mercado]],FIND("/",base[[#This Row],[Evento / Mercado]])-2)</f>
        <v>#VALUE!</v>
      </c>
    </row>
    <row r="307" spans="2:21" ht="15" customHeight="1">
      <c r="B307" s="128" t="s">
        <v>311</v>
      </c>
      <c r="C307" s="128" t="s">
        <v>2982</v>
      </c>
      <c r="D307" s="129">
        <v>46024.739131944443</v>
      </c>
      <c r="E307" s="130">
        <v>9.8699999999999992</v>
      </c>
      <c r="F307" s="131">
        <v>4.4999999999999998E-2</v>
      </c>
      <c r="G307" s="126">
        <f t="shared" si="4"/>
        <v>10.335078534031414</v>
      </c>
      <c r="H307" s="126" t="s">
        <v>74</v>
      </c>
      <c r="I307" s="127" t="s">
        <v>75</v>
      </c>
      <c r="J307" s="126">
        <v>15.5</v>
      </c>
      <c r="K307" s="126">
        <v>149.93</v>
      </c>
      <c r="L307" s="129">
        <f>INT(base[[#This Row],[Data de liquidação]])</f>
        <v>46024</v>
      </c>
      <c r="M307" s="126">
        <f>base[[#This Row],[L/P Bruto]]-base[[#This Row],[L/P Líquido]]</f>
        <v>0.46507853403141475</v>
      </c>
      <c r="N307" s="139">
        <f>base[[#This Row],[L/P Líquido]]/base[[#This Row],[Stake/Responsabilidade]]</f>
        <v>6.5830721003134793E-2</v>
      </c>
      <c r="O307" s="132">
        <f>IF(base[[#This Row],[L/P Líquido]]&gt;0,1,0)</f>
        <v>1</v>
      </c>
      <c r="P307" s="132" t="s">
        <v>965</v>
      </c>
      <c r="Q307" s="132" t="str">
        <f>LEFT(base[[#This Row],[Evento / Mercado]],FIND("vs",base[[#This Row],[Evento / Mercado]])-2)</f>
        <v>Gil Vicente</v>
      </c>
      <c r="R3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307" s="132" t="e">
        <f>LEFT(base[[#This Row],[Evento / Mercado]],FIND("/",base[[#This Row],[Evento / Mercado]])-2)</f>
        <v>#VALUE!</v>
      </c>
    </row>
    <row r="308" spans="2:21" ht="15" customHeight="1">
      <c r="B308" s="128" t="s">
        <v>310</v>
      </c>
      <c r="C308" s="128" t="s">
        <v>2982</v>
      </c>
      <c r="D308" s="129">
        <v>46024.777650462966</v>
      </c>
      <c r="E308" s="130">
        <v>13.03</v>
      </c>
      <c r="F308" s="131">
        <v>4.4999999999999998E-2</v>
      </c>
      <c r="G308" s="126">
        <f t="shared" si="4"/>
        <v>13.643979057591624</v>
      </c>
      <c r="H308" s="126" t="s">
        <v>74</v>
      </c>
      <c r="I308" s="127" t="s">
        <v>75</v>
      </c>
      <c r="J308" s="126">
        <v>12</v>
      </c>
      <c r="K308" s="126">
        <v>150.04</v>
      </c>
      <c r="L308" s="129">
        <f>INT(base[[#This Row],[Data de liquidação]])</f>
        <v>46024</v>
      </c>
      <c r="M308" s="126">
        <f>base[[#This Row],[L/P Bruto]]-base[[#This Row],[L/P Líquido]]</f>
        <v>0.61397905759162441</v>
      </c>
      <c r="N308" s="139">
        <f>base[[#This Row],[L/P Líquido]]/base[[#This Row],[Stake/Responsabilidade]]</f>
        <v>8.6843508397760602E-2</v>
      </c>
      <c r="O308" s="132">
        <f>IF(base[[#This Row],[L/P Líquido]]&gt;0,1,0)</f>
        <v>1</v>
      </c>
      <c r="P308" s="132" t="s">
        <v>969</v>
      </c>
      <c r="Q308" s="132" t="str">
        <f>LEFT(base[[#This Row],[Evento / Mercado]],FIND("vs",base[[#This Row],[Evento / Mercado]])-2)</f>
        <v>Cagliari</v>
      </c>
      <c r="R3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Milan</v>
      </c>
      <c r="S308" s="132" t="e">
        <f>LEFT(base[[#This Row],[Evento / Mercado]],FIND("/",base[[#This Row],[Evento / Mercado]])-2)</f>
        <v>#VALUE!</v>
      </c>
    </row>
    <row r="309" spans="2:21" ht="15" customHeight="1">
      <c r="B309" s="128" t="s">
        <v>309</v>
      </c>
      <c r="C309" s="128" t="s">
        <v>2982</v>
      </c>
      <c r="D309" s="129">
        <v>46025.445925925924</v>
      </c>
      <c r="E309" s="130">
        <v>41.52</v>
      </c>
      <c r="F309" s="131">
        <v>4.4999999999999998E-2</v>
      </c>
      <c r="G309" s="126">
        <f t="shared" si="4"/>
        <v>43.476439790575924</v>
      </c>
      <c r="H309" s="126" t="s">
        <v>231</v>
      </c>
      <c r="I309" s="127" t="s">
        <v>266</v>
      </c>
      <c r="J309" s="126">
        <v>1.72</v>
      </c>
      <c r="K309" s="126">
        <v>60</v>
      </c>
      <c r="L309" s="129">
        <f>INT(base[[#This Row],[Data de liquidação]])</f>
        <v>46025</v>
      </c>
      <c r="M309" s="126">
        <f>base[[#This Row],[L/P Bruto]]-base[[#This Row],[L/P Líquido]]</f>
        <v>1.9564397905759208</v>
      </c>
      <c r="N309" s="126">
        <f>base[[#This Row],[L/P Líquido]]/base[[#This Row],[Stake/Responsabilidade]]</f>
        <v>0.69200000000000006</v>
      </c>
      <c r="O309" s="132">
        <f>IF(base[[#This Row],[L/P Líquido]]&gt;0,1,0)</f>
        <v>1</v>
      </c>
      <c r="P309" s="132"/>
      <c r="Q309" s="132" t="str">
        <f>LEFT(base[[#This Row],[Evento / Mercado]],FIND("vs",base[[#This Row],[Evento / Mercado]])-2)</f>
        <v>Celtic</v>
      </c>
      <c r="R3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Rangers</v>
      </c>
      <c r="S309" s="132" t="e">
        <f>LEFT(base[[#This Row],[Evento / Mercado]],FIND("/",base[[#This Row],[Evento / Mercado]])-2)</f>
        <v>#VALUE!</v>
      </c>
    </row>
    <row r="310" spans="2:21" ht="15" customHeight="1">
      <c r="B310" s="128" t="s">
        <v>308</v>
      </c>
      <c r="C310" s="128" t="s">
        <v>2982</v>
      </c>
      <c r="D310" s="129">
        <v>46025.451261574075</v>
      </c>
      <c r="E310" s="130">
        <v>53.86</v>
      </c>
      <c r="F310" s="131">
        <v>4.4999999999999998E-2</v>
      </c>
      <c r="G310" s="126">
        <f t="shared" si="4"/>
        <v>56.397905759162306</v>
      </c>
      <c r="H310" s="126" t="s">
        <v>231</v>
      </c>
      <c r="I310" s="127" t="s">
        <v>232</v>
      </c>
      <c r="J310" s="126">
        <v>1.94</v>
      </c>
      <c r="K310" s="126">
        <v>60</v>
      </c>
      <c r="L310" s="129">
        <f>INT(base[[#This Row],[Data de liquidação]])</f>
        <v>46025</v>
      </c>
      <c r="M310" s="126">
        <f>base[[#This Row],[L/P Bruto]]-base[[#This Row],[L/P Líquido]]</f>
        <v>2.5379057591623067</v>
      </c>
      <c r="N310" s="126">
        <f>base[[#This Row],[L/P Líquido]]/base[[#This Row],[Stake/Responsabilidade]]</f>
        <v>0.89766666666666661</v>
      </c>
      <c r="O310" s="132">
        <f>IF(base[[#This Row],[L/P Líquido]]&gt;0,1,0)</f>
        <v>1</v>
      </c>
      <c r="P310" s="132"/>
      <c r="Q310" s="132" t="str">
        <f>LEFT(base[[#This Row],[Evento / Mercado]],FIND("vs",base[[#This Row],[Evento / Mercado]])-2)</f>
        <v>Aston Villa</v>
      </c>
      <c r="R3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Nottingham Forest</v>
      </c>
      <c r="S310" s="132" t="e">
        <f>LEFT(base[[#This Row],[Evento / Mercado]],FIND("/",base[[#This Row],[Evento / Mercado]])-2)</f>
        <v>#VALUE!</v>
      </c>
    </row>
    <row r="311" spans="2:21" ht="15" customHeight="1">
      <c r="B311" s="128" t="s">
        <v>308</v>
      </c>
      <c r="C311" s="128" t="s">
        <v>2982</v>
      </c>
      <c r="D311" s="129">
        <v>46025.475960648146</v>
      </c>
      <c r="E311" s="130">
        <v>13.646949999999999</v>
      </c>
      <c r="F311" s="131">
        <v>4.4999999999999998E-2</v>
      </c>
      <c r="G311" s="126">
        <f t="shared" si="4"/>
        <v>14.29</v>
      </c>
      <c r="H311" s="126" t="s">
        <v>74</v>
      </c>
      <c r="I311" s="127" t="s">
        <v>75</v>
      </c>
      <c r="J311" s="126">
        <v>11.5</v>
      </c>
      <c r="K311" s="126">
        <v>150.05000000000001</v>
      </c>
      <c r="L311" s="129">
        <f>INT(base[[#This Row],[Data de liquidação]])</f>
        <v>46025</v>
      </c>
      <c r="M311" s="126">
        <f>base[[#This Row],[L/P Bruto]]-base[[#This Row],[L/P Líquido]]</f>
        <v>0.64305000000000057</v>
      </c>
      <c r="N311" s="139">
        <f>base[[#This Row],[L/P Líquido]]/base[[#This Row],[Stake/Responsabilidade]]</f>
        <v>9.0949350216594449E-2</v>
      </c>
      <c r="O311" s="132">
        <f>IF(base[[#This Row],[L/P Líquido]]&gt;0,1,0)</f>
        <v>1</v>
      </c>
      <c r="P311" s="132" t="s">
        <v>963</v>
      </c>
      <c r="Q311" s="132" t="str">
        <f>LEFT(base[[#This Row],[Evento / Mercado]],FIND("vs",base[[#This Row],[Evento / Mercado]])-2)</f>
        <v>Aston Villa</v>
      </c>
      <c r="R3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Nottingham Forest</v>
      </c>
      <c r="S311" s="132" t="e">
        <f>LEFT(base[[#This Row],[Evento / Mercado]],FIND("/",base[[#This Row],[Evento / Mercado]])-2)</f>
        <v>#VALUE!</v>
      </c>
      <c r="T311" s="8">
        <v>14.29</v>
      </c>
      <c r="U311" s="9">
        <f>T311*0.955</f>
        <v>13.646949999999999</v>
      </c>
    </row>
    <row r="312" spans="2:21" ht="15" customHeight="1">
      <c r="B312" s="128" t="s">
        <v>308</v>
      </c>
      <c r="C312" s="128" t="s">
        <v>2982</v>
      </c>
      <c r="D312" s="129">
        <v>46025.475960648146</v>
      </c>
      <c r="E312" s="130">
        <v>8.9579000000000004</v>
      </c>
      <c r="F312" s="131">
        <v>4.4999999999999998E-2</v>
      </c>
      <c r="G312" s="126">
        <f t="shared" si="4"/>
        <v>9.3800000000000008</v>
      </c>
      <c r="H312" s="126" t="s">
        <v>74</v>
      </c>
      <c r="I312" s="127" t="s">
        <v>476</v>
      </c>
      <c r="J312" s="126">
        <v>17</v>
      </c>
      <c r="K312" s="126">
        <v>150.08000000000001</v>
      </c>
      <c r="L312" s="129">
        <f>INT(base[[#This Row],[Data de liquidação]])</f>
        <v>46025</v>
      </c>
      <c r="M312" s="126">
        <f>base[[#This Row],[L/P Bruto]]-base[[#This Row],[L/P Líquido]]</f>
        <v>0.42210000000000036</v>
      </c>
      <c r="N312" s="139">
        <f>base[[#This Row],[L/P Líquido]]/base[[#This Row],[Stake/Responsabilidade]]</f>
        <v>5.9687499999999998E-2</v>
      </c>
      <c r="O312" s="132">
        <f>IF(base[[#This Row],[L/P Líquido]]&gt;0,1,0)</f>
        <v>1</v>
      </c>
      <c r="P312" s="132" t="s">
        <v>963</v>
      </c>
      <c r="Q312" s="132" t="str">
        <f>LEFT(base[[#This Row],[Evento / Mercado]],FIND("vs",base[[#This Row],[Evento / Mercado]])-2)</f>
        <v>Aston Villa</v>
      </c>
      <c r="R3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Nottingham Forest</v>
      </c>
      <c r="S312" s="132" t="e">
        <f>LEFT(base[[#This Row],[Evento / Mercado]],FIND("/",base[[#This Row],[Evento / Mercado]])-2)</f>
        <v>#VALUE!</v>
      </c>
      <c r="T312" s="8">
        <v>9.3800000000000008</v>
      </c>
      <c r="U312" s="9">
        <f>T312*0.955</f>
        <v>8.9579000000000004</v>
      </c>
    </row>
    <row r="313" spans="2:21" ht="15" customHeight="1">
      <c r="B313" s="128" t="s">
        <v>307</v>
      </c>
      <c r="C313" s="128" t="s">
        <v>2982</v>
      </c>
      <c r="D313" s="129">
        <v>46025.663912037038</v>
      </c>
      <c r="E313" s="130">
        <v>13.65</v>
      </c>
      <c r="F313" s="131">
        <v>4.4999999999999998E-2</v>
      </c>
      <c r="G313" s="126">
        <f t="shared" si="4"/>
        <v>14.293193717277488</v>
      </c>
      <c r="H313" s="126" t="s">
        <v>73</v>
      </c>
      <c r="I313" s="127" t="s">
        <v>13</v>
      </c>
      <c r="J313" s="126">
        <v>8</v>
      </c>
      <c r="K313" s="126">
        <v>100.03</v>
      </c>
      <c r="L313" s="129">
        <f>INT(base[[#This Row],[Data de liquidação]])</f>
        <v>46025</v>
      </c>
      <c r="M313" s="126">
        <f>base[[#This Row],[L/P Bruto]]-base[[#This Row],[L/P Líquido]]</f>
        <v>0.64319371727748731</v>
      </c>
      <c r="N313" s="126">
        <f>base[[#This Row],[L/P Líquido]]/base[[#This Row],[Stake/Responsabilidade]]</f>
        <v>0.1364590622813156</v>
      </c>
      <c r="O313" s="132">
        <f>IF(base[[#This Row],[L/P Líquido]]&gt;0,1,0)</f>
        <v>1</v>
      </c>
      <c r="P313" s="132"/>
      <c r="Q313" s="132" t="str">
        <f>LEFT(base[[#This Row],[Evento / Mercado]],FIND("vs",base[[#This Row],[Evento / Mercado]])-2)</f>
        <v>Juventus</v>
      </c>
      <c r="R3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Lecce</v>
      </c>
      <c r="S313" s="132" t="e">
        <f>LEFT(base[[#This Row],[Evento / Mercado]],FIND("/",base[[#This Row],[Evento / Mercado]])-2)</f>
        <v>#VALUE!</v>
      </c>
    </row>
    <row r="314" spans="2:21" ht="15" customHeight="1">
      <c r="B314" s="128" t="s">
        <v>306</v>
      </c>
      <c r="C314" s="128" t="s">
        <v>2982</v>
      </c>
      <c r="D314" s="129">
        <v>46025.676030092596</v>
      </c>
      <c r="E314" s="130">
        <v>55.1</v>
      </c>
      <c r="F314" s="131">
        <v>4.4999999999999998E-2</v>
      </c>
      <c r="G314" s="126">
        <f t="shared" si="4"/>
        <v>57.696335078534034</v>
      </c>
      <c r="H314" s="126" t="s">
        <v>231</v>
      </c>
      <c r="I314" s="127" t="s">
        <v>232</v>
      </c>
      <c r="J314" s="126">
        <v>1.96</v>
      </c>
      <c r="K314" s="126">
        <v>60</v>
      </c>
      <c r="L314" s="129">
        <f>INT(base[[#This Row],[Data de liquidação]])</f>
        <v>46025</v>
      </c>
      <c r="M314" s="126">
        <f>base[[#This Row],[L/P Bruto]]-base[[#This Row],[L/P Líquido]]</f>
        <v>2.5963350785340324</v>
      </c>
      <c r="N314" s="126">
        <f>base[[#This Row],[L/P Líquido]]/base[[#This Row],[Stake/Responsabilidade]]</f>
        <v>0.91833333333333333</v>
      </c>
      <c r="O314" s="132">
        <f>IF(base[[#This Row],[L/P Líquido]]&gt;0,1,0)</f>
        <v>1</v>
      </c>
      <c r="P314" s="132"/>
      <c r="Q314" s="132" t="str">
        <f>LEFT(base[[#This Row],[Evento / Mercado]],FIND("vs",base[[#This Row],[Evento / Mercado]])-2)</f>
        <v>Club Football Estrela</v>
      </c>
      <c r="R3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Braga</v>
      </c>
      <c r="S314" s="132" t="e">
        <f>LEFT(base[[#This Row],[Evento / Mercado]],FIND("/",base[[#This Row],[Evento / Mercado]])-2)</f>
        <v>#VALUE!</v>
      </c>
    </row>
    <row r="315" spans="2:21" ht="15" customHeight="1">
      <c r="B315" s="128" t="s">
        <v>305</v>
      </c>
      <c r="C315" s="128" t="s">
        <v>2982</v>
      </c>
      <c r="D315" s="129">
        <v>46025.677743055552</v>
      </c>
      <c r="E315" s="130">
        <v>37.82</v>
      </c>
      <c r="F315" s="131">
        <v>4.4999999999999998E-2</v>
      </c>
      <c r="G315" s="126">
        <f t="shared" si="4"/>
        <v>39.602094240837701</v>
      </c>
      <c r="H315" s="126" t="s">
        <v>231</v>
      </c>
      <c r="I315" s="127" t="s">
        <v>266</v>
      </c>
      <c r="J315" s="126">
        <v>1.66</v>
      </c>
      <c r="K315" s="126">
        <v>60</v>
      </c>
      <c r="L315" s="129">
        <f>INT(base[[#This Row],[Data de liquidação]])</f>
        <v>46025</v>
      </c>
      <c r="M315" s="126">
        <f>base[[#This Row],[L/P Bruto]]-base[[#This Row],[L/P Líquido]]</f>
        <v>1.7820942408377007</v>
      </c>
      <c r="N315" s="126">
        <f>base[[#This Row],[L/P Líquido]]/base[[#This Row],[Stake/Responsabilidade]]</f>
        <v>0.6303333333333333</v>
      </c>
      <c r="O315" s="132">
        <f>IF(base[[#This Row],[L/P Líquido]]&gt;0,1,0)</f>
        <v>1</v>
      </c>
      <c r="P315" s="132"/>
      <c r="Q315" s="132" t="str">
        <f>LEFT(base[[#This Row],[Evento / Mercado]],FIND("vs",base[[#This Row],[Evento / Mercado]])-2)</f>
        <v>Real Valladolid</v>
      </c>
      <c r="R3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315" s="132" t="e">
        <f>LEFT(base[[#This Row],[Evento / Mercado]],FIND("/",base[[#This Row],[Evento / Mercado]])-2)</f>
        <v>#VALUE!</v>
      </c>
    </row>
    <row r="316" spans="2:21" ht="15" customHeight="1">
      <c r="B316" s="128" t="s">
        <v>304</v>
      </c>
      <c r="C316" s="128" t="s">
        <v>2982</v>
      </c>
      <c r="D316" s="129">
        <v>46025.789305555554</v>
      </c>
      <c r="E316" s="130">
        <v>8.31</v>
      </c>
      <c r="F316" s="131">
        <v>4.4999999999999998E-2</v>
      </c>
      <c r="G316" s="126">
        <f t="shared" si="4"/>
        <v>8.701570680628274</v>
      </c>
      <c r="H316" s="126" t="s">
        <v>73</v>
      </c>
      <c r="I316" s="127" t="s">
        <v>13</v>
      </c>
      <c r="J316" s="126">
        <v>12.5</v>
      </c>
      <c r="K316" s="126">
        <v>100.05</v>
      </c>
      <c r="L316" s="129">
        <f>INT(base[[#This Row],[Data de liquidação]])</f>
        <v>46025</v>
      </c>
      <c r="M316" s="126">
        <f>base[[#This Row],[L/P Bruto]]-base[[#This Row],[L/P Líquido]]</f>
        <v>0.39157068062827349</v>
      </c>
      <c r="N316" s="126">
        <f>base[[#This Row],[L/P Líquido]]/base[[#This Row],[Stake/Responsabilidade]]</f>
        <v>8.3058470764617698E-2</v>
      </c>
      <c r="O316" s="132">
        <f>IF(base[[#This Row],[L/P Líquido]]&gt;0,1,0)</f>
        <v>1</v>
      </c>
      <c r="P316" s="132"/>
      <c r="Q316" s="132" t="str">
        <f>LEFT(base[[#This Row],[Evento / Mercado]],FIND("vs",base[[#This Row],[Evento / Mercado]])-2)</f>
        <v>Espanyol</v>
      </c>
      <c r="R3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316" s="132" t="e">
        <f>LEFT(base[[#This Row],[Evento / Mercado]],FIND("/",base[[#This Row],[Evento / Mercado]])-2)</f>
        <v>#VALUE!</v>
      </c>
    </row>
    <row r="317" spans="2:21" ht="15" customHeight="1">
      <c r="B317" s="128" t="s">
        <v>303</v>
      </c>
      <c r="C317" s="128" t="s">
        <v>2982</v>
      </c>
      <c r="D317" s="129">
        <v>46025.792094907411</v>
      </c>
      <c r="E317" s="130">
        <v>15.079449999999998</v>
      </c>
      <c r="F317" s="131">
        <v>4.4999999999999998E-2</v>
      </c>
      <c r="G317" s="126">
        <f t="shared" si="4"/>
        <v>15.79</v>
      </c>
      <c r="H317" s="126" t="s">
        <v>74</v>
      </c>
      <c r="I317" s="127" t="s">
        <v>477</v>
      </c>
      <c r="J317" s="126">
        <v>10.5</v>
      </c>
      <c r="K317" s="126">
        <v>150.01</v>
      </c>
      <c r="L317" s="129">
        <f>INT(base[[#This Row],[Data de liquidação]])</f>
        <v>46025</v>
      </c>
      <c r="M317" s="126">
        <f>base[[#This Row],[L/P Bruto]]-base[[#This Row],[L/P Líquido]]</f>
        <v>0.71055000000000135</v>
      </c>
      <c r="N317" s="139">
        <f>base[[#This Row],[L/P Líquido]]/base[[#This Row],[Stake/Responsabilidade]]</f>
        <v>0.10052296513565762</v>
      </c>
      <c r="O317" s="132">
        <f>IF(base[[#This Row],[L/P Líquido]]&gt;0,1,0)</f>
        <v>1</v>
      </c>
      <c r="P317" s="132" t="s">
        <v>970</v>
      </c>
      <c r="Q317" s="132" t="str">
        <f>LEFT(base[[#This Row],[Evento / Mercado]],FIND("vs",base[[#This Row],[Evento / Mercado]])-2)</f>
        <v>Lille OSC</v>
      </c>
      <c r="R3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317" s="132" t="e">
        <f>LEFT(base[[#This Row],[Evento / Mercado]],FIND("/",base[[#This Row],[Evento / Mercado]])-2)</f>
        <v>#VALUE!</v>
      </c>
      <c r="T317" s="8">
        <v>15.79</v>
      </c>
      <c r="U317" s="9">
        <f>T317*0.955</f>
        <v>15.079449999999998</v>
      </c>
    </row>
    <row r="318" spans="2:21" ht="15" customHeight="1">
      <c r="B318" s="128" t="s">
        <v>303</v>
      </c>
      <c r="C318" s="128" t="s">
        <v>2982</v>
      </c>
      <c r="D318" s="129">
        <v>46025.792094907411</v>
      </c>
      <c r="E318" s="130">
        <v>10.056149999999999</v>
      </c>
      <c r="F318" s="131">
        <v>4.4999999999999998E-2</v>
      </c>
      <c r="G318" s="126">
        <f t="shared" si="4"/>
        <v>10.53</v>
      </c>
      <c r="H318" s="126" t="s">
        <v>73</v>
      </c>
      <c r="I318" s="127" t="s">
        <v>16</v>
      </c>
      <c r="J318" s="126">
        <v>10.5</v>
      </c>
      <c r="K318" s="126">
        <v>100.04</v>
      </c>
      <c r="L318" s="129">
        <f>INT(base[[#This Row],[Data de liquidação]])</f>
        <v>46025</v>
      </c>
      <c r="M318" s="126">
        <f>base[[#This Row],[L/P Bruto]]-base[[#This Row],[L/P Líquido]]</f>
        <v>0.47385000000000055</v>
      </c>
      <c r="N318" s="126">
        <f>base[[#This Row],[L/P Líquido]]/base[[#This Row],[Stake/Responsabilidade]]</f>
        <v>0.10052129148340662</v>
      </c>
      <c r="O318" s="132">
        <f>IF(base[[#This Row],[L/P Líquido]]&gt;0,1,0)</f>
        <v>1</v>
      </c>
      <c r="P318" s="132"/>
      <c r="Q318" s="132" t="str">
        <f>LEFT(base[[#This Row],[Evento / Mercado]],FIND("vs",base[[#This Row],[Evento / Mercado]])-2)</f>
        <v>Lille OSC</v>
      </c>
      <c r="R3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318" s="132" t="e">
        <f>LEFT(base[[#This Row],[Evento / Mercado]],FIND("/",base[[#This Row],[Evento / Mercado]])-2)</f>
        <v>#VALUE!</v>
      </c>
      <c r="T318" s="8">
        <v>10.53</v>
      </c>
      <c r="U318" s="9">
        <f>T318*0.955</f>
        <v>10.056149999999999</v>
      </c>
    </row>
    <row r="319" spans="2:21" ht="15" customHeight="1">
      <c r="B319" s="128" t="s">
        <v>303</v>
      </c>
      <c r="C319" s="128" t="s">
        <v>2982</v>
      </c>
      <c r="D319" s="129">
        <v>46025.792094907411</v>
      </c>
      <c r="E319" s="130">
        <v>7.5349499999999994</v>
      </c>
      <c r="F319" s="131">
        <v>4.4999999999999998E-2</v>
      </c>
      <c r="G319" s="126">
        <f t="shared" si="4"/>
        <v>7.89</v>
      </c>
      <c r="H319" s="126" t="s">
        <v>74</v>
      </c>
      <c r="I319" s="127" t="s">
        <v>476</v>
      </c>
      <c r="J319" s="126">
        <v>20</v>
      </c>
      <c r="K319" s="126">
        <v>149.91</v>
      </c>
      <c r="L319" s="129">
        <f>INT(base[[#This Row],[Data de liquidação]])</f>
        <v>46025</v>
      </c>
      <c r="M319" s="126">
        <f>base[[#This Row],[L/P Bruto]]-base[[#This Row],[L/P Líquido]]</f>
        <v>0.35505000000000031</v>
      </c>
      <c r="N319" s="139">
        <f>base[[#This Row],[L/P Líquido]]/base[[#This Row],[Stake/Responsabilidade]]</f>
        <v>5.0263157894736836E-2</v>
      </c>
      <c r="O319" s="132">
        <f>IF(base[[#This Row],[L/P Líquido]]&gt;0,1,0)</f>
        <v>1</v>
      </c>
      <c r="P319" s="132" t="s">
        <v>970</v>
      </c>
      <c r="Q319" s="132" t="str">
        <f>LEFT(base[[#This Row],[Evento / Mercado]],FIND("vs",base[[#This Row],[Evento / Mercado]])-2)</f>
        <v>Lille OSC</v>
      </c>
      <c r="R3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319" s="132" t="e">
        <f>LEFT(base[[#This Row],[Evento / Mercado]],FIND("/",base[[#This Row],[Evento / Mercado]])-2)</f>
        <v>#VALUE!</v>
      </c>
      <c r="T319" s="8">
        <v>7.89</v>
      </c>
      <c r="U319" s="9">
        <f>T319*0.955</f>
        <v>7.5349499999999994</v>
      </c>
    </row>
    <row r="320" spans="2:21" ht="15" customHeight="1">
      <c r="B320" s="128" t="s">
        <v>303</v>
      </c>
      <c r="C320" s="128" t="s">
        <v>2982</v>
      </c>
      <c r="D320" s="129">
        <v>46025.792199074072</v>
      </c>
      <c r="E320" s="130">
        <v>-60</v>
      </c>
      <c r="F320" s="131">
        <v>4.4999999999999998E-2</v>
      </c>
      <c r="G320" s="126">
        <f t="shared" si="4"/>
        <v>-60</v>
      </c>
      <c r="H320" s="126" t="s">
        <v>231</v>
      </c>
      <c r="I320" s="127" t="s">
        <v>266</v>
      </c>
      <c r="J320" s="126">
        <v>1.72</v>
      </c>
      <c r="K320" s="126">
        <v>60</v>
      </c>
      <c r="L320" s="129">
        <f>INT(base[[#This Row],[Data de liquidação]])</f>
        <v>46025</v>
      </c>
      <c r="M320" s="126">
        <f>base[[#This Row],[L/P Bruto]]-base[[#This Row],[L/P Líquido]]</f>
        <v>0</v>
      </c>
      <c r="N320" s="126">
        <f>base[[#This Row],[L/P Líquido]]/base[[#This Row],[Stake/Responsabilidade]]</f>
        <v>-1</v>
      </c>
      <c r="O320" s="132">
        <f>IF(base[[#This Row],[L/P Líquido]]&gt;0,1,0)</f>
        <v>0</v>
      </c>
      <c r="P320" s="132"/>
      <c r="Q320" s="132" t="str">
        <f>LEFT(base[[#This Row],[Evento / Mercado]],FIND("vs",base[[#This Row],[Evento / Mercado]])-2)</f>
        <v>Lille OSC</v>
      </c>
      <c r="R3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320" s="132" t="e">
        <f>LEFT(base[[#This Row],[Evento / Mercado]],FIND("/",base[[#This Row],[Evento / Mercado]])-2)</f>
        <v>#VALUE!</v>
      </c>
    </row>
    <row r="321" spans="2:21" ht="15" customHeight="1">
      <c r="B321" s="128" t="s">
        <v>332</v>
      </c>
      <c r="C321" s="128" t="s">
        <v>2982</v>
      </c>
      <c r="D321" s="129">
        <v>46026.473611111112</v>
      </c>
      <c r="E321" s="130">
        <v>-0.5</v>
      </c>
      <c r="F321" s="131">
        <v>4.4999999999999998E-2</v>
      </c>
      <c r="G321" s="126">
        <f t="shared" si="4"/>
        <v>-0.5</v>
      </c>
      <c r="H321" s="126" t="s">
        <v>231</v>
      </c>
      <c r="I321" s="127" t="s">
        <v>232</v>
      </c>
      <c r="J321" s="126">
        <v>1.92</v>
      </c>
      <c r="K321" s="126">
        <v>60</v>
      </c>
      <c r="L321" s="129">
        <f>INT(base[[#This Row],[Data de liquidação]])</f>
        <v>46026</v>
      </c>
      <c r="M321" s="126">
        <f>base[[#This Row],[L/P Bruto]]-base[[#This Row],[L/P Líquido]]</f>
        <v>0</v>
      </c>
      <c r="N321" s="126">
        <f>base[[#This Row],[L/P Líquido]]/base[[#This Row],[Stake/Responsabilidade]]</f>
        <v>-8.3333333333333332E-3</v>
      </c>
      <c r="O321" s="132">
        <f>IF(base[[#This Row],[L/P Líquido]]&gt;0,1,0)</f>
        <v>0</v>
      </c>
      <c r="P321" s="132"/>
      <c r="Q321" s="132" t="str">
        <f>LEFT(base[[#This Row],[Evento / Mercado]],FIND("vs",base[[#This Row],[Evento / Mercado]])-2)</f>
        <v>Leeds United</v>
      </c>
      <c r="R3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321" s="132" t="e">
        <f>LEFT(base[[#This Row],[Evento / Mercado]],FIND("/",base[[#This Row],[Evento / Mercado]])-2)</f>
        <v>#VALUE!</v>
      </c>
    </row>
    <row r="322" spans="2:21" ht="15" customHeight="1">
      <c r="B322" s="128" t="s">
        <v>331</v>
      </c>
      <c r="C322" s="128" t="s">
        <v>2982</v>
      </c>
      <c r="D322" s="129">
        <v>46026.541759259257</v>
      </c>
      <c r="E322" s="130">
        <v>13.65</v>
      </c>
      <c r="F322" s="131">
        <v>4.4999999999999998E-2</v>
      </c>
      <c r="G322" s="126">
        <f t="shared" si="4"/>
        <v>14.293193717277488</v>
      </c>
      <c r="H322" s="126" t="s">
        <v>73</v>
      </c>
      <c r="I322" s="127" t="s">
        <v>13</v>
      </c>
      <c r="J322" s="126">
        <v>8</v>
      </c>
      <c r="K322" s="126">
        <v>100.03</v>
      </c>
      <c r="L322" s="129">
        <f>INT(base[[#This Row],[Data de liquidação]])</f>
        <v>46026</v>
      </c>
      <c r="M322" s="126">
        <f>base[[#This Row],[L/P Bruto]]-base[[#This Row],[L/P Líquido]]</f>
        <v>0.64319371727748731</v>
      </c>
      <c r="N322" s="126">
        <f>base[[#This Row],[L/P Líquido]]/base[[#This Row],[Stake/Responsabilidade]]</f>
        <v>0.1364590622813156</v>
      </c>
      <c r="O322" s="132">
        <f>IF(base[[#This Row],[L/P Líquido]]&gt;0,1,0)</f>
        <v>1</v>
      </c>
      <c r="P322" s="132"/>
      <c r="Q322" s="132" t="str">
        <f>LEFT(base[[#This Row],[Evento / Mercado]],FIND("vs",base[[#This Row],[Evento / Mercado]])-2)</f>
        <v>Olympique Marseille</v>
      </c>
      <c r="R3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322" s="132" t="e">
        <f>LEFT(base[[#This Row],[Evento / Mercado]],FIND("/",base[[#This Row],[Evento / Mercado]])-2)</f>
        <v>#VALUE!</v>
      </c>
    </row>
    <row r="323" spans="2:21" ht="15" customHeight="1">
      <c r="B323" s="128" t="s">
        <v>330</v>
      </c>
      <c r="C323" s="128" t="s">
        <v>2982</v>
      </c>
      <c r="D323" s="129">
        <v>46026.54310185185</v>
      </c>
      <c r="E323" s="130">
        <v>8</v>
      </c>
      <c r="F323" s="131">
        <v>4.4999999999999998E-2</v>
      </c>
      <c r="G323" s="126">
        <f t="shared" ref="G323:G386" si="5">IF(E323&gt;0,E323/(1-F323),E323)</f>
        <v>8.3769633507853403</v>
      </c>
      <c r="H323" s="126" t="s">
        <v>73</v>
      </c>
      <c r="I323" s="127" t="s">
        <v>13</v>
      </c>
      <c r="J323" s="126">
        <v>13</v>
      </c>
      <c r="K323" s="126">
        <v>96</v>
      </c>
      <c r="L323" s="129">
        <f>INT(base[[#This Row],[Data de liquidação]])</f>
        <v>46026</v>
      </c>
      <c r="M323" s="126">
        <f>base[[#This Row],[L/P Bruto]]-base[[#This Row],[L/P Líquido]]</f>
        <v>0.37696335078534027</v>
      </c>
      <c r="N323" s="126">
        <f>base[[#This Row],[L/P Líquido]]/base[[#This Row],[Stake/Responsabilidade]]</f>
        <v>8.3333333333333329E-2</v>
      </c>
      <c r="O323" s="132">
        <f>IF(base[[#This Row],[L/P Líquido]]&gt;0,1,0)</f>
        <v>1</v>
      </c>
      <c r="P323" s="132"/>
      <c r="Q323" s="132" t="str">
        <f>LEFT(base[[#This Row],[Evento / Mercado]],FIND("vs",base[[#This Row],[Evento / Mercado]])-2)</f>
        <v>Fiorentina</v>
      </c>
      <c r="R3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323" s="132" t="e">
        <f>LEFT(base[[#This Row],[Evento / Mercado]],FIND("/",base[[#This Row],[Evento / Mercado]])-2)</f>
        <v>#VALUE!</v>
      </c>
      <c r="T323" s="8">
        <v>8</v>
      </c>
      <c r="U323" s="9">
        <f>T323*0.955</f>
        <v>7.64</v>
      </c>
    </row>
    <row r="324" spans="2:21" ht="15" customHeight="1">
      <c r="B324" s="128" t="s">
        <v>330</v>
      </c>
      <c r="C324" s="128" t="s">
        <v>2982</v>
      </c>
      <c r="D324" s="129">
        <v>46026.54310185185</v>
      </c>
      <c r="E324" s="130">
        <v>-94</v>
      </c>
      <c r="F324" s="131">
        <v>4.4999999999999998E-2</v>
      </c>
      <c r="G324" s="126">
        <f t="shared" si="5"/>
        <v>-94</v>
      </c>
      <c r="H324" s="126" t="s">
        <v>73</v>
      </c>
      <c r="I324" s="127" t="s">
        <v>16</v>
      </c>
      <c r="J324" s="126">
        <v>5.7</v>
      </c>
      <c r="K324" s="126">
        <v>94</v>
      </c>
      <c r="L324" s="129">
        <f>INT(base[[#This Row],[Data de liquidação]])</f>
        <v>46026</v>
      </c>
      <c r="M324" s="126">
        <f>base[[#This Row],[L/P Bruto]]-base[[#This Row],[L/P Líquido]]</f>
        <v>0</v>
      </c>
      <c r="N324" s="126">
        <f>base[[#This Row],[L/P Líquido]]/base[[#This Row],[Stake/Responsabilidade]]</f>
        <v>-1</v>
      </c>
      <c r="O324" s="132">
        <f>IF(base[[#This Row],[L/P Líquido]]&gt;0,1,0)</f>
        <v>0</v>
      </c>
      <c r="P324" s="132"/>
      <c r="Q324" s="132" t="str">
        <f>LEFT(base[[#This Row],[Evento / Mercado]],FIND("vs",base[[#This Row],[Evento / Mercado]])-2)</f>
        <v>Fiorentina</v>
      </c>
      <c r="R3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324" s="132" t="e">
        <f>LEFT(base[[#This Row],[Evento / Mercado]],FIND("/",base[[#This Row],[Evento / Mercado]])-2)</f>
        <v>#VALUE!</v>
      </c>
      <c r="T324" s="8">
        <v>20</v>
      </c>
      <c r="U324" s="9">
        <f>T324*0.955</f>
        <v>19.099999999999998</v>
      </c>
    </row>
    <row r="325" spans="2:21" ht="15" customHeight="1">
      <c r="B325" s="128" t="s">
        <v>329</v>
      </c>
      <c r="C325" s="128" t="s">
        <v>2982</v>
      </c>
      <c r="D325" s="129">
        <v>46026.579351851855</v>
      </c>
      <c r="E325" s="130">
        <v>-60</v>
      </c>
      <c r="F325" s="131">
        <v>4.4999999999999998E-2</v>
      </c>
      <c r="G325" s="126">
        <f t="shared" si="5"/>
        <v>-60</v>
      </c>
      <c r="H325" s="126" t="s">
        <v>231</v>
      </c>
      <c r="I325" s="127" t="s">
        <v>266</v>
      </c>
      <c r="J325" s="126">
        <v>1.69</v>
      </c>
      <c r="K325" s="126">
        <v>60</v>
      </c>
      <c r="L325" s="129">
        <f>INT(base[[#This Row],[Data de liquidação]])</f>
        <v>46026</v>
      </c>
      <c r="M325" s="126">
        <f>base[[#This Row],[L/P Bruto]]-base[[#This Row],[L/P Líquido]]</f>
        <v>0</v>
      </c>
      <c r="N325" s="126">
        <f>base[[#This Row],[L/P Líquido]]/base[[#This Row],[Stake/Responsabilidade]]</f>
        <v>-1</v>
      </c>
      <c r="O325" s="132">
        <f>IF(base[[#This Row],[L/P Líquido]]&gt;0,1,0)</f>
        <v>0</v>
      </c>
      <c r="P325" s="132"/>
      <c r="Q325" s="132" t="str">
        <f>LEFT(base[[#This Row],[Evento / Mercado]],FIND("vs",base[[#This Row],[Evento / Mercado]])-2)</f>
        <v>Middlesbrough</v>
      </c>
      <c r="R3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Southampton</v>
      </c>
      <c r="S325" s="132" t="e">
        <f>LEFT(base[[#This Row],[Evento / Mercado]],FIND("/",base[[#This Row],[Evento / Mercado]])-2)</f>
        <v>#VALUE!</v>
      </c>
    </row>
    <row r="326" spans="2:21" ht="15" customHeight="1">
      <c r="B326" s="128" t="s">
        <v>328</v>
      </c>
      <c r="C326" s="128" t="s">
        <v>2982</v>
      </c>
      <c r="D326" s="129">
        <v>46026.580659722225</v>
      </c>
      <c r="E326" s="130">
        <v>7.96</v>
      </c>
      <c r="F326" s="131">
        <v>4.4999999999999998E-2</v>
      </c>
      <c r="G326" s="126">
        <f t="shared" si="5"/>
        <v>8.335078534031414</v>
      </c>
      <c r="H326" s="126" t="s">
        <v>73</v>
      </c>
      <c r="I326" s="127" t="s">
        <v>13</v>
      </c>
      <c r="J326" s="126">
        <v>13</v>
      </c>
      <c r="K326" s="126">
        <v>99.96</v>
      </c>
      <c r="L326" s="129">
        <f>INT(base[[#This Row],[Data de liquidação]])</f>
        <v>46026</v>
      </c>
      <c r="M326" s="126">
        <f>base[[#This Row],[L/P Bruto]]-base[[#This Row],[L/P Líquido]]</f>
        <v>0.375078534031414</v>
      </c>
      <c r="N326" s="126">
        <f>base[[#This Row],[L/P Líquido]]/base[[#This Row],[Stake/Responsabilidade]]</f>
        <v>7.9631852741096437E-2</v>
      </c>
      <c r="O326" s="132">
        <f>IF(base[[#This Row],[L/P Líquido]]&gt;0,1,0)</f>
        <v>1</v>
      </c>
      <c r="P326" s="132"/>
      <c r="Q326" s="132" t="str">
        <f>LEFT(base[[#This Row],[Evento / Mercado]],FIND("vs",base[[#This Row],[Evento / Mercado]])-2)</f>
        <v>Tottenham Hotspur</v>
      </c>
      <c r="R3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Sunderland</v>
      </c>
      <c r="S326" s="132" t="e">
        <f>LEFT(base[[#This Row],[Evento / Mercado]],FIND("/",base[[#This Row],[Evento / Mercado]])-2)</f>
        <v>#VALUE!</v>
      </c>
    </row>
    <row r="327" spans="2:21" ht="15" customHeight="1">
      <c r="B327" s="128" t="s">
        <v>327</v>
      </c>
      <c r="C327" s="128" t="s">
        <v>2982</v>
      </c>
      <c r="D327" s="129">
        <v>46026.581157407411</v>
      </c>
      <c r="E327" s="130">
        <v>11.650999999999998</v>
      </c>
      <c r="F327" s="131">
        <v>4.4999999999999998E-2</v>
      </c>
      <c r="G327" s="126">
        <f t="shared" si="5"/>
        <v>12.2</v>
      </c>
      <c r="H327" s="126" t="s">
        <v>73</v>
      </c>
      <c r="I327" s="127" t="s">
        <v>16</v>
      </c>
      <c r="J327" s="126">
        <v>9.1999999999999993</v>
      </c>
      <c r="K327" s="126">
        <v>100.04</v>
      </c>
      <c r="L327" s="129">
        <f>INT(base[[#This Row],[Data de liquidação]])</f>
        <v>46026</v>
      </c>
      <c r="M327" s="126">
        <f>base[[#This Row],[L/P Bruto]]-base[[#This Row],[L/P Líquido]]</f>
        <v>0.54900000000000126</v>
      </c>
      <c r="N327" s="126">
        <f>base[[#This Row],[L/P Líquido]]/base[[#This Row],[Stake/Responsabilidade]]</f>
        <v>0.11646341463414632</v>
      </c>
      <c r="O327" s="132">
        <f>IF(base[[#This Row],[L/P Líquido]]&gt;0,1,0)</f>
        <v>1</v>
      </c>
      <c r="P327" s="132"/>
      <c r="Q327" s="132" t="str">
        <f>LEFT(base[[#This Row],[Evento / Mercado]],FIND("vs",base[[#This Row],[Evento / Mercado]])-2)</f>
        <v>Newcastle United</v>
      </c>
      <c r="R3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327" s="132" t="e">
        <f>LEFT(base[[#This Row],[Evento / Mercado]],FIND("/",base[[#This Row],[Evento / Mercado]])-2)</f>
        <v>#VALUE!</v>
      </c>
      <c r="T327" s="8">
        <v>12.2</v>
      </c>
      <c r="U327" s="9">
        <f>T327*0.955</f>
        <v>11.650999999999998</v>
      </c>
    </row>
    <row r="328" spans="2:21" ht="15" customHeight="1">
      <c r="B328" s="128" t="s">
        <v>327</v>
      </c>
      <c r="C328" s="128" t="s">
        <v>2982</v>
      </c>
      <c r="D328" s="129">
        <v>46026.581157407411</v>
      </c>
      <c r="E328" s="130">
        <v>5.6153999999999993</v>
      </c>
      <c r="F328" s="131">
        <v>4.4999999999999998E-2</v>
      </c>
      <c r="G328" s="126">
        <f t="shared" si="5"/>
        <v>5.88</v>
      </c>
      <c r="H328" s="126" t="s">
        <v>73</v>
      </c>
      <c r="I328" s="127" t="s">
        <v>13</v>
      </c>
      <c r="J328" s="126">
        <v>18</v>
      </c>
      <c r="K328" s="126">
        <v>99.96</v>
      </c>
      <c r="L328" s="129">
        <f>INT(base[[#This Row],[Data de liquidação]])</f>
        <v>46026</v>
      </c>
      <c r="M328" s="126">
        <f>base[[#This Row],[L/P Bruto]]-base[[#This Row],[L/P Líquido]]</f>
        <v>0.26460000000000061</v>
      </c>
      <c r="N328" s="126">
        <f>base[[#This Row],[L/P Líquido]]/base[[#This Row],[Stake/Responsabilidade]]</f>
        <v>5.6176470588235293E-2</v>
      </c>
      <c r="O328" s="132">
        <f>IF(base[[#This Row],[L/P Líquido]]&gt;0,1,0)</f>
        <v>1</v>
      </c>
      <c r="P328" s="132"/>
      <c r="Q328" s="132" t="str">
        <f>LEFT(base[[#This Row],[Evento / Mercado]],FIND("vs",base[[#This Row],[Evento / Mercado]])-2)</f>
        <v>Newcastle United</v>
      </c>
      <c r="R3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328" s="132" t="e">
        <f>LEFT(base[[#This Row],[Evento / Mercado]],FIND("/",base[[#This Row],[Evento / Mercado]])-2)</f>
        <v>#VALUE!</v>
      </c>
      <c r="T328" s="8">
        <v>5.88</v>
      </c>
      <c r="U328" s="9">
        <f>T328*0.955</f>
        <v>5.6153999999999993</v>
      </c>
    </row>
    <row r="329" spans="2:21" ht="15" customHeight="1">
      <c r="B329" s="128" t="s">
        <v>327</v>
      </c>
      <c r="C329" s="128" t="s">
        <v>2982</v>
      </c>
      <c r="D329" s="129">
        <v>46026.581319444442</v>
      </c>
      <c r="E329" s="130">
        <v>-60</v>
      </c>
      <c r="F329" s="131">
        <v>4.4999999999999998E-2</v>
      </c>
      <c r="G329" s="126">
        <f t="shared" si="5"/>
        <v>-60</v>
      </c>
      <c r="H329" s="126" t="s">
        <v>231</v>
      </c>
      <c r="I329" s="127" t="s">
        <v>232</v>
      </c>
      <c r="J329" s="126">
        <v>1.85</v>
      </c>
      <c r="K329" s="126">
        <v>60</v>
      </c>
      <c r="L329" s="129">
        <f>INT(base[[#This Row],[Data de liquidação]])</f>
        <v>46026</v>
      </c>
      <c r="M329" s="126">
        <f>base[[#This Row],[L/P Bruto]]-base[[#This Row],[L/P Líquido]]</f>
        <v>0</v>
      </c>
      <c r="N329" s="126">
        <f>base[[#This Row],[L/P Líquido]]/base[[#This Row],[Stake/Responsabilidade]]</f>
        <v>-1</v>
      </c>
      <c r="O329" s="132">
        <f>IF(base[[#This Row],[L/P Líquido]]&gt;0,1,0)</f>
        <v>0</v>
      </c>
      <c r="P329" s="132"/>
      <c r="Q329" s="132" t="str">
        <f>LEFT(base[[#This Row],[Evento / Mercado]],FIND("vs",base[[#This Row],[Evento / Mercado]])-2)</f>
        <v>Newcastle United</v>
      </c>
      <c r="R3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329" s="132" t="e">
        <f>LEFT(base[[#This Row],[Evento / Mercado]],FIND("/",base[[#This Row],[Evento / Mercado]])-2)</f>
        <v>#VALUE!</v>
      </c>
    </row>
    <row r="330" spans="2:21" ht="15" customHeight="1">
      <c r="B330" s="128" t="s">
        <v>326</v>
      </c>
      <c r="C330" s="128" t="s">
        <v>2982</v>
      </c>
      <c r="D330" s="129">
        <v>46026.591053240743</v>
      </c>
      <c r="E330" s="130">
        <v>9.5500000000000007</v>
      </c>
      <c r="F330" s="131">
        <v>4.4999999999999998E-2</v>
      </c>
      <c r="G330" s="126">
        <f t="shared" si="5"/>
        <v>10.000000000000002</v>
      </c>
      <c r="H330" s="126" t="s">
        <v>73</v>
      </c>
      <c r="I330" s="127" t="s">
        <v>16</v>
      </c>
      <c r="J330" s="126">
        <v>11</v>
      </c>
      <c r="K330" s="126">
        <v>100</v>
      </c>
      <c r="L330" s="129">
        <f>INT(base[[#This Row],[Data de liquidação]])</f>
        <v>46026</v>
      </c>
      <c r="M330" s="126">
        <f>base[[#This Row],[L/P Bruto]]-base[[#This Row],[L/P Líquido]]</f>
        <v>0.45000000000000107</v>
      </c>
      <c r="N330" s="126">
        <f>base[[#This Row],[L/P Líquido]]/base[[#This Row],[Stake/Responsabilidade]]</f>
        <v>9.5500000000000002E-2</v>
      </c>
      <c r="O330" s="132">
        <f>IF(base[[#This Row],[L/P Líquido]]&gt;0,1,0)</f>
        <v>1</v>
      </c>
      <c r="P330" s="132"/>
      <c r="Q330" s="132" t="str">
        <f>LEFT(base[[#This Row],[Evento / Mercado]],FIND("vs",base[[#This Row],[Evento / Mercado]])-2)</f>
        <v>Real Madrid</v>
      </c>
      <c r="R3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330" s="132" t="e">
        <f>LEFT(base[[#This Row],[Evento / Mercado]],FIND("/",base[[#This Row],[Evento / Mercado]])-2)</f>
        <v>#VALUE!</v>
      </c>
    </row>
    <row r="331" spans="2:21" ht="15" customHeight="1">
      <c r="B331" s="128" t="s">
        <v>325</v>
      </c>
      <c r="C331" s="128" t="s">
        <v>2982</v>
      </c>
      <c r="D331" s="129">
        <v>46026.592870370368</v>
      </c>
      <c r="E331" s="130">
        <v>10.22805</v>
      </c>
      <c r="F331" s="131">
        <v>4.4999999999999998E-2</v>
      </c>
      <c r="G331" s="126">
        <f t="shared" si="5"/>
        <v>10.71</v>
      </c>
      <c r="H331" s="126" t="s">
        <v>74</v>
      </c>
      <c r="I331" s="127" t="s">
        <v>542</v>
      </c>
      <c r="J331" s="126">
        <v>15</v>
      </c>
      <c r="K331" s="126">
        <v>149.94</v>
      </c>
      <c r="L331" s="129">
        <f>INT(base[[#This Row],[Data de liquidação]])</f>
        <v>46026</v>
      </c>
      <c r="M331" s="126">
        <f>base[[#This Row],[L/P Bruto]]-base[[#This Row],[L/P Líquido]]</f>
        <v>0.48195000000000121</v>
      </c>
      <c r="N331" s="139">
        <f>base[[#This Row],[L/P Líquido]]/base[[#This Row],[Stake/Responsabilidade]]</f>
        <v>6.8214285714285713E-2</v>
      </c>
      <c r="O331" s="132">
        <f>IF(base[[#This Row],[L/P Líquido]]&gt;0,1,0)</f>
        <v>1</v>
      </c>
      <c r="P331" s="132" t="s">
        <v>963</v>
      </c>
      <c r="Q331" s="132" t="str">
        <f>LEFT(base[[#This Row],[Evento / Mercado]],FIND("vs",base[[#This Row],[Evento / Mercado]])-2)</f>
        <v>Fulham</v>
      </c>
      <c r="R3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331" s="132" t="e">
        <f>LEFT(base[[#This Row],[Evento / Mercado]],FIND("/",base[[#This Row],[Evento / Mercado]])-2)</f>
        <v>#VALUE!</v>
      </c>
      <c r="T331" s="8">
        <v>10.71</v>
      </c>
      <c r="U331" s="9">
        <f>T331*0.955</f>
        <v>10.22805</v>
      </c>
    </row>
    <row r="332" spans="2:21" ht="15" customHeight="1">
      <c r="B332" s="128" t="s">
        <v>325</v>
      </c>
      <c r="C332" s="128" t="s">
        <v>2982</v>
      </c>
      <c r="D332" s="129">
        <v>46026.592870370368</v>
      </c>
      <c r="E332" s="130">
        <v>11.020699999999998</v>
      </c>
      <c r="F332" s="131">
        <v>4.4999999999999998E-2</v>
      </c>
      <c r="G332" s="126">
        <f t="shared" si="5"/>
        <v>11.54</v>
      </c>
      <c r="H332" s="126" t="s">
        <v>74</v>
      </c>
      <c r="I332" s="127" t="s">
        <v>75</v>
      </c>
      <c r="J332" s="126">
        <v>14</v>
      </c>
      <c r="K332" s="126">
        <v>150.02000000000001</v>
      </c>
      <c r="L332" s="129">
        <f>INT(base[[#This Row],[Data de liquidação]])</f>
        <v>46026</v>
      </c>
      <c r="M332" s="126">
        <f>base[[#This Row],[L/P Bruto]]-base[[#This Row],[L/P Líquido]]</f>
        <v>0.51930000000000121</v>
      </c>
      <c r="N332" s="139">
        <f>base[[#This Row],[L/P Líquido]]/base[[#This Row],[Stake/Responsabilidade]]</f>
        <v>7.3461538461538439E-2</v>
      </c>
      <c r="O332" s="132">
        <f>IF(base[[#This Row],[L/P Líquido]]&gt;0,1,0)</f>
        <v>1</v>
      </c>
      <c r="P332" s="132" t="s">
        <v>963</v>
      </c>
      <c r="Q332" s="132" t="str">
        <f>LEFT(base[[#This Row],[Evento / Mercado]],FIND("vs",base[[#This Row],[Evento / Mercado]])-2)</f>
        <v>Fulham</v>
      </c>
      <c r="R3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332" s="132" t="e">
        <f>LEFT(base[[#This Row],[Evento / Mercado]],FIND("/",base[[#This Row],[Evento / Mercado]])-2)</f>
        <v>#VALUE!</v>
      </c>
      <c r="T332" s="8">
        <v>11.54</v>
      </c>
      <c r="U332" s="9">
        <f>T332*0.955</f>
        <v>11.020699999999998</v>
      </c>
    </row>
    <row r="333" spans="2:21" ht="15" customHeight="1">
      <c r="B333" s="128" t="s">
        <v>324</v>
      </c>
      <c r="C333" s="128" t="s">
        <v>2982</v>
      </c>
      <c r="D333" s="129">
        <v>46026.631145833337</v>
      </c>
      <c r="E333" s="130">
        <v>7.08</v>
      </c>
      <c r="F333" s="131">
        <v>4.4999999999999998E-2</v>
      </c>
      <c r="G333" s="126">
        <f t="shared" si="5"/>
        <v>7.4136125654450264</v>
      </c>
      <c r="H333" s="126" t="s">
        <v>73</v>
      </c>
      <c r="I333" s="127" t="s">
        <v>13</v>
      </c>
      <c r="J333" s="126">
        <v>14.5</v>
      </c>
      <c r="K333" s="126">
        <v>100.04</v>
      </c>
      <c r="L333" s="129">
        <f>INT(base[[#This Row],[Data de liquidação]])</f>
        <v>46026</v>
      </c>
      <c r="M333" s="126">
        <f>base[[#This Row],[L/P Bruto]]-base[[#This Row],[L/P Líquido]]</f>
        <v>0.33361256544502638</v>
      </c>
      <c r="N333" s="126">
        <f>base[[#This Row],[L/P Líquido]]/base[[#This Row],[Stake/Responsabilidade]]</f>
        <v>7.0771691323470609E-2</v>
      </c>
      <c r="O333" s="132">
        <f>IF(base[[#This Row],[L/P Líquido]]&gt;0,1,0)</f>
        <v>1</v>
      </c>
      <c r="P333" s="132"/>
      <c r="Q333" s="132" t="str">
        <f>LEFT(base[[#This Row],[Evento / Mercado]],FIND("vs",base[[#This Row],[Evento / Mercado]])-2)</f>
        <v>Stade Brestois 29</v>
      </c>
      <c r="R3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333" s="132" t="e">
        <f>LEFT(base[[#This Row],[Evento / Mercado]],FIND("/",base[[#This Row],[Evento / Mercado]])-2)</f>
        <v>#VALUE!</v>
      </c>
    </row>
    <row r="334" spans="2:21" ht="15" customHeight="1">
      <c r="B334" s="128" t="s">
        <v>323</v>
      </c>
      <c r="C334" s="128" t="s">
        <v>2982</v>
      </c>
      <c r="D334" s="129">
        <v>46026.631226851852</v>
      </c>
      <c r="E334" s="130">
        <v>11.94</v>
      </c>
      <c r="F334" s="131">
        <v>4.4999999999999998E-2</v>
      </c>
      <c r="G334" s="126">
        <f t="shared" si="5"/>
        <v>12.502617801047121</v>
      </c>
      <c r="H334" s="126" t="s">
        <v>73</v>
      </c>
      <c r="I334" s="127" t="s">
        <v>16</v>
      </c>
      <c r="J334" s="126">
        <v>9</v>
      </c>
      <c r="K334" s="126">
        <v>100</v>
      </c>
      <c r="L334" s="129">
        <f>INT(base[[#This Row],[Data de liquidação]])</f>
        <v>46026</v>
      </c>
      <c r="M334" s="126">
        <f>base[[#This Row],[L/P Bruto]]-base[[#This Row],[L/P Líquido]]</f>
        <v>0.56261780104712145</v>
      </c>
      <c r="N334" s="126">
        <f>base[[#This Row],[L/P Líquido]]/base[[#This Row],[Stake/Responsabilidade]]</f>
        <v>0.11939999999999999</v>
      </c>
      <c r="O334" s="132">
        <f>IF(base[[#This Row],[L/P Líquido]]&gt;0,1,0)</f>
        <v>1</v>
      </c>
      <c r="P334" s="132"/>
      <c r="Q334" s="132" t="str">
        <f>LEFT(base[[#This Row],[Evento / Mercado]],FIND("vs",base[[#This Row],[Evento / Mercado]])-2)</f>
        <v>FC Lorient</v>
      </c>
      <c r="R3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Metz</v>
      </c>
      <c r="S334" s="132" t="e">
        <f>LEFT(base[[#This Row],[Evento / Mercado]],FIND("/",base[[#This Row],[Evento / Mercado]])-2)</f>
        <v>#VALUE!</v>
      </c>
    </row>
    <row r="335" spans="2:21" ht="15" customHeight="1">
      <c r="B335" s="128" t="s">
        <v>322</v>
      </c>
      <c r="C335" s="128" t="s">
        <v>2982</v>
      </c>
      <c r="D335" s="129">
        <v>46026.687418981484</v>
      </c>
      <c r="E335" s="130">
        <v>10.22805</v>
      </c>
      <c r="F335" s="131">
        <v>4.4999999999999998E-2</v>
      </c>
      <c r="G335" s="126">
        <f t="shared" si="5"/>
        <v>10.71</v>
      </c>
      <c r="H335" s="126" t="s">
        <v>74</v>
      </c>
      <c r="I335" s="127" t="s">
        <v>477</v>
      </c>
      <c r="J335" s="126">
        <v>15</v>
      </c>
      <c r="K335" s="126">
        <v>149.94</v>
      </c>
      <c r="L335" s="129">
        <f>INT(base[[#This Row],[Data de liquidação]])</f>
        <v>46026</v>
      </c>
      <c r="M335" s="126">
        <f>base[[#This Row],[L/P Bruto]]-base[[#This Row],[L/P Líquido]]</f>
        <v>0.48195000000000121</v>
      </c>
      <c r="N335" s="139">
        <f>base[[#This Row],[L/P Líquido]]/base[[#This Row],[Stake/Responsabilidade]]</f>
        <v>6.8214285714285713E-2</v>
      </c>
      <c r="O335" s="132">
        <f>IF(base[[#This Row],[L/P Líquido]]&gt;0,1,0)</f>
        <v>1</v>
      </c>
      <c r="P335" s="132" t="s">
        <v>963</v>
      </c>
      <c r="Q335" s="132" t="str">
        <f>LEFT(base[[#This Row],[Evento / Mercado]],FIND("vs",base[[#This Row],[Evento / Mercado]])-2)</f>
        <v>Manchester City</v>
      </c>
      <c r="R3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335" s="132" t="e">
        <f>LEFT(base[[#This Row],[Evento / Mercado]],FIND("/",base[[#This Row],[Evento / Mercado]])-2)</f>
        <v>#VALUE!</v>
      </c>
      <c r="T335" s="8">
        <v>10.71</v>
      </c>
      <c r="U335" s="9">
        <f>T335*0.955</f>
        <v>10.22805</v>
      </c>
    </row>
    <row r="336" spans="2:21" ht="15" customHeight="1">
      <c r="B336" s="128" t="s">
        <v>322</v>
      </c>
      <c r="C336" s="128" t="s">
        <v>2982</v>
      </c>
      <c r="D336" s="129">
        <v>46026.687418981484</v>
      </c>
      <c r="E336" s="130">
        <v>7.64</v>
      </c>
      <c r="F336" s="131">
        <v>4.4999999999999998E-2</v>
      </c>
      <c r="G336" s="126">
        <f t="shared" si="5"/>
        <v>8</v>
      </c>
      <c r="H336" s="126" t="s">
        <v>73</v>
      </c>
      <c r="I336" s="127" t="s">
        <v>16</v>
      </c>
      <c r="J336" s="126">
        <v>13.5</v>
      </c>
      <c r="K336" s="126">
        <v>100</v>
      </c>
      <c r="L336" s="129">
        <f>INT(base[[#This Row],[Data de liquidação]])</f>
        <v>46026</v>
      </c>
      <c r="M336" s="126">
        <f>base[[#This Row],[L/P Bruto]]-base[[#This Row],[L/P Líquido]]</f>
        <v>0.36000000000000032</v>
      </c>
      <c r="N336" s="126">
        <f>base[[#This Row],[L/P Líquido]]/base[[#This Row],[Stake/Responsabilidade]]</f>
        <v>7.6399999999999996E-2</v>
      </c>
      <c r="O336" s="132">
        <f>IF(base[[#This Row],[L/P Líquido]]&gt;0,1,0)</f>
        <v>1</v>
      </c>
      <c r="P336" s="132"/>
      <c r="Q336" s="132" t="str">
        <f>LEFT(base[[#This Row],[Evento / Mercado]],FIND("vs",base[[#This Row],[Evento / Mercado]])-2)</f>
        <v>Manchester City</v>
      </c>
      <c r="R3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336" s="132" t="e">
        <f>LEFT(base[[#This Row],[Evento / Mercado]],FIND("/",base[[#This Row],[Evento / Mercado]])-2)</f>
        <v>#VALUE!</v>
      </c>
      <c r="T336" s="8">
        <v>8</v>
      </c>
      <c r="U336" s="9">
        <f>T336*0.955</f>
        <v>7.64</v>
      </c>
    </row>
    <row r="337" spans="2:21" ht="15" customHeight="1">
      <c r="B337" s="128" t="s">
        <v>319</v>
      </c>
      <c r="C337" s="128" t="s">
        <v>2982</v>
      </c>
      <c r="D337" s="129">
        <v>46026.762719907405</v>
      </c>
      <c r="E337" s="130">
        <v>43.55</v>
      </c>
      <c r="F337" s="131">
        <v>4.4999999999999998E-2</v>
      </c>
      <c r="G337" s="126">
        <f t="shared" si="5"/>
        <v>45.602094240837694</v>
      </c>
      <c r="H337" s="126" t="s">
        <v>231</v>
      </c>
      <c r="I337" s="127" t="s">
        <v>266</v>
      </c>
      <c r="J337" s="126">
        <v>1.76</v>
      </c>
      <c r="K337" s="126">
        <v>60</v>
      </c>
      <c r="L337" s="129">
        <f>INT(base[[#This Row],[Data de liquidação]])</f>
        <v>46026</v>
      </c>
      <c r="M337" s="126">
        <f>base[[#This Row],[L/P Bruto]]-base[[#This Row],[L/P Líquido]]</f>
        <v>2.0520942408376968</v>
      </c>
      <c r="N337" s="126">
        <f>base[[#This Row],[L/P Líquido]]/base[[#This Row],[Stake/Responsabilidade]]</f>
        <v>0.72583333333333333</v>
      </c>
      <c r="O337" s="132">
        <f>IF(base[[#This Row],[L/P Líquido]]&gt;0,1,0)</f>
        <v>1</v>
      </c>
      <c r="P337" s="132"/>
      <c r="Q337" s="132" t="str">
        <f>LEFT(base[[#This Row],[Evento / Mercado]],FIND("vs",base[[#This Row],[Evento / Mercado]])-2)</f>
        <v>Real Sociedad</v>
      </c>
      <c r="R3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337" s="132" t="e">
        <f>LEFT(base[[#This Row],[Evento / Mercado]],FIND("/",base[[#This Row],[Evento / Mercado]])-2)</f>
        <v>#VALUE!</v>
      </c>
    </row>
    <row r="338" spans="2:21" ht="15" customHeight="1">
      <c r="B338" s="128" t="s">
        <v>321</v>
      </c>
      <c r="C338" s="128" t="s">
        <v>2982</v>
      </c>
      <c r="D338" s="129">
        <v>46026.780011574076</v>
      </c>
      <c r="E338" s="130">
        <v>10.23</v>
      </c>
      <c r="F338" s="131">
        <v>4.4999999999999998E-2</v>
      </c>
      <c r="G338" s="126">
        <f t="shared" si="5"/>
        <v>10.712041884816754</v>
      </c>
      <c r="H338" s="126" t="s">
        <v>74</v>
      </c>
      <c r="I338" s="127" t="s">
        <v>477</v>
      </c>
      <c r="J338" s="126">
        <v>15</v>
      </c>
      <c r="K338" s="126">
        <v>149.94</v>
      </c>
      <c r="L338" s="129">
        <f>INT(base[[#This Row],[Data de liquidação]])</f>
        <v>46026</v>
      </c>
      <c r="M338" s="126">
        <f>base[[#This Row],[L/P Bruto]]-base[[#This Row],[L/P Líquido]]</f>
        <v>0.48204188481675381</v>
      </c>
      <c r="N338" s="139">
        <f>base[[#This Row],[L/P Líquido]]/base[[#This Row],[Stake/Responsabilidade]]</f>
        <v>6.8227290916366548E-2</v>
      </c>
      <c r="O338" s="132">
        <f>IF(base[[#This Row],[L/P Líquido]]&gt;0,1,0)</f>
        <v>1</v>
      </c>
      <c r="P338" s="132" t="s">
        <v>970</v>
      </c>
      <c r="Q338" s="132" t="str">
        <f>LEFT(base[[#This Row],[Evento / Mercado]],FIND("vs",base[[#This Row],[Evento / Mercado]])-2)</f>
        <v>Paris Saint-Germain</v>
      </c>
      <c r="R3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FC</v>
      </c>
      <c r="S338" s="132" t="e">
        <f>LEFT(base[[#This Row],[Evento / Mercado]],FIND("/",base[[#This Row],[Evento / Mercado]])-2)</f>
        <v>#VALUE!</v>
      </c>
    </row>
    <row r="339" spans="2:21" ht="15" customHeight="1">
      <c r="B339" s="128" t="s">
        <v>320</v>
      </c>
      <c r="C339" s="128" t="s">
        <v>2982</v>
      </c>
      <c r="D339" s="129">
        <v>46026.780138888891</v>
      </c>
      <c r="E339" s="130">
        <v>5.12</v>
      </c>
      <c r="F339" s="131">
        <v>4.4999999999999998E-2</v>
      </c>
      <c r="G339" s="126">
        <f t="shared" si="5"/>
        <v>5.3612565445026181</v>
      </c>
      <c r="H339" s="126" t="s">
        <v>122</v>
      </c>
      <c r="I339" s="127" t="s">
        <v>476</v>
      </c>
      <c r="J339" s="126">
        <v>29</v>
      </c>
      <c r="K339" s="126">
        <v>150.08000000000001</v>
      </c>
      <c r="L339" s="129">
        <f>INT(base[[#This Row],[Data de liquidação]])</f>
        <v>46026</v>
      </c>
      <c r="M339" s="126">
        <f>base[[#This Row],[L/P Bruto]]-base[[#This Row],[L/P Líquido]]</f>
        <v>0.24125654450261802</v>
      </c>
      <c r="N339" s="126">
        <f>base[[#This Row],[L/P Líquido]]/base[[#This Row],[Stake/Responsabilidade]]</f>
        <v>3.4115138592750532E-2</v>
      </c>
      <c r="O339" s="132">
        <f>IF(base[[#This Row],[L/P Líquido]]&gt;0,1,0)</f>
        <v>1</v>
      </c>
      <c r="P339" s="132" t="s">
        <v>969</v>
      </c>
      <c r="Q339" s="132" t="str">
        <f>LEFT(base[[#This Row],[Evento / Mercado]],FIND("vs",base[[#This Row],[Evento / Mercado]])-2)</f>
        <v>Internazionale</v>
      </c>
      <c r="R3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Bologna</v>
      </c>
      <c r="S339" s="132" t="e">
        <f>LEFT(base[[#This Row],[Evento / Mercado]],FIND("/",base[[#This Row],[Evento / Mercado]])-2)</f>
        <v>#VALUE!</v>
      </c>
    </row>
    <row r="340" spans="2:21" ht="15" customHeight="1">
      <c r="B340" s="128" t="s">
        <v>319</v>
      </c>
      <c r="C340" s="128" t="s">
        <v>2982</v>
      </c>
      <c r="D340" s="129">
        <v>46026.789004629631</v>
      </c>
      <c r="E340" s="130">
        <v>10.22805</v>
      </c>
      <c r="F340" s="131">
        <v>4.4999999999999998E-2</v>
      </c>
      <c r="G340" s="126">
        <f t="shared" si="5"/>
        <v>10.71</v>
      </c>
      <c r="H340" s="126" t="s">
        <v>74</v>
      </c>
      <c r="I340" s="127" t="s">
        <v>75</v>
      </c>
      <c r="J340" s="126">
        <v>15</v>
      </c>
      <c r="K340" s="126">
        <v>149.94</v>
      </c>
      <c r="L340" s="129">
        <f>INT(base[[#This Row],[Data de liquidação]])</f>
        <v>46026</v>
      </c>
      <c r="M340" s="126">
        <f>base[[#This Row],[L/P Bruto]]-base[[#This Row],[L/P Líquido]]</f>
        <v>0.48195000000000121</v>
      </c>
      <c r="N340" s="139">
        <f>base[[#This Row],[L/P Líquido]]/base[[#This Row],[Stake/Responsabilidade]]</f>
        <v>6.8214285714285713E-2</v>
      </c>
      <c r="O340" s="132">
        <f>IF(base[[#This Row],[L/P Líquido]]&gt;0,1,0)</f>
        <v>1</v>
      </c>
      <c r="P340" s="132" t="s">
        <v>964</v>
      </c>
      <c r="Q340" s="132" t="str">
        <f>LEFT(base[[#This Row],[Evento / Mercado]],FIND("vs",base[[#This Row],[Evento / Mercado]])-2)</f>
        <v>Real Sociedad</v>
      </c>
      <c r="R3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340" s="132" t="e">
        <f>LEFT(base[[#This Row],[Evento / Mercado]],FIND("/",base[[#This Row],[Evento / Mercado]])-2)</f>
        <v>#VALUE!</v>
      </c>
      <c r="T340" s="8">
        <v>10.71</v>
      </c>
      <c r="U340" s="9">
        <f>T340*0.955</f>
        <v>10.22805</v>
      </c>
    </row>
    <row r="341" spans="2:21" ht="15" customHeight="1">
      <c r="B341" s="128" t="s">
        <v>319</v>
      </c>
      <c r="C341" s="128" t="s">
        <v>2982</v>
      </c>
      <c r="D341" s="129">
        <v>46026.789004629631</v>
      </c>
      <c r="E341" s="130">
        <v>9.5499999999999989</v>
      </c>
      <c r="F341" s="131">
        <v>4.4999999999999998E-2</v>
      </c>
      <c r="G341" s="126">
        <f t="shared" si="5"/>
        <v>10</v>
      </c>
      <c r="H341" s="126" t="s">
        <v>74</v>
      </c>
      <c r="I341" s="127" t="s">
        <v>542</v>
      </c>
      <c r="J341" s="126">
        <v>16</v>
      </c>
      <c r="K341" s="126">
        <v>150</v>
      </c>
      <c r="L341" s="129">
        <f>INT(base[[#This Row],[Data de liquidação]])</f>
        <v>46026</v>
      </c>
      <c r="M341" s="126">
        <f>base[[#This Row],[L/P Bruto]]-base[[#This Row],[L/P Líquido]]</f>
        <v>0.45000000000000107</v>
      </c>
      <c r="N341" s="139">
        <f>base[[#This Row],[L/P Líquido]]/base[[#This Row],[Stake/Responsabilidade]]</f>
        <v>6.3666666666666663E-2</v>
      </c>
      <c r="O341" s="132">
        <f>IF(base[[#This Row],[L/P Líquido]]&gt;0,1,0)</f>
        <v>1</v>
      </c>
      <c r="P341" s="132" t="s">
        <v>964</v>
      </c>
      <c r="Q341" s="132" t="str">
        <f>LEFT(base[[#This Row],[Evento / Mercado]],FIND("vs",base[[#This Row],[Evento / Mercado]])-2)</f>
        <v>Real Sociedad</v>
      </c>
      <c r="R3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341" s="132" t="e">
        <f>LEFT(base[[#This Row],[Evento / Mercado]],FIND("/",base[[#This Row],[Evento / Mercado]])-2)</f>
        <v>#VALUE!</v>
      </c>
      <c r="T341" s="8">
        <v>10</v>
      </c>
      <c r="U341" s="9">
        <f>T341*0.955</f>
        <v>9.5499999999999989</v>
      </c>
    </row>
    <row r="342" spans="2:21" ht="15" customHeight="1">
      <c r="B342" s="128" t="s">
        <v>338</v>
      </c>
      <c r="C342" s="128" t="s">
        <v>2982</v>
      </c>
      <c r="D342" s="129">
        <v>46027.623715277776</v>
      </c>
      <c r="E342" s="130">
        <v>5.62</v>
      </c>
      <c r="F342" s="131">
        <v>4.4999999999999998E-2</v>
      </c>
      <c r="G342" s="126">
        <f t="shared" si="5"/>
        <v>5.8848167539267022</v>
      </c>
      <c r="H342" s="126" t="s">
        <v>73</v>
      </c>
      <c r="I342" s="127" t="s">
        <v>13</v>
      </c>
      <c r="J342" s="126">
        <v>18</v>
      </c>
      <c r="K342" s="126">
        <v>99.96</v>
      </c>
      <c r="L342" s="129">
        <f>INT(base[[#This Row],[Data de liquidação]])</f>
        <v>46027</v>
      </c>
      <c r="M342" s="126">
        <f>base[[#This Row],[L/P Bruto]]-base[[#This Row],[L/P Líquido]]</f>
        <v>0.26481675392670212</v>
      </c>
      <c r="N342" s="126">
        <f>base[[#This Row],[L/P Líquido]]/base[[#This Row],[Stake/Responsabilidade]]</f>
        <v>5.6222488995598244E-2</v>
      </c>
      <c r="O342" s="132">
        <f>IF(base[[#This Row],[L/P Líquido]]&gt;0,1,0)</f>
        <v>1</v>
      </c>
      <c r="P342" s="132"/>
      <c r="Q342" s="132" t="str">
        <f>LEFT(base[[#This Row],[Evento / Mercado]],FIND("vs",base[[#This Row],[Evento / Mercado]])-2)</f>
        <v>Egypt</v>
      </c>
      <c r="R3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Benin</v>
      </c>
      <c r="S342" s="132" t="e">
        <f>LEFT(base[[#This Row],[Evento / Mercado]],FIND("/",base[[#This Row],[Evento / Mercado]])-2)</f>
        <v>#VALUE!</v>
      </c>
    </row>
    <row r="343" spans="2:21" ht="15" customHeight="1">
      <c r="B343" s="128" t="s">
        <v>337</v>
      </c>
      <c r="C343" s="128" t="s">
        <v>2982</v>
      </c>
      <c r="D343" s="129">
        <v>46027.661053240743</v>
      </c>
      <c r="E343" s="130">
        <v>5.62</v>
      </c>
      <c r="F343" s="131">
        <v>4.4999999999999998E-2</v>
      </c>
      <c r="G343" s="126">
        <f t="shared" si="5"/>
        <v>5.8848167539267022</v>
      </c>
      <c r="H343" s="126" t="s">
        <v>73</v>
      </c>
      <c r="I343" s="127" t="s">
        <v>13</v>
      </c>
      <c r="J343" s="126">
        <v>18</v>
      </c>
      <c r="K343" s="126">
        <v>99.96</v>
      </c>
      <c r="L343" s="129">
        <f>INT(base[[#This Row],[Data de liquidação]])</f>
        <v>46027</v>
      </c>
      <c r="M343" s="126">
        <f>base[[#This Row],[L/P Bruto]]-base[[#This Row],[L/P Líquido]]</f>
        <v>0.26481675392670212</v>
      </c>
      <c r="N343" s="126">
        <f>base[[#This Row],[L/P Líquido]]/base[[#This Row],[Stake/Responsabilidade]]</f>
        <v>5.6222488995598244E-2</v>
      </c>
      <c r="O343" s="132">
        <f>IF(base[[#This Row],[L/P Líquido]]&gt;0,1,0)</f>
        <v>1</v>
      </c>
      <c r="P343" s="132"/>
      <c r="Q343" s="132" t="str">
        <f>LEFT(base[[#This Row],[Evento / Mercado]],FIND("vs",base[[#This Row],[Evento / Mercado]])-2)</f>
        <v>JS Kabylie</v>
      </c>
      <c r="R3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MB Rouissat</v>
      </c>
      <c r="S343" s="132" t="e">
        <f>LEFT(base[[#This Row],[Evento / Mercado]],FIND("/",base[[#This Row],[Evento / Mercado]])-2)</f>
        <v>#VALUE!</v>
      </c>
    </row>
    <row r="344" spans="2:21" ht="15" customHeight="1">
      <c r="B344" s="128" t="s">
        <v>336</v>
      </c>
      <c r="C344" s="128" t="s">
        <v>2982</v>
      </c>
      <c r="D344" s="129">
        <v>46027.686423611114</v>
      </c>
      <c r="E344" s="130">
        <v>5.62</v>
      </c>
      <c r="F344" s="131">
        <v>4.4999999999999998E-2</v>
      </c>
      <c r="G344" s="126">
        <f t="shared" si="5"/>
        <v>5.8848167539267022</v>
      </c>
      <c r="H344" s="126" t="s">
        <v>73</v>
      </c>
      <c r="I344" s="127" t="s">
        <v>13</v>
      </c>
      <c r="J344" s="126">
        <v>18</v>
      </c>
      <c r="K344" s="126">
        <v>99.96</v>
      </c>
      <c r="L344" s="129">
        <f>INT(base[[#This Row],[Data de liquidação]])</f>
        <v>46027</v>
      </c>
      <c r="M344" s="126">
        <f>base[[#This Row],[L/P Bruto]]-base[[#This Row],[L/P Líquido]]</f>
        <v>0.26481675392670212</v>
      </c>
      <c r="N344" s="126">
        <f>base[[#This Row],[L/P Líquido]]/base[[#This Row],[Stake/Responsabilidade]]</f>
        <v>5.6222488995598244E-2</v>
      </c>
      <c r="O344" s="132">
        <f>IF(base[[#This Row],[L/P Líquido]]&gt;0,1,0)</f>
        <v>1</v>
      </c>
      <c r="P344" s="132"/>
      <c r="Q344" s="132" t="str">
        <f>LEFT(base[[#This Row],[Evento / Mercado]],FIND("vs",base[[#This Row],[Evento / Mercado]])-2)</f>
        <v>Galatasaray SK</v>
      </c>
      <c r="R3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Trabzonspor</v>
      </c>
      <c r="S344" s="132" t="e">
        <f>LEFT(base[[#This Row],[Evento / Mercado]],FIND("/",base[[#This Row],[Evento / Mercado]])-2)</f>
        <v>#VALUE!</v>
      </c>
    </row>
    <row r="345" spans="2:21" ht="15" customHeight="1">
      <c r="B345" s="128" t="s">
        <v>335</v>
      </c>
      <c r="C345" s="128" t="s">
        <v>2982</v>
      </c>
      <c r="D345" s="129">
        <v>46027.748518518521</v>
      </c>
      <c r="E345" s="130">
        <v>14.47</v>
      </c>
      <c r="F345" s="131">
        <v>4.4999999999999998E-2</v>
      </c>
      <c r="G345" s="126">
        <f t="shared" si="5"/>
        <v>15.151832460732985</v>
      </c>
      <c r="H345" s="126" t="s">
        <v>210</v>
      </c>
      <c r="I345" s="127" t="s">
        <v>16</v>
      </c>
      <c r="J345" s="126">
        <v>7.6</v>
      </c>
      <c r="K345" s="126">
        <v>99.99</v>
      </c>
      <c r="L345" s="129">
        <f>INT(base[[#This Row],[Data de liquidação]])</f>
        <v>46027</v>
      </c>
      <c r="M345" s="126">
        <f>base[[#This Row],[L/P Bruto]]-base[[#This Row],[L/P Líquido]]</f>
        <v>0.6818324607329842</v>
      </c>
      <c r="N345" s="126">
        <f>base[[#This Row],[L/P Líquido]]/base[[#This Row],[Stake/Responsabilidade]]</f>
        <v>0.14471447144714472</v>
      </c>
      <c r="O345" s="132">
        <f>IF(base[[#This Row],[L/P Líquido]]&gt;0,1,0)</f>
        <v>1</v>
      </c>
      <c r="P345" s="132"/>
      <c r="Q345" s="132" t="str">
        <f>LEFT(base[[#This Row],[Evento / Mercado]],FIND("vs",base[[#This Row],[Evento / Mercado]])-2)</f>
        <v>Nigeria</v>
      </c>
      <c r="R3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Mozambique</v>
      </c>
      <c r="S345" s="132" t="e">
        <f>LEFT(base[[#This Row],[Evento / Mercado]],FIND("/",base[[#This Row],[Evento / Mercado]])-2)</f>
        <v>#VALUE!</v>
      </c>
    </row>
    <row r="346" spans="2:21" ht="15" customHeight="1">
      <c r="B346" s="128" t="s">
        <v>334</v>
      </c>
      <c r="C346" s="128" t="s">
        <v>2982</v>
      </c>
      <c r="D346" s="129">
        <v>46027.775011574071</v>
      </c>
      <c r="E346" s="130">
        <v>5.47</v>
      </c>
      <c r="F346" s="131">
        <v>4.4999999999999998E-2</v>
      </c>
      <c r="G346" s="126">
        <f t="shared" si="5"/>
        <v>5.7277486910994764</v>
      </c>
      <c r="H346" s="126" t="s">
        <v>73</v>
      </c>
      <c r="I346" s="127" t="s">
        <v>13</v>
      </c>
      <c r="J346" s="126">
        <v>18</v>
      </c>
      <c r="K346" s="126">
        <v>97.38</v>
      </c>
      <c r="L346" s="129">
        <f>INT(base[[#This Row],[Data de liquidação]])</f>
        <v>46027</v>
      </c>
      <c r="M346" s="126">
        <f>base[[#This Row],[L/P Bruto]]-base[[#This Row],[L/P Líquido]]</f>
        <v>0.25774869109947662</v>
      </c>
      <c r="N346" s="126">
        <f>base[[#This Row],[L/P Líquido]]/base[[#This Row],[Stake/Responsabilidade]]</f>
        <v>5.6171698500718834E-2</v>
      </c>
      <c r="O346" s="132">
        <f>IF(base[[#This Row],[L/P Líquido]]&gt;0,1,0)</f>
        <v>1</v>
      </c>
      <c r="P346" s="132"/>
      <c r="Q346" s="132" t="str">
        <f>LEFT(base[[#This Row],[Evento / Mercado]],FIND("vs",base[[#This Row],[Evento / Mercado]])-2)</f>
        <v>Benevento</v>
      </c>
      <c r="R3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Crotone</v>
      </c>
      <c r="S346" s="132" t="e">
        <f>LEFT(base[[#This Row],[Evento / Mercado]],FIND("/",base[[#This Row],[Evento / Mercado]])-2)</f>
        <v>#VALUE!</v>
      </c>
    </row>
    <row r="347" spans="2:21" ht="15" customHeight="1">
      <c r="B347" s="128" t="s">
        <v>333</v>
      </c>
      <c r="C347" s="128" t="s">
        <v>2982</v>
      </c>
      <c r="D347" s="129">
        <v>46027.775208333333</v>
      </c>
      <c r="E347" s="130">
        <v>14.888449999999999</v>
      </c>
      <c r="F347" s="131">
        <v>4.4999999999999998E-2</v>
      </c>
      <c r="G347" s="126">
        <f t="shared" si="5"/>
        <v>15.59</v>
      </c>
      <c r="H347" s="126" t="s">
        <v>73</v>
      </c>
      <c r="I347" s="127" t="s">
        <v>16</v>
      </c>
      <c r="J347" s="126">
        <v>7.4</v>
      </c>
      <c r="K347" s="126">
        <v>99.77</v>
      </c>
      <c r="L347" s="129">
        <f>INT(base[[#This Row],[Data de liquidação]])</f>
        <v>46027</v>
      </c>
      <c r="M347" s="126">
        <f>base[[#This Row],[L/P Bruto]]-base[[#This Row],[L/P Líquido]]</f>
        <v>0.70155000000000101</v>
      </c>
      <c r="N347" s="126">
        <f>base[[#This Row],[L/P Líquido]]/base[[#This Row],[Stake/Responsabilidade]]</f>
        <v>0.1492277237646587</v>
      </c>
      <c r="O347" s="132">
        <f>IF(base[[#This Row],[L/P Líquido]]&gt;0,1,0)</f>
        <v>1</v>
      </c>
      <c r="P347" s="132"/>
      <c r="Q347" s="132" t="str">
        <f>LEFT(base[[#This Row],[Evento / Mercado]],FIND("vs",base[[#This Row],[Evento / Mercado]])-2)</f>
        <v>Cosenza Calcio</v>
      </c>
      <c r="R3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S.S. Monopoli 1966</v>
      </c>
      <c r="S347" s="132" t="e">
        <f>LEFT(base[[#This Row],[Evento / Mercado]],FIND("/",base[[#This Row],[Evento / Mercado]])-2)</f>
        <v>#VALUE!</v>
      </c>
      <c r="T347" s="8">
        <v>15.59</v>
      </c>
      <c r="U347" s="9">
        <f>T347*0.955</f>
        <v>14.888449999999999</v>
      </c>
    </row>
    <row r="348" spans="2:21" ht="15" customHeight="1">
      <c r="B348" s="128" t="s">
        <v>333</v>
      </c>
      <c r="C348" s="128" t="s">
        <v>2982</v>
      </c>
      <c r="D348" s="129">
        <v>46027.775208333333</v>
      </c>
      <c r="E348" s="130">
        <v>5.8732500000000005</v>
      </c>
      <c r="F348" s="131">
        <v>4.4999999999999998E-2</v>
      </c>
      <c r="G348" s="126">
        <f t="shared" si="5"/>
        <v>6.1500000000000012</v>
      </c>
      <c r="H348" s="126" t="s">
        <v>73</v>
      </c>
      <c r="I348" s="127" t="s">
        <v>13</v>
      </c>
      <c r="J348" s="126">
        <v>17</v>
      </c>
      <c r="K348" s="126">
        <v>98.41</v>
      </c>
      <c r="L348" s="129">
        <f>INT(base[[#This Row],[Data de liquidação]])</f>
        <v>46027</v>
      </c>
      <c r="M348" s="126">
        <f>base[[#This Row],[L/P Bruto]]-base[[#This Row],[L/P Líquido]]</f>
        <v>0.27675000000000072</v>
      </c>
      <c r="N348" s="126">
        <f>base[[#This Row],[L/P Líquido]]/base[[#This Row],[Stake/Responsabilidade]]</f>
        <v>5.9681434813535217E-2</v>
      </c>
      <c r="O348" s="132">
        <f>IF(base[[#This Row],[L/P Líquido]]&gt;0,1,0)</f>
        <v>1</v>
      </c>
      <c r="P348" s="132"/>
      <c r="Q348" s="132" t="str">
        <f>LEFT(base[[#This Row],[Evento / Mercado]],FIND("vs",base[[#This Row],[Evento / Mercado]])-2)</f>
        <v>Cosenza Calcio</v>
      </c>
      <c r="R3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S.S. Monopoli 1966</v>
      </c>
      <c r="S348" s="132" t="e">
        <f>LEFT(base[[#This Row],[Evento / Mercado]],FIND("/",base[[#This Row],[Evento / Mercado]])-2)</f>
        <v>#VALUE!</v>
      </c>
      <c r="T348" s="8">
        <v>6.15</v>
      </c>
      <c r="U348" s="9">
        <f>T348*0.955</f>
        <v>5.8732500000000005</v>
      </c>
    </row>
    <row r="349" spans="2:21" ht="15" customHeight="1">
      <c r="B349" s="128" t="s">
        <v>344</v>
      </c>
      <c r="C349" s="128" t="s">
        <v>2982</v>
      </c>
      <c r="D349" s="129">
        <v>46028.747129629628</v>
      </c>
      <c r="E349" s="130">
        <v>40.61</v>
      </c>
      <c r="F349" s="131">
        <v>4.4999999999999998E-2</v>
      </c>
      <c r="G349" s="126">
        <f t="shared" si="5"/>
        <v>42.523560209424083</v>
      </c>
      <c r="H349" s="126" t="s">
        <v>211</v>
      </c>
      <c r="I349" s="127" t="s">
        <v>212</v>
      </c>
      <c r="J349" s="126">
        <v>1.82</v>
      </c>
      <c r="K349" s="126">
        <v>100</v>
      </c>
      <c r="L349" s="129">
        <f>INT(base[[#This Row],[Data de liquidação]])</f>
        <v>46028</v>
      </c>
      <c r="M349" s="126">
        <f>base[[#This Row],[L/P Bruto]]-base[[#This Row],[L/P Líquido]]</f>
        <v>1.9135602094240838</v>
      </c>
      <c r="N349" s="126">
        <f>base[[#This Row],[L/P Líquido]]/base[[#This Row],[Stake/Responsabilidade]]</f>
        <v>0.40610000000000002</v>
      </c>
      <c r="O349" s="132">
        <f>IF(base[[#This Row],[L/P Líquido]]&gt;0,1,0)</f>
        <v>1</v>
      </c>
      <c r="P349" s="132"/>
      <c r="Q349" s="132" t="str">
        <f>LEFT(base[[#This Row],[Evento / Mercado]],FIND("vs",base[[#This Row],[Evento / Mercado]])-2)</f>
        <v>Ivory Coast</v>
      </c>
      <c r="R3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Burkina Faso</v>
      </c>
      <c r="S349" s="132" t="e">
        <f>LEFT(base[[#This Row],[Evento / Mercado]],FIND("/",base[[#This Row],[Evento / Mercado]])-2)</f>
        <v>#VALUE!</v>
      </c>
    </row>
    <row r="350" spans="2:21" ht="15" customHeight="1">
      <c r="B350" s="128" t="s">
        <v>343</v>
      </c>
      <c r="C350" s="128" t="s">
        <v>2982</v>
      </c>
      <c r="D350" s="129">
        <v>46028.776909722219</v>
      </c>
      <c r="E350" s="130">
        <v>36.85</v>
      </c>
      <c r="F350" s="131">
        <v>4.4999999999999998E-2</v>
      </c>
      <c r="G350" s="126">
        <f t="shared" si="5"/>
        <v>38.586387434554979</v>
      </c>
      <c r="H350" s="126" t="s">
        <v>211</v>
      </c>
      <c r="I350" s="127" t="s">
        <v>214</v>
      </c>
      <c r="J350" s="126">
        <v>1.76</v>
      </c>
      <c r="K350" s="126">
        <v>100</v>
      </c>
      <c r="L350" s="129">
        <f>INT(base[[#This Row],[Data de liquidação]])</f>
        <v>46028</v>
      </c>
      <c r="M350" s="126">
        <f>base[[#This Row],[L/P Bruto]]-base[[#This Row],[L/P Líquido]]</f>
        <v>1.7363874345549775</v>
      </c>
      <c r="N350" s="126">
        <f>base[[#This Row],[L/P Líquido]]/base[[#This Row],[Stake/Responsabilidade]]</f>
        <v>0.36849999999999999</v>
      </c>
      <c r="O350" s="132">
        <f>IF(base[[#This Row],[L/P Líquido]]&gt;0,1,0)</f>
        <v>1</v>
      </c>
      <c r="P350" s="132"/>
      <c r="Q350" s="132" t="str">
        <f>LEFT(base[[#This Row],[Evento / Mercado]],FIND("vs",base[[#This Row],[Evento / Mercado]])-2)</f>
        <v>Sassuolo</v>
      </c>
      <c r="R3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Juventus</v>
      </c>
      <c r="S350" s="132" t="e">
        <f>LEFT(base[[#This Row],[Evento / Mercado]],FIND("/",base[[#This Row],[Evento / Mercado]])-2)</f>
        <v>#VALUE!</v>
      </c>
    </row>
    <row r="351" spans="2:21" ht="15" customHeight="1">
      <c r="B351" s="128" t="s">
        <v>342</v>
      </c>
      <c r="C351" s="128" t="s">
        <v>2982</v>
      </c>
      <c r="D351" s="129">
        <v>46028.788437499999</v>
      </c>
      <c r="E351" s="130">
        <v>-60</v>
      </c>
      <c r="F351" s="131">
        <v>4.4999999999999998E-2</v>
      </c>
      <c r="G351" s="126">
        <f t="shared" si="5"/>
        <v>-60</v>
      </c>
      <c r="H351" s="126" t="s">
        <v>231</v>
      </c>
      <c r="I351" s="127" t="s">
        <v>232</v>
      </c>
      <c r="J351" s="126">
        <v>1.67</v>
      </c>
      <c r="K351" s="126">
        <v>60</v>
      </c>
      <c r="L351" s="129">
        <f>INT(base[[#This Row],[Data de liquidação]])</f>
        <v>46028</v>
      </c>
      <c r="M351" s="126">
        <f>base[[#This Row],[L/P Bruto]]-base[[#This Row],[L/P Líquido]]</f>
        <v>0</v>
      </c>
      <c r="N351" s="126">
        <f>base[[#This Row],[L/P Líquido]]/base[[#This Row],[Stake/Responsabilidade]]</f>
        <v>-1</v>
      </c>
      <c r="O351" s="132">
        <f>IF(base[[#This Row],[L/P Líquido]]&gt;0,1,0)</f>
        <v>0</v>
      </c>
      <c r="P351" s="132"/>
      <c r="Q351" s="132" t="str">
        <f>LEFT(base[[#This Row],[Evento / Mercado]],FIND("vs",base[[#This Row],[Evento / Mercado]])-2)</f>
        <v>Rangers</v>
      </c>
      <c r="R3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Aberdeen</v>
      </c>
      <c r="S351" s="132" t="e">
        <f>LEFT(base[[#This Row],[Evento / Mercado]],FIND("/",base[[#This Row],[Evento / Mercado]])-2)</f>
        <v>#VALUE!</v>
      </c>
    </row>
    <row r="352" spans="2:21" ht="15" customHeight="1">
      <c r="B352" s="128" t="s">
        <v>341</v>
      </c>
      <c r="C352" s="128" t="s">
        <v>2982</v>
      </c>
      <c r="D352" s="129">
        <v>46028.798657407409</v>
      </c>
      <c r="E352" s="130">
        <v>44.08</v>
      </c>
      <c r="F352" s="131">
        <v>4.4999999999999998E-2</v>
      </c>
      <c r="G352" s="126">
        <f t="shared" si="5"/>
        <v>46.157068062827229</v>
      </c>
      <c r="H352" s="126" t="s">
        <v>231</v>
      </c>
      <c r="I352" s="127" t="s">
        <v>232</v>
      </c>
      <c r="J352" s="126">
        <v>1.77</v>
      </c>
      <c r="K352" s="126">
        <v>60</v>
      </c>
      <c r="L352" s="129">
        <f>INT(base[[#This Row],[Data de liquidação]])</f>
        <v>46028</v>
      </c>
      <c r="M352" s="126">
        <f>base[[#This Row],[L/P Bruto]]-base[[#This Row],[L/P Líquido]]</f>
        <v>2.0770680628272302</v>
      </c>
      <c r="N352" s="126">
        <f>base[[#This Row],[L/P Líquido]]/base[[#This Row],[Stake/Responsabilidade]]</f>
        <v>0.73466666666666669</v>
      </c>
      <c r="O352" s="132">
        <f>IF(base[[#This Row],[L/P Líquido]]&gt;0,1,0)</f>
        <v>1</v>
      </c>
      <c r="P352" s="132"/>
      <c r="Q352" s="132" t="str">
        <f>LEFT(base[[#This Row],[Evento / Mercado]],FIND("vs",base[[#This Row],[Evento / Mercado]])-2)</f>
        <v>Sporting CP</v>
      </c>
      <c r="R3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Vitoria de Guimaraes</v>
      </c>
      <c r="S352" s="132" t="e">
        <f>LEFT(base[[#This Row],[Evento / Mercado]],FIND("/",base[[#This Row],[Evento / Mercado]])-2)</f>
        <v>#VALUE!</v>
      </c>
    </row>
    <row r="353" spans="2:21" ht="15" customHeight="1">
      <c r="B353" s="128" t="s">
        <v>349</v>
      </c>
      <c r="C353" s="128" t="s">
        <v>2982</v>
      </c>
      <c r="D353" s="129">
        <v>46029.682916666665</v>
      </c>
      <c r="E353" s="130">
        <v>-12.88</v>
      </c>
      <c r="F353" s="131">
        <v>4.4999999999999998E-2</v>
      </c>
      <c r="G353" s="126">
        <f t="shared" si="5"/>
        <v>-12.88</v>
      </c>
      <c r="H353" s="126" t="s">
        <v>211</v>
      </c>
      <c r="I353" s="127" t="s">
        <v>214</v>
      </c>
      <c r="J353" s="126">
        <v>2.16</v>
      </c>
      <c r="K353" s="126">
        <v>100</v>
      </c>
      <c r="L353" s="129">
        <f>INT(base[[#This Row],[Data de liquidação]])</f>
        <v>46029</v>
      </c>
      <c r="M353" s="126">
        <f>base[[#This Row],[L/P Bruto]]-base[[#This Row],[L/P Líquido]]</f>
        <v>0</v>
      </c>
      <c r="N353" s="126">
        <f>base[[#This Row],[L/P Líquido]]/base[[#This Row],[Stake/Responsabilidade]]</f>
        <v>-0.1288</v>
      </c>
      <c r="O353" s="132">
        <f>IF(base[[#This Row],[L/P Líquido]]&gt;0,1,0)</f>
        <v>0</v>
      </c>
      <c r="P353" s="132"/>
      <c r="Q353" s="132" t="str">
        <f>LEFT(base[[#This Row],[Evento / Mercado]],FIND("vs",base[[#This Row],[Evento / Mercado]])-2)</f>
        <v>Bologna</v>
      </c>
      <c r="R3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Atalanta</v>
      </c>
      <c r="S353" s="132" t="e">
        <f>LEFT(base[[#This Row],[Evento / Mercado]],FIND("/",base[[#This Row],[Evento / Mercado]])-2)</f>
        <v>#VALUE!</v>
      </c>
    </row>
    <row r="354" spans="2:21" ht="15" customHeight="1">
      <c r="B354" s="128" t="s">
        <v>349</v>
      </c>
      <c r="C354" s="128" t="s">
        <v>2982</v>
      </c>
      <c r="D354" s="129">
        <v>46029.682974537034</v>
      </c>
      <c r="E354" s="130">
        <v>-60</v>
      </c>
      <c r="F354" s="131">
        <v>4.4999999999999998E-2</v>
      </c>
      <c r="G354" s="126">
        <f t="shared" si="5"/>
        <v>-60</v>
      </c>
      <c r="H354" s="126" t="s">
        <v>231</v>
      </c>
      <c r="I354" s="127" t="s">
        <v>266</v>
      </c>
      <c r="J354" s="126">
        <f>+(12.27*1.82+47.73*1.81)/base[[#This Row],[Stake/Responsabilidade]]</f>
        <v>1.8120450000000001</v>
      </c>
      <c r="K354" s="126">
        <f>12.27+47.73</f>
        <v>60</v>
      </c>
      <c r="L354" s="129">
        <f>INT(base[[#This Row],[Data de liquidação]])</f>
        <v>46029</v>
      </c>
      <c r="M354" s="126">
        <f>base[[#This Row],[L/P Bruto]]-base[[#This Row],[L/P Líquido]]</f>
        <v>0</v>
      </c>
      <c r="N354" s="126">
        <f>base[[#This Row],[L/P Líquido]]/base[[#This Row],[Stake/Responsabilidade]]</f>
        <v>-1</v>
      </c>
      <c r="O354" s="132">
        <f>IF(base[[#This Row],[L/P Líquido]]&gt;0,1,0)</f>
        <v>0</v>
      </c>
      <c r="P354" s="132"/>
      <c r="Q354" s="132" t="str">
        <f>LEFT(base[[#This Row],[Evento / Mercado]],FIND("vs",base[[#This Row],[Evento / Mercado]])-2)</f>
        <v>Bologna</v>
      </c>
      <c r="R3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Atalanta</v>
      </c>
      <c r="S354" s="132" t="e">
        <f>LEFT(base[[#This Row],[Evento / Mercado]],FIND("/",base[[#This Row],[Evento / Mercado]])-2)</f>
        <v>#VALUE!</v>
      </c>
    </row>
    <row r="355" spans="2:21" ht="15" customHeight="1">
      <c r="B355" s="128" t="s">
        <v>348</v>
      </c>
      <c r="C355" s="128" t="s">
        <v>2982</v>
      </c>
      <c r="D355" s="129">
        <v>46029.687291666669</v>
      </c>
      <c r="E355" s="130">
        <v>11.030250000000001</v>
      </c>
      <c r="F355" s="131">
        <v>4.4999999999999998E-2</v>
      </c>
      <c r="G355" s="126">
        <f t="shared" si="5"/>
        <v>11.55</v>
      </c>
      <c r="H355" s="126" t="s">
        <v>122</v>
      </c>
      <c r="I355" s="127" t="s">
        <v>75</v>
      </c>
      <c r="J355" s="126">
        <v>14</v>
      </c>
      <c r="K355" s="126">
        <v>150.15</v>
      </c>
      <c r="L355" s="129">
        <f>INT(base[[#This Row],[Data de liquidação]])</f>
        <v>46029</v>
      </c>
      <c r="M355" s="126">
        <f>base[[#This Row],[L/P Bruto]]-base[[#This Row],[L/P Líquido]]</f>
        <v>0.51975000000000016</v>
      </c>
      <c r="N355" s="126">
        <f>base[[#This Row],[L/P Líquido]]/base[[#This Row],[Stake/Responsabilidade]]</f>
        <v>7.3461538461538467E-2</v>
      </c>
      <c r="O355" s="132">
        <f>IF(base[[#This Row],[L/P Líquido]]&gt;0,1,0)</f>
        <v>1</v>
      </c>
      <c r="P355" s="132" t="s">
        <v>969</v>
      </c>
      <c r="Q355" s="132" t="str">
        <f>LEFT(base[[#This Row],[Evento / Mercado]],FIND("vs",base[[#This Row],[Evento / Mercado]])-2)</f>
        <v>Napoli</v>
      </c>
      <c r="R3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355" s="132" t="e">
        <f>LEFT(base[[#This Row],[Evento / Mercado]],FIND("/",base[[#This Row],[Evento / Mercado]])-2)</f>
        <v>#VALUE!</v>
      </c>
      <c r="T355" s="8">
        <v>11.55</v>
      </c>
      <c r="U355" s="9">
        <f>T355*0.955</f>
        <v>11.030250000000001</v>
      </c>
    </row>
    <row r="356" spans="2:21" ht="15" customHeight="1">
      <c r="B356" s="128" t="s">
        <v>348</v>
      </c>
      <c r="C356" s="128" t="s">
        <v>2982</v>
      </c>
      <c r="D356" s="129">
        <v>46029.687291666669</v>
      </c>
      <c r="E356" s="130">
        <v>5.1188000000000002</v>
      </c>
      <c r="F356" s="131">
        <v>4.4999999999999998E-2</v>
      </c>
      <c r="G356" s="126">
        <f t="shared" si="5"/>
        <v>5.36</v>
      </c>
      <c r="H356" s="126" t="s">
        <v>74</v>
      </c>
      <c r="I356" s="127" t="s">
        <v>476</v>
      </c>
      <c r="J356" s="126">
        <v>29</v>
      </c>
      <c r="K356" s="126">
        <v>150.08000000000001</v>
      </c>
      <c r="L356" s="129">
        <f>INT(base[[#This Row],[Data de liquidação]])</f>
        <v>46029</v>
      </c>
      <c r="M356" s="126">
        <f>base[[#This Row],[L/P Bruto]]-base[[#This Row],[L/P Líquido]]</f>
        <v>0.24120000000000008</v>
      </c>
      <c r="N356" s="139">
        <f>base[[#This Row],[L/P Líquido]]/base[[#This Row],[Stake/Responsabilidade]]</f>
        <v>3.4107142857142857E-2</v>
      </c>
      <c r="O356" s="132">
        <f>IF(base[[#This Row],[L/P Líquido]]&gt;0,1,0)</f>
        <v>1</v>
      </c>
      <c r="P356" s="132" t="s">
        <v>969</v>
      </c>
      <c r="Q356" s="132" t="str">
        <f>LEFT(base[[#This Row],[Evento / Mercado]],FIND("vs",base[[#This Row],[Evento / Mercado]])-2)</f>
        <v>Napoli</v>
      </c>
      <c r="R3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356" s="132" t="e">
        <f>LEFT(base[[#This Row],[Evento / Mercado]],FIND("/",base[[#This Row],[Evento / Mercado]])-2)</f>
        <v>#VALUE!</v>
      </c>
      <c r="T356" s="8">
        <v>5.36</v>
      </c>
      <c r="U356" s="9">
        <f>T356*0.955</f>
        <v>5.1188000000000002</v>
      </c>
    </row>
    <row r="357" spans="2:21" ht="15" customHeight="1">
      <c r="B357" s="128" t="s">
        <v>348</v>
      </c>
      <c r="C357" s="128" t="s">
        <v>2982</v>
      </c>
      <c r="D357" s="129">
        <v>46029.687361111108</v>
      </c>
      <c r="E357" s="130">
        <v>11.46</v>
      </c>
      <c r="F357" s="131">
        <v>4.4999999999999998E-2</v>
      </c>
      <c r="G357" s="126">
        <f t="shared" si="5"/>
        <v>12.000000000000002</v>
      </c>
      <c r="H357" s="126" t="s">
        <v>145</v>
      </c>
      <c r="I357" s="127" t="s">
        <v>300</v>
      </c>
      <c r="J357" s="126">
        <v>13.5</v>
      </c>
      <c r="K357" s="126">
        <v>150</v>
      </c>
      <c r="L357" s="129">
        <f>INT(base[[#This Row],[Data de liquidação]])</f>
        <v>46029</v>
      </c>
      <c r="M357" s="126">
        <f>base[[#This Row],[L/P Bruto]]-base[[#This Row],[L/P Líquido]]</f>
        <v>0.54000000000000092</v>
      </c>
      <c r="N357" s="126">
        <f>base[[#This Row],[L/P Líquido]]/base[[#This Row],[Stake/Responsabilidade]]</f>
        <v>7.640000000000001E-2</v>
      </c>
      <c r="O357" s="132">
        <f>IF(base[[#This Row],[L/P Líquido]]&gt;0,1,0)</f>
        <v>1</v>
      </c>
      <c r="P357" s="132" t="s">
        <v>969</v>
      </c>
      <c r="Q357" s="132" t="str">
        <f>LEFT(base[[#This Row],[Evento / Mercado]],FIND("vs",base[[#This Row],[Evento / Mercado]])-2)</f>
        <v>Napoli</v>
      </c>
      <c r="R3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357" s="132" t="e">
        <f>LEFT(base[[#This Row],[Evento / Mercado]],FIND("/",base[[#This Row],[Evento / Mercado]])-2)</f>
        <v>#VALUE!</v>
      </c>
    </row>
    <row r="358" spans="2:21" ht="15" customHeight="1">
      <c r="B358" s="128" t="s">
        <v>345</v>
      </c>
      <c r="C358" s="128" t="s">
        <v>2982</v>
      </c>
      <c r="D358" s="129">
        <v>46029.753668981481</v>
      </c>
      <c r="E358" s="130">
        <v>48.71</v>
      </c>
      <c r="F358" s="131">
        <v>4.4999999999999998E-2</v>
      </c>
      <c r="G358" s="126">
        <f t="shared" si="5"/>
        <v>51.005235602094245</v>
      </c>
      <c r="H358" s="126" t="s">
        <v>231</v>
      </c>
      <c r="I358" s="127" t="s">
        <v>232</v>
      </c>
      <c r="J358" s="126">
        <v>1.85</v>
      </c>
      <c r="K358" s="126">
        <v>60</v>
      </c>
      <c r="L358" s="129">
        <f>INT(base[[#This Row],[Data de liquidação]])</f>
        <v>46029</v>
      </c>
      <c r="M358" s="126">
        <f>base[[#This Row],[L/P Bruto]]-base[[#This Row],[L/P Líquido]]</f>
        <v>2.2952356020942446</v>
      </c>
      <c r="N358" s="126">
        <f>base[[#This Row],[L/P Líquido]]/base[[#This Row],[Stake/Responsabilidade]]</f>
        <v>0.8118333333333333</v>
      </c>
      <c r="O358" s="132">
        <f>IF(base[[#This Row],[L/P Líquido]]&gt;0,1,0)</f>
        <v>1</v>
      </c>
      <c r="P358" s="132"/>
      <c r="Q358" s="132" t="str">
        <f>LEFT(base[[#This Row],[Evento / Mercado]],FIND("vs",base[[#This Row],[Evento / Mercado]])-2)</f>
        <v>Newcastle United</v>
      </c>
      <c r="R3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358" s="132" t="e">
        <f>LEFT(base[[#This Row],[Evento / Mercado]],FIND("/",base[[#This Row],[Evento / Mercado]])-2)</f>
        <v>#VALUE!</v>
      </c>
    </row>
    <row r="359" spans="2:21" ht="15" customHeight="1">
      <c r="B359" s="128" t="s">
        <v>340</v>
      </c>
      <c r="C359" s="128" t="s">
        <v>2982</v>
      </c>
      <c r="D359" s="129">
        <v>46029.754317129627</v>
      </c>
      <c r="E359" s="130">
        <v>40.35</v>
      </c>
      <c r="F359" s="131">
        <v>4.4999999999999998E-2</v>
      </c>
      <c r="G359" s="126">
        <f t="shared" si="5"/>
        <v>42.251308900523561</v>
      </c>
      <c r="H359" s="126" t="s">
        <v>231</v>
      </c>
      <c r="I359" s="127" t="s">
        <v>266</v>
      </c>
      <c r="J359" s="126">
        <v>1.7</v>
      </c>
      <c r="K359" s="126">
        <v>60</v>
      </c>
      <c r="L359" s="129">
        <f>INT(base[[#This Row],[Data de liquidação]])</f>
        <v>46029</v>
      </c>
      <c r="M359" s="126">
        <f>base[[#This Row],[L/P Bruto]]-base[[#This Row],[L/P Líquido]]</f>
        <v>1.9013089005235599</v>
      </c>
      <c r="N359" s="126">
        <f>base[[#This Row],[L/P Líquido]]/base[[#This Row],[Stake/Responsabilidade]]</f>
        <v>0.67249999999999999</v>
      </c>
      <c r="O359" s="132">
        <f>IF(base[[#This Row],[L/P Líquido]]&gt;0,1,0)</f>
        <v>1</v>
      </c>
      <c r="P359" s="132"/>
      <c r="Q359" s="132" t="str">
        <f>LEFT(base[[#This Row],[Evento / Mercado]],FIND("vs",base[[#This Row],[Evento / Mercado]])-2)</f>
        <v>Fulham</v>
      </c>
      <c r="R3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359" s="132" t="e">
        <f>LEFT(base[[#This Row],[Evento / Mercado]],FIND("/",base[[#This Row],[Evento / Mercado]])-2)</f>
        <v>#VALUE!</v>
      </c>
    </row>
    <row r="360" spans="2:21" ht="15" customHeight="1">
      <c r="B360" s="128" t="s">
        <v>347</v>
      </c>
      <c r="C360" s="128" t="s">
        <v>2982</v>
      </c>
      <c r="D360" s="129">
        <v>46029.767789351848</v>
      </c>
      <c r="E360" s="130">
        <v>11.02</v>
      </c>
      <c r="F360" s="131">
        <v>4.4999999999999998E-2</v>
      </c>
      <c r="G360" s="126">
        <f t="shared" si="5"/>
        <v>11.539267015706807</v>
      </c>
      <c r="H360" s="126" t="s">
        <v>74</v>
      </c>
      <c r="I360" s="127" t="s">
        <v>477</v>
      </c>
      <c r="J360" s="126">
        <v>14</v>
      </c>
      <c r="K360" s="126">
        <v>150.02000000000001</v>
      </c>
      <c r="L360" s="129">
        <f>INT(base[[#This Row],[Data de liquidação]])</f>
        <v>46029</v>
      </c>
      <c r="M360" s="126">
        <f>base[[#This Row],[L/P Bruto]]-base[[#This Row],[L/P Líquido]]</f>
        <v>0.51926701570680756</v>
      </c>
      <c r="N360" s="139">
        <f>base[[#This Row],[L/P Líquido]]/base[[#This Row],[Stake/Responsabilidade]]</f>
        <v>7.3456872417011057E-2</v>
      </c>
      <c r="O360" s="132">
        <f>IF(base[[#This Row],[L/P Líquido]]&gt;0,1,0)</f>
        <v>1</v>
      </c>
      <c r="P360" s="132" t="s">
        <v>963</v>
      </c>
      <c r="Q360" s="132" t="str">
        <f>LEFT(base[[#This Row],[Evento / Mercado]],FIND("vs",base[[#This Row],[Evento / Mercado]])-2)</f>
        <v>Manchester City</v>
      </c>
      <c r="R3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360" s="132" t="e">
        <f>LEFT(base[[#This Row],[Evento / Mercado]],FIND("/",base[[#This Row],[Evento / Mercado]])-2)</f>
        <v>#VALUE!</v>
      </c>
    </row>
    <row r="361" spans="2:21" ht="15" customHeight="1">
      <c r="B361" s="128" t="s">
        <v>347</v>
      </c>
      <c r="C361" s="128" t="s">
        <v>2982</v>
      </c>
      <c r="D361" s="129">
        <v>46029.767939814818</v>
      </c>
      <c r="E361" s="130">
        <v>25.58</v>
      </c>
      <c r="F361" s="131">
        <v>4.4999999999999998E-2</v>
      </c>
      <c r="G361" s="126">
        <f t="shared" si="5"/>
        <v>26.785340314136125</v>
      </c>
      <c r="H361" s="126" t="s">
        <v>145</v>
      </c>
      <c r="I361" s="127" t="s">
        <v>301</v>
      </c>
      <c r="J361" s="126">
        <v>6.6</v>
      </c>
      <c r="K361" s="126">
        <v>150</v>
      </c>
      <c r="L361" s="129">
        <f>INT(base[[#This Row],[Data de liquidação]])</f>
        <v>46029</v>
      </c>
      <c r="M361" s="126">
        <f>base[[#This Row],[L/P Bruto]]-base[[#This Row],[L/P Líquido]]</f>
        <v>1.2053403141361265</v>
      </c>
      <c r="N361" s="126">
        <f>base[[#This Row],[L/P Líquido]]/base[[#This Row],[Stake/Responsabilidade]]</f>
        <v>0.17053333333333331</v>
      </c>
      <c r="O361" s="132">
        <f>IF(base[[#This Row],[L/P Líquido]]&gt;0,1,0)</f>
        <v>1</v>
      </c>
      <c r="P361" s="132" t="s">
        <v>963</v>
      </c>
      <c r="Q361" s="132" t="str">
        <f>LEFT(base[[#This Row],[Evento / Mercado]],FIND("vs",base[[#This Row],[Evento / Mercado]])-2)</f>
        <v>Manchester City</v>
      </c>
      <c r="R3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361" s="132" t="e">
        <f>LEFT(base[[#This Row],[Evento / Mercado]],FIND("/",base[[#This Row],[Evento / Mercado]])-2)</f>
        <v>#VALUE!</v>
      </c>
    </row>
    <row r="362" spans="2:21" ht="15" customHeight="1">
      <c r="B362" s="128" t="s">
        <v>340</v>
      </c>
      <c r="C362" s="128" t="s">
        <v>2982</v>
      </c>
      <c r="D362" s="129">
        <v>46029.769884259258</v>
      </c>
      <c r="E362" s="130">
        <v>9.5499999999999989</v>
      </c>
      <c r="F362" s="131">
        <v>4.4999999999999998E-2</v>
      </c>
      <c r="G362" s="126">
        <f t="shared" si="5"/>
        <v>10</v>
      </c>
      <c r="H362" s="126" t="s">
        <v>74</v>
      </c>
      <c r="I362" s="127" t="s">
        <v>75</v>
      </c>
      <c r="J362" s="126">
        <v>16</v>
      </c>
      <c r="K362" s="126">
        <v>150</v>
      </c>
      <c r="L362" s="129">
        <f>INT(base[[#This Row],[Data de liquidação]])</f>
        <v>46029</v>
      </c>
      <c r="M362" s="126">
        <f>base[[#This Row],[L/P Bruto]]-base[[#This Row],[L/P Líquido]]</f>
        <v>0.45000000000000107</v>
      </c>
      <c r="N362" s="139">
        <f>base[[#This Row],[L/P Líquido]]/base[[#This Row],[Stake/Responsabilidade]]</f>
        <v>6.3666666666666663E-2</v>
      </c>
      <c r="O362" s="132">
        <f>IF(base[[#This Row],[L/P Líquido]]&gt;0,1,0)</f>
        <v>1</v>
      </c>
      <c r="P362" s="132" t="s">
        <v>963</v>
      </c>
      <c r="Q362" s="132" t="str">
        <f>LEFT(base[[#This Row],[Evento / Mercado]],FIND("vs",base[[#This Row],[Evento / Mercado]])-2)</f>
        <v>Fulham</v>
      </c>
      <c r="R3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362" s="132" t="e">
        <f>LEFT(base[[#This Row],[Evento / Mercado]],FIND("/",base[[#This Row],[Evento / Mercado]])-2)</f>
        <v>#VALUE!</v>
      </c>
      <c r="T362" s="8">
        <v>10</v>
      </c>
      <c r="U362" s="9">
        <f>T362*0.955</f>
        <v>9.5499999999999989</v>
      </c>
    </row>
    <row r="363" spans="2:21" ht="15" customHeight="1">
      <c r="B363" s="128" t="s">
        <v>340</v>
      </c>
      <c r="C363" s="128" t="s">
        <v>2982</v>
      </c>
      <c r="D363" s="129">
        <v>46029.769884259258</v>
      </c>
      <c r="E363" s="130">
        <v>15.91985</v>
      </c>
      <c r="F363" s="131">
        <v>4.4999999999999998E-2</v>
      </c>
      <c r="G363" s="126">
        <f t="shared" si="5"/>
        <v>16.670000000000002</v>
      </c>
      <c r="H363" s="126" t="s">
        <v>74</v>
      </c>
      <c r="I363" s="127" t="s">
        <v>541</v>
      </c>
      <c r="J363" s="126">
        <v>10</v>
      </c>
      <c r="K363" s="126">
        <v>150.03</v>
      </c>
      <c r="L363" s="129">
        <f>INT(base[[#This Row],[Data de liquidação]])</f>
        <v>46029</v>
      </c>
      <c r="M363" s="126">
        <f>base[[#This Row],[L/P Bruto]]-base[[#This Row],[L/P Líquido]]</f>
        <v>0.75015000000000143</v>
      </c>
      <c r="N363" s="139">
        <f>base[[#This Row],[L/P Líquido]]/base[[#This Row],[Stake/Responsabilidade]]</f>
        <v>0.10611111111111111</v>
      </c>
      <c r="O363" s="132">
        <f>IF(base[[#This Row],[L/P Líquido]]&gt;0,1,0)</f>
        <v>1</v>
      </c>
      <c r="P363" s="132" t="s">
        <v>963</v>
      </c>
      <c r="Q363" s="132" t="str">
        <f>LEFT(base[[#This Row],[Evento / Mercado]],FIND("vs",base[[#This Row],[Evento / Mercado]])-2)</f>
        <v>Fulham</v>
      </c>
      <c r="R3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363" s="132" t="e">
        <f>LEFT(base[[#This Row],[Evento / Mercado]],FIND("/",base[[#This Row],[Evento / Mercado]])-2)</f>
        <v>#VALUE!</v>
      </c>
      <c r="T363" s="8">
        <v>16.670000000000002</v>
      </c>
      <c r="U363" s="9">
        <f>T363*0.955</f>
        <v>15.91985</v>
      </c>
    </row>
    <row r="364" spans="2:21" ht="15" customHeight="1">
      <c r="B364" s="128" t="s">
        <v>346</v>
      </c>
      <c r="C364" s="128" t="s">
        <v>2982</v>
      </c>
      <c r="D364" s="129">
        <v>46029.780347222222</v>
      </c>
      <c r="E364" s="130">
        <v>-60</v>
      </c>
      <c r="F364" s="131">
        <v>4.4999999999999998E-2</v>
      </c>
      <c r="G364" s="126">
        <f t="shared" si="5"/>
        <v>-60</v>
      </c>
      <c r="H364" s="126" t="s">
        <v>231</v>
      </c>
      <c r="I364" s="127" t="s">
        <v>232</v>
      </c>
      <c r="J364" s="126">
        <v>1.75</v>
      </c>
      <c r="K364" s="126">
        <v>60</v>
      </c>
      <c r="L364" s="129">
        <f>INT(base[[#This Row],[Data de liquidação]])</f>
        <v>46029</v>
      </c>
      <c r="M364" s="126">
        <f>base[[#This Row],[L/P Bruto]]-base[[#This Row],[L/P Líquido]]</f>
        <v>0</v>
      </c>
      <c r="N364" s="126">
        <f>base[[#This Row],[L/P Líquido]]/base[[#This Row],[Stake/Responsabilidade]]</f>
        <v>-1</v>
      </c>
      <c r="O364" s="132">
        <f>IF(base[[#This Row],[L/P Líquido]]&gt;0,1,0)</f>
        <v>0</v>
      </c>
      <c r="P364" s="132"/>
      <c r="Q364" s="132" t="str">
        <f>LEFT(base[[#This Row],[Evento / Mercado]],FIND("vs",base[[#This Row],[Evento / Mercado]])-2)</f>
        <v>Parma</v>
      </c>
      <c r="R3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Internazionale</v>
      </c>
      <c r="S364" s="132" t="e">
        <f>LEFT(base[[#This Row],[Evento / Mercado]],FIND("/",base[[#This Row],[Evento / Mercado]])-2)</f>
        <v>#VALUE!</v>
      </c>
    </row>
    <row r="365" spans="2:21" ht="15" customHeight="1">
      <c r="B365" s="128" t="s">
        <v>378</v>
      </c>
      <c r="C365" s="128" t="s">
        <v>2982</v>
      </c>
      <c r="D365" s="129">
        <v>46030.644583333335</v>
      </c>
      <c r="E365" s="130">
        <v>6.82</v>
      </c>
      <c r="F365" s="131">
        <v>4.4999999999999998E-2</v>
      </c>
      <c r="G365" s="126">
        <f t="shared" si="5"/>
        <v>7.1413612565445028</v>
      </c>
      <c r="H365" s="126" t="s">
        <v>73</v>
      </c>
      <c r="I365" s="127" t="s">
        <v>13</v>
      </c>
      <c r="J365" s="126">
        <v>15</v>
      </c>
      <c r="K365" s="126">
        <v>99.96</v>
      </c>
      <c r="L365" s="129">
        <f>INT(base[[#This Row],[Data de liquidação]])</f>
        <v>46030</v>
      </c>
      <c r="M365" s="126">
        <f>base[[#This Row],[L/P Bruto]]-base[[#This Row],[L/P Líquido]]</f>
        <v>0.32136125654450254</v>
      </c>
      <c r="N365" s="126">
        <f>base[[#This Row],[L/P Líquido]]/base[[#This Row],[Stake/Responsabilidade]]</f>
        <v>6.8227290916366548E-2</v>
      </c>
      <c r="O365" s="132">
        <f>IF(base[[#This Row],[L/P Líquido]]&gt;0,1,0)</f>
        <v>1</v>
      </c>
      <c r="P365" s="132"/>
      <c r="Q365" s="132" t="str">
        <f>LEFT(base[[#This Row],[Evento / Mercado]],FIND("vs",base[[#This Row],[Evento / Mercado]])-2)</f>
        <v>Qatar SC</v>
      </c>
      <c r="R3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Sadd</v>
      </c>
      <c r="S365" s="132" t="e">
        <f>LEFT(base[[#This Row],[Evento / Mercado]],FIND("/",base[[#This Row],[Evento / Mercado]])-2)</f>
        <v>#VALUE!</v>
      </c>
    </row>
    <row r="366" spans="2:21" ht="15" customHeight="1">
      <c r="B366" s="128" t="s">
        <v>377</v>
      </c>
      <c r="C366" s="128" t="s">
        <v>2982</v>
      </c>
      <c r="D366" s="129">
        <v>46030.688888888886</v>
      </c>
      <c r="E366" s="130">
        <v>6.82</v>
      </c>
      <c r="F366" s="131">
        <v>4.4999999999999998E-2</v>
      </c>
      <c r="G366" s="126">
        <f t="shared" si="5"/>
        <v>7.1413612565445028</v>
      </c>
      <c r="H366" s="126" t="s">
        <v>73</v>
      </c>
      <c r="I366" s="127" t="s">
        <v>16</v>
      </c>
      <c r="J366" s="126">
        <v>15</v>
      </c>
      <c r="K366" s="126">
        <v>99.96</v>
      </c>
      <c r="L366" s="129">
        <f>INT(base[[#This Row],[Data de liquidação]])</f>
        <v>46030</v>
      </c>
      <c r="M366" s="126">
        <f>base[[#This Row],[L/P Bruto]]-base[[#This Row],[L/P Líquido]]</f>
        <v>0.32136125654450254</v>
      </c>
      <c r="N366" s="126">
        <f>base[[#This Row],[L/P Líquido]]/base[[#This Row],[Stake/Responsabilidade]]</f>
        <v>6.8227290916366548E-2</v>
      </c>
      <c r="O366" s="132">
        <f>IF(base[[#This Row],[L/P Líquido]]&gt;0,1,0)</f>
        <v>1</v>
      </c>
      <c r="P366" s="132"/>
      <c r="Q366" s="132" t="str">
        <f>LEFT(base[[#This Row],[Evento / Mercado]],FIND("vs",base[[#This Row],[Evento / Mercado]])-2)</f>
        <v>Al-Nassr Riyadh</v>
      </c>
      <c r="R3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Al-Qadisiyah</v>
      </c>
      <c r="S366" s="132" t="e">
        <f>LEFT(base[[#This Row],[Evento / Mercado]],FIND("/",base[[#This Row],[Evento / Mercado]])-2)</f>
        <v>#VALUE!</v>
      </c>
    </row>
    <row r="367" spans="2:21" ht="15" customHeight="1">
      <c r="B367" s="128" t="s">
        <v>377</v>
      </c>
      <c r="C367" s="128" t="s">
        <v>2982</v>
      </c>
      <c r="D367" s="129">
        <v>46030.688993055555</v>
      </c>
      <c r="E367" s="130">
        <v>-3.57</v>
      </c>
      <c r="F367" s="131">
        <v>4.4999999999999998E-2</v>
      </c>
      <c r="G367" s="126">
        <f t="shared" si="5"/>
        <v>-3.57</v>
      </c>
      <c r="H367" s="126" t="s">
        <v>211</v>
      </c>
      <c r="I367" s="127" t="s">
        <v>212</v>
      </c>
      <c r="J367" s="126">
        <v>100</v>
      </c>
      <c r="K367" s="126">
        <v>1.62</v>
      </c>
      <c r="L367" s="129">
        <f>INT(base[[#This Row],[Data de liquidação]])</f>
        <v>46030</v>
      </c>
      <c r="M367" s="126">
        <f>base[[#This Row],[L/P Bruto]]-base[[#This Row],[L/P Líquido]]</f>
        <v>0</v>
      </c>
      <c r="N367" s="126">
        <f>base[[#This Row],[L/P Líquido]]/base[[#This Row],[Stake/Responsabilidade]]</f>
        <v>-2.2037037037037033</v>
      </c>
      <c r="O367" s="132">
        <f>IF(base[[#This Row],[L/P Líquido]]&gt;0,1,0)</f>
        <v>0</v>
      </c>
      <c r="P367" s="132"/>
      <c r="Q367" s="132" t="str">
        <f>LEFT(base[[#This Row],[Evento / Mercado]],FIND("vs",base[[#This Row],[Evento / Mercado]])-2)</f>
        <v>Al-Nassr Riyadh</v>
      </c>
      <c r="R3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Al-Qadisiyah</v>
      </c>
      <c r="S367" s="132" t="e">
        <f>LEFT(base[[#This Row],[Evento / Mercado]],FIND("/",base[[#This Row],[Evento / Mercado]])-2)</f>
        <v>#VALUE!</v>
      </c>
    </row>
    <row r="368" spans="2:21" ht="15" customHeight="1">
      <c r="B368" s="128" t="s">
        <v>376</v>
      </c>
      <c r="C368" s="128" t="s">
        <v>2982</v>
      </c>
      <c r="D368" s="129">
        <v>46030.704143518517</v>
      </c>
      <c r="E368" s="130">
        <v>8.5500000000000007</v>
      </c>
      <c r="F368" s="131">
        <v>4.4999999999999998E-2</v>
      </c>
      <c r="G368" s="126">
        <f t="shared" si="5"/>
        <v>8.9528795811518336</v>
      </c>
      <c r="H368" s="126" t="s">
        <v>73</v>
      </c>
      <c r="I368" s="127" t="s">
        <v>16</v>
      </c>
      <c r="J368" s="126">
        <v>12</v>
      </c>
      <c r="K368" s="126">
        <v>98.44</v>
      </c>
      <c r="L368" s="129">
        <f>INT(base[[#This Row],[Data de liquidação]])</f>
        <v>46030</v>
      </c>
      <c r="M368" s="126">
        <f>base[[#This Row],[L/P Bruto]]-base[[#This Row],[L/P Líquido]]</f>
        <v>0.40287958115183287</v>
      </c>
      <c r="N368" s="126">
        <f>base[[#This Row],[L/P Líquido]]/base[[#This Row],[Stake/Responsabilidade]]</f>
        <v>8.6854937017472586E-2</v>
      </c>
      <c r="O368" s="132">
        <f>IF(base[[#This Row],[L/P Líquido]]&gt;0,1,0)</f>
        <v>1</v>
      </c>
      <c r="P368" s="132"/>
      <c r="Q368" s="132" t="str">
        <f>LEFT(base[[#This Row],[Evento / Mercado]],FIND("vs",base[[#This Row],[Evento / Mercado]])-2)</f>
        <v>Paris Saint-Germain</v>
      </c>
      <c r="R3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Marseille</v>
      </c>
      <c r="S368" s="132" t="e">
        <f>LEFT(base[[#This Row],[Evento / Mercado]],FIND("/",base[[#This Row],[Evento / Mercado]])-2)</f>
        <v>#VALUE!</v>
      </c>
    </row>
    <row r="369" spans="2:21" ht="15" customHeight="1">
      <c r="B369" s="128" t="s">
        <v>374</v>
      </c>
      <c r="C369" s="128" t="s">
        <v>2982</v>
      </c>
      <c r="D369" s="129">
        <v>46030.720520833333</v>
      </c>
      <c r="E369" s="130">
        <v>-10</v>
      </c>
      <c r="F369" s="131">
        <v>4.4999999999999998E-2</v>
      </c>
      <c r="G369" s="126">
        <f t="shared" si="5"/>
        <v>-10</v>
      </c>
      <c r="H369" s="126" t="s">
        <v>211</v>
      </c>
      <c r="I369" s="127" t="s">
        <v>379</v>
      </c>
      <c r="J369" s="126">
        <v>11</v>
      </c>
      <c r="K369" s="126">
        <v>10</v>
      </c>
      <c r="L369" s="129">
        <f>INT(base[[#This Row],[Data de liquidação]])</f>
        <v>46030</v>
      </c>
      <c r="M369" s="126">
        <f>base[[#This Row],[L/P Bruto]]-base[[#This Row],[L/P Líquido]]</f>
        <v>0</v>
      </c>
      <c r="N369" s="126">
        <f>base[[#This Row],[L/P Líquido]]/base[[#This Row],[Stake/Responsabilidade]]</f>
        <v>-1</v>
      </c>
      <c r="O369" s="132">
        <f>IF(base[[#This Row],[L/P Líquido]]&gt;0,1,0)</f>
        <v>0</v>
      </c>
      <c r="P369" s="132"/>
      <c r="Q369" s="132" t="str">
        <f>LEFT(base[[#This Row],[Evento / Mercado]],FIND("vs",base[[#This Row],[Evento / Mercado]])-2)</f>
        <v>AC Milan</v>
      </c>
      <c r="R3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369" s="132" t="e">
        <f>LEFT(base[[#This Row],[Evento / Mercado]],FIND("/",base[[#This Row],[Evento / Mercado]])-2)</f>
        <v>#VALUE!</v>
      </c>
    </row>
    <row r="370" spans="2:21" ht="15" customHeight="1">
      <c r="B370" s="128" t="s">
        <v>375</v>
      </c>
      <c r="C370" s="128" t="s">
        <v>2982</v>
      </c>
      <c r="D370" s="129">
        <v>46030.722233796296</v>
      </c>
      <c r="E370" s="130">
        <v>37.82</v>
      </c>
      <c r="F370" s="131">
        <v>4.4999999999999998E-2</v>
      </c>
      <c r="G370" s="126">
        <f t="shared" si="5"/>
        <v>39.602094240837701</v>
      </c>
      <c r="H370" s="126" t="s">
        <v>231</v>
      </c>
      <c r="I370" s="127" t="s">
        <v>232</v>
      </c>
      <c r="J370" s="126">
        <v>1.66</v>
      </c>
      <c r="K370" s="126">
        <v>60</v>
      </c>
      <c r="L370" s="129">
        <f>INT(base[[#This Row],[Data de liquidação]])</f>
        <v>46030</v>
      </c>
      <c r="M370" s="126">
        <f>base[[#This Row],[L/P Bruto]]-base[[#This Row],[L/P Líquido]]</f>
        <v>1.7820942408377007</v>
      </c>
      <c r="N370" s="126">
        <f>base[[#This Row],[L/P Líquido]]/base[[#This Row],[Stake/Responsabilidade]]</f>
        <v>0.6303333333333333</v>
      </c>
      <c r="O370" s="132">
        <f>IF(base[[#This Row],[L/P Líquido]]&gt;0,1,0)</f>
        <v>1</v>
      </c>
      <c r="P370" s="132"/>
      <c r="Q370" s="132" t="str">
        <f>LEFT(base[[#This Row],[Evento / Mercado]],FIND("vs",base[[#This Row],[Evento / Mercado]])-2)</f>
        <v>Atlético de Madrid</v>
      </c>
      <c r="R3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370" s="132" t="e">
        <f>LEFT(base[[#This Row],[Evento / Mercado]],FIND("/",base[[#This Row],[Evento / Mercado]])-2)</f>
        <v>#VALUE!</v>
      </c>
    </row>
    <row r="371" spans="2:21" ht="15" customHeight="1">
      <c r="B371" s="128" t="s">
        <v>374</v>
      </c>
      <c r="C371" s="128" t="s">
        <v>2982</v>
      </c>
      <c r="D371" s="129">
        <v>46030.782812500001</v>
      </c>
      <c r="E371" s="130">
        <v>5.6153999999999993</v>
      </c>
      <c r="F371" s="131">
        <v>4.4999999999999998E-2</v>
      </c>
      <c r="G371" s="126">
        <f t="shared" si="5"/>
        <v>5.88</v>
      </c>
      <c r="H371" s="126" t="s">
        <v>73</v>
      </c>
      <c r="I371" s="127" t="s">
        <v>13</v>
      </c>
      <c r="J371" s="126">
        <v>18</v>
      </c>
      <c r="K371" s="126">
        <v>99.96</v>
      </c>
      <c r="L371" s="129">
        <f>INT(base[[#This Row],[Data de liquidação]])</f>
        <v>46030</v>
      </c>
      <c r="M371" s="126">
        <f>base[[#This Row],[L/P Bruto]]-base[[#This Row],[L/P Líquido]]</f>
        <v>0.26460000000000061</v>
      </c>
      <c r="N371" s="126">
        <f>base[[#This Row],[L/P Líquido]]/base[[#This Row],[Stake/Responsabilidade]]</f>
        <v>5.6176470588235293E-2</v>
      </c>
      <c r="O371" s="132">
        <f>IF(base[[#This Row],[L/P Líquido]]&gt;0,1,0)</f>
        <v>1</v>
      </c>
      <c r="P371" s="132"/>
      <c r="Q371" s="132" t="str">
        <f>LEFT(base[[#This Row],[Evento / Mercado]],FIND("vs",base[[#This Row],[Evento / Mercado]])-2)</f>
        <v>AC Milan</v>
      </c>
      <c r="R3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371" s="132" t="e">
        <f>LEFT(base[[#This Row],[Evento / Mercado]],FIND("/",base[[#This Row],[Evento / Mercado]])-2)</f>
        <v>#VALUE!</v>
      </c>
      <c r="T371" s="8">
        <v>5.88</v>
      </c>
      <c r="U371" s="9">
        <f>T371*0.955</f>
        <v>5.6153999999999993</v>
      </c>
    </row>
    <row r="372" spans="2:21" ht="15" customHeight="1">
      <c r="B372" s="128" t="s">
        <v>374</v>
      </c>
      <c r="C372" s="128" t="s">
        <v>2982</v>
      </c>
      <c r="D372" s="129">
        <v>46030.782812500001</v>
      </c>
      <c r="E372" s="130">
        <v>13.646949999999999</v>
      </c>
      <c r="F372" s="131">
        <v>4.4999999999999998E-2</v>
      </c>
      <c r="G372" s="126">
        <f t="shared" si="5"/>
        <v>14.29</v>
      </c>
      <c r="H372" s="126" t="s">
        <v>74</v>
      </c>
      <c r="I372" s="127" t="s">
        <v>75</v>
      </c>
      <c r="J372" s="126">
        <v>11.5</v>
      </c>
      <c r="K372" s="126">
        <v>150.05000000000001</v>
      </c>
      <c r="L372" s="129">
        <f>INT(base[[#This Row],[Data de liquidação]])</f>
        <v>46030</v>
      </c>
      <c r="M372" s="126">
        <f>base[[#This Row],[L/P Bruto]]-base[[#This Row],[L/P Líquido]]</f>
        <v>0.64305000000000057</v>
      </c>
      <c r="N372" s="139">
        <f>base[[#This Row],[L/P Líquido]]/base[[#This Row],[Stake/Responsabilidade]]</f>
        <v>9.0949350216594449E-2</v>
      </c>
      <c r="O372" s="132">
        <f>IF(base[[#This Row],[L/P Líquido]]&gt;0,1,0)</f>
        <v>1</v>
      </c>
      <c r="P372" s="132" t="s">
        <v>969</v>
      </c>
      <c r="Q372" s="132" t="str">
        <f>LEFT(base[[#This Row],[Evento / Mercado]],FIND("vs",base[[#This Row],[Evento / Mercado]])-2)</f>
        <v>AC Milan</v>
      </c>
      <c r="R3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372" s="132" t="e">
        <f>LEFT(base[[#This Row],[Evento / Mercado]],FIND("/",base[[#This Row],[Evento / Mercado]])-2)</f>
        <v>#VALUE!</v>
      </c>
      <c r="T372" s="8">
        <v>14.29</v>
      </c>
      <c r="U372" s="9">
        <f>T372*0.955</f>
        <v>13.646949999999999</v>
      </c>
    </row>
    <row r="373" spans="2:21" ht="15" customHeight="1">
      <c r="B373" s="128" t="s">
        <v>374</v>
      </c>
      <c r="C373" s="128" t="s">
        <v>2982</v>
      </c>
      <c r="D373" s="129">
        <v>46030.782812500001</v>
      </c>
      <c r="E373" s="130">
        <v>6.5130999999999997</v>
      </c>
      <c r="F373" s="131">
        <v>4.4999999999999998E-2</v>
      </c>
      <c r="G373" s="126">
        <f t="shared" si="5"/>
        <v>6.82</v>
      </c>
      <c r="H373" s="126" t="s">
        <v>74</v>
      </c>
      <c r="I373" s="127" t="s">
        <v>476</v>
      </c>
      <c r="J373" s="126">
        <v>23</v>
      </c>
      <c r="K373" s="126">
        <v>150.04</v>
      </c>
      <c r="L373" s="129">
        <f>INT(base[[#This Row],[Data de liquidação]])</f>
        <v>46030</v>
      </c>
      <c r="M373" s="126">
        <f>base[[#This Row],[L/P Bruto]]-base[[#This Row],[L/P Líquido]]</f>
        <v>0.30690000000000062</v>
      </c>
      <c r="N373" s="139">
        <f>base[[#This Row],[L/P Líquido]]/base[[#This Row],[Stake/Responsabilidade]]</f>
        <v>4.3409090909090911E-2</v>
      </c>
      <c r="O373" s="132">
        <f>IF(base[[#This Row],[L/P Líquido]]&gt;0,1,0)</f>
        <v>1</v>
      </c>
      <c r="P373" s="132" t="s">
        <v>969</v>
      </c>
      <c r="Q373" s="132" t="str">
        <f>LEFT(base[[#This Row],[Evento / Mercado]],FIND("vs",base[[#This Row],[Evento / Mercado]])-2)</f>
        <v>AC Milan</v>
      </c>
      <c r="R3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373" s="132" t="e">
        <f>LEFT(base[[#This Row],[Evento / Mercado]],FIND("/",base[[#This Row],[Evento / Mercado]])-2)</f>
        <v>#VALUE!</v>
      </c>
      <c r="T373" s="8">
        <v>6.82</v>
      </c>
      <c r="U373" s="9">
        <f>T373*0.955</f>
        <v>6.5130999999999997</v>
      </c>
    </row>
    <row r="374" spans="2:21" ht="15" customHeight="1">
      <c r="B374" s="128" t="s">
        <v>374</v>
      </c>
      <c r="C374" s="128" t="s">
        <v>2982</v>
      </c>
      <c r="D374" s="129">
        <v>46030.783020833333</v>
      </c>
      <c r="E374" s="130">
        <v>-44.57</v>
      </c>
      <c r="F374" s="131">
        <v>4.4999999999999998E-2</v>
      </c>
      <c r="G374" s="126">
        <f t="shared" si="5"/>
        <v>-44.57</v>
      </c>
      <c r="H374" s="126" t="s">
        <v>211</v>
      </c>
      <c r="I374" s="127" t="s">
        <v>212</v>
      </c>
      <c r="J374" s="126">
        <v>1.53</v>
      </c>
      <c r="K374" s="126">
        <v>100</v>
      </c>
      <c r="L374" s="129">
        <f>INT(base[[#This Row],[Data de liquidação]])</f>
        <v>46030</v>
      </c>
      <c r="M374" s="126">
        <f>base[[#This Row],[L/P Bruto]]-base[[#This Row],[L/P Líquido]]</f>
        <v>0</v>
      </c>
      <c r="N374" s="126">
        <f>base[[#This Row],[L/P Líquido]]/base[[#This Row],[Stake/Responsabilidade]]</f>
        <v>-0.44569999999999999</v>
      </c>
      <c r="O374" s="132">
        <f>IF(base[[#This Row],[L/P Líquido]]&gt;0,1,0)</f>
        <v>0</v>
      </c>
      <c r="P374" s="132"/>
      <c r="Q374" s="132" t="str">
        <f>LEFT(base[[#This Row],[Evento / Mercado]],FIND("vs",base[[#This Row],[Evento / Mercado]])-2)</f>
        <v>AC Milan</v>
      </c>
      <c r="R3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374" s="132" t="e">
        <f>LEFT(base[[#This Row],[Evento / Mercado]],FIND("/",base[[#This Row],[Evento / Mercado]])-2)</f>
        <v>#VALUE!</v>
      </c>
    </row>
    <row r="375" spans="2:21" ht="15" customHeight="1">
      <c r="B375" s="128" t="s">
        <v>373</v>
      </c>
      <c r="C375" s="128" t="s">
        <v>2982</v>
      </c>
      <c r="D375" s="129">
        <v>46030.788194444445</v>
      </c>
      <c r="E375" s="130">
        <v>5.88</v>
      </c>
      <c r="F375" s="131">
        <v>0</v>
      </c>
      <c r="G375" s="126">
        <f t="shared" si="5"/>
        <v>5.88</v>
      </c>
      <c r="H375" s="126" t="s">
        <v>73</v>
      </c>
      <c r="I375" s="127" t="s">
        <v>13</v>
      </c>
      <c r="J375" s="126">
        <v>18</v>
      </c>
      <c r="K375" s="126">
        <v>99.96</v>
      </c>
      <c r="L375" s="129">
        <f>INT(base[[#This Row],[Data de liquidação]])</f>
        <v>46030</v>
      </c>
      <c r="M375" s="126">
        <f>base[[#This Row],[L/P Bruto]]-base[[#This Row],[L/P Líquido]]</f>
        <v>0</v>
      </c>
      <c r="N375" s="126">
        <f>base[[#This Row],[L/P Líquido]]/base[[#This Row],[Stake/Responsabilidade]]</f>
        <v>5.8823529411764705E-2</v>
      </c>
      <c r="O375" s="132">
        <f>IF(base[[#This Row],[L/P Líquido]]&gt;0,1,0)</f>
        <v>1</v>
      </c>
      <c r="P375" s="132"/>
      <c r="Q375" s="132" t="str">
        <f>LEFT(base[[#This Row],[Evento / Mercado]],FIND("vs",base[[#This Row],[Evento / Mercado]])-2)</f>
        <v>Arsenal</v>
      </c>
      <c r="R3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375" s="132" t="e">
        <f>LEFT(base[[#This Row],[Evento / Mercado]],FIND("/",base[[#This Row],[Evento / Mercado]])-2)</f>
        <v>#VALUE!</v>
      </c>
      <c r="T375" s="8">
        <v>5.88</v>
      </c>
      <c r="U375" s="9">
        <f>T375*0.955</f>
        <v>5.6153999999999993</v>
      </c>
    </row>
    <row r="376" spans="2:21" ht="15" customHeight="1">
      <c r="B376" s="128" t="s">
        <v>373</v>
      </c>
      <c r="C376" s="128" t="s">
        <v>2982</v>
      </c>
      <c r="D376" s="129">
        <v>46030.788194444445</v>
      </c>
      <c r="E376" s="130">
        <v>7.5</v>
      </c>
      <c r="F376" s="131">
        <v>0</v>
      </c>
      <c r="G376" s="126">
        <f t="shared" si="5"/>
        <v>7.5</v>
      </c>
      <c r="H376" s="126" t="s">
        <v>74</v>
      </c>
      <c r="I376" s="127" t="s">
        <v>476</v>
      </c>
      <c r="J376" s="126">
        <v>21</v>
      </c>
      <c r="K376" s="126">
        <v>150</v>
      </c>
      <c r="L376" s="129">
        <f>INT(base[[#This Row],[Data de liquidação]])</f>
        <v>46030</v>
      </c>
      <c r="M376" s="126">
        <f>base[[#This Row],[L/P Bruto]]-base[[#This Row],[L/P Líquido]]</f>
        <v>0</v>
      </c>
      <c r="N376" s="139">
        <f>base[[#This Row],[L/P Líquido]]/base[[#This Row],[Stake/Responsabilidade]]</f>
        <v>0.05</v>
      </c>
      <c r="O376" s="132">
        <f>IF(base[[#This Row],[L/P Líquido]]&gt;0,1,0)</f>
        <v>1</v>
      </c>
      <c r="P376" s="132" t="s">
        <v>963</v>
      </c>
      <c r="Q376" s="132" t="str">
        <f>LEFT(base[[#This Row],[Evento / Mercado]],FIND("vs",base[[#This Row],[Evento / Mercado]])-2)</f>
        <v>Arsenal</v>
      </c>
      <c r="R3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376" s="132" t="e">
        <f>LEFT(base[[#This Row],[Evento / Mercado]],FIND("/",base[[#This Row],[Evento / Mercado]])-2)</f>
        <v>#VALUE!</v>
      </c>
      <c r="T376" s="8">
        <v>7.5</v>
      </c>
      <c r="U376" s="9">
        <f>T376*0.955</f>
        <v>7.1624999999999996</v>
      </c>
    </row>
    <row r="377" spans="2:21" ht="15" customHeight="1">
      <c r="B377" s="128" t="s">
        <v>373</v>
      </c>
      <c r="C377" s="128" t="s">
        <v>2982</v>
      </c>
      <c r="D377" s="129">
        <v>46030.788194444445</v>
      </c>
      <c r="E377" s="130">
        <v>-150.08000000000001</v>
      </c>
      <c r="F377" s="131">
        <v>4.4999999999999998E-2</v>
      </c>
      <c r="G377" s="126">
        <f t="shared" si="5"/>
        <v>-150.08000000000001</v>
      </c>
      <c r="H377" s="126" t="s">
        <v>74</v>
      </c>
      <c r="I377" s="127" t="s">
        <v>75</v>
      </c>
      <c r="J377" s="126">
        <v>17</v>
      </c>
      <c r="K377" s="126">
        <v>150.08000000000001</v>
      </c>
      <c r="L377" s="129">
        <f>INT(base[[#This Row],[Data de liquidação]])</f>
        <v>46030</v>
      </c>
      <c r="M377" s="126">
        <f>base[[#This Row],[L/P Bruto]]-base[[#This Row],[L/P Líquido]]</f>
        <v>0</v>
      </c>
      <c r="N377" s="139">
        <f>base[[#This Row],[L/P Líquido]]/base[[#This Row],[Stake/Responsabilidade]]</f>
        <v>-1</v>
      </c>
      <c r="O377" s="132">
        <f>IF(base[[#This Row],[L/P Líquido]]&gt;0,1,0)</f>
        <v>0</v>
      </c>
      <c r="P377" s="132" t="s">
        <v>963</v>
      </c>
      <c r="Q377" s="132" t="str">
        <f>LEFT(base[[#This Row],[Evento / Mercado]],FIND("vs",base[[#This Row],[Evento / Mercado]])-2)</f>
        <v>Arsenal</v>
      </c>
      <c r="R3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377" s="132" t="e">
        <f>LEFT(base[[#This Row],[Evento / Mercado]],FIND("/",base[[#This Row],[Evento / Mercado]])-2)</f>
        <v>#VALUE!</v>
      </c>
      <c r="T377" s="8">
        <v>9.3800000000000008</v>
      </c>
      <c r="U377" s="9">
        <f>T377*0.955</f>
        <v>8.9579000000000004</v>
      </c>
    </row>
    <row r="378" spans="2:21" ht="15" customHeight="1">
      <c r="B378" s="128" t="s">
        <v>373</v>
      </c>
      <c r="C378" s="128" t="s">
        <v>2982</v>
      </c>
      <c r="D378" s="129">
        <v>46030.788194444445</v>
      </c>
      <c r="E378" s="130">
        <v>13.16</v>
      </c>
      <c r="F378" s="131">
        <v>0</v>
      </c>
      <c r="G378" s="126">
        <f t="shared" si="5"/>
        <v>13.16</v>
      </c>
      <c r="H378" s="126" t="s">
        <v>73</v>
      </c>
      <c r="I378" s="127" t="s">
        <v>16</v>
      </c>
      <c r="J378" s="126">
        <v>8.6</v>
      </c>
      <c r="K378" s="126">
        <v>100.02</v>
      </c>
      <c r="L378" s="129">
        <f>INT(base[[#This Row],[Data de liquidação]])</f>
        <v>46030</v>
      </c>
      <c r="M378" s="126">
        <f>base[[#This Row],[L/P Bruto]]-base[[#This Row],[L/P Líquido]]</f>
        <v>0</v>
      </c>
      <c r="N378" s="126">
        <f>base[[#This Row],[L/P Líquido]]/base[[#This Row],[Stake/Responsabilidade]]</f>
        <v>0.13157368526294741</v>
      </c>
      <c r="O378" s="132">
        <f>IF(base[[#This Row],[L/P Líquido]]&gt;0,1,0)</f>
        <v>1</v>
      </c>
      <c r="P378" s="132"/>
      <c r="Q378" s="132" t="str">
        <f>LEFT(base[[#This Row],[Evento / Mercado]],FIND("vs",base[[#This Row],[Evento / Mercado]])-2)</f>
        <v>Arsenal</v>
      </c>
      <c r="R3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378" s="132" t="e">
        <f>LEFT(base[[#This Row],[Evento / Mercado]],FIND("/",base[[#This Row],[Evento / Mercado]])-2)</f>
        <v>#VALUE!</v>
      </c>
      <c r="T378" s="8">
        <v>13.16</v>
      </c>
      <c r="U378" s="9">
        <f>T378*0.955</f>
        <v>12.5678</v>
      </c>
    </row>
    <row r="379" spans="2:21" ht="15" customHeight="1">
      <c r="B379" s="128" t="s">
        <v>373</v>
      </c>
      <c r="C379" s="128" t="s">
        <v>2982</v>
      </c>
      <c r="D379" s="129">
        <v>46030.788414351853</v>
      </c>
      <c r="E379" s="130">
        <v>-15.03</v>
      </c>
      <c r="F379" s="131">
        <v>4.4999999999999998E-2</v>
      </c>
      <c r="G379" s="126">
        <f t="shared" si="5"/>
        <v>-15.03</v>
      </c>
      <c r="H379" s="126" t="s">
        <v>211</v>
      </c>
      <c r="I379" s="127" t="s">
        <v>212</v>
      </c>
      <c r="J379" s="126">
        <v>1.61</v>
      </c>
      <c r="K379" s="126">
        <v>100</v>
      </c>
      <c r="L379" s="129">
        <f>INT(base[[#This Row],[Data de liquidação]])</f>
        <v>46030</v>
      </c>
      <c r="M379" s="126">
        <f>base[[#This Row],[L/P Bruto]]-base[[#This Row],[L/P Líquido]]</f>
        <v>0</v>
      </c>
      <c r="N379" s="126">
        <f>base[[#This Row],[L/P Líquido]]/base[[#This Row],[Stake/Responsabilidade]]</f>
        <v>-0.15029999999999999</v>
      </c>
      <c r="O379" s="132">
        <f>IF(base[[#This Row],[L/P Líquido]]&gt;0,1,0)</f>
        <v>0</v>
      </c>
      <c r="P379" s="132"/>
      <c r="Q379" s="132" t="str">
        <f>LEFT(base[[#This Row],[Evento / Mercado]],FIND("vs",base[[#This Row],[Evento / Mercado]])-2)</f>
        <v>Arsenal</v>
      </c>
      <c r="R3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379" s="132" t="e">
        <f>LEFT(base[[#This Row],[Evento / Mercado]],FIND("/",base[[#This Row],[Evento / Mercado]])-2)</f>
        <v>#VALUE!</v>
      </c>
    </row>
    <row r="380" spans="2:21" ht="15" customHeight="1">
      <c r="B380" s="128" t="s">
        <v>372</v>
      </c>
      <c r="C380" s="128" t="s">
        <v>2982</v>
      </c>
      <c r="D380" s="129">
        <v>46031.768333333333</v>
      </c>
      <c r="E380" s="130">
        <v>-99.96</v>
      </c>
      <c r="F380" s="131">
        <v>4.4999999999999998E-2</v>
      </c>
      <c r="G380" s="126">
        <f t="shared" si="5"/>
        <v>-99.96</v>
      </c>
      <c r="H380" s="126" t="s">
        <v>73</v>
      </c>
      <c r="I380" s="127" t="s">
        <v>13</v>
      </c>
      <c r="J380" s="126">
        <v>13</v>
      </c>
      <c r="K380" s="126">
        <v>99.96</v>
      </c>
      <c r="L380" s="129">
        <f>INT(base[[#This Row],[Data de liquidação]])</f>
        <v>46031</v>
      </c>
      <c r="M380" s="126">
        <f>base[[#This Row],[L/P Bruto]]-base[[#This Row],[L/P Líquido]]</f>
        <v>0</v>
      </c>
      <c r="N380" s="126">
        <f>base[[#This Row],[L/P Líquido]]/base[[#This Row],[Stake/Responsabilidade]]</f>
        <v>-1</v>
      </c>
      <c r="O380" s="132">
        <f>IF(base[[#This Row],[L/P Líquido]]&gt;0,1,0)</f>
        <v>0</v>
      </c>
      <c r="P380" s="132"/>
      <c r="Q380" s="132" t="str">
        <f>LEFT(base[[#This Row],[Evento / Mercado]],FIND("vs",base[[#This Row],[Evento / Mercado]])-2)</f>
        <v>Preston North End</v>
      </c>
      <c r="R3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Wigan Athletic</v>
      </c>
      <c r="S380" s="132" t="e">
        <f>LEFT(base[[#This Row],[Evento / Mercado]],FIND("/",base[[#This Row],[Evento / Mercado]])-2)</f>
        <v>#VALUE!</v>
      </c>
    </row>
    <row r="381" spans="2:21" ht="15" customHeight="1">
      <c r="B381" s="128" t="s">
        <v>371</v>
      </c>
      <c r="C381" s="128" t="s">
        <v>2982</v>
      </c>
      <c r="D381" s="129">
        <v>46032.443206018521</v>
      </c>
      <c r="E381" s="130">
        <v>49.28</v>
      </c>
      <c r="F381" s="131">
        <v>4.4999999999999998E-2</v>
      </c>
      <c r="G381" s="126">
        <f t="shared" si="5"/>
        <v>51.602094240837701</v>
      </c>
      <c r="H381" s="126" t="s">
        <v>231</v>
      </c>
      <c r="I381" s="127" t="s">
        <v>266</v>
      </c>
      <c r="J381" s="126">
        <v>1.86</v>
      </c>
      <c r="K381" s="126">
        <v>60</v>
      </c>
      <c r="L381" s="129">
        <f>INT(base[[#This Row],[Data de liquidação]])</f>
        <v>46032</v>
      </c>
      <c r="M381" s="126">
        <f>base[[#This Row],[L/P Bruto]]-base[[#This Row],[L/P Líquido]]</f>
        <v>2.3220942408376999</v>
      </c>
      <c r="N381" s="126">
        <f>base[[#This Row],[L/P Líquido]]/base[[#This Row],[Stake/Responsabilidade]]</f>
        <v>0.82133333333333336</v>
      </c>
      <c r="O381" s="132">
        <f>IF(base[[#This Row],[L/P Líquido]]&gt;0,1,0)</f>
        <v>1</v>
      </c>
      <c r="P381" s="132"/>
      <c r="Q381" s="132" t="str">
        <f>LEFT(base[[#This Row],[Evento / Mercado]],FIND("vs",base[[#This Row],[Evento / Mercado]])-2)</f>
        <v>Mirandés</v>
      </c>
      <c r="R3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Almería</v>
      </c>
      <c r="S381" s="132" t="e">
        <f>LEFT(base[[#This Row],[Evento / Mercado]],FIND("/",base[[#This Row],[Evento / Mercado]])-2)</f>
        <v>#VALUE!</v>
      </c>
    </row>
    <row r="382" spans="2:21" ht="15" customHeight="1">
      <c r="B382" s="128" t="s">
        <v>370</v>
      </c>
      <c r="C382" s="128" t="s">
        <v>2982</v>
      </c>
      <c r="D382" s="129">
        <v>46032.492615740739</v>
      </c>
      <c r="E382" s="130">
        <v>38.1</v>
      </c>
      <c r="F382" s="131">
        <v>4.4999999999999998E-2</v>
      </c>
      <c r="G382" s="126">
        <f t="shared" si="5"/>
        <v>39.895287958115183</v>
      </c>
      <c r="H382" s="126" t="s">
        <v>231</v>
      </c>
      <c r="I382" s="127" t="s">
        <v>266</v>
      </c>
      <c r="J382" s="126">
        <f>+(12.18*1.68+47.83*1.66)/base[[#This Row],[Stake/Responsabilidade]]</f>
        <v>1.6640593234460923</v>
      </c>
      <c r="K382" s="126">
        <f>12.18+47.83</f>
        <v>60.01</v>
      </c>
      <c r="L382" s="129">
        <f>INT(base[[#This Row],[Data de liquidação]])</f>
        <v>46032</v>
      </c>
      <c r="M382" s="126">
        <f>base[[#This Row],[L/P Bruto]]-base[[#This Row],[L/P Líquido]]</f>
        <v>1.7952879581151819</v>
      </c>
      <c r="N382" s="126">
        <f>base[[#This Row],[L/P Líquido]]/base[[#This Row],[Stake/Responsabilidade]]</f>
        <v>0.63489418430261624</v>
      </c>
      <c r="O382" s="132">
        <f>IF(base[[#This Row],[L/P Líquido]]&gt;0,1,0)</f>
        <v>1</v>
      </c>
      <c r="P382" s="132"/>
      <c r="Q382" s="132" t="str">
        <f>LEFT(base[[#This Row],[Evento / Mercado]],FIND("vs",base[[#This Row],[Evento / Mercado]])-2)</f>
        <v>1. FC Heidenheim</v>
      </c>
      <c r="R3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Köln</v>
      </c>
      <c r="S382" s="132" t="e">
        <f>LEFT(base[[#This Row],[Evento / Mercado]],FIND("/",base[[#This Row],[Evento / Mercado]])-2)</f>
        <v>#VALUE!</v>
      </c>
    </row>
    <row r="383" spans="2:21" ht="15" customHeight="1">
      <c r="B383" s="128" t="s">
        <v>369</v>
      </c>
      <c r="C383" s="128" t="s">
        <v>2982</v>
      </c>
      <c r="D383" s="129">
        <v>46032.541875000003</v>
      </c>
      <c r="E383" s="130">
        <v>-60</v>
      </c>
      <c r="F383" s="131">
        <v>4.4999999999999998E-2</v>
      </c>
      <c r="G383" s="126">
        <f t="shared" si="5"/>
        <v>-60</v>
      </c>
      <c r="H383" s="126" t="s">
        <v>231</v>
      </c>
      <c r="I383" s="127" t="s">
        <v>266</v>
      </c>
      <c r="J383" s="126">
        <v>1.75</v>
      </c>
      <c r="K383" s="126">
        <v>60</v>
      </c>
      <c r="L383" s="129">
        <f>INT(base[[#This Row],[Data de liquidação]])</f>
        <v>46032</v>
      </c>
      <c r="M383" s="126">
        <f>base[[#This Row],[L/P Bruto]]-base[[#This Row],[L/P Líquido]]</f>
        <v>0</v>
      </c>
      <c r="N383" s="126">
        <f>base[[#This Row],[L/P Líquido]]/base[[#This Row],[Stake/Responsabilidade]]</f>
        <v>-1</v>
      </c>
      <c r="O383" s="132">
        <f>IF(base[[#This Row],[L/P Líquido]]&gt;0,1,0)</f>
        <v>0</v>
      </c>
      <c r="P383" s="132"/>
      <c r="Q383" s="132" t="str">
        <f>LEFT(base[[#This Row],[Evento / Mercado]],FIND("vs",base[[#This Row],[Evento / Mercado]])-2)</f>
        <v>Frosinone</v>
      </c>
      <c r="R3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383" s="132" t="e">
        <f>LEFT(base[[#This Row],[Evento / Mercado]],FIND("/",base[[#This Row],[Evento / Mercado]])-2)</f>
        <v>#VALUE!</v>
      </c>
    </row>
    <row r="384" spans="2:21" ht="15" customHeight="1">
      <c r="B384" s="128" t="s">
        <v>368</v>
      </c>
      <c r="C384" s="128" t="s">
        <v>2982</v>
      </c>
      <c r="D384" s="129">
        <v>46032.552314814813</v>
      </c>
      <c r="E384" s="130">
        <v>57.3</v>
      </c>
      <c r="F384" s="131">
        <v>4.4999999999999998E-2</v>
      </c>
      <c r="G384" s="126">
        <f t="shared" si="5"/>
        <v>60</v>
      </c>
      <c r="H384" s="126" t="s">
        <v>231</v>
      </c>
      <c r="I384" s="127" t="s">
        <v>232</v>
      </c>
      <c r="J384" s="126">
        <v>2</v>
      </c>
      <c r="K384" s="126">
        <v>60</v>
      </c>
      <c r="L384" s="129">
        <f>INT(base[[#This Row],[Data de liquidação]])</f>
        <v>46032</v>
      </c>
      <c r="M384" s="126">
        <f>base[[#This Row],[L/P Bruto]]-base[[#This Row],[L/P Líquido]]</f>
        <v>2.7000000000000028</v>
      </c>
      <c r="N384" s="126">
        <f>base[[#This Row],[L/P Líquido]]/base[[#This Row],[Stake/Responsabilidade]]</f>
        <v>0.95499999999999996</v>
      </c>
      <c r="O384" s="132">
        <f>IF(base[[#This Row],[L/P Líquido]]&gt;0,1,0)</f>
        <v>1</v>
      </c>
      <c r="P384" s="132"/>
      <c r="Q384" s="132" t="str">
        <f>LEFT(base[[#This Row],[Evento / Mercado]],FIND("vs",base[[#This Row],[Evento / Mercado]])-2)</f>
        <v>SC Freiburg</v>
      </c>
      <c r="R3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384" s="132" t="e">
        <f>LEFT(base[[#This Row],[Evento / Mercado]],FIND("/",base[[#This Row],[Evento / Mercado]])-2)</f>
        <v>#VALUE!</v>
      </c>
    </row>
    <row r="385" spans="2:21" ht="15" customHeight="1">
      <c r="B385" s="128" t="s">
        <v>367</v>
      </c>
      <c r="C385" s="128" t="s">
        <v>2982</v>
      </c>
      <c r="D385" s="129">
        <v>46032.588437500002</v>
      </c>
      <c r="E385" s="130">
        <v>-60</v>
      </c>
      <c r="F385" s="131">
        <v>4.4999999999999998E-2</v>
      </c>
      <c r="G385" s="126">
        <f t="shared" si="5"/>
        <v>-60</v>
      </c>
      <c r="H385" s="126" t="s">
        <v>231</v>
      </c>
      <c r="I385" s="127" t="s">
        <v>232</v>
      </c>
      <c r="J385" s="126">
        <v>1.94</v>
      </c>
      <c r="K385" s="126">
        <v>60</v>
      </c>
      <c r="L385" s="129">
        <f>INT(base[[#This Row],[Data de liquidação]])</f>
        <v>46032</v>
      </c>
      <c r="M385" s="126">
        <f>base[[#This Row],[L/P Bruto]]-base[[#This Row],[L/P Líquido]]</f>
        <v>0</v>
      </c>
      <c r="N385" s="126">
        <f>base[[#This Row],[L/P Líquido]]/base[[#This Row],[Stake/Responsabilidade]]</f>
        <v>-1</v>
      </c>
      <c r="O385" s="132">
        <f>IF(base[[#This Row],[L/P Líquido]]&gt;0,1,0)</f>
        <v>0</v>
      </c>
      <c r="P385" s="132"/>
      <c r="Q385" s="132" t="str">
        <f>LEFT(base[[#This Row],[Evento / Mercado]],FIND("vs",base[[#This Row],[Evento / Mercado]])-2)</f>
        <v>Real Sociedad B</v>
      </c>
      <c r="R3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Albacete Balompié</v>
      </c>
      <c r="S385" s="132" t="e">
        <f>LEFT(base[[#This Row],[Evento / Mercado]],FIND("/",base[[#This Row],[Evento / Mercado]])-2)</f>
        <v>#VALUE!</v>
      </c>
    </row>
    <row r="386" spans="2:21" ht="15" customHeight="1">
      <c r="B386" s="128" t="s">
        <v>366</v>
      </c>
      <c r="C386" s="128" t="s">
        <v>2982</v>
      </c>
      <c r="D386" s="129">
        <v>46032.639340277776</v>
      </c>
      <c r="E386" s="130">
        <v>5.62</v>
      </c>
      <c r="F386" s="131">
        <v>4.4999999999999998E-2</v>
      </c>
      <c r="G386" s="126">
        <f t="shared" si="5"/>
        <v>5.8848167539267022</v>
      </c>
      <c r="H386" s="126" t="s">
        <v>73</v>
      </c>
      <c r="I386" s="127" t="s">
        <v>13</v>
      </c>
      <c r="J386" s="126">
        <v>18</v>
      </c>
      <c r="K386" s="126">
        <v>99.96</v>
      </c>
      <c r="L386" s="129">
        <f>INT(base[[#This Row],[Data de liquidação]])</f>
        <v>46032</v>
      </c>
      <c r="M386" s="126">
        <f>base[[#This Row],[L/P Bruto]]-base[[#This Row],[L/P Líquido]]</f>
        <v>0.26481675392670212</v>
      </c>
      <c r="N386" s="126">
        <f>base[[#This Row],[L/P Líquido]]/base[[#This Row],[Stake/Responsabilidade]]</f>
        <v>5.6222488995598244E-2</v>
      </c>
      <c r="O386" s="132">
        <f>IF(base[[#This Row],[L/P Líquido]]&gt;0,1,0)</f>
        <v>1</v>
      </c>
      <c r="P386" s="132"/>
      <c r="Q386" s="132" t="str">
        <f>LEFT(base[[#This Row],[Evento / Mercado]],FIND("vs",base[[#This Row],[Evento / Mercado]])-2)</f>
        <v>Juve Stabia</v>
      </c>
      <c r="R3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Pescara</v>
      </c>
      <c r="S386" s="132" t="e">
        <f>LEFT(base[[#This Row],[Evento / Mercado]],FIND("/",base[[#This Row],[Evento / Mercado]])-2)</f>
        <v>#VALUE!</v>
      </c>
    </row>
    <row r="387" spans="2:21" ht="15" customHeight="1">
      <c r="B387" s="128" t="s">
        <v>365</v>
      </c>
      <c r="C387" s="128" t="s">
        <v>2982</v>
      </c>
      <c r="D387" s="129">
        <v>46032.641076388885</v>
      </c>
      <c r="E387" s="130">
        <v>7.08</v>
      </c>
      <c r="F387" s="131">
        <v>4.4999999999999998E-2</v>
      </c>
      <c r="G387" s="126">
        <f t="shared" ref="G387:G450" si="6">IF(E387&gt;0,E387/(1-F387),E387)</f>
        <v>7.4136125654450264</v>
      </c>
      <c r="H387" s="126" t="s">
        <v>73</v>
      </c>
      <c r="I387" s="127" t="s">
        <v>13</v>
      </c>
      <c r="J387" s="126">
        <v>14.5</v>
      </c>
      <c r="K387" s="126">
        <v>100.04</v>
      </c>
      <c r="L387" s="129">
        <f>INT(base[[#This Row],[Data de liquidação]])</f>
        <v>46032</v>
      </c>
      <c r="M387" s="126">
        <f>base[[#This Row],[L/P Bruto]]-base[[#This Row],[L/P Líquido]]</f>
        <v>0.33361256544502638</v>
      </c>
      <c r="N387" s="126">
        <f>base[[#This Row],[L/P Líquido]]/base[[#This Row],[Stake/Responsabilidade]]</f>
        <v>7.0771691323470609E-2</v>
      </c>
      <c r="O387" s="132">
        <f>IF(base[[#This Row],[L/P Líquido]]&gt;0,1,0)</f>
        <v>1</v>
      </c>
      <c r="P387" s="132"/>
      <c r="Q387" s="132" t="str">
        <f>LEFT(base[[#This Row],[Evento / Mercado]],FIND("vs",base[[#This Row],[Evento / Mercado]])-2)</f>
        <v>Sorrento</v>
      </c>
      <c r="R3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Foggia</v>
      </c>
      <c r="S387" s="132" t="e">
        <f>LEFT(base[[#This Row],[Evento / Mercado]],FIND("/",base[[#This Row],[Evento / Mercado]])-2)</f>
        <v>#VALUE!</v>
      </c>
    </row>
    <row r="388" spans="2:21" ht="15" customHeight="1">
      <c r="B388" s="128" t="s">
        <v>364</v>
      </c>
      <c r="C388" s="128" t="s">
        <v>2982</v>
      </c>
      <c r="D388" s="129">
        <v>46032.663171296299</v>
      </c>
      <c r="E388" s="130">
        <v>5.62</v>
      </c>
      <c r="F388" s="131">
        <v>4.4999999999999998E-2</v>
      </c>
      <c r="G388" s="126">
        <f t="shared" si="6"/>
        <v>5.8848167539267022</v>
      </c>
      <c r="H388" s="126" t="s">
        <v>73</v>
      </c>
      <c r="I388" s="127" t="s">
        <v>13</v>
      </c>
      <c r="J388" s="126">
        <v>18</v>
      </c>
      <c r="K388" s="126">
        <v>99.96</v>
      </c>
      <c r="L388" s="129">
        <f>INT(base[[#This Row],[Data de liquidação]])</f>
        <v>46032</v>
      </c>
      <c r="M388" s="126">
        <f>base[[#This Row],[L/P Bruto]]-base[[#This Row],[L/P Líquido]]</f>
        <v>0.26481675392670212</v>
      </c>
      <c r="N388" s="126">
        <f>base[[#This Row],[L/P Líquido]]/base[[#This Row],[Stake/Responsabilidade]]</f>
        <v>5.6222488995598244E-2</v>
      </c>
      <c r="O388" s="132">
        <f>IF(base[[#This Row],[L/P Líquido]]&gt;0,1,0)</f>
        <v>1</v>
      </c>
      <c r="P388" s="132"/>
      <c r="Q388" s="132" t="str">
        <f>LEFT(base[[#This Row],[Evento / Mercado]],FIND("vs",base[[#This Row],[Evento / Mercado]])-2)</f>
        <v>AS Roma</v>
      </c>
      <c r="R3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Sassuolo</v>
      </c>
      <c r="S388" s="132" t="e">
        <f>LEFT(base[[#This Row],[Evento / Mercado]],FIND("/",base[[#This Row],[Evento / Mercado]])-2)</f>
        <v>#VALUE!</v>
      </c>
    </row>
    <row r="389" spans="2:21" ht="15" customHeight="1">
      <c r="B389" s="128" t="s">
        <v>363</v>
      </c>
      <c r="C389" s="128" t="s">
        <v>2982</v>
      </c>
      <c r="D389" s="129">
        <v>46032.682349537034</v>
      </c>
      <c r="E389" s="130">
        <v>11.020699999999998</v>
      </c>
      <c r="F389" s="131">
        <v>4.4999999999999998E-2</v>
      </c>
      <c r="G389" s="126">
        <f t="shared" si="6"/>
        <v>11.54</v>
      </c>
      <c r="H389" s="126" t="s">
        <v>74</v>
      </c>
      <c r="I389" s="127" t="s">
        <v>477</v>
      </c>
      <c r="J389" s="126">
        <v>14</v>
      </c>
      <c r="K389" s="126">
        <v>150.02000000000001</v>
      </c>
      <c r="L389" s="129">
        <f>INT(base[[#This Row],[Data de liquidação]])</f>
        <v>46032</v>
      </c>
      <c r="M389" s="126">
        <f>base[[#This Row],[L/P Bruto]]-base[[#This Row],[L/P Líquido]]</f>
        <v>0.51930000000000121</v>
      </c>
      <c r="N389" s="139">
        <f>base[[#This Row],[L/P Líquido]]/base[[#This Row],[Stake/Responsabilidade]]</f>
        <v>7.3461538461538439E-2</v>
      </c>
      <c r="O389" s="132">
        <f>IF(base[[#This Row],[L/P Líquido]]&gt;0,1,0)</f>
        <v>1</v>
      </c>
      <c r="P389" s="132" t="s">
        <v>962</v>
      </c>
      <c r="Q389" s="132" t="str">
        <f>LEFT(base[[#This Row],[Evento / Mercado]],FIND("vs",base[[#This Row],[Evento / Mercado]])-2)</f>
        <v>Bayer 04 Leverkusen</v>
      </c>
      <c r="R3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389" s="132" t="e">
        <f>LEFT(base[[#This Row],[Evento / Mercado]],FIND("/",base[[#This Row],[Evento / Mercado]])-2)</f>
        <v>#VALUE!</v>
      </c>
      <c r="T389" s="8">
        <v>11.54</v>
      </c>
      <c r="U389" s="9">
        <f>T389*0.955</f>
        <v>11.020699999999998</v>
      </c>
    </row>
    <row r="390" spans="2:21" ht="15" customHeight="1">
      <c r="B390" s="128" t="s">
        <v>363</v>
      </c>
      <c r="C390" s="128" t="s">
        <v>2982</v>
      </c>
      <c r="D390" s="129">
        <v>46032.682349537034</v>
      </c>
      <c r="E390" s="130">
        <v>8.1843500000000002</v>
      </c>
      <c r="F390" s="131">
        <v>4.4999999999999998E-2</v>
      </c>
      <c r="G390" s="126">
        <f t="shared" si="6"/>
        <v>8.57</v>
      </c>
      <c r="H390" s="126" t="s">
        <v>74</v>
      </c>
      <c r="I390" s="127" t="s">
        <v>476</v>
      </c>
      <c r="J390" s="126">
        <v>18.5</v>
      </c>
      <c r="K390" s="126">
        <v>149.97999999999999</v>
      </c>
      <c r="L390" s="129">
        <f>INT(base[[#This Row],[Data de liquidação]])</f>
        <v>46032</v>
      </c>
      <c r="M390" s="126">
        <f>base[[#This Row],[L/P Bruto]]-base[[#This Row],[L/P Líquido]]</f>
        <v>0.38565000000000005</v>
      </c>
      <c r="N390" s="139">
        <f>base[[#This Row],[L/P Líquido]]/base[[#This Row],[Stake/Responsabilidade]]</f>
        <v>5.4569609281237504E-2</v>
      </c>
      <c r="O390" s="132">
        <f>IF(base[[#This Row],[L/P Líquido]]&gt;0,1,0)</f>
        <v>1</v>
      </c>
      <c r="P390" s="132" t="s">
        <v>962</v>
      </c>
      <c r="Q390" s="132" t="str">
        <f>LEFT(base[[#This Row],[Evento / Mercado]],FIND("vs",base[[#This Row],[Evento / Mercado]])-2)</f>
        <v>Bayer 04 Leverkusen</v>
      </c>
      <c r="R3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390" s="132" t="e">
        <f>LEFT(base[[#This Row],[Evento / Mercado]],FIND("/",base[[#This Row],[Evento / Mercado]])-2)</f>
        <v>#VALUE!</v>
      </c>
      <c r="T390" s="8">
        <v>8.57</v>
      </c>
      <c r="U390" s="9">
        <f>T390*0.955</f>
        <v>8.1843500000000002</v>
      </c>
    </row>
    <row r="391" spans="2:21" ht="15" customHeight="1">
      <c r="B391" s="128" t="s">
        <v>362</v>
      </c>
      <c r="C391" s="128" t="s">
        <v>2982</v>
      </c>
      <c r="D391" s="129">
        <v>46032.688969907409</v>
      </c>
      <c r="E391" s="130">
        <v>-100.03</v>
      </c>
      <c r="F391" s="131">
        <v>4.4999999999999998E-2</v>
      </c>
      <c r="G391" s="126">
        <f t="shared" si="6"/>
        <v>-100.03</v>
      </c>
      <c r="H391" s="126" t="s">
        <v>73</v>
      </c>
      <c r="I391" s="127" t="s">
        <v>13</v>
      </c>
      <c r="J391" s="126">
        <v>8</v>
      </c>
      <c r="K391" s="126">
        <v>100.03</v>
      </c>
      <c r="L391" s="129">
        <f>INT(base[[#This Row],[Data de liquidação]])</f>
        <v>46032</v>
      </c>
      <c r="M391" s="126">
        <f>base[[#This Row],[L/P Bruto]]-base[[#This Row],[L/P Líquido]]</f>
        <v>0</v>
      </c>
      <c r="N391" s="126">
        <f>base[[#This Row],[L/P Líquido]]/base[[#This Row],[Stake/Responsabilidade]]</f>
        <v>-1</v>
      </c>
      <c r="O391" s="132">
        <f>IF(base[[#This Row],[L/P Líquido]]&gt;0,1,0)</f>
        <v>0</v>
      </c>
      <c r="P391" s="132"/>
      <c r="Q391" s="132" t="str">
        <f>LEFT(base[[#This Row],[Evento / Mercado]],FIND("vs",base[[#This Row],[Evento / Mercado]])-2)</f>
        <v>Al-Akhdoud</v>
      </c>
      <c r="R3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Ahli Jeddah</v>
      </c>
      <c r="S391" s="132" t="e">
        <f>LEFT(base[[#This Row],[Evento / Mercado]],FIND("/",base[[#This Row],[Evento / Mercado]])-2)</f>
        <v>#VALUE!</v>
      </c>
    </row>
    <row r="392" spans="2:21" ht="15" customHeight="1">
      <c r="B392" s="128" t="s">
        <v>361</v>
      </c>
      <c r="C392" s="128" t="s">
        <v>2982</v>
      </c>
      <c r="D392" s="129">
        <v>46032.746319444443</v>
      </c>
      <c r="E392" s="130">
        <v>8.9600000000000009</v>
      </c>
      <c r="F392" s="131">
        <v>4.4999999999999998E-2</v>
      </c>
      <c r="G392" s="126">
        <f t="shared" si="6"/>
        <v>9.3821989528795822</v>
      </c>
      <c r="H392" s="126" t="s">
        <v>122</v>
      </c>
      <c r="I392" s="127" t="s">
        <v>477</v>
      </c>
      <c r="J392" s="126">
        <v>17</v>
      </c>
      <c r="K392" s="126">
        <v>150.08000000000001</v>
      </c>
      <c r="L392" s="129">
        <f>INT(base[[#This Row],[Data de liquidação]])</f>
        <v>46032</v>
      </c>
      <c r="M392" s="126">
        <f>base[[#This Row],[L/P Bruto]]-base[[#This Row],[L/P Líquido]]</f>
        <v>0.42219895287958131</v>
      </c>
      <c r="N392" s="126">
        <f>base[[#This Row],[L/P Líquido]]/base[[#This Row],[Stake/Responsabilidade]]</f>
        <v>5.9701492537313432E-2</v>
      </c>
      <c r="O392" s="132">
        <f>IF(base[[#This Row],[L/P Líquido]]&gt;0,1,0)</f>
        <v>1</v>
      </c>
      <c r="P392" s="132" t="s">
        <v>967</v>
      </c>
      <c r="Q392" s="132" t="str">
        <f>LEFT(base[[#This Row],[Evento / Mercado]],FIND("vs",base[[#This Row],[Evento / Mercado]])-2)</f>
        <v>PSV Eindhoven</v>
      </c>
      <c r="R3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392" s="132" t="e">
        <f>LEFT(base[[#This Row],[Evento / Mercado]],FIND("/",base[[#This Row],[Evento / Mercado]])-2)</f>
        <v>#VALUE!</v>
      </c>
    </row>
    <row r="393" spans="2:21" ht="15" customHeight="1">
      <c r="B393" s="128" t="s">
        <v>361</v>
      </c>
      <c r="C393" s="128" t="s">
        <v>2982</v>
      </c>
      <c r="D393" s="129">
        <v>46032.746342592596</v>
      </c>
      <c r="E393" s="130">
        <v>9.01</v>
      </c>
      <c r="F393" s="131">
        <v>4.4999999999999998E-2</v>
      </c>
      <c r="G393" s="126">
        <f t="shared" si="6"/>
        <v>9.4345549738219905</v>
      </c>
      <c r="H393" s="126" t="s">
        <v>145</v>
      </c>
      <c r="I393" s="127" t="s">
        <v>301</v>
      </c>
      <c r="J393" s="126">
        <v>18.5</v>
      </c>
      <c r="K393" s="126">
        <v>165.03</v>
      </c>
      <c r="L393" s="129">
        <f>INT(base[[#This Row],[Data de liquidação]])</f>
        <v>46032</v>
      </c>
      <c r="M393" s="126">
        <f>base[[#This Row],[L/P Bruto]]-base[[#This Row],[L/P Líquido]]</f>
        <v>0.4245549738219907</v>
      </c>
      <c r="N393" s="126">
        <f>base[[#This Row],[L/P Líquido]]/base[[#This Row],[Stake/Responsabilidade]]</f>
        <v>5.4596134036235831E-2</v>
      </c>
      <c r="O393" s="132">
        <f>IF(base[[#This Row],[L/P Líquido]]&gt;0,1,0)</f>
        <v>1</v>
      </c>
      <c r="P393" s="132" t="s">
        <v>967</v>
      </c>
      <c r="Q393" s="132" t="str">
        <f>LEFT(base[[#This Row],[Evento / Mercado]],FIND("vs",base[[#This Row],[Evento / Mercado]])-2)</f>
        <v>PSV Eindhoven</v>
      </c>
      <c r="R3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393" s="132" t="e">
        <f>LEFT(base[[#This Row],[Evento / Mercado]],FIND("/",base[[#This Row],[Evento / Mercado]])-2)</f>
        <v>#VALUE!</v>
      </c>
    </row>
    <row r="394" spans="2:21" ht="15" customHeight="1">
      <c r="B394" s="128" t="s">
        <v>360</v>
      </c>
      <c r="C394" s="128" t="s">
        <v>2982</v>
      </c>
      <c r="D394" s="129">
        <v>46032.778715277775</v>
      </c>
      <c r="E394" s="130">
        <v>5.62</v>
      </c>
      <c r="F394" s="131">
        <v>4.4999999999999998E-2</v>
      </c>
      <c r="G394" s="126">
        <f t="shared" si="6"/>
        <v>5.8848167539267022</v>
      </c>
      <c r="H394" s="126" t="s">
        <v>73</v>
      </c>
      <c r="I394" s="127" t="s">
        <v>13</v>
      </c>
      <c r="J394" s="126">
        <v>18</v>
      </c>
      <c r="K394" s="126">
        <v>99.96</v>
      </c>
      <c r="L394" s="129">
        <f>INT(base[[#This Row],[Data de liquidação]])</f>
        <v>46032</v>
      </c>
      <c r="M394" s="126">
        <f>base[[#This Row],[L/P Bruto]]-base[[#This Row],[L/P Líquido]]</f>
        <v>0.26481675392670212</v>
      </c>
      <c r="N394" s="126">
        <f>base[[#This Row],[L/P Líquido]]/base[[#This Row],[Stake/Responsabilidade]]</f>
        <v>5.6222488995598244E-2</v>
      </c>
      <c r="O394" s="132">
        <f>IF(base[[#This Row],[L/P Líquido]]&gt;0,1,0)</f>
        <v>1</v>
      </c>
      <c r="P394" s="132"/>
      <c r="Q394" s="132" t="str">
        <f>LEFT(base[[#This Row],[Evento / Mercado]],FIND("vs",base[[#This Row],[Evento / Mercado]])-2)</f>
        <v>Atalanta</v>
      </c>
      <c r="R3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Torino</v>
      </c>
      <c r="S394" s="132" t="e">
        <f>LEFT(base[[#This Row],[Evento / Mercado]],FIND("/",base[[#This Row],[Evento / Mercado]])-2)</f>
        <v>#VALUE!</v>
      </c>
    </row>
    <row r="395" spans="2:21" ht="15" customHeight="1">
      <c r="B395" s="128" t="s">
        <v>359</v>
      </c>
      <c r="C395" s="128" t="s">
        <v>2982</v>
      </c>
      <c r="D395" s="129">
        <v>46032.792534722219</v>
      </c>
      <c r="E395" s="130">
        <v>10.85</v>
      </c>
      <c r="F395" s="131">
        <v>4.4999999999999998E-2</v>
      </c>
      <c r="G395" s="126">
        <f t="shared" si="6"/>
        <v>11.361256544502618</v>
      </c>
      <c r="H395" s="126" t="s">
        <v>73</v>
      </c>
      <c r="I395" s="127" t="s">
        <v>16</v>
      </c>
      <c r="J395" s="126">
        <v>9.8000000000000007</v>
      </c>
      <c r="K395" s="126">
        <v>99.97</v>
      </c>
      <c r="L395" s="129">
        <f>INT(base[[#This Row],[Data de liquidação]])</f>
        <v>46032</v>
      </c>
      <c r="M395" s="126">
        <f>base[[#This Row],[L/P Bruto]]-base[[#This Row],[L/P Líquido]]</f>
        <v>0.51125654450261848</v>
      </c>
      <c r="N395" s="126">
        <f>base[[#This Row],[L/P Líquido]]/base[[#This Row],[Stake/Responsabilidade]]</f>
        <v>0.10853255976793037</v>
      </c>
      <c r="O395" s="132">
        <f>IF(base[[#This Row],[L/P Líquido]]&gt;0,1,0)</f>
        <v>1</v>
      </c>
      <c r="P395" s="132"/>
      <c r="Q395" s="132" t="str">
        <f>LEFT(base[[#This Row],[Evento / Mercado]],FIND("vs",base[[#This Row],[Evento / Mercado]])-2)</f>
        <v>Racing Santander</v>
      </c>
      <c r="R3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Zaragoza</v>
      </c>
      <c r="S395" s="132" t="e">
        <f>LEFT(base[[#This Row],[Evento / Mercado]],FIND("/",base[[#This Row],[Evento / Mercado]])-2)</f>
        <v>#VALUE!</v>
      </c>
    </row>
    <row r="396" spans="2:21" ht="15" customHeight="1">
      <c r="B396" s="128" t="s">
        <v>358</v>
      </c>
      <c r="C396" s="128" t="s">
        <v>2982</v>
      </c>
      <c r="D396" s="129">
        <v>46033.377465277779</v>
      </c>
      <c r="E396" s="130">
        <v>34.950000000000003</v>
      </c>
      <c r="F396" s="131">
        <v>4.4999999999999998E-2</v>
      </c>
      <c r="G396" s="126">
        <f t="shared" si="6"/>
        <v>36.596858638743463</v>
      </c>
      <c r="H396" s="126" t="s">
        <v>231</v>
      </c>
      <c r="I396" s="127" t="s">
        <v>232</v>
      </c>
      <c r="J396" s="126">
        <v>1.61</v>
      </c>
      <c r="K396" s="126">
        <v>60</v>
      </c>
      <c r="L396" s="129">
        <f>INT(base[[#This Row],[Data de liquidação]])</f>
        <v>46033</v>
      </c>
      <c r="M396" s="126">
        <f>base[[#This Row],[L/P Bruto]]-base[[#This Row],[L/P Líquido]]</f>
        <v>1.6468586387434598</v>
      </c>
      <c r="N396" s="126">
        <f>base[[#This Row],[L/P Líquido]]/base[[#This Row],[Stake/Responsabilidade]]</f>
        <v>0.58250000000000002</v>
      </c>
      <c r="O396" s="132">
        <f>IF(base[[#This Row],[L/P Líquido]]&gt;0,1,0)</f>
        <v>1</v>
      </c>
      <c r="P396" s="132"/>
      <c r="Q396" s="132" t="str">
        <f>LEFT(base[[#This Row],[Evento / Mercado]],FIND("vs",base[[#This Row],[Evento / Mercado]])-2)</f>
        <v>Heerenveen</v>
      </c>
      <c r="R3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396" s="132" t="e">
        <f>LEFT(base[[#This Row],[Evento / Mercado]],FIND("/",base[[#This Row],[Evento / Mercado]])-2)</f>
        <v>#VALUE!</v>
      </c>
    </row>
    <row r="397" spans="2:21" ht="15" customHeight="1">
      <c r="B397" s="128" t="s">
        <v>358</v>
      </c>
      <c r="C397" s="128" t="s">
        <v>2982</v>
      </c>
      <c r="D397" s="129">
        <v>46033.424745370372</v>
      </c>
      <c r="E397" s="130">
        <v>10.86</v>
      </c>
      <c r="F397" s="131">
        <v>4.4999999999999998E-2</v>
      </c>
      <c r="G397" s="126">
        <f t="shared" si="6"/>
        <v>11.3717277486911</v>
      </c>
      <c r="H397" s="126" t="s">
        <v>74</v>
      </c>
      <c r="I397" s="127" t="s">
        <v>542</v>
      </c>
      <c r="J397" s="126">
        <v>14</v>
      </c>
      <c r="K397" s="126">
        <v>147.87</v>
      </c>
      <c r="L397" s="129">
        <f>INT(base[[#This Row],[Data de liquidação]])</f>
        <v>46033</v>
      </c>
      <c r="M397" s="126">
        <f>base[[#This Row],[L/P Bruto]]-base[[#This Row],[L/P Líquido]]</f>
        <v>0.51172774869110071</v>
      </c>
      <c r="N397" s="139">
        <f>base[[#This Row],[L/P Líquido]]/base[[#This Row],[Stake/Responsabilidade]]</f>
        <v>7.3442889024142824E-2</v>
      </c>
      <c r="O397" s="132">
        <f>IF(base[[#This Row],[L/P Líquido]]&gt;0,1,0)</f>
        <v>1</v>
      </c>
      <c r="P397" s="132" t="s">
        <v>967</v>
      </c>
      <c r="Q397" s="132" t="str">
        <f>LEFT(base[[#This Row],[Evento / Mercado]],FIND("vs",base[[#This Row],[Evento / Mercado]])-2)</f>
        <v>Heerenveen</v>
      </c>
      <c r="R3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397" s="132" t="e">
        <f>LEFT(base[[#This Row],[Evento / Mercado]],FIND("/",base[[#This Row],[Evento / Mercado]])-2)</f>
        <v>#VALUE!</v>
      </c>
    </row>
    <row r="398" spans="2:21" ht="15" customHeight="1">
      <c r="B398" s="128" t="s">
        <v>357</v>
      </c>
      <c r="C398" s="128" t="s">
        <v>2982</v>
      </c>
      <c r="D398" s="129">
        <v>46033.559745370374</v>
      </c>
      <c r="E398" s="130">
        <v>5.43</v>
      </c>
      <c r="F398" s="131">
        <v>4.4999999999999998E-2</v>
      </c>
      <c r="G398" s="126">
        <f t="shared" si="6"/>
        <v>5.6858638743455501</v>
      </c>
      <c r="H398" s="126" t="s">
        <v>73</v>
      </c>
      <c r="I398" s="127" t="s">
        <v>13</v>
      </c>
      <c r="J398" s="126">
        <v>18</v>
      </c>
      <c r="K398" s="126">
        <v>96.69</v>
      </c>
      <c r="L398" s="129">
        <f>INT(base[[#This Row],[Data de liquidação]])</f>
        <v>46033</v>
      </c>
      <c r="M398" s="126">
        <f>base[[#This Row],[L/P Bruto]]-base[[#This Row],[L/P Líquido]]</f>
        <v>0.25586387434555036</v>
      </c>
      <c r="N398" s="126">
        <f>base[[#This Row],[L/P Líquido]]/base[[#This Row],[Stake/Responsabilidade]]</f>
        <v>5.6158858206639774E-2</v>
      </c>
      <c r="O398" s="132">
        <f>IF(base[[#This Row],[L/P Líquido]]&gt;0,1,0)</f>
        <v>1</v>
      </c>
      <c r="P398" s="132"/>
      <c r="Q398" s="132" t="str">
        <f>LEFT(base[[#This Row],[Evento / Mercado]],FIND("vs",base[[#This Row],[Evento / Mercado]])-2)</f>
        <v>Norwich City</v>
      </c>
      <c r="R3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Walsall</v>
      </c>
      <c r="S398" s="132" t="e">
        <f>LEFT(base[[#This Row],[Evento / Mercado]],FIND("/",base[[#This Row],[Evento / Mercado]])-2)</f>
        <v>#VALUE!</v>
      </c>
    </row>
    <row r="399" spans="2:21" ht="15" customHeight="1">
      <c r="B399" s="128" t="s">
        <v>356</v>
      </c>
      <c r="C399" s="128" t="s">
        <v>2982</v>
      </c>
      <c r="D399" s="129">
        <v>46033.563842592594</v>
      </c>
      <c r="E399" s="130">
        <v>48.13</v>
      </c>
      <c r="F399" s="131">
        <v>4.4999999999999998E-2</v>
      </c>
      <c r="G399" s="126">
        <f t="shared" si="6"/>
        <v>50.397905759162306</v>
      </c>
      <c r="H399" s="126" t="s">
        <v>231</v>
      </c>
      <c r="I399" s="127" t="s">
        <v>266</v>
      </c>
      <c r="J399" s="126">
        <v>1.84</v>
      </c>
      <c r="K399" s="126">
        <v>60</v>
      </c>
      <c r="L399" s="129">
        <f>INT(base[[#This Row],[Data de liquidação]])</f>
        <v>46033</v>
      </c>
      <c r="M399" s="126">
        <f>base[[#This Row],[L/P Bruto]]-base[[#This Row],[L/P Líquido]]</f>
        <v>2.2679057591623035</v>
      </c>
      <c r="N399" s="126">
        <f>base[[#This Row],[L/P Líquido]]/base[[#This Row],[Stake/Responsabilidade]]</f>
        <v>0.80216666666666669</v>
      </c>
      <c r="O399" s="132">
        <f>IF(base[[#This Row],[L/P Líquido]]&gt;0,1,0)</f>
        <v>1</v>
      </c>
      <c r="P399" s="132"/>
      <c r="Q399" s="132" t="str">
        <f>LEFT(base[[#This Row],[Evento / Mercado]],FIND("vs",base[[#This Row],[Evento / Mercado]])-2)</f>
        <v>Levante UD</v>
      </c>
      <c r="R3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Espanyol</v>
      </c>
      <c r="S399" s="132" t="e">
        <f>LEFT(base[[#This Row],[Evento / Mercado]],FIND("/",base[[#This Row],[Evento / Mercado]])-2)</f>
        <v>#VALUE!</v>
      </c>
    </row>
    <row r="400" spans="2:21" ht="15" customHeight="1">
      <c r="B400" s="128" t="s">
        <v>355</v>
      </c>
      <c r="C400" s="128" t="s">
        <v>2982</v>
      </c>
      <c r="D400" s="129">
        <v>46033.564780092594</v>
      </c>
      <c r="E400" s="130">
        <v>12.9</v>
      </c>
      <c r="F400" s="131">
        <v>4.4999999999999998E-2</v>
      </c>
      <c r="G400" s="126">
        <f t="shared" si="6"/>
        <v>13.507853403141363</v>
      </c>
      <c r="H400" s="126" t="s">
        <v>73</v>
      </c>
      <c r="I400" s="127" t="s">
        <v>16</v>
      </c>
      <c r="J400" s="126">
        <v>8.4</v>
      </c>
      <c r="K400" s="126">
        <v>99.97</v>
      </c>
      <c r="L400" s="129">
        <f>INT(base[[#This Row],[Data de liquidação]])</f>
        <v>46033</v>
      </c>
      <c r="M400" s="126">
        <f>base[[#This Row],[L/P Bruto]]-base[[#This Row],[L/P Líquido]]</f>
        <v>0.60785340314136249</v>
      </c>
      <c r="N400" s="126">
        <f>base[[#This Row],[L/P Líquido]]/base[[#This Row],[Stake/Responsabilidade]]</f>
        <v>0.12903871161348404</v>
      </c>
      <c r="O400" s="132">
        <f>IF(base[[#This Row],[L/P Líquido]]&gt;0,1,0)</f>
        <v>1</v>
      </c>
      <c r="P400" s="132"/>
      <c r="Q400" s="132" t="str">
        <f>LEFT(base[[#This Row],[Evento / Mercado]],FIND("vs",base[[#This Row],[Evento / Mercado]])-2)</f>
        <v>West Ham</v>
      </c>
      <c r="R4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Queens Park Rangers</v>
      </c>
      <c r="S400" s="132" t="e">
        <f>LEFT(base[[#This Row],[Evento / Mercado]],FIND("/",base[[#This Row],[Evento / Mercado]])-2)</f>
        <v>#VALUE!</v>
      </c>
    </row>
    <row r="401" spans="2:19" ht="15" customHeight="1">
      <c r="B401" s="128" t="s">
        <v>354</v>
      </c>
      <c r="C401" s="128" t="s">
        <v>2982</v>
      </c>
      <c r="D401" s="129">
        <v>46033.571886574071</v>
      </c>
      <c r="E401" s="130">
        <v>51.57</v>
      </c>
      <c r="F401" s="131">
        <v>4.4999999999999998E-2</v>
      </c>
      <c r="G401" s="126">
        <f t="shared" si="6"/>
        <v>54</v>
      </c>
      <c r="H401" s="126" t="s">
        <v>231</v>
      </c>
      <c r="I401" s="127" t="s">
        <v>266</v>
      </c>
      <c r="J401" s="126">
        <v>1.9</v>
      </c>
      <c r="K401" s="126">
        <v>60</v>
      </c>
      <c r="L401" s="129">
        <f>INT(base[[#This Row],[Data de liquidação]])</f>
        <v>46033</v>
      </c>
      <c r="M401" s="126">
        <f>base[[#This Row],[L/P Bruto]]-base[[#This Row],[L/P Líquido]]</f>
        <v>2.4299999999999997</v>
      </c>
      <c r="N401" s="126">
        <f>base[[#This Row],[L/P Líquido]]/base[[#This Row],[Stake/Responsabilidade]]</f>
        <v>0.85950000000000004</v>
      </c>
      <c r="O401" s="132">
        <f>IF(base[[#This Row],[L/P Líquido]]&gt;0,1,0)</f>
        <v>1</v>
      </c>
      <c r="P401" s="132"/>
      <c r="Q401" s="132" t="str">
        <f>LEFT(base[[#This Row],[Evento / Mercado]],FIND("vs",base[[#This Row],[Evento / Mercado]])-2)</f>
        <v>FC Bayern München</v>
      </c>
      <c r="R4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401" s="132" t="e">
        <f>LEFT(base[[#This Row],[Evento / Mercado]],FIND("/",base[[#This Row],[Evento / Mercado]])-2)</f>
        <v>#VALUE!</v>
      </c>
    </row>
    <row r="402" spans="2:19" ht="15" customHeight="1">
      <c r="B402" s="128" t="s">
        <v>353</v>
      </c>
      <c r="C402" s="128" t="s">
        <v>2982</v>
      </c>
      <c r="D402" s="129">
        <v>46033.635162037041</v>
      </c>
      <c r="E402" s="130">
        <v>-46.84</v>
      </c>
      <c r="F402" s="131">
        <v>4.4999999999999998E-2</v>
      </c>
      <c r="G402" s="126">
        <f t="shared" si="6"/>
        <v>-46.84</v>
      </c>
      <c r="H402" s="126" t="s">
        <v>211</v>
      </c>
      <c r="I402" s="127" t="s">
        <v>214</v>
      </c>
      <c r="J402" s="126">
        <v>1.94</v>
      </c>
      <c r="K402" s="126">
        <v>100</v>
      </c>
      <c r="L402" s="129">
        <f>INT(base[[#This Row],[Data de liquidação]])</f>
        <v>46033</v>
      </c>
      <c r="M402" s="126">
        <f>base[[#This Row],[L/P Bruto]]-base[[#This Row],[L/P Líquido]]</f>
        <v>0</v>
      </c>
      <c r="N402" s="126">
        <f>base[[#This Row],[L/P Líquido]]/base[[#This Row],[Stake/Responsabilidade]]</f>
        <v>-0.46840000000000004</v>
      </c>
      <c r="O402" s="132">
        <f>IF(base[[#This Row],[L/P Líquido]]&gt;0,1,0)</f>
        <v>0</v>
      </c>
      <c r="P402" s="132"/>
      <c r="Q402" s="132" t="str">
        <f>LEFT(base[[#This Row],[Evento / Mercado]],FIND("vs",base[[#This Row],[Evento / Mercado]])-2)</f>
        <v>Padova</v>
      </c>
      <c r="R4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Modena FC 2018</v>
      </c>
      <c r="S402" s="132" t="e">
        <f>LEFT(base[[#This Row],[Evento / Mercado]],FIND("/",base[[#This Row],[Evento / Mercado]])-2)</f>
        <v>#VALUE!</v>
      </c>
    </row>
    <row r="403" spans="2:19" ht="15" customHeight="1">
      <c r="B403" s="128" t="s">
        <v>352</v>
      </c>
      <c r="C403" s="128" t="s">
        <v>2982</v>
      </c>
      <c r="D403" s="129">
        <v>46033.641122685185</v>
      </c>
      <c r="E403" s="130">
        <v>-37.5</v>
      </c>
      <c r="F403" s="131">
        <v>4.4999999999999998E-2</v>
      </c>
      <c r="G403" s="126">
        <f t="shared" si="6"/>
        <v>-37.5</v>
      </c>
      <c r="H403" s="126" t="s">
        <v>211</v>
      </c>
      <c r="I403" s="127" t="s">
        <v>212</v>
      </c>
      <c r="J403" s="126">
        <v>1.75</v>
      </c>
      <c r="K403" s="126">
        <v>100</v>
      </c>
      <c r="L403" s="129">
        <f>INT(base[[#This Row],[Data de liquidação]])</f>
        <v>46033</v>
      </c>
      <c r="M403" s="126">
        <f>base[[#This Row],[L/P Bruto]]-base[[#This Row],[L/P Líquido]]</f>
        <v>0</v>
      </c>
      <c r="N403" s="126">
        <f>base[[#This Row],[L/P Líquido]]/base[[#This Row],[Stake/Responsabilidade]]</f>
        <v>-0.375</v>
      </c>
      <c r="O403" s="132">
        <f>IF(base[[#This Row],[L/P Líquido]]&gt;0,1,0)</f>
        <v>0</v>
      </c>
      <c r="P403" s="132"/>
      <c r="Q403" s="132" t="str">
        <f>LEFT(base[[#This Row],[Evento / Mercado]],FIND("vs",base[[#This Row],[Evento / Mercado]])-2)</f>
        <v>Manchester United</v>
      </c>
      <c r="R4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403" s="132" t="e">
        <f>LEFT(base[[#This Row],[Evento / Mercado]],FIND("/",base[[#This Row],[Evento / Mercado]])-2)</f>
        <v>#VALUE!</v>
      </c>
    </row>
    <row r="404" spans="2:19" ht="15" customHeight="1">
      <c r="B404" s="128" t="s">
        <v>351</v>
      </c>
      <c r="C404" s="128" t="s">
        <v>2982</v>
      </c>
      <c r="D404" s="129">
        <v>46033.663680555554</v>
      </c>
      <c r="E404" s="130">
        <v>-6.86</v>
      </c>
      <c r="F404" s="131">
        <v>4.4999999999999998E-2</v>
      </c>
      <c r="G404" s="126">
        <f t="shared" si="6"/>
        <v>-6.86</v>
      </c>
      <c r="H404" s="126" t="s">
        <v>211</v>
      </c>
      <c r="I404" s="127" t="s">
        <v>214</v>
      </c>
      <c r="J404" s="126">
        <v>2.2999999999999998</v>
      </c>
      <c r="K404" s="126">
        <v>100</v>
      </c>
      <c r="L404" s="129">
        <f>INT(base[[#This Row],[Data de liquidação]])</f>
        <v>46033</v>
      </c>
      <c r="M404" s="126">
        <f>base[[#This Row],[L/P Bruto]]-base[[#This Row],[L/P Líquido]]</f>
        <v>0</v>
      </c>
      <c r="N404" s="126">
        <f>base[[#This Row],[L/P Líquido]]/base[[#This Row],[Stake/Responsabilidade]]</f>
        <v>-6.8600000000000008E-2</v>
      </c>
      <c r="O404" s="132">
        <f>IF(base[[#This Row],[L/P Líquido]]&gt;0,1,0)</f>
        <v>0</v>
      </c>
      <c r="P404" s="132"/>
      <c r="Q404" s="132" t="str">
        <f>LEFT(base[[#This Row],[Evento / Mercado]],FIND("vs",base[[#This Row],[Evento / Mercado]])-2)</f>
        <v>Hellas Verona</v>
      </c>
      <c r="R4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Lazio</v>
      </c>
      <c r="S404" s="132" t="e">
        <f>LEFT(base[[#This Row],[Evento / Mercado]],FIND("/",base[[#This Row],[Evento / Mercado]])-2)</f>
        <v>#VALUE!</v>
      </c>
    </row>
    <row r="405" spans="2:19" ht="15" customHeight="1">
      <c r="B405" s="128" t="s">
        <v>350</v>
      </c>
      <c r="C405" s="128" t="s">
        <v>2982</v>
      </c>
      <c r="D405" s="129">
        <v>46033.779340277775</v>
      </c>
      <c r="E405" s="130">
        <v>6.82</v>
      </c>
      <c r="F405" s="131">
        <v>4.4999999999999998E-2</v>
      </c>
      <c r="G405" s="126">
        <f t="shared" si="6"/>
        <v>7.1413612565445028</v>
      </c>
      <c r="H405" s="126" t="s">
        <v>73</v>
      </c>
      <c r="I405" s="127" t="s">
        <v>13</v>
      </c>
      <c r="J405" s="126">
        <v>15</v>
      </c>
      <c r="K405" s="126">
        <v>99.96</v>
      </c>
      <c r="L405" s="129">
        <f>INT(base[[#This Row],[Data de liquidação]])</f>
        <v>46033</v>
      </c>
      <c r="M405" s="126">
        <f>base[[#This Row],[L/P Bruto]]-base[[#This Row],[L/P Líquido]]</f>
        <v>0.32136125654450254</v>
      </c>
      <c r="N405" s="126">
        <f>base[[#This Row],[L/P Líquido]]/base[[#This Row],[Stake/Responsabilidade]]</f>
        <v>6.8227290916366548E-2</v>
      </c>
      <c r="O405" s="132">
        <f>IF(base[[#This Row],[L/P Líquido]]&gt;0,1,0)</f>
        <v>1</v>
      </c>
      <c r="P405" s="132"/>
      <c r="Q405" s="132" t="str">
        <f>LEFT(base[[#This Row],[Evento / Mercado]],FIND("vs",base[[#This Row],[Evento / Mercado]])-2)</f>
        <v>Internazionale</v>
      </c>
      <c r="R4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Napoli</v>
      </c>
      <c r="S405" s="132" t="e">
        <f>LEFT(base[[#This Row],[Evento / Mercado]],FIND("/",base[[#This Row],[Evento / Mercado]])-2)</f>
        <v>#VALUE!</v>
      </c>
    </row>
    <row r="406" spans="2:19" ht="15" customHeight="1">
      <c r="B406" s="128" t="s">
        <v>382</v>
      </c>
      <c r="C406" s="128" t="s">
        <v>2982</v>
      </c>
      <c r="D406" s="129">
        <v>46034.679675925923</v>
      </c>
      <c r="E406" s="130">
        <v>42.4</v>
      </c>
      <c r="F406" s="131">
        <v>4.4999999999999998E-2</v>
      </c>
      <c r="G406" s="126">
        <f t="shared" si="6"/>
        <v>44.397905759162306</v>
      </c>
      <c r="H406" s="126" t="s">
        <v>231</v>
      </c>
      <c r="I406" s="127" t="s">
        <v>232</v>
      </c>
      <c r="J406" s="126">
        <v>1.74</v>
      </c>
      <c r="K406" s="126">
        <v>60</v>
      </c>
      <c r="L406" s="129">
        <f>INT(base[[#This Row],[Data de liquidação]])</f>
        <v>46034</v>
      </c>
      <c r="M406" s="126">
        <f>base[[#This Row],[L/P Bruto]]-base[[#This Row],[L/P Líquido]]</f>
        <v>1.9979057591623075</v>
      </c>
      <c r="N406" s="126">
        <f>base[[#This Row],[L/P Líquido]]/base[[#This Row],[Stake/Responsabilidade]]</f>
        <v>0.70666666666666667</v>
      </c>
      <c r="O406" s="132">
        <f>IF(base[[#This Row],[L/P Líquido]]&gt;0,1,0)</f>
        <v>1</v>
      </c>
      <c r="P406" s="132"/>
      <c r="Q406" s="132" t="str">
        <f>LEFT(base[[#This Row],[Evento / Mercado]],FIND("vs",base[[#This Row],[Evento / Mercado]])-2)</f>
        <v>Al-Ettifaq</v>
      </c>
      <c r="R4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Al-Khaleej Saihat</v>
      </c>
      <c r="S406" s="132" t="e">
        <f>LEFT(base[[#This Row],[Evento / Mercado]],FIND("/",base[[#This Row],[Evento / Mercado]])-2)</f>
        <v>#VALUE!</v>
      </c>
    </row>
    <row r="407" spans="2:19" ht="15" customHeight="1">
      <c r="B407" s="128" t="s">
        <v>381</v>
      </c>
      <c r="C407" s="128" t="s">
        <v>2982</v>
      </c>
      <c r="D407" s="129">
        <v>46034.748402777775</v>
      </c>
      <c r="E407" s="130">
        <v>-39.36</v>
      </c>
      <c r="F407" s="131">
        <v>4.4999999999999998E-2</v>
      </c>
      <c r="G407" s="126">
        <f t="shared" si="6"/>
        <v>-39.36</v>
      </c>
      <c r="H407" s="126" t="s">
        <v>211</v>
      </c>
      <c r="I407" s="127" t="s">
        <v>212</v>
      </c>
      <c r="J407" s="126">
        <v>1.71</v>
      </c>
      <c r="K407" s="126">
        <v>100</v>
      </c>
      <c r="L407" s="129">
        <f>INT(base[[#This Row],[Data de liquidação]])</f>
        <v>46034</v>
      </c>
      <c r="M407" s="126">
        <f>base[[#This Row],[L/P Bruto]]-base[[#This Row],[L/P Líquido]]</f>
        <v>0</v>
      </c>
      <c r="N407" s="126">
        <f>base[[#This Row],[L/P Líquido]]/base[[#This Row],[Stake/Responsabilidade]]</f>
        <v>-0.39360000000000001</v>
      </c>
      <c r="O407" s="132">
        <f>IF(base[[#This Row],[L/P Líquido]]&gt;0,1,0)</f>
        <v>0</v>
      </c>
      <c r="P407" s="132"/>
      <c r="Q407" s="132" t="str">
        <f>LEFT(base[[#This Row],[Evento / Mercado]],FIND("vs",base[[#This Row],[Evento / Mercado]])-2)</f>
        <v>Jong AZ Alkmaar</v>
      </c>
      <c r="R4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Ajax</v>
      </c>
      <c r="S407" s="132" t="e">
        <f>LEFT(base[[#This Row],[Evento / Mercado]],FIND("/",base[[#This Row],[Evento / Mercado]])-2)</f>
        <v>#VALUE!</v>
      </c>
    </row>
    <row r="408" spans="2:19" ht="15" customHeight="1">
      <c r="B408" s="128" t="s">
        <v>380</v>
      </c>
      <c r="C408" s="128" t="s">
        <v>2982</v>
      </c>
      <c r="D408" s="129">
        <v>46035.673958333333</v>
      </c>
      <c r="E408" s="130">
        <v>41.26</v>
      </c>
      <c r="F408" s="131">
        <v>4.4999999999999998E-2</v>
      </c>
      <c r="G408" s="126">
        <f t="shared" si="6"/>
        <v>43.204188481675395</v>
      </c>
      <c r="H408" s="126" t="s">
        <v>231</v>
      </c>
      <c r="I408" s="127" t="s">
        <v>266</v>
      </c>
      <c r="J408" s="126">
        <v>1.72</v>
      </c>
      <c r="K408" s="126">
        <v>60</v>
      </c>
      <c r="L408" s="129">
        <f>INT(base[[#This Row],[Data de liquidação]])</f>
        <v>46035</v>
      </c>
      <c r="M408" s="126">
        <f>base[[#This Row],[L/P Bruto]]-base[[#This Row],[L/P Líquido]]</f>
        <v>1.9441884816753969</v>
      </c>
      <c r="N408" s="126">
        <f>base[[#This Row],[L/P Líquido]]/base[[#This Row],[Stake/Responsabilidade]]</f>
        <v>0.68766666666666665</v>
      </c>
      <c r="O408" s="132">
        <f>IF(base[[#This Row],[L/P Líquido]]&gt;0,1,0)</f>
        <v>1</v>
      </c>
      <c r="P408" s="132"/>
      <c r="Q408" s="132" t="str">
        <f>LEFT(base[[#This Row],[Evento / Mercado]],FIND("vs",base[[#This Row],[Evento / Mercado]])-2)</f>
        <v>Al-Fateh Al-Hasa</v>
      </c>
      <c r="R4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Al-Riyadh</v>
      </c>
      <c r="S408" s="132" t="e">
        <f>LEFT(base[[#This Row],[Evento / Mercado]],FIND("/",base[[#This Row],[Evento / Mercado]])-2)</f>
        <v>#VALUE!</v>
      </c>
    </row>
    <row r="409" spans="2:19" ht="15" customHeight="1">
      <c r="B409" s="128" t="s">
        <v>388</v>
      </c>
      <c r="C409" s="128" t="s">
        <v>2982</v>
      </c>
      <c r="D409" s="129">
        <v>46035.686284722222</v>
      </c>
      <c r="E409" s="130">
        <v>6.82</v>
      </c>
      <c r="F409" s="131">
        <v>4.4999999999999998E-2</v>
      </c>
      <c r="G409" s="126">
        <f t="shared" si="6"/>
        <v>7.1413612565445028</v>
      </c>
      <c r="H409" s="126" t="s">
        <v>73</v>
      </c>
      <c r="I409" s="127" t="s">
        <v>16</v>
      </c>
      <c r="J409" s="126">
        <v>15</v>
      </c>
      <c r="K409" s="126">
        <v>99.96</v>
      </c>
      <c r="L409" s="129">
        <f>INT(base[[#This Row],[Data de liquidação]])</f>
        <v>46035</v>
      </c>
      <c r="M409" s="126">
        <f>base[[#This Row],[L/P Bruto]]-base[[#This Row],[L/P Líquido]]</f>
        <v>0.32136125654450254</v>
      </c>
      <c r="N409" s="126">
        <f>base[[#This Row],[L/P Líquido]]/base[[#This Row],[Stake/Responsabilidade]]</f>
        <v>6.8227290916366548E-2</v>
      </c>
      <c r="O409" s="132">
        <f>IF(base[[#This Row],[L/P Líquido]]&gt;0,1,0)</f>
        <v>1</v>
      </c>
      <c r="P409" s="132"/>
      <c r="Q409" s="132" t="str">
        <f>LEFT(base[[#This Row],[Evento / Mercado]],FIND("vs",base[[#This Row],[Evento / Mercado]])-2)</f>
        <v>VfB Stuttgart</v>
      </c>
      <c r="R4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409" s="132" t="e">
        <f>LEFT(base[[#This Row],[Evento / Mercado]],FIND("/",base[[#This Row],[Evento / Mercado]])-2)</f>
        <v>#VALUE!</v>
      </c>
    </row>
    <row r="410" spans="2:19" ht="15" customHeight="1">
      <c r="B410" s="128" t="s">
        <v>387</v>
      </c>
      <c r="C410" s="128" t="s">
        <v>2982</v>
      </c>
      <c r="D410" s="129">
        <v>46035.744814814818</v>
      </c>
      <c r="E410" s="130">
        <v>-13.63</v>
      </c>
      <c r="F410" s="131">
        <v>4.4999999999999998E-2</v>
      </c>
      <c r="G410" s="126">
        <f t="shared" si="6"/>
        <v>-13.63</v>
      </c>
      <c r="H410" s="126" t="s">
        <v>211</v>
      </c>
      <c r="I410" s="127" t="s">
        <v>212</v>
      </c>
      <c r="J410" s="126">
        <v>1.4650000000000001</v>
      </c>
      <c r="K410" s="126">
        <v>100</v>
      </c>
      <c r="L410" s="129">
        <f>INT(base[[#This Row],[Data de liquidação]])</f>
        <v>46035</v>
      </c>
      <c r="M410" s="126">
        <f>base[[#This Row],[L/P Bruto]]-base[[#This Row],[L/P Líquido]]</f>
        <v>0</v>
      </c>
      <c r="N410" s="126">
        <f>base[[#This Row],[L/P Líquido]]/base[[#This Row],[Stake/Responsabilidade]]</f>
        <v>-0.1363</v>
      </c>
      <c r="O410" s="132">
        <f>IF(base[[#This Row],[L/P Líquido]]&gt;0,1,0)</f>
        <v>0</v>
      </c>
      <c r="P410" s="132"/>
      <c r="Q410" s="132" t="str">
        <f>LEFT(base[[#This Row],[Evento / Mercado]],FIND("vs",base[[#This Row],[Evento / Mercado]])-2)</f>
        <v>Huddersfield Town</v>
      </c>
      <c r="R4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Rotherham United</v>
      </c>
      <c r="S410" s="132" t="e">
        <f>LEFT(base[[#This Row],[Evento / Mercado]],FIND("/",base[[#This Row],[Evento / Mercado]])-2)</f>
        <v>#VALUE!</v>
      </c>
    </row>
    <row r="411" spans="2:19" ht="15" customHeight="1">
      <c r="B411" s="128" t="s">
        <v>386</v>
      </c>
      <c r="C411" s="128" t="s">
        <v>2982</v>
      </c>
      <c r="D411" s="129">
        <v>46035.765567129631</v>
      </c>
      <c r="E411" s="130">
        <v>23.4</v>
      </c>
      <c r="F411" s="131">
        <v>4.4999999999999998E-2</v>
      </c>
      <c r="G411" s="126">
        <f t="shared" si="6"/>
        <v>24.502617801047119</v>
      </c>
      <c r="H411" s="126" t="s">
        <v>145</v>
      </c>
      <c r="I411" s="127" t="s">
        <v>301</v>
      </c>
      <c r="J411" s="126">
        <v>9</v>
      </c>
      <c r="K411" s="126">
        <v>196</v>
      </c>
      <c r="L411" s="129">
        <f>INT(base[[#This Row],[Data de liquidação]])</f>
        <v>46035</v>
      </c>
      <c r="M411" s="126">
        <f>base[[#This Row],[L/P Bruto]]-base[[#This Row],[L/P Líquido]]</f>
        <v>1.1026178010471206</v>
      </c>
      <c r="N411" s="126">
        <f>base[[#This Row],[L/P Líquido]]/base[[#This Row],[Stake/Responsabilidade]]</f>
        <v>0.1193877551020408</v>
      </c>
      <c r="O411" s="132">
        <f>IF(base[[#This Row],[L/P Líquido]]&gt;0,1,0)</f>
        <v>1</v>
      </c>
      <c r="P411" s="132" t="s">
        <v>962</v>
      </c>
      <c r="Q411" s="132" t="str">
        <f>LEFT(base[[#This Row],[Evento / Mercado]],FIND("vs",base[[#This Row],[Evento / Mercado]])-2)</f>
        <v>Borussia Dortmund</v>
      </c>
      <c r="R4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Werder Bremen</v>
      </c>
      <c r="S411" s="132" t="e">
        <f>LEFT(base[[#This Row],[Evento / Mercado]],FIND("/",base[[#This Row],[Evento / Mercado]])-2)</f>
        <v>#VALUE!</v>
      </c>
    </row>
    <row r="412" spans="2:19" ht="15" customHeight="1">
      <c r="B412" s="128" t="s">
        <v>385</v>
      </c>
      <c r="C412" s="128" t="s">
        <v>2982</v>
      </c>
      <c r="D412" s="129">
        <v>46035.768530092595</v>
      </c>
      <c r="E412" s="130">
        <v>11.11</v>
      </c>
      <c r="F412" s="131">
        <v>4.4999999999999998E-2</v>
      </c>
      <c r="G412" s="126">
        <f t="shared" si="6"/>
        <v>11.633507853403142</v>
      </c>
      <c r="H412" s="126" t="s">
        <v>73</v>
      </c>
      <c r="I412" s="127" t="s">
        <v>16</v>
      </c>
      <c r="J412" s="126">
        <v>9.6</v>
      </c>
      <c r="K412" s="126">
        <v>100.02</v>
      </c>
      <c r="L412" s="129">
        <f>INT(base[[#This Row],[Data de liquidação]])</f>
        <v>46035</v>
      </c>
      <c r="M412" s="126">
        <f>base[[#This Row],[L/P Bruto]]-base[[#This Row],[L/P Líquido]]</f>
        <v>0.52350785340314232</v>
      </c>
      <c r="N412" s="126">
        <f>base[[#This Row],[L/P Líquido]]/base[[#This Row],[Stake/Responsabilidade]]</f>
        <v>0.11107778444311138</v>
      </c>
      <c r="O412" s="132">
        <f>IF(base[[#This Row],[L/P Líquido]]&gt;0,1,0)</f>
        <v>1</v>
      </c>
      <c r="P412" s="132"/>
      <c r="Q412" s="132" t="str">
        <f>LEFT(base[[#This Row],[Evento / Mercado]],FIND("vs",base[[#This Row],[Evento / Mercado]])-2)</f>
        <v>1. FSV Mainz 05</v>
      </c>
      <c r="R4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Heidenheim</v>
      </c>
      <c r="S412" s="132" t="e">
        <f>LEFT(base[[#This Row],[Evento / Mercado]],FIND("/",base[[#This Row],[Evento / Mercado]])-2)</f>
        <v>#VALUE!</v>
      </c>
    </row>
    <row r="413" spans="2:19" ht="15" customHeight="1">
      <c r="B413" s="128" t="s">
        <v>384</v>
      </c>
      <c r="C413" s="128" t="s">
        <v>2982</v>
      </c>
      <c r="D413" s="129">
        <v>46035.769768518519</v>
      </c>
      <c r="E413" s="130">
        <v>-51.52</v>
      </c>
      <c r="F413" s="131">
        <v>4.4999999999999998E-2</v>
      </c>
      <c r="G413" s="126">
        <f t="shared" si="6"/>
        <v>-51.52</v>
      </c>
      <c r="H413" s="126" t="s">
        <v>211</v>
      </c>
      <c r="I413" s="127" t="s">
        <v>214</v>
      </c>
      <c r="J413" s="126">
        <v>2.04</v>
      </c>
      <c r="K413" s="126">
        <v>100</v>
      </c>
      <c r="L413" s="129">
        <f>INT(base[[#This Row],[Data de liquidação]])</f>
        <v>46035</v>
      </c>
      <c r="M413" s="126">
        <f>base[[#This Row],[L/P Bruto]]-base[[#This Row],[L/P Líquido]]</f>
        <v>0</v>
      </c>
      <c r="N413" s="126">
        <f>base[[#This Row],[L/P Líquido]]/base[[#This Row],[Stake/Responsabilidade]]</f>
        <v>-0.51519999999999999</v>
      </c>
      <c r="O413" s="132">
        <f>IF(base[[#This Row],[L/P Líquido]]&gt;0,1,0)</f>
        <v>0</v>
      </c>
      <c r="P413" s="132"/>
      <c r="Q413" s="132" t="str">
        <f>LEFT(base[[#This Row],[Evento / Mercado]],FIND("vs",base[[#This Row],[Evento / Mercado]])-2)</f>
        <v>Sporting de Charleroi</v>
      </c>
      <c r="R4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Brugge</v>
      </c>
      <c r="S413" s="132" t="e">
        <f>LEFT(base[[#This Row],[Evento / Mercado]],FIND("/",base[[#This Row],[Evento / Mercado]])-2)</f>
        <v>#VALUE!</v>
      </c>
    </row>
    <row r="414" spans="2:19" ht="15" customHeight="1">
      <c r="B414" s="128" t="s">
        <v>383</v>
      </c>
      <c r="C414" s="128" t="s">
        <v>2982</v>
      </c>
      <c r="D414" s="129">
        <v>46035.786909722221</v>
      </c>
      <c r="E414" s="130">
        <v>6.37</v>
      </c>
      <c r="F414" s="131">
        <v>4.4999999999999998E-2</v>
      </c>
      <c r="G414" s="126">
        <f t="shared" si="6"/>
        <v>6.6701570680628279</v>
      </c>
      <c r="H414" s="126" t="s">
        <v>73</v>
      </c>
      <c r="I414" s="127" t="s">
        <v>13</v>
      </c>
      <c r="J414" s="126">
        <v>16</v>
      </c>
      <c r="K414" s="126">
        <v>100.05</v>
      </c>
      <c r="L414" s="129">
        <f>INT(base[[#This Row],[Data de liquidação]])</f>
        <v>46035</v>
      </c>
      <c r="M414" s="126">
        <f>base[[#This Row],[L/P Bruto]]-base[[#This Row],[L/P Líquido]]</f>
        <v>0.30015706806282783</v>
      </c>
      <c r="N414" s="126">
        <f>base[[#This Row],[L/P Líquido]]/base[[#This Row],[Stake/Responsabilidade]]</f>
        <v>6.3668165917041483E-2</v>
      </c>
      <c r="O414" s="132">
        <f>IF(base[[#This Row],[L/P Líquido]]&gt;0,1,0)</f>
        <v>1</v>
      </c>
      <c r="P414" s="132"/>
      <c r="Q414" s="132" t="str">
        <f>LEFT(base[[#This Row],[Evento / Mercado]],FIND("vs",base[[#This Row],[Evento / Mercado]])-2)</f>
        <v>AS Roma</v>
      </c>
      <c r="R4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Torino</v>
      </c>
      <c r="S414" s="132" t="e">
        <f>LEFT(base[[#This Row],[Evento / Mercado]],FIND("/",base[[#This Row],[Evento / Mercado]])-2)</f>
        <v>#VALUE!</v>
      </c>
    </row>
    <row r="415" spans="2:19" ht="15" customHeight="1">
      <c r="B415" s="128" t="s">
        <v>389</v>
      </c>
      <c r="C415" s="128" t="s">
        <v>2982</v>
      </c>
      <c r="D415" s="129">
        <v>46036.663287037038</v>
      </c>
      <c r="E415" s="130">
        <v>46.41</v>
      </c>
      <c r="F415" s="131">
        <v>4.4999999999999998E-2</v>
      </c>
      <c r="G415" s="126">
        <f t="shared" si="6"/>
        <v>48.596858638743456</v>
      </c>
      <c r="H415" s="126" t="s">
        <v>231</v>
      </c>
      <c r="I415" s="127" t="s">
        <v>266</v>
      </c>
      <c r="J415" s="126">
        <v>1.81</v>
      </c>
      <c r="K415" s="126">
        <v>60</v>
      </c>
      <c r="L415" s="129">
        <f>INT(base[[#This Row],[Data de liquidação]])</f>
        <v>46036</v>
      </c>
      <c r="M415" s="126">
        <f>base[[#This Row],[L/P Bruto]]-base[[#This Row],[L/P Líquido]]</f>
        <v>2.186858638743459</v>
      </c>
      <c r="N415" s="126">
        <f>base[[#This Row],[L/P Líquido]]/base[[#This Row],[Stake/Responsabilidade]]</f>
        <v>0.77349999999999997</v>
      </c>
      <c r="O415" s="132">
        <f>IF(base[[#This Row],[L/P Líquido]]&gt;0,1,0)</f>
        <v>1</v>
      </c>
      <c r="P415" s="132"/>
      <c r="Q415" s="132" t="str">
        <f>LEFT(base[[#This Row],[Evento / Mercado]],FIND("vs",base[[#This Row],[Evento / Mercado]])-2)</f>
        <v>Al Ahli Jeddah</v>
      </c>
      <c r="R4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Al-Taawoun Buraidah</v>
      </c>
      <c r="S415" s="132" t="e">
        <f>LEFT(base[[#This Row],[Evento / Mercado]],FIND("/",base[[#This Row],[Evento / Mercado]])-2)</f>
        <v>#VALUE!</v>
      </c>
    </row>
    <row r="416" spans="2:19" ht="15" customHeight="1">
      <c r="B416" s="128" t="s">
        <v>393</v>
      </c>
      <c r="C416" s="128" t="s">
        <v>2982</v>
      </c>
      <c r="D416" s="129">
        <v>46036.685127314813</v>
      </c>
      <c r="E416" s="130">
        <v>-150.04</v>
      </c>
      <c r="F416" s="131">
        <v>4.4999999999999998E-2</v>
      </c>
      <c r="G416" s="126">
        <f t="shared" si="6"/>
        <v>-150.04</v>
      </c>
      <c r="H416" s="126" t="s">
        <v>74</v>
      </c>
      <c r="I416" s="127" t="s">
        <v>75</v>
      </c>
      <c r="J416" s="126">
        <v>16.5</v>
      </c>
      <c r="K416" s="126">
        <v>150.04</v>
      </c>
      <c r="L416" s="129">
        <f>INT(base[[#This Row],[Data de liquidação]])</f>
        <v>46036</v>
      </c>
      <c r="M416" s="126">
        <f>base[[#This Row],[L/P Bruto]]-base[[#This Row],[L/P Líquido]]</f>
        <v>0</v>
      </c>
      <c r="N416" s="139">
        <f>base[[#This Row],[L/P Líquido]]/base[[#This Row],[Stake/Responsabilidade]]</f>
        <v>-1</v>
      </c>
      <c r="O416" s="132">
        <f>IF(base[[#This Row],[L/P Líquido]]&gt;0,1,0)</f>
        <v>0</v>
      </c>
      <c r="P416" s="132" t="s">
        <v>969</v>
      </c>
      <c r="Q416" s="132" t="str">
        <f>LEFT(base[[#This Row],[Evento / Mercado]],FIND("vs",base[[#This Row],[Evento / Mercado]])-2)</f>
        <v>Napoli</v>
      </c>
      <c r="R4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Parma</v>
      </c>
      <c r="S416" s="132" t="e">
        <f>LEFT(base[[#This Row],[Evento / Mercado]],FIND("/",base[[#This Row],[Evento / Mercado]])-2)</f>
        <v>#VALUE!</v>
      </c>
    </row>
    <row r="417" spans="2:21" ht="15" customHeight="1">
      <c r="B417" s="128" t="s">
        <v>393</v>
      </c>
      <c r="C417" s="128" t="s">
        <v>2982</v>
      </c>
      <c r="D417" s="129">
        <v>46036.685173611113</v>
      </c>
      <c r="E417" s="130">
        <v>7.64</v>
      </c>
      <c r="F417" s="131">
        <v>4.4999999999999998E-2</v>
      </c>
      <c r="G417" s="126">
        <f t="shared" si="6"/>
        <v>8</v>
      </c>
      <c r="H417" s="126" t="s">
        <v>145</v>
      </c>
      <c r="I417" s="127" t="s">
        <v>301</v>
      </c>
      <c r="J417" s="126">
        <v>13.5</v>
      </c>
      <c r="K417" s="126">
        <v>100</v>
      </c>
      <c r="L417" s="129">
        <f>INT(base[[#This Row],[Data de liquidação]])</f>
        <v>46036</v>
      </c>
      <c r="M417" s="126">
        <f>base[[#This Row],[L/P Bruto]]-base[[#This Row],[L/P Líquido]]</f>
        <v>0.36000000000000032</v>
      </c>
      <c r="N417" s="126">
        <f>base[[#This Row],[L/P Líquido]]/base[[#This Row],[Stake/Responsabilidade]]</f>
        <v>7.6399999999999996E-2</v>
      </c>
      <c r="O417" s="132">
        <f>IF(base[[#This Row],[L/P Líquido]]&gt;0,1,0)</f>
        <v>1</v>
      </c>
      <c r="P417" s="132" t="s">
        <v>969</v>
      </c>
      <c r="Q417" s="132" t="str">
        <f>LEFT(base[[#This Row],[Evento / Mercado]],FIND("vs",base[[#This Row],[Evento / Mercado]])-2)</f>
        <v>Napoli</v>
      </c>
      <c r="R4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Parma</v>
      </c>
      <c r="S417" s="132" t="e">
        <f>LEFT(base[[#This Row],[Evento / Mercado]],FIND("/",base[[#This Row],[Evento / Mercado]])-2)</f>
        <v>#VALUE!</v>
      </c>
    </row>
    <row r="418" spans="2:21" ht="15" customHeight="1">
      <c r="B418" s="128" t="s">
        <v>392</v>
      </c>
      <c r="C418" s="128" t="s">
        <v>2982</v>
      </c>
      <c r="D418" s="129">
        <v>46036.750636574077</v>
      </c>
      <c r="E418" s="130">
        <v>34.520000000000003</v>
      </c>
      <c r="F418" s="131">
        <v>4.4999999999999998E-2</v>
      </c>
      <c r="G418" s="126">
        <f t="shared" si="6"/>
        <v>36.146596858638745</v>
      </c>
      <c r="H418" s="126" t="s">
        <v>231</v>
      </c>
      <c r="I418" s="127" t="s">
        <v>266</v>
      </c>
      <c r="J418" s="126">
        <v>1.6</v>
      </c>
      <c r="K418" s="126">
        <v>60</v>
      </c>
      <c r="L418" s="129">
        <f>INT(base[[#This Row],[Data de liquidação]])</f>
        <v>46036</v>
      </c>
      <c r="M418" s="126">
        <f>base[[#This Row],[L/P Bruto]]-base[[#This Row],[L/P Líquido]]</f>
        <v>1.6265968586387416</v>
      </c>
      <c r="N418" s="126">
        <f>base[[#This Row],[L/P Líquido]]/base[[#This Row],[Stake/Responsabilidade]]</f>
        <v>0.57533333333333336</v>
      </c>
      <c r="O418" s="132">
        <f>IF(base[[#This Row],[L/P Líquido]]&gt;0,1,0)</f>
        <v>1</v>
      </c>
      <c r="P418" s="132"/>
      <c r="Q418" s="132" t="str">
        <f>LEFT(base[[#This Row],[Evento / Mercado]],FIND("vs",base[[#This Row],[Evento / Mercado]])-2)</f>
        <v>1899 Hoffenheim</v>
      </c>
      <c r="R4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418" s="132" t="e">
        <f>LEFT(base[[#This Row],[Evento / Mercado]],FIND("/",base[[#This Row],[Evento / Mercado]])-2)</f>
        <v>#VALUE!</v>
      </c>
    </row>
    <row r="419" spans="2:21" ht="15" customHeight="1">
      <c r="B419" s="128" t="s">
        <v>391</v>
      </c>
      <c r="C419" s="128" t="s">
        <v>2982</v>
      </c>
      <c r="D419" s="129">
        <v>46036.768379629626</v>
      </c>
      <c r="E419" s="130">
        <v>14.324999999999999</v>
      </c>
      <c r="F419" s="131">
        <v>4.4999999999999998E-2</v>
      </c>
      <c r="G419" s="126">
        <f t="shared" si="6"/>
        <v>15</v>
      </c>
      <c r="H419" s="126" t="s">
        <v>74</v>
      </c>
      <c r="I419" s="127" t="s">
        <v>476</v>
      </c>
      <c r="J419" s="126">
        <v>11</v>
      </c>
      <c r="K419" s="126">
        <v>150</v>
      </c>
      <c r="L419" s="129">
        <f>INT(base[[#This Row],[Data de liquidação]])</f>
        <v>46036</v>
      </c>
      <c r="M419" s="126">
        <f>base[[#This Row],[L/P Bruto]]-base[[#This Row],[L/P Líquido]]</f>
        <v>0.67500000000000071</v>
      </c>
      <c r="N419" s="139">
        <f>base[[#This Row],[L/P Líquido]]/base[[#This Row],[Stake/Responsabilidade]]</f>
        <v>9.5500000000000002E-2</v>
      </c>
      <c r="O419" s="132">
        <f>IF(base[[#This Row],[L/P Líquido]]&gt;0,1,0)</f>
        <v>1</v>
      </c>
      <c r="P419" s="132" t="s">
        <v>962</v>
      </c>
      <c r="Q419" s="132" t="str">
        <f>LEFT(base[[#This Row],[Evento / Mercado]],FIND("vs",base[[#This Row],[Evento / Mercado]])-2)</f>
        <v>RB Leipzig</v>
      </c>
      <c r="R4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419" s="132" t="e">
        <f>LEFT(base[[#This Row],[Evento / Mercado]],FIND("/",base[[#This Row],[Evento / Mercado]])-2)</f>
        <v>#VALUE!</v>
      </c>
      <c r="T419" s="8">
        <v>15</v>
      </c>
      <c r="U419" s="9">
        <f>T419*0.955</f>
        <v>14.324999999999999</v>
      </c>
    </row>
    <row r="420" spans="2:21" ht="15" customHeight="1">
      <c r="B420" s="128" t="s">
        <v>391</v>
      </c>
      <c r="C420" s="128" t="s">
        <v>2982</v>
      </c>
      <c r="D420" s="129">
        <v>46036.768379629626</v>
      </c>
      <c r="E420" s="130">
        <v>7.7450499999999991</v>
      </c>
      <c r="F420" s="131">
        <v>4.4999999999999998E-2</v>
      </c>
      <c r="G420" s="126">
        <f t="shared" si="6"/>
        <v>8.11</v>
      </c>
      <c r="H420" s="126" t="s">
        <v>74</v>
      </c>
      <c r="I420" s="127" t="s">
        <v>477</v>
      </c>
      <c r="J420" s="126">
        <v>19.5</v>
      </c>
      <c r="K420" s="126">
        <v>150.04</v>
      </c>
      <c r="L420" s="129">
        <f>INT(base[[#This Row],[Data de liquidação]])</f>
        <v>46036</v>
      </c>
      <c r="M420" s="126">
        <f>base[[#This Row],[L/P Bruto]]-base[[#This Row],[L/P Líquido]]</f>
        <v>0.36495000000000033</v>
      </c>
      <c r="N420" s="139">
        <f>base[[#This Row],[L/P Líquido]]/base[[#This Row],[Stake/Responsabilidade]]</f>
        <v>5.1619901359637427E-2</v>
      </c>
      <c r="O420" s="132">
        <f>IF(base[[#This Row],[L/P Líquido]]&gt;0,1,0)</f>
        <v>1</v>
      </c>
      <c r="P420" s="132" t="s">
        <v>962</v>
      </c>
      <c r="Q420" s="132" t="str">
        <f>LEFT(base[[#This Row],[Evento / Mercado]],FIND("vs",base[[#This Row],[Evento / Mercado]])-2)</f>
        <v>RB Leipzig</v>
      </c>
      <c r="R4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420" s="132" t="e">
        <f>LEFT(base[[#This Row],[Evento / Mercado]],FIND("/",base[[#This Row],[Evento / Mercado]])-2)</f>
        <v>#VALUE!</v>
      </c>
      <c r="T420" s="8">
        <v>8.11</v>
      </c>
      <c r="U420" s="9">
        <f>T420*0.955</f>
        <v>7.7450499999999991</v>
      </c>
    </row>
    <row r="421" spans="2:21" ht="15" customHeight="1">
      <c r="B421" s="128" t="s">
        <v>391</v>
      </c>
      <c r="C421" s="128" t="s">
        <v>2982</v>
      </c>
      <c r="D421" s="129">
        <v>46036.768472222226</v>
      </c>
      <c r="E421" s="130">
        <v>-60</v>
      </c>
      <c r="F421" s="131">
        <v>4.4999999999999998E-2</v>
      </c>
      <c r="G421" s="126">
        <f t="shared" si="6"/>
        <v>-60</v>
      </c>
      <c r="H421" s="126" t="s">
        <v>231</v>
      </c>
      <c r="I421" s="127" t="s">
        <v>232</v>
      </c>
      <c r="J421" s="126">
        <v>1.76</v>
      </c>
      <c r="K421" s="126">
        <v>60</v>
      </c>
      <c r="L421" s="129">
        <f>INT(base[[#This Row],[Data de liquidação]])</f>
        <v>46036</v>
      </c>
      <c r="M421" s="126">
        <f>base[[#This Row],[L/P Bruto]]-base[[#This Row],[L/P Líquido]]</f>
        <v>0</v>
      </c>
      <c r="N421" s="126">
        <f>base[[#This Row],[L/P Líquido]]/base[[#This Row],[Stake/Responsabilidade]]</f>
        <v>-1</v>
      </c>
      <c r="O421" s="132">
        <f>IF(base[[#This Row],[L/P Líquido]]&gt;0,1,0)</f>
        <v>0</v>
      </c>
      <c r="P421" s="132"/>
      <c r="Q421" s="132" t="str">
        <f>LEFT(base[[#This Row],[Evento / Mercado]],FIND("vs",base[[#This Row],[Evento / Mercado]])-2)</f>
        <v>RB Leipzig</v>
      </c>
      <c r="R4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421" s="132" t="e">
        <f>LEFT(base[[#This Row],[Evento / Mercado]],FIND("/",base[[#This Row],[Evento / Mercado]])-2)</f>
        <v>#VALUE!</v>
      </c>
    </row>
    <row r="422" spans="2:21" ht="15" customHeight="1">
      <c r="B422" s="128" t="s">
        <v>390</v>
      </c>
      <c r="C422" s="128" t="s">
        <v>2982</v>
      </c>
      <c r="D422" s="129">
        <v>46036.774525462963</v>
      </c>
      <c r="E422" s="130">
        <v>8.68</v>
      </c>
      <c r="F422" s="131">
        <v>4.4999999999999998E-2</v>
      </c>
      <c r="G422" s="126">
        <f t="shared" si="6"/>
        <v>9.0890052356020945</v>
      </c>
      <c r="H422" s="126" t="s">
        <v>74</v>
      </c>
      <c r="I422" s="127" t="s">
        <v>541</v>
      </c>
      <c r="J422" s="126">
        <v>17.5</v>
      </c>
      <c r="K422" s="126">
        <v>149.97999999999999</v>
      </c>
      <c r="L422" s="129">
        <f>INT(base[[#This Row],[Data de liquidação]])</f>
        <v>46036</v>
      </c>
      <c r="M422" s="126">
        <f>base[[#This Row],[L/P Bruto]]-base[[#This Row],[L/P Líquido]]</f>
        <v>0.40900523560209479</v>
      </c>
      <c r="N422" s="139">
        <f>base[[#This Row],[L/P Líquido]]/base[[#This Row],[Stake/Responsabilidade]]</f>
        <v>5.7874383251100149E-2</v>
      </c>
      <c r="O422" s="132">
        <f>IF(base[[#This Row],[L/P Líquido]]&gt;0,1,0)</f>
        <v>1</v>
      </c>
      <c r="P422" s="132" t="s">
        <v>962</v>
      </c>
      <c r="Q422" s="132" t="str">
        <f>LEFT(base[[#This Row],[Evento / Mercado]],FIND("vs",base[[#This Row],[Evento / Mercado]])-2)</f>
        <v>1. FC Köln</v>
      </c>
      <c r="R4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422" s="132" t="e">
        <f>LEFT(base[[#This Row],[Evento / Mercado]],FIND("/",base[[#This Row],[Evento / Mercado]])-2)</f>
        <v>#VALUE!</v>
      </c>
    </row>
    <row r="423" spans="2:21" ht="15" customHeight="1">
      <c r="B423" s="128" t="s">
        <v>390</v>
      </c>
      <c r="C423" s="128" t="s">
        <v>2982</v>
      </c>
      <c r="D423" s="129">
        <v>46036.774571759262</v>
      </c>
      <c r="E423" s="130">
        <v>16.809999999999999</v>
      </c>
      <c r="F423" s="131">
        <v>4.4999999999999998E-2</v>
      </c>
      <c r="G423" s="126">
        <f t="shared" si="6"/>
        <v>17.602094240837697</v>
      </c>
      <c r="H423" s="126" t="s">
        <v>145</v>
      </c>
      <c r="I423" s="127" t="s">
        <v>300</v>
      </c>
      <c r="J423" s="126">
        <v>13.5</v>
      </c>
      <c r="K423" s="126">
        <v>220</v>
      </c>
      <c r="L423" s="129">
        <f>INT(base[[#This Row],[Data de liquidação]])</f>
        <v>46036</v>
      </c>
      <c r="M423" s="126">
        <f>base[[#This Row],[L/P Bruto]]-base[[#This Row],[L/P Líquido]]</f>
        <v>0.79209424083769875</v>
      </c>
      <c r="N423" s="126">
        <f>base[[#This Row],[L/P Líquido]]/base[[#This Row],[Stake/Responsabilidade]]</f>
        <v>7.6409090909090899E-2</v>
      </c>
      <c r="O423" s="132">
        <f>IF(base[[#This Row],[L/P Líquido]]&gt;0,1,0)</f>
        <v>1</v>
      </c>
      <c r="P423" s="132" t="s">
        <v>962</v>
      </c>
      <c r="Q423" s="132" t="str">
        <f>LEFT(base[[#This Row],[Evento / Mercado]],FIND("vs",base[[#This Row],[Evento / Mercado]])-2)</f>
        <v>1. FC Köln</v>
      </c>
      <c r="R4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423" s="132" t="e">
        <f>LEFT(base[[#This Row],[Evento / Mercado]],FIND("/",base[[#This Row],[Evento / Mercado]])-2)</f>
        <v>#VALUE!</v>
      </c>
    </row>
    <row r="424" spans="2:21" ht="15" customHeight="1">
      <c r="B424" s="128" t="s">
        <v>446</v>
      </c>
      <c r="C424" s="128" t="s">
        <v>2982</v>
      </c>
      <c r="D424" s="129">
        <v>46037.731423611112</v>
      </c>
      <c r="E424" s="130">
        <v>50.26</v>
      </c>
      <c r="F424" s="131">
        <v>4.4999999999999998E-2</v>
      </c>
      <c r="G424" s="126">
        <f t="shared" si="6"/>
        <v>52.6282722513089</v>
      </c>
      <c r="H424" s="126" t="s">
        <v>231</v>
      </c>
      <c r="I424" s="127" t="s">
        <v>266</v>
      </c>
      <c r="J424" s="126">
        <v>1.88</v>
      </c>
      <c r="K424" s="126">
        <v>60</v>
      </c>
      <c r="L424" s="129">
        <f>INT(base[[#This Row],[Data de liquidação]])</f>
        <v>46037</v>
      </c>
      <c r="M424" s="126">
        <f>base[[#This Row],[L/P Bruto]]-base[[#This Row],[L/P Líquido]]</f>
        <v>2.3682722513089018</v>
      </c>
      <c r="N424" s="126">
        <f>base[[#This Row],[L/P Líquido]]/base[[#This Row],[Stake/Responsabilidade]]</f>
        <v>0.83766666666666667</v>
      </c>
      <c r="O424" s="132">
        <f>IF(base[[#This Row],[L/P Líquido]]&gt;0,1,0)</f>
        <v>1</v>
      </c>
      <c r="P424" s="132"/>
      <c r="Q424" s="132" t="str">
        <f>LEFT(base[[#This Row],[Evento / Mercado]],FIND("vs",base[[#This Row],[Evento / Mercado]])-2)</f>
        <v>Como</v>
      </c>
      <c r="R4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Milan</v>
      </c>
      <c r="S424" s="132" t="e">
        <f>LEFT(base[[#This Row],[Evento / Mercado]],FIND("/",base[[#This Row],[Evento / Mercado]])-2)</f>
        <v>#VALUE!</v>
      </c>
    </row>
    <row r="425" spans="2:21" ht="15" customHeight="1">
      <c r="B425" s="128" t="s">
        <v>445</v>
      </c>
      <c r="C425" s="128" t="s">
        <v>2982</v>
      </c>
      <c r="D425" s="129">
        <v>46038.684606481482</v>
      </c>
      <c r="E425" s="130">
        <v>-60</v>
      </c>
      <c r="F425" s="131">
        <v>4.4999999999999998E-2</v>
      </c>
      <c r="G425" s="126">
        <f t="shared" si="6"/>
        <v>-60</v>
      </c>
      <c r="H425" s="126" t="s">
        <v>231</v>
      </c>
      <c r="I425" s="127" t="s">
        <v>266</v>
      </c>
      <c r="J425" s="126">
        <v>1.76</v>
      </c>
      <c r="K425" s="126">
        <v>60</v>
      </c>
      <c r="L425" s="129">
        <f>INT(base[[#This Row],[Data de liquidação]])</f>
        <v>46038</v>
      </c>
      <c r="M425" s="126">
        <f>base[[#This Row],[L/P Bruto]]-base[[#This Row],[L/P Líquido]]</f>
        <v>0</v>
      </c>
      <c r="N425" s="126">
        <f>base[[#This Row],[L/P Líquido]]/base[[#This Row],[Stake/Responsabilidade]]</f>
        <v>-1</v>
      </c>
      <c r="O425" s="132">
        <f>IF(base[[#This Row],[L/P Líquido]]&gt;0,1,0)</f>
        <v>0</v>
      </c>
      <c r="P425" s="132"/>
      <c r="Q425" s="132" t="str">
        <f>LEFT(base[[#This Row],[Evento / Mercado]],FIND("vs",base[[#This Row],[Evento / Mercado]])-2)</f>
        <v>Al-Ittihad Jeddah</v>
      </c>
      <c r="R4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Al-Ettifaq</v>
      </c>
      <c r="S425" s="132" t="e">
        <f>LEFT(base[[#This Row],[Evento / Mercado]],FIND("/",base[[#This Row],[Evento / Mercado]])-2)</f>
        <v>#VALUE!</v>
      </c>
    </row>
    <row r="426" spans="2:21" ht="15" customHeight="1">
      <c r="B426" s="128" t="s">
        <v>444</v>
      </c>
      <c r="C426" s="128" t="s">
        <v>2982</v>
      </c>
      <c r="D426" s="129">
        <v>46038.697442129633</v>
      </c>
      <c r="E426" s="130">
        <v>37.21</v>
      </c>
      <c r="F426" s="131">
        <v>4.4999999999999998E-2</v>
      </c>
      <c r="G426" s="126">
        <f t="shared" si="6"/>
        <v>38.963350785340317</v>
      </c>
      <c r="H426" s="126" t="s">
        <v>231</v>
      </c>
      <c r="I426" s="127" t="s">
        <v>232</v>
      </c>
      <c r="J426" s="126">
        <v>1.65</v>
      </c>
      <c r="K426" s="126">
        <v>60</v>
      </c>
      <c r="L426" s="129">
        <f>INT(base[[#This Row],[Data de liquidação]])</f>
        <v>46038</v>
      </c>
      <c r="M426" s="126">
        <f>base[[#This Row],[L/P Bruto]]-base[[#This Row],[L/P Líquido]]</f>
        <v>1.7533507853403165</v>
      </c>
      <c r="N426" s="126">
        <f>base[[#This Row],[L/P Líquido]]/base[[#This Row],[Stake/Responsabilidade]]</f>
        <v>0.62016666666666664</v>
      </c>
      <c r="O426" s="132">
        <f>IF(base[[#This Row],[L/P Líquido]]&gt;0,1,0)</f>
        <v>1</v>
      </c>
      <c r="P426" s="132"/>
      <c r="Q426" s="132" t="str">
        <f>LEFT(base[[#This Row],[Evento / Mercado]],FIND("vs",base[[#This Row],[Evento / Mercado]])-2)</f>
        <v>AS Monaco</v>
      </c>
      <c r="R4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Lorient</v>
      </c>
      <c r="S426" s="132" t="e">
        <f>LEFT(base[[#This Row],[Evento / Mercado]],FIND("/",base[[#This Row],[Evento / Mercado]])-2)</f>
        <v>#VALUE!</v>
      </c>
    </row>
    <row r="427" spans="2:21" ht="15" customHeight="1">
      <c r="B427" s="128" t="s">
        <v>444</v>
      </c>
      <c r="C427" s="128" t="s">
        <v>2982</v>
      </c>
      <c r="D427" s="129">
        <v>46038.704618055555</v>
      </c>
      <c r="E427" s="130">
        <v>13.16</v>
      </c>
      <c r="F427" s="131">
        <v>4.4999999999999998E-2</v>
      </c>
      <c r="G427" s="126">
        <f t="shared" si="6"/>
        <v>13.780104712041885</v>
      </c>
      <c r="H427" s="126" t="s">
        <v>73</v>
      </c>
      <c r="I427" s="127" t="s">
        <v>16</v>
      </c>
      <c r="J427" s="126">
        <v>8.1999999999999993</v>
      </c>
      <c r="K427" s="126">
        <v>99.25</v>
      </c>
      <c r="L427" s="129">
        <f>INT(base[[#This Row],[Data de liquidação]])</f>
        <v>46038</v>
      </c>
      <c r="M427" s="126">
        <f>base[[#This Row],[L/P Bruto]]-base[[#This Row],[L/P Líquido]]</f>
        <v>0.62010471204188455</v>
      </c>
      <c r="N427" s="126">
        <f>base[[#This Row],[L/P Líquido]]/base[[#This Row],[Stake/Responsabilidade]]</f>
        <v>0.13259445843828715</v>
      </c>
      <c r="O427" s="132">
        <f>IF(base[[#This Row],[L/P Líquido]]&gt;0,1,0)</f>
        <v>1</v>
      </c>
      <c r="P427" s="132"/>
      <c r="Q427" s="132" t="str">
        <f>LEFT(base[[#This Row],[Evento / Mercado]],FIND("vs",base[[#This Row],[Evento / Mercado]])-2)</f>
        <v>AS Monaco</v>
      </c>
      <c r="R4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Lorient</v>
      </c>
      <c r="S427" s="132" t="e">
        <f>LEFT(base[[#This Row],[Evento / Mercado]],FIND("/",base[[#This Row],[Evento / Mercado]])-2)</f>
        <v>#VALUE!</v>
      </c>
    </row>
    <row r="428" spans="2:21" ht="15" customHeight="1">
      <c r="B428" s="128" t="s">
        <v>443</v>
      </c>
      <c r="C428" s="128" t="s">
        <v>2982</v>
      </c>
      <c r="D428" s="129">
        <v>46038.745833333334</v>
      </c>
      <c r="E428" s="130">
        <v>9.5500000000000007</v>
      </c>
      <c r="F428" s="131">
        <v>4.4999999999999998E-2</v>
      </c>
      <c r="G428" s="126">
        <f t="shared" si="6"/>
        <v>10.000000000000002</v>
      </c>
      <c r="H428" s="126" t="s">
        <v>122</v>
      </c>
      <c r="I428" s="127" t="s">
        <v>75</v>
      </c>
      <c r="J428" s="126">
        <v>16</v>
      </c>
      <c r="K428" s="126">
        <v>150</v>
      </c>
      <c r="L428" s="129">
        <f>INT(base[[#This Row],[Data de liquidação]])</f>
        <v>46038</v>
      </c>
      <c r="M428" s="126">
        <f>base[[#This Row],[L/P Bruto]]-base[[#This Row],[L/P Líquido]]</f>
        <v>0.45000000000000107</v>
      </c>
      <c r="N428" s="126">
        <f>base[[#This Row],[L/P Líquido]]/base[[#This Row],[Stake/Responsabilidade]]</f>
        <v>6.3666666666666677E-2</v>
      </c>
      <c r="O428" s="132">
        <f>IF(base[[#This Row],[L/P Líquido]]&gt;0,1,0)</f>
        <v>1</v>
      </c>
      <c r="P428" s="132" t="s">
        <v>961</v>
      </c>
      <c r="Q428" s="132" t="str">
        <f>LEFT(base[[#This Row],[Evento / Mercado]],FIND("vs",base[[#This Row],[Evento / Mercado]])-2)</f>
        <v>USL Dunkerque</v>
      </c>
      <c r="R4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Pau FC</v>
      </c>
      <c r="S428" s="132" t="e">
        <f>LEFT(base[[#This Row],[Evento / Mercado]],FIND("/",base[[#This Row],[Evento / Mercado]])-2)</f>
        <v>#VALUE!</v>
      </c>
    </row>
    <row r="429" spans="2:21" ht="15" customHeight="1">
      <c r="B429" s="128" t="s">
        <v>442</v>
      </c>
      <c r="C429" s="128" t="s">
        <v>2982</v>
      </c>
      <c r="D429" s="129">
        <v>46038.748356481483</v>
      </c>
      <c r="E429" s="130">
        <v>6.82</v>
      </c>
      <c r="F429" s="131">
        <v>4.4999999999999998E-2</v>
      </c>
      <c r="G429" s="126">
        <f t="shared" si="6"/>
        <v>7.1413612565445028</v>
      </c>
      <c r="H429" s="126" t="s">
        <v>73</v>
      </c>
      <c r="I429" s="127" t="s">
        <v>13</v>
      </c>
      <c r="J429" s="126">
        <v>15</v>
      </c>
      <c r="K429" s="126">
        <v>99.96</v>
      </c>
      <c r="L429" s="129">
        <f>INT(base[[#This Row],[Data de liquidação]])</f>
        <v>46038</v>
      </c>
      <c r="M429" s="126">
        <f>base[[#This Row],[L/P Bruto]]-base[[#This Row],[L/P Líquido]]</f>
        <v>0.32136125654450254</v>
      </c>
      <c r="N429" s="126">
        <f>base[[#This Row],[L/P Líquido]]/base[[#This Row],[Stake/Responsabilidade]]</f>
        <v>6.8227290916366548E-2</v>
      </c>
      <c r="O429" s="132">
        <f>IF(base[[#This Row],[L/P Líquido]]&gt;0,1,0)</f>
        <v>1</v>
      </c>
      <c r="P429" s="132"/>
      <c r="Q429" s="132" t="str">
        <f>LEFT(base[[#This Row],[Evento / Mercado]],FIND("vs",base[[#This Row],[Evento / Mercado]])-2)</f>
        <v>Annecy FC</v>
      </c>
      <c r="R4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Amiens SC</v>
      </c>
      <c r="S429" s="132" t="e">
        <f>LEFT(base[[#This Row],[Evento / Mercado]],FIND("/",base[[#This Row],[Evento / Mercado]])-2)</f>
        <v>#VALUE!</v>
      </c>
    </row>
    <row r="430" spans="2:21" ht="15" customHeight="1">
      <c r="B430" s="128" t="s">
        <v>441</v>
      </c>
      <c r="C430" s="128" t="s">
        <v>2982</v>
      </c>
      <c r="D430" s="129">
        <v>46038.748715277776</v>
      </c>
      <c r="E430" s="130">
        <v>7.64</v>
      </c>
      <c r="F430" s="131">
        <v>4.4999999999999998E-2</v>
      </c>
      <c r="G430" s="126">
        <f t="shared" si="6"/>
        <v>8</v>
      </c>
      <c r="H430" s="126" t="s">
        <v>73</v>
      </c>
      <c r="I430" s="127" t="s">
        <v>16</v>
      </c>
      <c r="J430" s="126">
        <v>13.5</v>
      </c>
      <c r="K430" s="126">
        <v>100</v>
      </c>
      <c r="L430" s="129">
        <f>INT(base[[#This Row],[Data de liquidação]])</f>
        <v>46038</v>
      </c>
      <c r="M430" s="126">
        <f>base[[#This Row],[L/P Bruto]]-base[[#This Row],[L/P Líquido]]</f>
        <v>0.36000000000000032</v>
      </c>
      <c r="N430" s="126">
        <f>base[[#This Row],[L/P Líquido]]/base[[#This Row],[Stake/Responsabilidade]]</f>
        <v>7.6399999999999996E-2</v>
      </c>
      <c r="O430" s="132">
        <f>IF(base[[#This Row],[L/P Líquido]]&gt;0,1,0)</f>
        <v>1</v>
      </c>
      <c r="P430" s="132"/>
      <c r="Q430" s="132" t="str">
        <f>LEFT(base[[#This Row],[Evento / Mercado]],FIND("vs",base[[#This Row],[Evento / Mercado]])-2)</f>
        <v>ADO Den Haag</v>
      </c>
      <c r="R4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Cambuur Leeuwarden</v>
      </c>
      <c r="S430" s="132" t="e">
        <f>LEFT(base[[#This Row],[Evento / Mercado]],FIND("/",base[[#This Row],[Evento / Mercado]])-2)</f>
        <v>#VALUE!</v>
      </c>
    </row>
    <row r="431" spans="2:21" ht="15" customHeight="1">
      <c r="B431" s="128" t="s">
        <v>440</v>
      </c>
      <c r="C431" s="128" t="s">
        <v>2982</v>
      </c>
      <c r="D431" s="129">
        <v>46038.769189814811</v>
      </c>
      <c r="E431" s="130">
        <v>5.62</v>
      </c>
      <c r="F431" s="131">
        <v>4.4999999999999998E-2</v>
      </c>
      <c r="G431" s="126">
        <f t="shared" si="6"/>
        <v>5.8848167539267022</v>
      </c>
      <c r="H431" s="126" t="s">
        <v>73</v>
      </c>
      <c r="I431" s="127" t="s">
        <v>13</v>
      </c>
      <c r="J431" s="126">
        <v>18</v>
      </c>
      <c r="K431" s="126">
        <v>99.96</v>
      </c>
      <c r="L431" s="129">
        <f>INT(base[[#This Row],[Data de liquidação]])</f>
        <v>46038</v>
      </c>
      <c r="M431" s="126">
        <f>base[[#This Row],[L/P Bruto]]-base[[#This Row],[L/P Líquido]]</f>
        <v>0.26481675392670212</v>
      </c>
      <c r="N431" s="126">
        <f>base[[#This Row],[L/P Líquido]]/base[[#This Row],[Stake/Responsabilidade]]</f>
        <v>5.6222488995598244E-2</v>
      </c>
      <c r="O431" s="132">
        <f>IF(base[[#This Row],[L/P Líquido]]&gt;0,1,0)</f>
        <v>1</v>
      </c>
      <c r="P431" s="132"/>
      <c r="Q431" s="132" t="str">
        <f>LEFT(base[[#This Row],[Evento / Mercado]],FIND("vs",base[[#This Row],[Evento / Mercado]])-2)</f>
        <v>CD Castellon</v>
      </c>
      <c r="R4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Leganés</v>
      </c>
      <c r="S431" s="132" t="e">
        <f>LEFT(base[[#This Row],[Evento / Mercado]],FIND("/",base[[#This Row],[Evento / Mercado]])-2)</f>
        <v>#VALUE!</v>
      </c>
    </row>
    <row r="432" spans="2:21" ht="15" customHeight="1">
      <c r="B432" s="128" t="s">
        <v>439</v>
      </c>
      <c r="C432" s="128" t="s">
        <v>2982</v>
      </c>
      <c r="D432" s="129">
        <v>46038.780393518522</v>
      </c>
      <c r="E432" s="130">
        <v>2.34</v>
      </c>
      <c r="F432" s="131">
        <v>4.4999999999999998E-2</v>
      </c>
      <c r="G432" s="126">
        <f t="shared" si="6"/>
        <v>2.4502617801047122</v>
      </c>
      <c r="H432" s="126" t="s">
        <v>73</v>
      </c>
      <c r="I432" s="127" t="s">
        <v>13</v>
      </c>
      <c r="J432" s="126">
        <v>18</v>
      </c>
      <c r="K432" s="126">
        <v>41.65</v>
      </c>
      <c r="L432" s="129">
        <f>INT(base[[#This Row],[Data de liquidação]])</f>
        <v>46038</v>
      </c>
      <c r="M432" s="126">
        <f>base[[#This Row],[L/P Bruto]]-base[[#This Row],[L/P Líquido]]</f>
        <v>0.11026178010471233</v>
      </c>
      <c r="N432" s="126">
        <f>base[[#This Row],[L/P Líquido]]/base[[#This Row],[Stake/Responsabilidade]]</f>
        <v>5.6182472989195674E-2</v>
      </c>
      <c r="O432" s="132">
        <f>IF(base[[#This Row],[L/P Líquido]]&gt;0,1,0)</f>
        <v>1</v>
      </c>
      <c r="P432" s="132"/>
      <c r="Q432" s="132" t="str">
        <f>LEFT(base[[#This Row],[Evento / Mercado]],FIND("vs",base[[#This Row],[Evento / Mercado]])-2)</f>
        <v>Club Brugge</v>
      </c>
      <c r="R4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RAAL La Louviere</v>
      </c>
      <c r="S432" s="132" t="e">
        <f>LEFT(base[[#This Row],[Evento / Mercado]],FIND("/",base[[#This Row],[Evento / Mercado]])-2)</f>
        <v>#VALUE!</v>
      </c>
    </row>
    <row r="433" spans="2:19" ht="15" customHeight="1">
      <c r="B433" s="128" t="s">
        <v>438</v>
      </c>
      <c r="C433" s="128" t="s">
        <v>2982</v>
      </c>
      <c r="D433" s="129">
        <v>46038.786527777775</v>
      </c>
      <c r="E433" s="130">
        <v>13.03</v>
      </c>
      <c r="F433" s="131">
        <v>4.4999999999999998E-2</v>
      </c>
      <c r="G433" s="126">
        <f t="shared" si="6"/>
        <v>13.643979057591624</v>
      </c>
      <c r="H433" s="126" t="s">
        <v>122</v>
      </c>
      <c r="I433" s="127" t="s">
        <v>75</v>
      </c>
      <c r="J433" s="126">
        <v>12</v>
      </c>
      <c r="K433" s="126">
        <v>150.04</v>
      </c>
      <c r="L433" s="129">
        <f>INT(base[[#This Row],[Data de liquidação]])</f>
        <v>46038</v>
      </c>
      <c r="M433" s="126">
        <f>base[[#This Row],[L/P Bruto]]-base[[#This Row],[L/P Líquido]]</f>
        <v>0.61397905759162441</v>
      </c>
      <c r="N433" s="126">
        <f>base[[#This Row],[L/P Líquido]]/base[[#This Row],[Stake/Responsabilidade]]</f>
        <v>8.6843508397760602E-2</v>
      </c>
      <c r="O433" s="132">
        <f>IF(base[[#This Row],[L/P Líquido]]&gt;0,1,0)</f>
        <v>1</v>
      </c>
      <c r="P433" s="132" t="s">
        <v>968</v>
      </c>
      <c r="Q433" s="132" t="str">
        <f>LEFT(base[[#This Row],[Evento / Mercado]],FIND("vs",base[[#This Row],[Evento / Mercado]])-2)</f>
        <v>West Bromwich Albion</v>
      </c>
      <c r="R4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Middlesbrough</v>
      </c>
      <c r="S433" s="132" t="e">
        <f>LEFT(base[[#This Row],[Evento / Mercado]],FIND("/",base[[#This Row],[Evento / Mercado]])-2)</f>
        <v>#VALUE!</v>
      </c>
    </row>
    <row r="434" spans="2:19" ht="15" customHeight="1">
      <c r="B434" s="128" t="s">
        <v>437</v>
      </c>
      <c r="C434" s="128" t="s">
        <v>2982</v>
      </c>
      <c r="D434" s="129">
        <v>46038.786909722221</v>
      </c>
      <c r="E434" s="130">
        <v>-60</v>
      </c>
      <c r="F434" s="131">
        <v>4.4999999999999998E-2</v>
      </c>
      <c r="G434" s="126">
        <f t="shared" si="6"/>
        <v>-60</v>
      </c>
      <c r="H434" s="126" t="s">
        <v>231</v>
      </c>
      <c r="I434" s="127" t="s">
        <v>266</v>
      </c>
      <c r="J434" s="126">
        <v>1.76</v>
      </c>
      <c r="K434" s="126">
        <v>60</v>
      </c>
      <c r="L434" s="129">
        <f>INT(base[[#This Row],[Data de liquidação]])</f>
        <v>46038</v>
      </c>
      <c r="M434" s="126">
        <f>base[[#This Row],[L/P Bruto]]-base[[#This Row],[L/P Líquido]]</f>
        <v>0</v>
      </c>
      <c r="N434" s="126">
        <f>base[[#This Row],[L/P Líquido]]/base[[#This Row],[Stake/Responsabilidade]]</f>
        <v>-1</v>
      </c>
      <c r="O434" s="132">
        <f>IF(base[[#This Row],[L/P Líquido]]&gt;0,1,0)</f>
        <v>0</v>
      </c>
      <c r="P434" s="132"/>
      <c r="Q434" s="132" t="str">
        <f>LEFT(base[[#This Row],[Evento / Mercado]],FIND("vs",base[[#This Row],[Evento / Mercado]])-2)</f>
        <v>Paris Saint-Germain</v>
      </c>
      <c r="R4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Lille OSC</v>
      </c>
      <c r="S434" s="132" t="e">
        <f>LEFT(base[[#This Row],[Evento / Mercado]],FIND("/",base[[#This Row],[Evento / Mercado]])-2)</f>
        <v>#VALUE!</v>
      </c>
    </row>
    <row r="435" spans="2:19" ht="15" customHeight="1">
      <c r="B435" s="128" t="s">
        <v>436</v>
      </c>
      <c r="C435" s="128" t="s">
        <v>2982</v>
      </c>
      <c r="D435" s="129">
        <v>46038.792905092596</v>
      </c>
      <c r="E435" s="130">
        <v>6.59</v>
      </c>
      <c r="F435" s="131">
        <v>4.4999999999999998E-2</v>
      </c>
      <c r="G435" s="126">
        <f t="shared" si="6"/>
        <v>6.9005235602094244</v>
      </c>
      <c r="H435" s="126" t="s">
        <v>73</v>
      </c>
      <c r="I435" s="127" t="s">
        <v>13</v>
      </c>
      <c r="J435" s="126">
        <v>15.5</v>
      </c>
      <c r="K435" s="126">
        <v>100.05</v>
      </c>
      <c r="L435" s="129">
        <f>INT(base[[#This Row],[Data de liquidação]])</f>
        <v>46038</v>
      </c>
      <c r="M435" s="126">
        <f>base[[#This Row],[L/P Bruto]]-base[[#This Row],[L/P Líquido]]</f>
        <v>0.31052356020942451</v>
      </c>
      <c r="N435" s="126">
        <f>base[[#This Row],[L/P Líquido]]/base[[#This Row],[Stake/Responsabilidade]]</f>
        <v>6.5867066466766613E-2</v>
      </c>
      <c r="O435" s="132">
        <f>IF(base[[#This Row],[L/P Líquido]]&gt;0,1,0)</f>
        <v>1</v>
      </c>
      <c r="P435" s="132"/>
      <c r="Q435" s="132" t="str">
        <f>LEFT(base[[#This Row],[Evento / Mercado]],FIND("vs",base[[#This Row],[Evento / Mercado]])-2)</f>
        <v>Espanyol</v>
      </c>
      <c r="R4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Girona</v>
      </c>
      <c r="S435" s="132" t="e">
        <f>LEFT(base[[#This Row],[Evento / Mercado]],FIND("/",base[[#This Row],[Evento / Mercado]])-2)</f>
        <v>#VALUE!</v>
      </c>
    </row>
    <row r="436" spans="2:19" ht="15" customHeight="1">
      <c r="B436" s="128" t="s">
        <v>435</v>
      </c>
      <c r="C436" s="128" t="s">
        <v>2982</v>
      </c>
      <c r="D436" s="129">
        <v>46039.414699074077</v>
      </c>
      <c r="E436" s="130">
        <v>9.5500000000000007</v>
      </c>
      <c r="F436" s="131">
        <v>4.4999999999999998E-2</v>
      </c>
      <c r="G436" s="126">
        <f t="shared" si="6"/>
        <v>10.000000000000002</v>
      </c>
      <c r="H436" s="126" t="s">
        <v>73</v>
      </c>
      <c r="I436" s="127" t="s">
        <v>13</v>
      </c>
      <c r="J436" s="126">
        <v>11</v>
      </c>
      <c r="K436" s="126">
        <v>100</v>
      </c>
      <c r="L436" s="129">
        <f>INT(base[[#This Row],[Data de liquidação]])</f>
        <v>46039</v>
      </c>
      <c r="M436" s="126">
        <f>base[[#This Row],[L/P Bruto]]-base[[#This Row],[L/P Líquido]]</f>
        <v>0.45000000000000107</v>
      </c>
      <c r="N436" s="126">
        <f>base[[#This Row],[L/P Líquido]]/base[[#This Row],[Stake/Responsabilidade]]</f>
        <v>9.5500000000000002E-2</v>
      </c>
      <c r="O436" s="132">
        <f>IF(base[[#This Row],[L/P Líquido]]&gt;0,1,0)</f>
        <v>1</v>
      </c>
      <c r="P436" s="132"/>
      <c r="Q436" s="132" t="str">
        <f>LEFT(base[[#This Row],[Evento / Mercado]],FIND("vs",base[[#This Row],[Evento / Mercado]])-2)</f>
        <v>Farense</v>
      </c>
      <c r="R4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Oliveirense</v>
      </c>
      <c r="S436" s="132" t="e">
        <f>LEFT(base[[#This Row],[Evento / Mercado]],FIND("/",base[[#This Row],[Evento / Mercado]])-2)</f>
        <v>#VALUE!</v>
      </c>
    </row>
    <row r="437" spans="2:19" ht="15" customHeight="1">
      <c r="B437" s="128" t="s">
        <v>431</v>
      </c>
      <c r="C437" s="128" t="s">
        <v>2982</v>
      </c>
      <c r="D437" s="129">
        <v>46039.452939814815</v>
      </c>
      <c r="E437" s="130">
        <v>40.68</v>
      </c>
      <c r="F437" s="131">
        <v>4.4999999999999998E-2</v>
      </c>
      <c r="G437" s="126">
        <f t="shared" si="6"/>
        <v>42.596858638743456</v>
      </c>
      <c r="H437" s="126" t="s">
        <v>231</v>
      </c>
      <c r="I437" s="127" t="s">
        <v>266</v>
      </c>
      <c r="J437" s="126">
        <v>1.71</v>
      </c>
      <c r="K437" s="126">
        <v>60</v>
      </c>
      <c r="L437" s="129">
        <f>INT(base[[#This Row],[Data de liquidação]])</f>
        <v>46039</v>
      </c>
      <c r="M437" s="126">
        <f>base[[#This Row],[L/P Bruto]]-base[[#This Row],[L/P Líquido]]</f>
        <v>1.9168586387434559</v>
      </c>
      <c r="N437" s="126">
        <f>base[[#This Row],[L/P Líquido]]/base[[#This Row],[Stake/Responsabilidade]]</f>
        <v>0.67800000000000005</v>
      </c>
      <c r="O437" s="132">
        <f>IF(base[[#This Row],[L/P Líquido]]&gt;0,1,0)</f>
        <v>1</v>
      </c>
      <c r="P437" s="132"/>
      <c r="Q437" s="132" t="str">
        <f>LEFT(base[[#This Row],[Evento / Mercado]],FIND("vs",base[[#This Row],[Evento / Mercado]])-2)</f>
        <v>Hansa Rostock</v>
      </c>
      <c r="R4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Erzgebirge Aue</v>
      </c>
      <c r="S437" s="132" t="e">
        <f>LEFT(base[[#This Row],[Evento / Mercado]],FIND("/",base[[#This Row],[Evento / Mercado]])-2)</f>
        <v>#VALUE!</v>
      </c>
    </row>
    <row r="438" spans="2:19" ht="15" customHeight="1">
      <c r="B438" s="128" t="s">
        <v>434</v>
      </c>
      <c r="C438" s="128" t="s">
        <v>2982</v>
      </c>
      <c r="D438" s="129">
        <v>46039.457372685189</v>
      </c>
      <c r="E438" s="130">
        <v>-60</v>
      </c>
      <c r="F438" s="131">
        <v>4.4999999999999998E-2</v>
      </c>
      <c r="G438" s="126">
        <f t="shared" si="6"/>
        <v>-60</v>
      </c>
      <c r="H438" s="126" t="s">
        <v>231</v>
      </c>
      <c r="I438" s="127" t="s">
        <v>232</v>
      </c>
      <c r="J438" s="126">
        <v>1.72</v>
      </c>
      <c r="K438" s="126">
        <v>60</v>
      </c>
      <c r="L438" s="129">
        <f>INT(base[[#This Row],[Data de liquidação]])</f>
        <v>46039</v>
      </c>
      <c r="M438" s="126">
        <f>base[[#This Row],[L/P Bruto]]-base[[#This Row],[L/P Líquido]]</f>
        <v>0</v>
      </c>
      <c r="N438" s="126">
        <f>base[[#This Row],[L/P Líquido]]/base[[#This Row],[Stake/Responsabilidade]]</f>
        <v>-1</v>
      </c>
      <c r="O438" s="132">
        <f>IF(base[[#This Row],[L/P Líquido]]&gt;0,1,0)</f>
        <v>0</v>
      </c>
      <c r="P438" s="132"/>
      <c r="Q438" s="132" t="str">
        <f>LEFT(base[[#This Row],[Evento / Mercado]],FIND("vs",base[[#This Row],[Evento / Mercado]])-2)</f>
        <v>Preußen Münster</v>
      </c>
      <c r="R4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Karlsruher SC</v>
      </c>
      <c r="S438" s="132" t="e">
        <f>LEFT(base[[#This Row],[Evento / Mercado]],FIND("/",base[[#This Row],[Evento / Mercado]])-2)</f>
        <v>#VALUE!</v>
      </c>
    </row>
    <row r="439" spans="2:19" ht="15" customHeight="1">
      <c r="B439" s="128" t="s">
        <v>433</v>
      </c>
      <c r="C439" s="128" t="s">
        <v>2982</v>
      </c>
      <c r="D439" s="129">
        <v>46039.476770833331</v>
      </c>
      <c r="E439" s="130">
        <v>9.5500000000000007</v>
      </c>
      <c r="F439" s="131">
        <v>4.4999999999999998E-2</v>
      </c>
      <c r="G439" s="126">
        <f t="shared" si="6"/>
        <v>10.000000000000002</v>
      </c>
      <c r="H439" s="126" t="s">
        <v>73</v>
      </c>
      <c r="I439" s="127" t="s">
        <v>16</v>
      </c>
      <c r="J439" s="126">
        <v>11</v>
      </c>
      <c r="K439" s="126">
        <v>100</v>
      </c>
      <c r="L439" s="129">
        <f>INT(base[[#This Row],[Data de liquidação]])</f>
        <v>46039</v>
      </c>
      <c r="M439" s="126">
        <f>base[[#This Row],[L/P Bruto]]-base[[#This Row],[L/P Líquido]]</f>
        <v>0.45000000000000107</v>
      </c>
      <c r="N439" s="126">
        <f>base[[#This Row],[L/P Líquido]]/base[[#This Row],[Stake/Responsabilidade]]</f>
        <v>9.5500000000000002E-2</v>
      </c>
      <c r="O439" s="132">
        <f>IF(base[[#This Row],[L/P Líquido]]&gt;0,1,0)</f>
        <v>1</v>
      </c>
      <c r="P439" s="132"/>
      <c r="Q439" s="132" t="str">
        <f>LEFT(base[[#This Row],[Evento / Mercado]],FIND("vs",base[[#This Row],[Evento / Mercado]])-2)</f>
        <v>Coventry City</v>
      </c>
      <c r="R4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Leicester City</v>
      </c>
      <c r="S439" s="132" t="e">
        <f>LEFT(base[[#This Row],[Evento / Mercado]],FIND("/",base[[#This Row],[Evento / Mercado]])-2)</f>
        <v>#VALUE!</v>
      </c>
    </row>
    <row r="440" spans="2:19" ht="15" customHeight="1">
      <c r="B440" s="128" t="s">
        <v>432</v>
      </c>
      <c r="C440" s="128" t="s">
        <v>2982</v>
      </c>
      <c r="D440" s="129">
        <v>46039.497407407405</v>
      </c>
      <c r="E440" s="130">
        <v>5.79</v>
      </c>
      <c r="F440" s="131">
        <v>4.4999999999999998E-2</v>
      </c>
      <c r="G440" s="126">
        <f t="shared" si="6"/>
        <v>6.0628272251308903</v>
      </c>
      <c r="H440" s="126" t="s">
        <v>73</v>
      </c>
      <c r="I440" s="127" t="s">
        <v>13</v>
      </c>
      <c r="J440" s="126">
        <v>17.5</v>
      </c>
      <c r="K440" s="126">
        <v>99.99</v>
      </c>
      <c r="L440" s="129">
        <f>INT(base[[#This Row],[Data de liquidação]])</f>
        <v>46039</v>
      </c>
      <c r="M440" s="126">
        <f>base[[#This Row],[L/P Bruto]]-base[[#This Row],[L/P Líquido]]</f>
        <v>0.27282722513089031</v>
      </c>
      <c r="N440" s="126">
        <f>base[[#This Row],[L/P Líquido]]/base[[#This Row],[Stake/Responsabilidade]]</f>
        <v>5.7905790579057911E-2</v>
      </c>
      <c r="O440" s="132">
        <f>IF(base[[#This Row],[L/P Líquido]]&gt;0,1,0)</f>
        <v>1</v>
      </c>
      <c r="P440" s="132"/>
      <c r="Q440" s="132" t="str">
        <f>LEFT(base[[#This Row],[Evento / Mercado]],FIND("vs",base[[#This Row],[Evento / Mercado]])-2)</f>
        <v>1. FC Saarbrücken</v>
      </c>
      <c r="R4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Energie Cottbus</v>
      </c>
      <c r="S440" s="132" t="e">
        <f>LEFT(base[[#This Row],[Evento / Mercado]],FIND("/",base[[#This Row],[Evento / Mercado]])-2)</f>
        <v>#VALUE!</v>
      </c>
    </row>
    <row r="441" spans="2:19" ht="15" customHeight="1">
      <c r="B441" s="128" t="s">
        <v>431</v>
      </c>
      <c r="C441" s="128" t="s">
        <v>2982</v>
      </c>
      <c r="D441" s="129">
        <v>46039.500462962962</v>
      </c>
      <c r="E441" s="130">
        <v>10.61</v>
      </c>
      <c r="F441" s="131">
        <v>4.4999999999999998E-2</v>
      </c>
      <c r="G441" s="126">
        <f t="shared" si="6"/>
        <v>11.109947643979057</v>
      </c>
      <c r="H441" s="126" t="s">
        <v>73</v>
      </c>
      <c r="I441" s="127" t="s">
        <v>16</v>
      </c>
      <c r="J441" s="126">
        <v>10</v>
      </c>
      <c r="K441" s="126">
        <v>99.99</v>
      </c>
      <c r="L441" s="129">
        <f>INT(base[[#This Row],[Data de liquidação]])</f>
        <v>46039</v>
      </c>
      <c r="M441" s="126">
        <f>base[[#This Row],[L/P Bruto]]-base[[#This Row],[L/P Líquido]]</f>
        <v>0.49994764397905733</v>
      </c>
      <c r="N441" s="126">
        <f>base[[#This Row],[L/P Líquido]]/base[[#This Row],[Stake/Responsabilidade]]</f>
        <v>0.10611061106110611</v>
      </c>
      <c r="O441" s="132">
        <f>IF(base[[#This Row],[L/P Líquido]]&gt;0,1,0)</f>
        <v>1</v>
      </c>
      <c r="P441" s="132"/>
      <c r="Q441" s="132" t="str">
        <f>LEFT(base[[#This Row],[Evento / Mercado]],FIND("vs",base[[#This Row],[Evento / Mercado]])-2)</f>
        <v>Hansa Rostock</v>
      </c>
      <c r="R4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Erzgebirge Aue</v>
      </c>
      <c r="S441" s="132" t="e">
        <f>LEFT(base[[#This Row],[Evento / Mercado]],FIND("/",base[[#This Row],[Evento / Mercado]])-2)</f>
        <v>#VALUE!</v>
      </c>
    </row>
    <row r="442" spans="2:19" ht="15" customHeight="1">
      <c r="B442" s="128" t="s">
        <v>430</v>
      </c>
      <c r="C442" s="128" t="s">
        <v>2982</v>
      </c>
      <c r="D442" s="129">
        <v>46039.516736111109</v>
      </c>
      <c r="E442" s="130">
        <v>42.98</v>
      </c>
      <c r="F442" s="131">
        <v>4.4999999999999998E-2</v>
      </c>
      <c r="G442" s="126">
        <f t="shared" si="6"/>
        <v>45.005235602094238</v>
      </c>
      <c r="H442" s="126" t="s">
        <v>231</v>
      </c>
      <c r="I442" s="127" t="s">
        <v>266</v>
      </c>
      <c r="J442" s="126">
        <v>1.75</v>
      </c>
      <c r="K442" s="126">
        <v>60</v>
      </c>
      <c r="L442" s="129">
        <f>INT(base[[#This Row],[Data de liquidação]])</f>
        <v>46039</v>
      </c>
      <c r="M442" s="126">
        <f>base[[#This Row],[L/P Bruto]]-base[[#This Row],[L/P Líquido]]</f>
        <v>2.0252356020942415</v>
      </c>
      <c r="N442" s="126">
        <f>base[[#This Row],[L/P Líquido]]/base[[#This Row],[Stake/Responsabilidade]]</f>
        <v>0.71633333333333327</v>
      </c>
      <c r="O442" s="132">
        <f>IF(base[[#This Row],[L/P Líquido]]&gt;0,1,0)</f>
        <v>1</v>
      </c>
      <c r="P442" s="132"/>
      <c r="Q442" s="132" t="str">
        <f>LEFT(base[[#This Row],[Evento / Mercado]],FIND("vs",base[[#This Row],[Evento / Mercado]])-2)</f>
        <v>Wrexham</v>
      </c>
      <c r="R4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442" s="132" t="e">
        <f>LEFT(base[[#This Row],[Evento / Mercado]],FIND("/",base[[#This Row],[Evento / Mercado]])-2)</f>
        <v>#VALUE!</v>
      </c>
    </row>
    <row r="443" spans="2:19" ht="15" customHeight="1">
      <c r="B443" s="128" t="s">
        <v>429</v>
      </c>
      <c r="C443" s="128" t="s">
        <v>2982</v>
      </c>
      <c r="D443" s="129">
        <v>46039.521203703705</v>
      </c>
      <c r="E443" s="130">
        <v>5.62</v>
      </c>
      <c r="F443" s="131">
        <v>4.4999999999999998E-2</v>
      </c>
      <c r="G443" s="126">
        <f t="shared" si="6"/>
        <v>5.8848167539267022</v>
      </c>
      <c r="H443" s="126" t="s">
        <v>73</v>
      </c>
      <c r="I443" s="127" t="s">
        <v>13</v>
      </c>
      <c r="J443" s="126">
        <v>18</v>
      </c>
      <c r="K443" s="126">
        <v>99.96</v>
      </c>
      <c r="L443" s="129">
        <f>INT(base[[#This Row],[Data de liquidação]])</f>
        <v>46039</v>
      </c>
      <c r="M443" s="126">
        <f>base[[#This Row],[L/P Bruto]]-base[[#This Row],[L/P Líquido]]</f>
        <v>0.26481675392670212</v>
      </c>
      <c r="N443" s="126">
        <f>base[[#This Row],[L/P Líquido]]/base[[#This Row],[Stake/Responsabilidade]]</f>
        <v>5.6222488995598244E-2</v>
      </c>
      <c r="O443" s="132">
        <f>IF(base[[#This Row],[L/P Líquido]]&gt;0,1,0)</f>
        <v>1</v>
      </c>
      <c r="P443" s="132"/>
      <c r="Q443" s="132" t="str">
        <f>LEFT(base[[#This Row],[Evento / Mercado]],FIND("vs",base[[#This Row],[Evento / Mercado]])-2)</f>
        <v>Benevento</v>
      </c>
      <c r="R4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S.S.D. Casarano Calcio</v>
      </c>
      <c r="S443" s="132" t="e">
        <f>LEFT(base[[#This Row],[Evento / Mercado]],FIND("/",base[[#This Row],[Evento / Mercado]])-2)</f>
        <v>#VALUE!</v>
      </c>
    </row>
    <row r="444" spans="2:19" ht="15" customHeight="1">
      <c r="B444" s="128" t="s">
        <v>428</v>
      </c>
      <c r="C444" s="128" t="s">
        <v>2982</v>
      </c>
      <c r="D444" s="129">
        <v>46039.535277777781</v>
      </c>
      <c r="E444" s="130">
        <v>49.28</v>
      </c>
      <c r="F444" s="131">
        <v>4.4999999999999998E-2</v>
      </c>
      <c r="G444" s="126">
        <f t="shared" si="6"/>
        <v>51.602094240837701</v>
      </c>
      <c r="H444" s="126" t="s">
        <v>231</v>
      </c>
      <c r="I444" s="127" t="s">
        <v>232</v>
      </c>
      <c r="J444" s="126">
        <v>1.86</v>
      </c>
      <c r="K444" s="126">
        <v>60</v>
      </c>
      <c r="L444" s="129">
        <f>INT(base[[#This Row],[Data de liquidação]])</f>
        <v>46039</v>
      </c>
      <c r="M444" s="126">
        <f>base[[#This Row],[L/P Bruto]]-base[[#This Row],[L/P Líquido]]</f>
        <v>2.3220942408376999</v>
      </c>
      <c r="N444" s="126">
        <f>base[[#This Row],[L/P Líquido]]/base[[#This Row],[Stake/Responsabilidade]]</f>
        <v>0.82133333333333336</v>
      </c>
      <c r="O444" s="132">
        <f>IF(base[[#This Row],[L/P Líquido]]&gt;0,1,0)</f>
        <v>1</v>
      </c>
      <c r="P444" s="132"/>
      <c r="Q444" s="132" t="str">
        <f>LEFT(base[[#This Row],[Evento / Mercado]],FIND("vs",base[[#This Row],[Evento / Mercado]])-2)</f>
        <v>Venezia</v>
      </c>
      <c r="R4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444" s="132" t="e">
        <f>LEFT(base[[#This Row],[Evento / Mercado]],FIND("/",base[[#This Row],[Evento / Mercado]])-2)</f>
        <v>#VALUE!</v>
      </c>
    </row>
    <row r="445" spans="2:19" ht="15" customHeight="1">
      <c r="B445" s="128" t="s">
        <v>427</v>
      </c>
      <c r="C445" s="128" t="s">
        <v>2982</v>
      </c>
      <c r="D445" s="129">
        <v>46039.55878472222</v>
      </c>
      <c r="E445" s="130">
        <v>8.68</v>
      </c>
      <c r="F445" s="131">
        <v>4.4999999999999998E-2</v>
      </c>
      <c r="G445" s="126">
        <f t="shared" si="6"/>
        <v>9.0890052356020945</v>
      </c>
      <c r="H445" s="126" t="s">
        <v>73</v>
      </c>
      <c r="I445" s="127" t="s">
        <v>16</v>
      </c>
      <c r="J445" s="126">
        <v>12</v>
      </c>
      <c r="K445" s="126">
        <v>99.99</v>
      </c>
      <c r="L445" s="129">
        <f>INT(base[[#This Row],[Data de liquidação]])</f>
        <v>46039</v>
      </c>
      <c r="M445" s="126">
        <f>base[[#This Row],[L/P Bruto]]-base[[#This Row],[L/P Líquido]]</f>
        <v>0.40900523560209479</v>
      </c>
      <c r="N445" s="126">
        <f>base[[#This Row],[L/P Líquido]]/base[[#This Row],[Stake/Responsabilidade]]</f>
        <v>8.680868086808681E-2</v>
      </c>
      <c r="O445" s="132">
        <f>IF(base[[#This Row],[L/P Líquido]]&gt;0,1,0)</f>
        <v>1</v>
      </c>
      <c r="P445" s="132"/>
      <c r="Q445" s="132" t="str">
        <f>LEFT(base[[#This Row],[Evento / Mercado]],FIND("vs",base[[#This Row],[Evento / Mercado]])-2)</f>
        <v>VfL Wolfsburg</v>
      </c>
      <c r="R4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Heidenheim</v>
      </c>
      <c r="S445" s="132" t="e">
        <f>LEFT(base[[#This Row],[Evento / Mercado]],FIND("/",base[[#This Row],[Evento / Mercado]])-2)</f>
        <v>#VALUE!</v>
      </c>
    </row>
    <row r="446" spans="2:19" ht="15" customHeight="1">
      <c r="B446" s="128" t="s">
        <v>426</v>
      </c>
      <c r="C446" s="128" t="s">
        <v>2982</v>
      </c>
      <c r="D446" s="129">
        <v>46039.561678240738</v>
      </c>
      <c r="E446" s="130">
        <v>-60</v>
      </c>
      <c r="F446" s="131">
        <v>4.4999999999999998E-2</v>
      </c>
      <c r="G446" s="126">
        <f t="shared" si="6"/>
        <v>-60</v>
      </c>
      <c r="H446" s="126" t="s">
        <v>231</v>
      </c>
      <c r="I446" s="127" t="s">
        <v>266</v>
      </c>
      <c r="J446" s="126">
        <v>1.69</v>
      </c>
      <c r="K446" s="126">
        <v>60</v>
      </c>
      <c r="L446" s="129">
        <f>INT(base[[#This Row],[Data de liquidação]])</f>
        <v>46039</v>
      </c>
      <c r="M446" s="126">
        <f>base[[#This Row],[L/P Bruto]]-base[[#This Row],[L/P Líquido]]</f>
        <v>0</v>
      </c>
      <c r="N446" s="126">
        <f>base[[#This Row],[L/P Líquido]]/base[[#This Row],[Stake/Responsabilidade]]</f>
        <v>-1</v>
      </c>
      <c r="O446" s="132">
        <f>IF(base[[#This Row],[L/P Líquido]]&gt;0,1,0)</f>
        <v>0</v>
      </c>
      <c r="P446" s="132"/>
      <c r="Q446" s="132" t="str">
        <f>LEFT(base[[#This Row],[Evento / Mercado]],FIND("vs",base[[#This Row],[Evento / Mercado]])-2)</f>
        <v>Hamburger SV</v>
      </c>
      <c r="R4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446" s="132" t="e">
        <f>LEFT(base[[#This Row],[Evento / Mercado]],FIND("/",base[[#This Row],[Evento / Mercado]])-2)</f>
        <v>#VALUE!</v>
      </c>
    </row>
    <row r="447" spans="2:19" ht="15" customHeight="1">
      <c r="B447" s="128" t="s">
        <v>425</v>
      </c>
      <c r="C447" s="128" t="s">
        <v>2982</v>
      </c>
      <c r="D447" s="129">
        <v>46039.562615740739</v>
      </c>
      <c r="E447" s="130">
        <v>6.82</v>
      </c>
      <c r="F447" s="131">
        <v>4.4999999999999998E-2</v>
      </c>
      <c r="G447" s="126">
        <f t="shared" si="6"/>
        <v>7.1413612565445028</v>
      </c>
      <c r="H447" s="126" t="s">
        <v>73</v>
      </c>
      <c r="I447" s="127" t="s">
        <v>16</v>
      </c>
      <c r="J447" s="126">
        <v>15</v>
      </c>
      <c r="K447" s="126">
        <v>99.96</v>
      </c>
      <c r="L447" s="129">
        <f>INT(base[[#This Row],[Data de liquidação]])</f>
        <v>46039</v>
      </c>
      <c r="M447" s="126">
        <f>base[[#This Row],[L/P Bruto]]-base[[#This Row],[L/P Líquido]]</f>
        <v>0.32136125654450254</v>
      </c>
      <c r="N447" s="126">
        <f>base[[#This Row],[L/P Líquido]]/base[[#This Row],[Stake/Responsabilidade]]</f>
        <v>6.8227290916366548E-2</v>
      </c>
      <c r="O447" s="132">
        <f>IF(base[[#This Row],[L/P Líquido]]&gt;0,1,0)</f>
        <v>1</v>
      </c>
      <c r="P447" s="132"/>
      <c r="Q447" s="132" t="str">
        <f>LEFT(base[[#This Row],[Evento / Mercado]],FIND("vs",base[[#This Row],[Evento / Mercado]])-2)</f>
        <v>Al-Rayyan</v>
      </c>
      <c r="R4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Al-Shamal</v>
      </c>
      <c r="S447" s="132" t="e">
        <f>LEFT(base[[#This Row],[Evento / Mercado]],FIND("/",base[[#This Row],[Evento / Mercado]])-2)</f>
        <v>#VALUE!</v>
      </c>
    </row>
    <row r="448" spans="2:19" ht="15" customHeight="1">
      <c r="B448" s="128" t="s">
        <v>424</v>
      </c>
      <c r="C448" s="128" t="s">
        <v>2982</v>
      </c>
      <c r="D448" s="129">
        <v>46039.5627662037</v>
      </c>
      <c r="E448" s="130">
        <v>44.77</v>
      </c>
      <c r="F448" s="131">
        <v>4.4999999999999998E-2</v>
      </c>
      <c r="G448" s="126">
        <f t="shared" si="6"/>
        <v>46.879581151832468</v>
      </c>
      <c r="H448" s="126" t="s">
        <v>231</v>
      </c>
      <c r="I448" s="127" t="s">
        <v>266</v>
      </c>
      <c r="J448" s="126">
        <v>1.78</v>
      </c>
      <c r="K448" s="126">
        <v>60</v>
      </c>
      <c r="L448" s="129">
        <f>INT(base[[#This Row],[Data de liquidação]])</f>
        <v>46039</v>
      </c>
      <c r="M448" s="126">
        <f>base[[#This Row],[L/P Bruto]]-base[[#This Row],[L/P Líquido]]</f>
        <v>2.1095811518324652</v>
      </c>
      <c r="N448" s="126">
        <f>base[[#This Row],[L/P Líquido]]/base[[#This Row],[Stake/Responsabilidade]]</f>
        <v>0.74616666666666676</v>
      </c>
      <c r="O448" s="132">
        <f>IF(base[[#This Row],[L/P Líquido]]&gt;0,1,0)</f>
        <v>1</v>
      </c>
      <c r="P448" s="132"/>
      <c r="Q448" s="132" t="str">
        <f>LEFT(base[[#This Row],[Evento / Mercado]],FIND("vs",base[[#This Row],[Evento / Mercado]])-2)</f>
        <v>Southampton</v>
      </c>
      <c r="R4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Hull City</v>
      </c>
      <c r="S448" s="132" t="e">
        <f>LEFT(base[[#This Row],[Evento / Mercado]],FIND("/",base[[#This Row],[Evento / Mercado]])-2)</f>
        <v>#VALUE!</v>
      </c>
    </row>
    <row r="449" spans="2:21" ht="15" customHeight="1">
      <c r="B449" s="128" t="s">
        <v>424</v>
      </c>
      <c r="C449" s="128" t="s">
        <v>2982</v>
      </c>
      <c r="D449" s="129">
        <v>46039.579317129632</v>
      </c>
      <c r="E449" s="130">
        <v>17.27</v>
      </c>
      <c r="F449" s="131">
        <v>4.4999999999999998E-2</v>
      </c>
      <c r="G449" s="126">
        <f t="shared" si="6"/>
        <v>18.083769633507853</v>
      </c>
      <c r="H449" s="126" t="s">
        <v>73</v>
      </c>
      <c r="I449" s="127" t="s">
        <v>13</v>
      </c>
      <c r="J449" s="126">
        <v>18</v>
      </c>
      <c r="K449" s="126">
        <v>99.96</v>
      </c>
      <c r="L449" s="129">
        <f>INT(base[[#This Row],[Data de liquidação]])</f>
        <v>46039</v>
      </c>
      <c r="M449" s="126">
        <f>base[[#This Row],[L/P Bruto]]-base[[#This Row],[L/P Líquido]]</f>
        <v>0.81376963350785303</v>
      </c>
      <c r="N449" s="126">
        <f>base[[#This Row],[L/P Líquido]]/base[[#This Row],[Stake/Responsabilidade]]</f>
        <v>0.17276910764305722</v>
      </c>
      <c r="O449" s="132">
        <f>IF(base[[#This Row],[L/P Líquido]]&gt;0,1,0)</f>
        <v>1</v>
      </c>
      <c r="P449" s="132"/>
      <c r="Q449" s="132" t="str">
        <f>LEFT(base[[#This Row],[Evento / Mercado]],FIND("vs",base[[#This Row],[Evento / Mercado]])-2)</f>
        <v>Southampton</v>
      </c>
      <c r="R4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Hull City</v>
      </c>
      <c r="S449" s="132" t="e">
        <f>LEFT(base[[#This Row],[Evento / Mercado]],FIND("/",base[[#This Row],[Evento / Mercado]])-2)</f>
        <v>#VALUE!</v>
      </c>
    </row>
    <row r="450" spans="2:21" ht="15" customHeight="1">
      <c r="B450" s="128" t="s">
        <v>423</v>
      </c>
      <c r="C450" s="128" t="s">
        <v>2982</v>
      </c>
      <c r="D450" s="129">
        <v>46039.58121527778</v>
      </c>
      <c r="E450" s="130">
        <v>12.45</v>
      </c>
      <c r="F450" s="131">
        <v>4.4999999999999998E-2</v>
      </c>
      <c r="G450" s="126">
        <f t="shared" si="6"/>
        <v>13.036649214659686</v>
      </c>
      <c r="H450" s="126" t="s">
        <v>74</v>
      </c>
      <c r="I450" s="127" t="s">
        <v>477</v>
      </c>
      <c r="J450" s="126">
        <v>12.5</v>
      </c>
      <c r="K450" s="126">
        <v>149.96</v>
      </c>
      <c r="L450" s="129">
        <f>INT(base[[#This Row],[Data de liquidação]])</f>
        <v>46039</v>
      </c>
      <c r="M450" s="126">
        <f>base[[#This Row],[L/P Bruto]]-base[[#This Row],[L/P Líquido]]</f>
        <v>0.58664921465968689</v>
      </c>
      <c r="N450" s="139">
        <f>base[[#This Row],[L/P Líquido]]/base[[#This Row],[Stake/Responsabilidade]]</f>
        <v>8.3022139237129894E-2</v>
      </c>
      <c r="O450" s="132">
        <f>IF(base[[#This Row],[L/P Líquido]]&gt;0,1,0)</f>
        <v>1</v>
      </c>
      <c r="P450" s="132" t="s">
        <v>963</v>
      </c>
      <c r="Q450" s="132" t="str">
        <f>LEFT(base[[#This Row],[Evento / Mercado]],FIND("vs",base[[#This Row],[Evento / Mercado]])-2)</f>
        <v>Chelsea</v>
      </c>
      <c r="R4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450" s="132" t="e">
        <f>LEFT(base[[#This Row],[Evento / Mercado]],FIND("/",base[[#This Row],[Evento / Mercado]])-2)</f>
        <v>#VALUE!</v>
      </c>
    </row>
    <row r="451" spans="2:21" ht="15" customHeight="1">
      <c r="B451" s="128" t="s">
        <v>423</v>
      </c>
      <c r="C451" s="128" t="s">
        <v>2982</v>
      </c>
      <c r="D451" s="129">
        <v>46039.581261574072</v>
      </c>
      <c r="E451" s="130">
        <v>-60</v>
      </c>
      <c r="F451" s="131">
        <v>4.4999999999999998E-2</v>
      </c>
      <c r="G451" s="126">
        <f t="shared" ref="G451:G514" si="7">IF(E451&gt;0,E451/(1-F451),E451)</f>
        <v>-60</v>
      </c>
      <c r="H451" s="126" t="s">
        <v>231</v>
      </c>
      <c r="I451" s="127" t="s">
        <v>232</v>
      </c>
      <c r="J451" s="126">
        <v>1.66</v>
      </c>
      <c r="K451" s="126">
        <v>60</v>
      </c>
      <c r="L451" s="129">
        <f>INT(base[[#This Row],[Data de liquidação]])</f>
        <v>46039</v>
      </c>
      <c r="M451" s="126">
        <f>base[[#This Row],[L/P Bruto]]-base[[#This Row],[L/P Líquido]]</f>
        <v>0</v>
      </c>
      <c r="N451" s="126">
        <f>base[[#This Row],[L/P Líquido]]/base[[#This Row],[Stake/Responsabilidade]]</f>
        <v>-1</v>
      </c>
      <c r="O451" s="132">
        <f>IF(base[[#This Row],[L/P Líquido]]&gt;0,1,0)</f>
        <v>0</v>
      </c>
      <c r="P451" s="132"/>
      <c r="Q451" s="132" t="str">
        <f>LEFT(base[[#This Row],[Evento / Mercado]],FIND("vs",base[[#This Row],[Evento / Mercado]])-2)</f>
        <v>Chelsea</v>
      </c>
      <c r="R4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451" s="132" t="e">
        <f>LEFT(base[[#This Row],[Evento / Mercado]],FIND("/",base[[#This Row],[Evento / Mercado]])-2)</f>
        <v>#VALUE!</v>
      </c>
    </row>
    <row r="452" spans="2:21" ht="15" customHeight="1">
      <c r="B452" s="128" t="s">
        <v>422</v>
      </c>
      <c r="C452" s="128" t="s">
        <v>2982</v>
      </c>
      <c r="D452" s="129">
        <v>46039.585104166668</v>
      </c>
      <c r="E452" s="130">
        <v>10.06</v>
      </c>
      <c r="F452" s="131">
        <v>4.4999999999999998E-2</v>
      </c>
      <c r="G452" s="126">
        <f t="shared" si="7"/>
        <v>10.534031413612567</v>
      </c>
      <c r="H452" s="126" t="s">
        <v>73</v>
      </c>
      <c r="I452" s="127" t="s">
        <v>16</v>
      </c>
      <c r="J452" s="126">
        <v>10.5</v>
      </c>
      <c r="K452" s="126">
        <v>100.04</v>
      </c>
      <c r="L452" s="129">
        <f>INT(base[[#This Row],[Data de liquidação]])</f>
        <v>46039</v>
      </c>
      <c r="M452" s="126">
        <f>base[[#This Row],[L/P Bruto]]-base[[#This Row],[L/P Líquido]]</f>
        <v>0.47403141361256651</v>
      </c>
      <c r="N452" s="126">
        <f>base[[#This Row],[L/P Líquido]]/base[[#This Row],[Stake/Responsabilidade]]</f>
        <v>0.10055977608956418</v>
      </c>
      <c r="O452" s="132">
        <f>IF(base[[#This Row],[L/P Líquido]]&gt;0,1,0)</f>
        <v>1</v>
      </c>
      <c r="P452" s="132"/>
      <c r="Q452" s="132" t="str">
        <f>LEFT(base[[#This Row],[Evento / Mercado]],FIND("vs",base[[#This Row],[Evento / Mercado]])-2)</f>
        <v>Tottenham Hotspur</v>
      </c>
      <c r="R4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452" s="132" t="e">
        <f>LEFT(base[[#This Row],[Evento / Mercado]],FIND("/",base[[#This Row],[Evento / Mercado]])-2)</f>
        <v>#VALUE!</v>
      </c>
    </row>
    <row r="453" spans="2:21" ht="15" customHeight="1">
      <c r="B453" s="128" t="s">
        <v>421</v>
      </c>
      <c r="C453" s="128" t="s">
        <v>2982</v>
      </c>
      <c r="D453" s="129">
        <v>46039.61990740741</v>
      </c>
      <c r="E453" s="130">
        <v>9.8746999999999989</v>
      </c>
      <c r="F453" s="131">
        <v>4.4999999999999998E-2</v>
      </c>
      <c r="G453" s="126">
        <f t="shared" si="7"/>
        <v>10.34</v>
      </c>
      <c r="H453" s="126" t="s">
        <v>74</v>
      </c>
      <c r="I453" s="127" t="s">
        <v>476</v>
      </c>
      <c r="J453" s="126">
        <v>15</v>
      </c>
      <c r="K453" s="126">
        <v>144.76</v>
      </c>
      <c r="L453" s="129">
        <f>INT(base[[#This Row],[Data de liquidação]])</f>
        <v>46039</v>
      </c>
      <c r="M453" s="126">
        <f>base[[#This Row],[L/P Bruto]]-base[[#This Row],[L/P Líquido]]</f>
        <v>0.46530000000000094</v>
      </c>
      <c r="N453" s="139">
        <f>base[[#This Row],[L/P Líquido]]/base[[#This Row],[Stake/Responsabilidade]]</f>
        <v>6.8214285714285713E-2</v>
      </c>
      <c r="O453" s="132">
        <f>IF(base[[#This Row],[L/P Líquido]]&gt;0,1,0)</f>
        <v>1</v>
      </c>
      <c r="P453" s="132" t="s">
        <v>970</v>
      </c>
      <c r="Q453" s="132" t="str">
        <f>LEFT(base[[#This Row],[Evento / Mercado]],FIND("vs",base[[#This Row],[Evento / Mercado]])-2)</f>
        <v>RC Lens</v>
      </c>
      <c r="R4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453" s="132" t="e">
        <f>LEFT(base[[#This Row],[Evento / Mercado]],FIND("/",base[[#This Row],[Evento / Mercado]])-2)</f>
        <v>#VALUE!</v>
      </c>
      <c r="T453" s="8">
        <v>10.34</v>
      </c>
      <c r="U453" s="9">
        <f>T453*0.955</f>
        <v>9.8746999999999989</v>
      </c>
    </row>
    <row r="454" spans="2:21" ht="15" customHeight="1">
      <c r="B454" s="128" t="s">
        <v>421</v>
      </c>
      <c r="C454" s="128" t="s">
        <v>2982</v>
      </c>
      <c r="D454" s="129">
        <v>46039.61990740741</v>
      </c>
      <c r="E454" s="130">
        <v>6.8186999999999998</v>
      </c>
      <c r="F454" s="131">
        <v>4.4999999999999998E-2</v>
      </c>
      <c r="G454" s="126">
        <f t="shared" si="7"/>
        <v>7.14</v>
      </c>
      <c r="H454" s="126" t="s">
        <v>73</v>
      </c>
      <c r="I454" s="127" t="s">
        <v>13</v>
      </c>
      <c r="J454" s="126">
        <v>15</v>
      </c>
      <c r="K454" s="126">
        <v>99.96</v>
      </c>
      <c r="L454" s="129">
        <f>INT(base[[#This Row],[Data de liquidação]])</f>
        <v>46039</v>
      </c>
      <c r="M454" s="126">
        <f>base[[#This Row],[L/P Bruto]]-base[[#This Row],[L/P Líquido]]</f>
        <v>0.32129999999999992</v>
      </c>
      <c r="N454" s="126">
        <f>base[[#This Row],[L/P Líquido]]/base[[#This Row],[Stake/Responsabilidade]]</f>
        <v>6.8214285714285713E-2</v>
      </c>
      <c r="O454" s="132">
        <f>IF(base[[#This Row],[L/P Líquido]]&gt;0,1,0)</f>
        <v>1</v>
      </c>
      <c r="P454" s="132"/>
      <c r="Q454" s="132" t="str">
        <f>LEFT(base[[#This Row],[Evento / Mercado]],FIND("vs",base[[#This Row],[Evento / Mercado]])-2)</f>
        <v>RC Lens</v>
      </c>
      <c r="R4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454" s="132" t="e">
        <f>LEFT(base[[#This Row],[Evento / Mercado]],FIND("/",base[[#This Row],[Evento / Mercado]])-2)</f>
        <v>#VALUE!</v>
      </c>
      <c r="T454" s="8">
        <v>7.14</v>
      </c>
      <c r="U454" s="9">
        <f>T454*0.955</f>
        <v>6.8186999999999998</v>
      </c>
    </row>
    <row r="455" spans="2:21" ht="15" customHeight="1">
      <c r="B455" s="128" t="s">
        <v>421</v>
      </c>
      <c r="C455" s="128" t="s">
        <v>2982</v>
      </c>
      <c r="D455" s="129">
        <v>46039.619942129626</v>
      </c>
      <c r="E455" s="130">
        <v>17.059999999999999</v>
      </c>
      <c r="F455" s="131">
        <v>4.4999999999999998E-2</v>
      </c>
      <c r="G455" s="126">
        <f t="shared" si="7"/>
        <v>17.863874345549739</v>
      </c>
      <c r="H455" s="126" t="s">
        <v>145</v>
      </c>
      <c r="I455" s="127" t="s">
        <v>301</v>
      </c>
      <c r="J455" s="126">
        <v>6.55</v>
      </c>
      <c r="K455" s="126">
        <v>99.21</v>
      </c>
      <c r="L455" s="129">
        <f>INT(base[[#This Row],[Data de liquidação]])</f>
        <v>46039</v>
      </c>
      <c r="M455" s="126">
        <f>base[[#This Row],[L/P Bruto]]-base[[#This Row],[L/P Líquido]]</f>
        <v>0.80387434554974035</v>
      </c>
      <c r="N455" s="126">
        <f>base[[#This Row],[L/P Líquido]]/base[[#This Row],[Stake/Responsabilidade]]</f>
        <v>0.17195847192823305</v>
      </c>
      <c r="O455" s="132">
        <f>IF(base[[#This Row],[L/P Líquido]]&gt;0,1,0)</f>
        <v>1</v>
      </c>
      <c r="P455" s="132" t="s">
        <v>970</v>
      </c>
      <c r="Q455" s="132" t="str">
        <f>LEFT(base[[#This Row],[Evento / Mercado]],FIND("vs",base[[#This Row],[Evento / Mercado]])-2)</f>
        <v>RC Lens</v>
      </c>
      <c r="R4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455" s="132" t="e">
        <f>LEFT(base[[#This Row],[Evento / Mercado]],FIND("/",base[[#This Row],[Evento / Mercado]])-2)</f>
        <v>#VALUE!</v>
      </c>
    </row>
    <row r="456" spans="2:21" ht="15" customHeight="1">
      <c r="B456" s="128" t="s">
        <v>420</v>
      </c>
      <c r="C456" s="128" t="s">
        <v>2982</v>
      </c>
      <c r="D456" s="129">
        <v>46039.664375</v>
      </c>
      <c r="E456" s="130">
        <v>6.51</v>
      </c>
      <c r="F456" s="131">
        <v>4.4999999999999998E-2</v>
      </c>
      <c r="G456" s="126">
        <f t="shared" si="7"/>
        <v>6.8167539267015709</v>
      </c>
      <c r="H456" s="126" t="s">
        <v>74</v>
      </c>
      <c r="I456" s="127" t="s">
        <v>476</v>
      </c>
      <c r="J456" s="126">
        <v>23</v>
      </c>
      <c r="K456" s="126">
        <v>150.04</v>
      </c>
      <c r="L456" s="129">
        <f>INT(base[[#This Row],[Data de liquidação]])</f>
        <v>46039</v>
      </c>
      <c r="M456" s="126">
        <f>base[[#This Row],[L/P Bruto]]-base[[#This Row],[L/P Líquido]]</f>
        <v>0.30675392670157109</v>
      </c>
      <c r="N456" s="139">
        <f>base[[#This Row],[L/P Líquido]]/base[[#This Row],[Stake/Responsabilidade]]</f>
        <v>4.3388429752066117E-2</v>
      </c>
      <c r="O456" s="132">
        <f>IF(base[[#This Row],[L/P Líquido]]&gt;0,1,0)</f>
        <v>1</v>
      </c>
      <c r="P456" s="132" t="s">
        <v>969</v>
      </c>
      <c r="Q456" s="132" t="str">
        <f>LEFT(base[[#This Row],[Evento / Mercado]],FIND("vs",base[[#This Row],[Evento / Mercado]])-2)</f>
        <v>Napoli</v>
      </c>
      <c r="R4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Sassuolo</v>
      </c>
      <c r="S456" s="132" t="e">
        <f>LEFT(base[[#This Row],[Evento / Mercado]],FIND("/",base[[#This Row],[Evento / Mercado]])-2)</f>
        <v>#VALUE!</v>
      </c>
    </row>
    <row r="457" spans="2:21" ht="15" customHeight="1">
      <c r="B457" s="128" t="s">
        <v>420</v>
      </c>
      <c r="C457" s="128" t="s">
        <v>2982</v>
      </c>
      <c r="D457" s="129">
        <v>46039.664456018516</v>
      </c>
      <c r="E457" s="130">
        <v>11.65</v>
      </c>
      <c r="F457" s="131">
        <v>4.4999999999999998E-2</v>
      </c>
      <c r="G457" s="126">
        <f t="shared" si="7"/>
        <v>12.198952879581153</v>
      </c>
      <c r="H457" s="126" t="s">
        <v>145</v>
      </c>
      <c r="I457" s="127" t="s">
        <v>301</v>
      </c>
      <c r="J457" s="126">
        <v>9.1999999999999993</v>
      </c>
      <c r="K457" s="126">
        <v>100.04</v>
      </c>
      <c r="L457" s="129">
        <f>INT(base[[#This Row],[Data de liquidação]])</f>
        <v>46039</v>
      </c>
      <c r="M457" s="126">
        <f>base[[#This Row],[L/P Bruto]]-base[[#This Row],[L/P Líquido]]</f>
        <v>0.54895287958115269</v>
      </c>
      <c r="N457" s="126">
        <f>base[[#This Row],[L/P Líquido]]/base[[#This Row],[Stake/Responsabilidade]]</f>
        <v>0.11645341863254698</v>
      </c>
      <c r="O457" s="132">
        <f>IF(base[[#This Row],[L/P Líquido]]&gt;0,1,0)</f>
        <v>1</v>
      </c>
      <c r="P457" s="132" t="s">
        <v>969</v>
      </c>
      <c r="Q457" s="132" t="str">
        <f>LEFT(base[[#This Row],[Evento / Mercado]],FIND("vs",base[[#This Row],[Evento / Mercado]])-2)</f>
        <v>Napoli</v>
      </c>
      <c r="R4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Sassuolo</v>
      </c>
      <c r="S457" s="132" t="e">
        <f>LEFT(base[[#This Row],[Evento / Mercado]],FIND("/",base[[#This Row],[Evento / Mercado]])-2)</f>
        <v>#VALUE!</v>
      </c>
    </row>
    <row r="458" spans="2:21" ht="15" customHeight="1">
      <c r="B458" s="128" t="s">
        <v>419</v>
      </c>
      <c r="C458" s="128" t="s">
        <v>2982</v>
      </c>
      <c r="D458" s="129">
        <v>46039.68005787037</v>
      </c>
      <c r="E458" s="130">
        <v>42.4</v>
      </c>
      <c r="F458" s="131">
        <v>4.4999999999999998E-2</v>
      </c>
      <c r="G458" s="126">
        <f t="shared" si="7"/>
        <v>44.397905759162306</v>
      </c>
      <c r="H458" s="126" t="s">
        <v>231</v>
      </c>
      <c r="I458" s="127" t="s">
        <v>266</v>
      </c>
      <c r="J458" s="126">
        <v>1.74</v>
      </c>
      <c r="K458" s="126">
        <v>60</v>
      </c>
      <c r="L458" s="129">
        <f>INT(base[[#This Row],[Data de liquidação]])</f>
        <v>46039</v>
      </c>
      <c r="M458" s="126">
        <f>base[[#This Row],[L/P Bruto]]-base[[#This Row],[L/P Líquido]]</f>
        <v>1.9979057591623075</v>
      </c>
      <c r="N458" s="126">
        <f>base[[#This Row],[L/P Líquido]]/base[[#This Row],[Stake/Responsabilidade]]</f>
        <v>0.70666666666666667</v>
      </c>
      <c r="O458" s="132">
        <f>IF(base[[#This Row],[L/P Líquido]]&gt;0,1,0)</f>
        <v>1</v>
      </c>
      <c r="P458" s="132"/>
      <c r="Q458" s="132" t="str">
        <f>LEFT(base[[#This Row],[Evento / Mercado]],FIND("vs",base[[#This Row],[Evento / Mercado]])-2)</f>
        <v>PEC Zwolle</v>
      </c>
      <c r="R4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AZ Alkmaar</v>
      </c>
      <c r="S458" s="132" t="e">
        <f>LEFT(base[[#This Row],[Evento / Mercado]],FIND("/",base[[#This Row],[Evento / Mercado]])-2)</f>
        <v>#VALUE!</v>
      </c>
    </row>
    <row r="459" spans="2:21" ht="15" customHeight="1">
      <c r="B459" s="128" t="s">
        <v>418</v>
      </c>
      <c r="C459" s="128" t="s">
        <v>2982</v>
      </c>
      <c r="D459" s="129">
        <v>46039.682430555556</v>
      </c>
      <c r="E459" s="130">
        <v>7.08</v>
      </c>
      <c r="F459" s="131">
        <v>4.4999999999999998E-2</v>
      </c>
      <c r="G459" s="126">
        <f t="shared" si="7"/>
        <v>7.4136125654450264</v>
      </c>
      <c r="H459" s="126" t="s">
        <v>73</v>
      </c>
      <c r="I459" s="127" t="s">
        <v>13</v>
      </c>
      <c r="J459" s="126">
        <v>14.5</v>
      </c>
      <c r="K459" s="126">
        <v>100.04</v>
      </c>
      <c r="L459" s="129">
        <f>INT(base[[#This Row],[Data de liquidação]])</f>
        <v>46039</v>
      </c>
      <c r="M459" s="126">
        <f>base[[#This Row],[L/P Bruto]]-base[[#This Row],[L/P Líquido]]</f>
        <v>0.33361256544502638</v>
      </c>
      <c r="N459" s="126">
        <f>base[[#This Row],[L/P Líquido]]/base[[#This Row],[Stake/Responsabilidade]]</f>
        <v>7.0771691323470609E-2</v>
      </c>
      <c r="O459" s="132">
        <f>IF(base[[#This Row],[L/P Líquido]]&gt;0,1,0)</f>
        <v>1</v>
      </c>
      <c r="P459" s="132"/>
      <c r="Q459" s="132" t="str">
        <f>LEFT(base[[#This Row],[Evento / Mercado]],FIND("vs",base[[#This Row],[Evento / Mercado]])-2)</f>
        <v>Real Zaragoza</v>
      </c>
      <c r="R4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 B</v>
      </c>
      <c r="S459" s="132" t="e">
        <f>LEFT(base[[#This Row],[Evento / Mercado]],FIND("/",base[[#This Row],[Evento / Mercado]])-2)</f>
        <v>#VALUE!</v>
      </c>
    </row>
    <row r="460" spans="2:21" ht="15" customHeight="1">
      <c r="B460" s="128" t="s">
        <v>417</v>
      </c>
      <c r="C460" s="128" t="s">
        <v>2982</v>
      </c>
      <c r="D460" s="129">
        <v>46039.684398148151</v>
      </c>
      <c r="E460" s="130">
        <v>7.75</v>
      </c>
      <c r="F460" s="131">
        <v>4.4999999999999998E-2</v>
      </c>
      <c r="G460" s="126">
        <f t="shared" si="7"/>
        <v>8.1151832460732987</v>
      </c>
      <c r="H460" s="126" t="s">
        <v>122</v>
      </c>
      <c r="I460" s="127" t="s">
        <v>542</v>
      </c>
      <c r="J460" s="126">
        <v>19.5</v>
      </c>
      <c r="K460" s="126">
        <v>150.04</v>
      </c>
      <c r="L460" s="129">
        <f>INT(base[[#This Row],[Data de liquidação]])</f>
        <v>46039</v>
      </c>
      <c r="M460" s="126">
        <f>base[[#This Row],[L/P Bruto]]-base[[#This Row],[L/P Líquido]]</f>
        <v>0.36518324607329866</v>
      </c>
      <c r="N460" s="126">
        <f>base[[#This Row],[L/P Líquido]]/base[[#This Row],[Stake/Responsabilidade]]</f>
        <v>5.1652892561983473E-2</v>
      </c>
      <c r="O460" s="132">
        <f>IF(base[[#This Row],[L/P Líquido]]&gt;0,1,0)</f>
        <v>1</v>
      </c>
      <c r="P460" s="132" t="s">
        <v>963</v>
      </c>
      <c r="Q460" s="132" t="str">
        <f>LEFT(base[[#This Row],[Evento / Mercado]],FIND("vs",base[[#This Row],[Evento / Mercado]])-2)</f>
        <v>Nottingham Forest</v>
      </c>
      <c r="R4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460" s="132" t="e">
        <f>LEFT(base[[#This Row],[Evento / Mercado]],FIND("/",base[[#This Row],[Evento / Mercado]])-2)</f>
        <v>#VALUE!</v>
      </c>
    </row>
    <row r="461" spans="2:21" ht="15" customHeight="1">
      <c r="B461" s="128" t="s">
        <v>417</v>
      </c>
      <c r="C461" s="128" t="s">
        <v>2982</v>
      </c>
      <c r="D461" s="129">
        <v>46039.684571759259</v>
      </c>
      <c r="E461" s="130">
        <v>-60</v>
      </c>
      <c r="F461" s="131">
        <v>4.4999999999999998E-2</v>
      </c>
      <c r="G461" s="126">
        <f t="shared" si="7"/>
        <v>-60</v>
      </c>
      <c r="H461" s="126" t="s">
        <v>231</v>
      </c>
      <c r="I461" s="127" t="s">
        <v>232</v>
      </c>
      <c r="J461" s="126">
        <v>2.04</v>
      </c>
      <c r="K461" s="126">
        <v>60</v>
      </c>
      <c r="L461" s="129">
        <f>INT(base[[#This Row],[Data de liquidação]])</f>
        <v>46039</v>
      </c>
      <c r="M461" s="126">
        <f>base[[#This Row],[L/P Bruto]]-base[[#This Row],[L/P Líquido]]</f>
        <v>0</v>
      </c>
      <c r="N461" s="126">
        <f>base[[#This Row],[L/P Líquido]]/base[[#This Row],[Stake/Responsabilidade]]</f>
        <v>-1</v>
      </c>
      <c r="O461" s="132">
        <f>IF(base[[#This Row],[L/P Líquido]]&gt;0,1,0)</f>
        <v>0</v>
      </c>
      <c r="P461" s="132"/>
      <c r="Q461" s="132" t="str">
        <f>LEFT(base[[#This Row],[Evento / Mercado]],FIND("vs",base[[#This Row],[Evento / Mercado]])-2)</f>
        <v>Nottingham Forest</v>
      </c>
      <c r="R4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461" s="132" t="e">
        <f>LEFT(base[[#This Row],[Evento / Mercado]],FIND("/",base[[#This Row],[Evento / Mercado]])-2)</f>
        <v>#VALUE!</v>
      </c>
    </row>
    <row r="462" spans="2:21" ht="15" customHeight="1">
      <c r="B462" s="128" t="s">
        <v>416</v>
      </c>
      <c r="C462" s="128" t="s">
        <v>2982</v>
      </c>
      <c r="D462" s="129">
        <v>46039.684895833336</v>
      </c>
      <c r="E462" s="130">
        <v>7.96</v>
      </c>
      <c r="F462" s="131">
        <v>4.4999999999999998E-2</v>
      </c>
      <c r="G462" s="126">
        <f t="shared" si="7"/>
        <v>8.335078534031414</v>
      </c>
      <c r="H462" s="126" t="s">
        <v>73</v>
      </c>
      <c r="I462" s="127" t="s">
        <v>16</v>
      </c>
      <c r="J462" s="126">
        <v>13</v>
      </c>
      <c r="K462" s="126">
        <v>99.96</v>
      </c>
      <c r="L462" s="129">
        <f>INT(base[[#This Row],[Data de liquidação]])</f>
        <v>46039</v>
      </c>
      <c r="M462" s="126">
        <f>base[[#This Row],[L/P Bruto]]-base[[#This Row],[L/P Líquido]]</f>
        <v>0.375078534031414</v>
      </c>
      <c r="N462" s="126">
        <f>base[[#This Row],[L/P Líquido]]/base[[#This Row],[Stake/Responsabilidade]]</f>
        <v>7.9631852741096437E-2</v>
      </c>
      <c r="O462" s="132">
        <f>IF(base[[#This Row],[L/P Líquido]]&gt;0,1,0)</f>
        <v>1</v>
      </c>
      <c r="P462" s="132"/>
      <c r="Q462" s="132" t="str">
        <f>LEFT(base[[#This Row],[Evento / Mercado]],FIND("vs",base[[#This Row],[Evento / Mercado]])-2)</f>
        <v>Al-Nassr Riyadh</v>
      </c>
      <c r="R4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Al-Shabab Riyadh</v>
      </c>
      <c r="S462" s="132" t="e">
        <f>LEFT(base[[#This Row],[Evento / Mercado]],FIND("/",base[[#This Row],[Evento / Mercado]])-2)</f>
        <v>#VALUE!</v>
      </c>
    </row>
    <row r="463" spans="2:21" ht="15" customHeight="1">
      <c r="B463" s="128" t="s">
        <v>415</v>
      </c>
      <c r="C463" s="128" t="s">
        <v>2982</v>
      </c>
      <c r="D463" s="129">
        <v>46039.686111111114</v>
      </c>
      <c r="E463" s="130">
        <v>5.96875</v>
      </c>
      <c r="F463" s="131">
        <v>4.4999999999999998E-2</v>
      </c>
      <c r="G463" s="126">
        <f t="shared" si="7"/>
        <v>6.25</v>
      </c>
      <c r="H463" s="126" t="s">
        <v>73</v>
      </c>
      <c r="I463" s="127" t="s">
        <v>13</v>
      </c>
      <c r="J463" s="126">
        <v>17</v>
      </c>
      <c r="K463" s="126">
        <v>100</v>
      </c>
      <c r="L463" s="129">
        <f>INT(base[[#This Row],[Data de liquidação]])</f>
        <v>46039</v>
      </c>
      <c r="M463" s="126">
        <f>base[[#This Row],[L/P Bruto]]-base[[#This Row],[L/P Líquido]]</f>
        <v>0.28125</v>
      </c>
      <c r="N463" s="126">
        <f>base[[#This Row],[L/P Líquido]]/base[[#This Row],[Stake/Responsabilidade]]</f>
        <v>5.9687499999999998E-2</v>
      </c>
      <c r="O463" s="132">
        <f>IF(base[[#This Row],[L/P Líquido]]&gt;0,1,0)</f>
        <v>1</v>
      </c>
      <c r="P463" s="132"/>
      <c r="Q463" s="132" t="str">
        <f>LEFT(base[[#This Row],[Evento / Mercado]],FIND("vs",base[[#This Row],[Evento / Mercado]])-2)</f>
        <v>RB Leipzig</v>
      </c>
      <c r="R4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463" s="132" t="e">
        <f>LEFT(base[[#This Row],[Evento / Mercado]],FIND("/",base[[#This Row],[Evento / Mercado]])-2)</f>
        <v>#VALUE!</v>
      </c>
      <c r="T463" s="8">
        <v>6.25</v>
      </c>
      <c r="U463" s="9">
        <f>T463*0.955</f>
        <v>5.96875</v>
      </c>
    </row>
    <row r="464" spans="2:21" ht="15" customHeight="1">
      <c r="B464" s="128" t="s">
        <v>415</v>
      </c>
      <c r="C464" s="128" t="s">
        <v>2982</v>
      </c>
      <c r="D464" s="129">
        <v>46039.686111111114</v>
      </c>
      <c r="E464" s="130">
        <v>8.1843500000000002</v>
      </c>
      <c r="F464" s="131">
        <v>4.4999999999999998E-2</v>
      </c>
      <c r="G464" s="126">
        <f t="shared" si="7"/>
        <v>8.57</v>
      </c>
      <c r="H464" s="126" t="s">
        <v>122</v>
      </c>
      <c r="I464" s="127" t="s">
        <v>541</v>
      </c>
      <c r="J464" s="126">
        <v>18.5</v>
      </c>
      <c r="K464" s="126">
        <v>149.97999999999999</v>
      </c>
      <c r="L464" s="129">
        <f>INT(base[[#This Row],[Data de liquidação]])</f>
        <v>46039</v>
      </c>
      <c r="M464" s="126">
        <f>base[[#This Row],[L/P Bruto]]-base[[#This Row],[L/P Líquido]]</f>
        <v>0.38565000000000005</v>
      </c>
      <c r="N464" s="126">
        <f>base[[#This Row],[L/P Líquido]]/base[[#This Row],[Stake/Responsabilidade]]</f>
        <v>5.4569609281237504E-2</v>
      </c>
      <c r="O464" s="132">
        <f>IF(base[[#This Row],[L/P Líquido]]&gt;0,1,0)</f>
        <v>1</v>
      </c>
      <c r="P464" s="132" t="s">
        <v>962</v>
      </c>
      <c r="Q464" s="132" t="str">
        <f>LEFT(base[[#This Row],[Evento / Mercado]],FIND("vs",base[[#This Row],[Evento / Mercado]])-2)</f>
        <v>RB Leipzig</v>
      </c>
      <c r="R4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464" s="132" t="e">
        <f>LEFT(base[[#This Row],[Evento / Mercado]],FIND("/",base[[#This Row],[Evento / Mercado]])-2)</f>
        <v>#VALUE!</v>
      </c>
      <c r="T464" s="8">
        <v>8.57</v>
      </c>
      <c r="U464" s="9">
        <f>T464*0.955</f>
        <v>8.1843500000000002</v>
      </c>
    </row>
    <row r="465" spans="2:19" ht="15" customHeight="1">
      <c r="B465" s="128" t="s">
        <v>414</v>
      </c>
      <c r="C465" s="128" t="s">
        <v>2982</v>
      </c>
      <c r="D465" s="129">
        <v>46039.688356481478</v>
      </c>
      <c r="E465" s="130">
        <v>6.82</v>
      </c>
      <c r="F465" s="131">
        <v>4.4999999999999998E-2</v>
      </c>
      <c r="G465" s="126">
        <f t="shared" si="7"/>
        <v>7.1413612565445028</v>
      </c>
      <c r="H465" s="126" t="s">
        <v>73</v>
      </c>
      <c r="I465" s="127" t="s">
        <v>13</v>
      </c>
      <c r="J465" s="126">
        <v>15</v>
      </c>
      <c r="K465" s="126">
        <v>99.96</v>
      </c>
      <c r="L465" s="129">
        <f>INT(base[[#This Row],[Data de liquidação]])</f>
        <v>46039</v>
      </c>
      <c r="M465" s="126">
        <f>base[[#This Row],[L/P Bruto]]-base[[#This Row],[L/P Líquido]]</f>
        <v>0.32136125654450254</v>
      </c>
      <c r="N465" s="126">
        <f>base[[#This Row],[L/P Líquido]]/base[[#This Row],[Stake/Responsabilidade]]</f>
        <v>6.8227290916366548E-2</v>
      </c>
      <c r="O465" s="132">
        <f>IF(base[[#This Row],[L/P Líquido]]&gt;0,1,0)</f>
        <v>1</v>
      </c>
      <c r="P465" s="132"/>
      <c r="Q465" s="132" t="str">
        <f>LEFT(base[[#This Row],[Evento / Mercado]],FIND("vs",base[[#This Row],[Evento / Mercado]])-2)</f>
        <v>Osasuna</v>
      </c>
      <c r="R4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Oviedo</v>
      </c>
      <c r="S465" s="132" t="e">
        <f>LEFT(base[[#This Row],[Evento / Mercado]],FIND("/",base[[#This Row],[Evento / Mercado]])-2)</f>
        <v>#VALUE!</v>
      </c>
    </row>
    <row r="466" spans="2:19" ht="15" customHeight="1">
      <c r="B466" s="128" t="s">
        <v>413</v>
      </c>
      <c r="C466" s="128" t="s">
        <v>2982</v>
      </c>
      <c r="D466" s="129">
        <v>46039.703796296293</v>
      </c>
      <c r="E466" s="130">
        <v>5.62</v>
      </c>
      <c r="F466" s="131">
        <v>4.4999999999999998E-2</v>
      </c>
      <c r="G466" s="126">
        <f t="shared" si="7"/>
        <v>5.8848167539267022</v>
      </c>
      <c r="H466" s="126" t="s">
        <v>73</v>
      </c>
      <c r="I466" s="127" t="s">
        <v>13</v>
      </c>
      <c r="J466" s="126">
        <v>18</v>
      </c>
      <c r="K466" s="126">
        <v>99.96</v>
      </c>
      <c r="L466" s="129">
        <f>INT(base[[#This Row],[Data de liquidação]])</f>
        <v>46039</v>
      </c>
      <c r="M466" s="126">
        <f>base[[#This Row],[L/P Bruto]]-base[[#This Row],[L/P Líquido]]</f>
        <v>0.26481675392670212</v>
      </c>
      <c r="N466" s="126">
        <f>base[[#This Row],[L/P Líquido]]/base[[#This Row],[Stake/Responsabilidade]]</f>
        <v>5.6222488995598244E-2</v>
      </c>
      <c r="O466" s="132">
        <f>IF(base[[#This Row],[L/P Líquido]]&gt;0,1,0)</f>
        <v>1</v>
      </c>
      <c r="P466" s="132"/>
      <c r="Q466" s="132" t="str">
        <f>LEFT(base[[#This Row],[Evento / Mercado]],FIND("vs",base[[#This Row],[Evento / Mercado]])-2)</f>
        <v>Rapid Bucuresti</v>
      </c>
      <c r="R4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Metaloglobus Bucuresti</v>
      </c>
      <c r="S466" s="132" t="e">
        <f>LEFT(base[[#This Row],[Evento / Mercado]],FIND("/",base[[#This Row],[Evento / Mercado]])-2)</f>
        <v>#VALUE!</v>
      </c>
    </row>
    <row r="467" spans="2:19" ht="15" customHeight="1">
      <c r="B467" s="128" t="s">
        <v>412</v>
      </c>
      <c r="C467" s="128" t="s">
        <v>2982</v>
      </c>
      <c r="D467" s="129">
        <v>46039.746932870374</v>
      </c>
      <c r="E467" s="130">
        <v>11.02</v>
      </c>
      <c r="F467" s="131">
        <v>4.4999999999999998E-2</v>
      </c>
      <c r="G467" s="126">
        <f t="shared" si="7"/>
        <v>11.539267015706807</v>
      </c>
      <c r="H467" s="126" t="s">
        <v>74</v>
      </c>
      <c r="I467" s="127" t="s">
        <v>541</v>
      </c>
      <c r="J467" s="126">
        <v>14</v>
      </c>
      <c r="K467" s="126">
        <v>150.02000000000001</v>
      </c>
      <c r="L467" s="129">
        <f>INT(base[[#This Row],[Data de liquidação]])</f>
        <v>46039</v>
      </c>
      <c r="M467" s="126">
        <f>base[[#This Row],[L/P Bruto]]-base[[#This Row],[L/P Líquido]]</f>
        <v>0.51926701570680756</v>
      </c>
      <c r="N467" s="139">
        <f>base[[#This Row],[L/P Líquido]]/base[[#This Row],[Stake/Responsabilidade]]</f>
        <v>7.3456872417011057E-2</v>
      </c>
      <c r="O467" s="132">
        <f>IF(base[[#This Row],[L/P Líquido]]&gt;0,1,0)</f>
        <v>1</v>
      </c>
      <c r="P467" s="132" t="s">
        <v>967</v>
      </c>
      <c r="Q467" s="132" t="str">
        <f>LEFT(base[[#This Row],[Evento / Mercado]],FIND("vs",base[[#This Row],[Evento / Mercado]])-2)</f>
        <v>Fortuna Sittard</v>
      </c>
      <c r="R4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PSV Eindhoven</v>
      </c>
      <c r="S467" s="132" t="e">
        <f>LEFT(base[[#This Row],[Evento / Mercado]],FIND("/",base[[#This Row],[Evento / Mercado]])-2)</f>
        <v>#VALUE!</v>
      </c>
    </row>
    <row r="468" spans="2:19" ht="15" customHeight="1">
      <c r="B468" s="128" t="s">
        <v>411</v>
      </c>
      <c r="C468" s="128" t="s">
        <v>2982</v>
      </c>
      <c r="D468" s="129">
        <v>46039.78020833333</v>
      </c>
      <c r="E468" s="130">
        <v>5.62</v>
      </c>
      <c r="F468" s="131">
        <v>4.4999999999999998E-2</v>
      </c>
      <c r="G468" s="126">
        <f t="shared" si="7"/>
        <v>5.8848167539267022</v>
      </c>
      <c r="H468" s="126" t="s">
        <v>73</v>
      </c>
      <c r="I468" s="127" t="s">
        <v>13</v>
      </c>
      <c r="J468" s="126">
        <v>18</v>
      </c>
      <c r="K468" s="126">
        <v>99.96</v>
      </c>
      <c r="L468" s="129">
        <f>INT(base[[#This Row],[Data de liquidação]])</f>
        <v>46039</v>
      </c>
      <c r="M468" s="126">
        <f>base[[#This Row],[L/P Bruto]]-base[[#This Row],[L/P Líquido]]</f>
        <v>0.26481675392670212</v>
      </c>
      <c r="N468" s="126">
        <f>base[[#This Row],[L/P Líquido]]/base[[#This Row],[Stake/Responsabilidade]]</f>
        <v>5.6222488995598244E-2</v>
      </c>
      <c r="O468" s="132">
        <f>IF(base[[#This Row],[L/P Líquido]]&gt;0,1,0)</f>
        <v>1</v>
      </c>
      <c r="P468" s="132"/>
      <c r="Q468" s="132" t="str">
        <f>LEFT(base[[#This Row],[Evento / Mercado]],FIND("vs",base[[#This Row],[Evento / Mercado]])-2)</f>
        <v>Union Saint Gilloise</v>
      </c>
      <c r="R4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KV Mechelen</v>
      </c>
      <c r="S468" s="132" t="e">
        <f>LEFT(base[[#This Row],[Evento / Mercado]],FIND("/",base[[#This Row],[Evento / Mercado]])-2)</f>
        <v>#VALUE!</v>
      </c>
    </row>
    <row r="469" spans="2:19" ht="15" customHeight="1">
      <c r="B469" s="128" t="s">
        <v>410</v>
      </c>
      <c r="C469" s="128" t="s">
        <v>2982</v>
      </c>
      <c r="D469" s="129">
        <v>46039.783275462964</v>
      </c>
      <c r="E469" s="130">
        <v>-100</v>
      </c>
      <c r="F469" s="131">
        <v>4.4999999999999998E-2</v>
      </c>
      <c r="G469" s="126">
        <f t="shared" si="7"/>
        <v>-100</v>
      </c>
      <c r="H469" s="126" t="s">
        <v>73</v>
      </c>
      <c r="I469" s="127" t="s">
        <v>16</v>
      </c>
      <c r="J469" s="126">
        <v>11</v>
      </c>
      <c r="K469" s="126">
        <v>100</v>
      </c>
      <c r="L469" s="129">
        <f>INT(base[[#This Row],[Data de liquidação]])</f>
        <v>46039</v>
      </c>
      <c r="M469" s="126">
        <f>base[[#This Row],[L/P Bruto]]-base[[#This Row],[L/P Líquido]]</f>
        <v>0</v>
      </c>
      <c r="N469" s="126">
        <f>base[[#This Row],[L/P Líquido]]/base[[#This Row],[Stake/Responsabilidade]]</f>
        <v>-1</v>
      </c>
      <c r="O469" s="132">
        <f>IF(base[[#This Row],[L/P Líquido]]&gt;0,1,0)</f>
        <v>0</v>
      </c>
      <c r="P469" s="132"/>
      <c r="Q469" s="132" t="str">
        <f>LEFT(base[[#This Row],[Evento / Mercado]],FIND("vs",base[[#This Row],[Evento / Mercado]])-2)</f>
        <v>Saint-Étienne</v>
      </c>
      <c r="R4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Clermont Foot</v>
      </c>
      <c r="S469" s="132" t="e">
        <f>LEFT(base[[#This Row],[Evento / Mercado]],FIND("/",base[[#This Row],[Evento / Mercado]])-2)</f>
        <v>#VALUE!</v>
      </c>
    </row>
    <row r="470" spans="2:19" ht="15" customHeight="1">
      <c r="B470" s="128" t="s">
        <v>409</v>
      </c>
      <c r="C470" s="128" t="s">
        <v>2982</v>
      </c>
      <c r="D470" s="129">
        <v>46039.788993055554</v>
      </c>
      <c r="E470" s="130">
        <v>-60</v>
      </c>
      <c r="F470" s="131">
        <v>4.4999999999999998E-2</v>
      </c>
      <c r="G470" s="126">
        <f t="shared" si="7"/>
        <v>-60</v>
      </c>
      <c r="H470" s="126" t="s">
        <v>231</v>
      </c>
      <c r="I470" s="127" t="s">
        <v>232</v>
      </c>
      <c r="J470" s="126">
        <v>1.79</v>
      </c>
      <c r="K470" s="126">
        <v>60</v>
      </c>
      <c r="L470" s="129">
        <f>INT(base[[#This Row],[Data de liquidação]])</f>
        <v>46039</v>
      </c>
      <c r="M470" s="126">
        <f>base[[#This Row],[L/P Bruto]]-base[[#This Row],[L/P Líquido]]</f>
        <v>0</v>
      </c>
      <c r="N470" s="126">
        <f>base[[#This Row],[L/P Líquido]]/base[[#This Row],[Stake/Responsabilidade]]</f>
        <v>-1</v>
      </c>
      <c r="O470" s="132">
        <f>IF(base[[#This Row],[L/P Líquido]]&gt;0,1,0)</f>
        <v>0</v>
      </c>
      <c r="P470" s="132"/>
      <c r="Q470" s="132" t="str">
        <f>LEFT(base[[#This Row],[Evento / Mercado]],FIND("vs",base[[#This Row],[Evento / Mercado]])-2)</f>
        <v>Real Betis</v>
      </c>
      <c r="R4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470" s="132" t="e">
        <f>LEFT(base[[#This Row],[Evento / Mercado]],FIND("/",base[[#This Row],[Evento / Mercado]])-2)</f>
        <v>#VALUE!</v>
      </c>
    </row>
    <row r="471" spans="2:19" ht="15" customHeight="1">
      <c r="B471" s="128" t="s">
        <v>408</v>
      </c>
      <c r="C471" s="128" t="s">
        <v>2982</v>
      </c>
      <c r="D471" s="129">
        <v>46039.793749999997</v>
      </c>
      <c r="E471" s="130">
        <v>7.34</v>
      </c>
      <c r="F471" s="131">
        <v>4.4999999999999998E-2</v>
      </c>
      <c r="G471" s="126">
        <f t="shared" si="7"/>
        <v>7.6858638743455501</v>
      </c>
      <c r="H471" s="126" t="s">
        <v>73</v>
      </c>
      <c r="I471" s="127" t="s">
        <v>13</v>
      </c>
      <c r="J471" s="126">
        <v>14</v>
      </c>
      <c r="K471" s="126">
        <v>99.97</v>
      </c>
      <c r="L471" s="129">
        <f>INT(base[[#This Row],[Data de liquidação]])</f>
        <v>46039</v>
      </c>
      <c r="M471" s="126">
        <f>base[[#This Row],[L/P Bruto]]-base[[#This Row],[L/P Líquido]]</f>
        <v>0.34586387434555022</v>
      </c>
      <c r="N471" s="126">
        <f>base[[#This Row],[L/P Líquido]]/base[[#This Row],[Stake/Responsabilidade]]</f>
        <v>7.3422026607982388E-2</v>
      </c>
      <c r="O471" s="132">
        <f>IF(base[[#This Row],[L/P Líquido]]&gt;0,1,0)</f>
        <v>1</v>
      </c>
      <c r="P471" s="132"/>
      <c r="Q471" s="132" t="str">
        <f>LEFT(base[[#This Row],[Evento / Mercado]],FIND("vs",base[[#This Row],[Evento / Mercado]])-2)</f>
        <v>NAC Breda</v>
      </c>
      <c r="R4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NEC</v>
      </c>
      <c r="S471" s="132" t="e">
        <f>LEFT(base[[#This Row],[Evento / Mercado]],FIND("/",base[[#This Row],[Evento / Mercado]])-2)</f>
        <v>#VALUE!</v>
      </c>
    </row>
    <row r="472" spans="2:19" ht="15" customHeight="1">
      <c r="B472" s="128" t="s">
        <v>407</v>
      </c>
      <c r="C472" s="128" t="s">
        <v>2982</v>
      </c>
      <c r="D472" s="129">
        <v>46039.811585648145</v>
      </c>
      <c r="E472" s="130">
        <v>21.37</v>
      </c>
      <c r="F472" s="131">
        <v>4.4999999999999998E-2</v>
      </c>
      <c r="G472" s="126">
        <f t="shared" si="7"/>
        <v>22.376963350785342</v>
      </c>
      <c r="H472" s="126" t="s">
        <v>145</v>
      </c>
      <c r="I472" s="127" t="s">
        <v>300</v>
      </c>
      <c r="J472" s="126">
        <v>11.5</v>
      </c>
      <c r="K472" s="126">
        <v>234.99</v>
      </c>
      <c r="L472" s="129">
        <f>INT(base[[#This Row],[Data de liquidação]])</f>
        <v>46039</v>
      </c>
      <c r="M472" s="126">
        <f>base[[#This Row],[L/P Bruto]]-base[[#This Row],[L/P Líquido]]</f>
        <v>1.006963350785341</v>
      </c>
      <c r="N472" s="126">
        <f>base[[#This Row],[L/P Líquido]]/base[[#This Row],[Stake/Responsabilidade]]</f>
        <v>9.0940040001702208E-2</v>
      </c>
      <c r="O472" s="132">
        <f>IF(base[[#This Row],[L/P Líquido]]&gt;0,1,0)</f>
        <v>1</v>
      </c>
      <c r="P472" s="132" t="s">
        <v>965</v>
      </c>
      <c r="Q472" s="132" t="str">
        <f>LEFT(base[[#This Row],[Evento / Mercado]],FIND("vs",base[[#This Row],[Evento / Mercado]])-2)</f>
        <v>Rio Ave</v>
      </c>
      <c r="R4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Benfica</v>
      </c>
      <c r="S472" s="132" t="e">
        <f>LEFT(base[[#This Row],[Evento / Mercado]],FIND("/",base[[#This Row],[Evento / Mercado]])-2)</f>
        <v>#VALUE!</v>
      </c>
    </row>
    <row r="473" spans="2:19" ht="15" customHeight="1">
      <c r="B473" s="128" t="s">
        <v>406</v>
      </c>
      <c r="C473" s="128" t="s">
        <v>2982</v>
      </c>
      <c r="D473" s="129">
        <v>46040.415231481478</v>
      </c>
      <c r="E473" s="130">
        <v>54.06</v>
      </c>
      <c r="F473" s="131">
        <v>4.4999999999999998E-2</v>
      </c>
      <c r="G473" s="126">
        <f t="shared" si="7"/>
        <v>56.607329842931939</v>
      </c>
      <c r="H473" s="126" t="s">
        <v>231</v>
      </c>
      <c r="I473" s="127" t="s">
        <v>232</v>
      </c>
      <c r="J473" s="126">
        <v>1.94</v>
      </c>
      <c r="K473" s="126">
        <v>60</v>
      </c>
      <c r="L473" s="129">
        <f>INT(base[[#This Row],[Data de liquidação]])</f>
        <v>46040</v>
      </c>
      <c r="M473" s="126">
        <f>base[[#This Row],[L/P Bruto]]-base[[#This Row],[L/P Líquido]]</f>
        <v>2.5473298429319371</v>
      </c>
      <c r="N473" s="126">
        <f>base[[#This Row],[L/P Líquido]]/base[[#This Row],[Stake/Responsabilidade]]</f>
        <v>0.90100000000000002</v>
      </c>
      <c r="O473" s="132">
        <f>IF(base[[#This Row],[L/P Líquido]]&gt;0,1,0)</f>
        <v>1</v>
      </c>
      <c r="P473" s="132"/>
      <c r="Q473" s="132" t="str">
        <f>LEFT(base[[#This Row],[Evento / Mercado]],FIND("vs",base[[#This Row],[Evento / Mercado]])-2)</f>
        <v>VfL Bochum</v>
      </c>
      <c r="R4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473" s="132" t="e">
        <f>LEFT(base[[#This Row],[Evento / Mercado]],FIND("/",base[[#This Row],[Evento / Mercado]])-2)</f>
        <v>#VALUE!</v>
      </c>
    </row>
    <row r="474" spans="2:19" ht="15" customHeight="1">
      <c r="B474" s="128" t="s">
        <v>405</v>
      </c>
      <c r="C474" s="128" t="s">
        <v>2982</v>
      </c>
      <c r="D474" s="129">
        <v>46040.482789351852</v>
      </c>
      <c r="E474" s="130">
        <v>-60</v>
      </c>
      <c r="F474" s="131">
        <v>4.4999999999999998E-2</v>
      </c>
      <c r="G474" s="126">
        <f t="shared" si="7"/>
        <v>-60</v>
      </c>
      <c r="H474" s="126" t="s">
        <v>231</v>
      </c>
      <c r="I474" s="127" t="s">
        <v>266</v>
      </c>
      <c r="J474" s="126">
        <v>1.71</v>
      </c>
      <c r="K474" s="126">
        <v>60</v>
      </c>
      <c r="L474" s="129">
        <f>INT(base[[#This Row],[Data de liquidação]])</f>
        <v>46040</v>
      </c>
      <c r="M474" s="126">
        <f>base[[#This Row],[L/P Bruto]]-base[[#This Row],[L/P Líquido]]</f>
        <v>0</v>
      </c>
      <c r="N474" s="126">
        <f>base[[#This Row],[L/P Líquido]]/base[[#This Row],[Stake/Responsabilidade]]</f>
        <v>-1</v>
      </c>
      <c r="O474" s="132">
        <f>IF(base[[#This Row],[L/P Líquido]]&gt;0,1,0)</f>
        <v>0</v>
      </c>
      <c r="P474" s="132"/>
      <c r="Q474" s="132" t="str">
        <f>LEFT(base[[#This Row],[Evento / Mercado]],FIND("vs",base[[#This Row],[Evento / Mercado]])-2)</f>
        <v>Holstein Kiel</v>
      </c>
      <c r="R4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Paderborn 07</v>
      </c>
      <c r="S474" s="132" t="e">
        <f>LEFT(base[[#This Row],[Evento / Mercado]],FIND("/",base[[#This Row],[Evento / Mercado]])-2)</f>
        <v>#VALUE!</v>
      </c>
    </row>
    <row r="475" spans="2:19" ht="15" customHeight="1">
      <c r="B475" s="128" t="s">
        <v>404</v>
      </c>
      <c r="C475" s="128" t="s">
        <v>2982</v>
      </c>
      <c r="D475" s="129">
        <v>46040.527372685188</v>
      </c>
      <c r="E475" s="130">
        <v>-60</v>
      </c>
      <c r="F475" s="131">
        <v>4.4999999999999998E-2</v>
      </c>
      <c r="G475" s="126">
        <f t="shared" si="7"/>
        <v>-60</v>
      </c>
      <c r="H475" s="126" t="s">
        <v>231</v>
      </c>
      <c r="I475" s="127" t="s">
        <v>266</v>
      </c>
      <c r="J475" s="126">
        <v>1.78</v>
      </c>
      <c r="K475" s="126">
        <v>60</v>
      </c>
      <c r="L475" s="129">
        <f>INT(base[[#This Row],[Data de liquidação]])</f>
        <v>46040</v>
      </c>
      <c r="M475" s="126">
        <f>base[[#This Row],[L/P Bruto]]-base[[#This Row],[L/P Líquido]]</f>
        <v>0</v>
      </c>
      <c r="N475" s="126">
        <f>base[[#This Row],[L/P Líquido]]/base[[#This Row],[Stake/Responsabilidade]]</f>
        <v>-1</v>
      </c>
      <c r="O475" s="132">
        <f>IF(base[[#This Row],[L/P Líquido]]&gt;0,1,0)</f>
        <v>0</v>
      </c>
      <c r="P475" s="132"/>
      <c r="Q475" s="132" t="str">
        <f>LEFT(base[[#This Row],[Evento / Mercado]],FIND("vs",base[[#This Row],[Evento / Mercado]])-2)</f>
        <v>Heracles Almelo</v>
      </c>
      <c r="R4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475" s="132" t="e">
        <f>LEFT(base[[#This Row],[Evento / Mercado]],FIND("/",base[[#This Row],[Evento / Mercado]])-2)</f>
        <v>#VALUE!</v>
      </c>
    </row>
    <row r="476" spans="2:19" ht="15" customHeight="1">
      <c r="B476" s="128" t="s">
        <v>403</v>
      </c>
      <c r="C476" s="128" t="s">
        <v>2982</v>
      </c>
      <c r="D476" s="129">
        <v>46040.537731481483</v>
      </c>
      <c r="E476" s="130">
        <v>-60</v>
      </c>
      <c r="F476" s="131">
        <v>4.4999999999999998E-2</v>
      </c>
      <c r="G476" s="126">
        <f t="shared" si="7"/>
        <v>-60</v>
      </c>
      <c r="H476" s="126" t="s">
        <v>231</v>
      </c>
      <c r="I476" s="127" t="s">
        <v>232</v>
      </c>
      <c r="J476" s="126">
        <v>1.69</v>
      </c>
      <c r="K476" s="126">
        <v>60</v>
      </c>
      <c r="L476" s="129">
        <f>INT(base[[#This Row],[Data de liquidação]])</f>
        <v>46040</v>
      </c>
      <c r="M476" s="126">
        <f>base[[#This Row],[L/P Bruto]]-base[[#This Row],[L/P Líquido]]</f>
        <v>0</v>
      </c>
      <c r="N476" s="126">
        <f>base[[#This Row],[L/P Líquido]]/base[[#This Row],[Stake/Responsabilidade]]</f>
        <v>-1</v>
      </c>
      <c r="O476" s="132">
        <f>IF(base[[#This Row],[L/P Líquido]]&gt;0,1,0)</f>
        <v>0</v>
      </c>
      <c r="P476" s="132"/>
      <c r="Q476" s="132" t="str">
        <f>LEFT(base[[#This Row],[Evento / Mercado]],FIND("vs",base[[#This Row],[Evento / Mercado]])-2)</f>
        <v>Wolverhampton Wanderers</v>
      </c>
      <c r="R4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476" s="132" t="e">
        <f>LEFT(base[[#This Row],[Evento / Mercado]],FIND("/",base[[#This Row],[Evento / Mercado]])-2)</f>
        <v>#VALUE!</v>
      </c>
    </row>
    <row r="477" spans="2:19" ht="15" customHeight="1">
      <c r="B477" s="128" t="s">
        <v>402</v>
      </c>
      <c r="C477" s="128" t="s">
        <v>2982</v>
      </c>
      <c r="D477" s="129">
        <v>46040.557835648149</v>
      </c>
      <c r="E477" s="130">
        <v>5.62</v>
      </c>
      <c r="F477" s="131">
        <v>4.4999999999999998E-2</v>
      </c>
      <c r="G477" s="126">
        <f t="shared" si="7"/>
        <v>5.8848167539267022</v>
      </c>
      <c r="H477" s="126" t="s">
        <v>73</v>
      </c>
      <c r="I477" s="127" t="s">
        <v>13</v>
      </c>
      <c r="J477" s="126">
        <v>18</v>
      </c>
      <c r="K477" s="126">
        <v>99.96</v>
      </c>
      <c r="L477" s="129">
        <f>INT(base[[#This Row],[Data de liquidação]])</f>
        <v>46040</v>
      </c>
      <c r="M477" s="126">
        <f>base[[#This Row],[L/P Bruto]]-base[[#This Row],[L/P Líquido]]</f>
        <v>0.26481675392670212</v>
      </c>
      <c r="N477" s="126">
        <f>base[[#This Row],[L/P Líquido]]/base[[#This Row],[Stake/Responsabilidade]]</f>
        <v>5.6222488995598244E-2</v>
      </c>
      <c r="O477" s="132">
        <f>IF(base[[#This Row],[L/P Líquido]]&gt;0,1,0)</f>
        <v>1</v>
      </c>
      <c r="P477" s="132"/>
      <c r="Q477" s="132" t="str">
        <f>LEFT(base[[#This Row],[Evento / Mercado]],FIND("vs",base[[#This Row],[Evento / Mercado]])-2)</f>
        <v>VfB Stuttgart</v>
      </c>
      <c r="R4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477" s="132" t="e">
        <f>LEFT(base[[#This Row],[Evento / Mercado]],FIND("/",base[[#This Row],[Evento / Mercado]])-2)</f>
        <v>#VALUE!</v>
      </c>
    </row>
    <row r="478" spans="2:19" ht="15" customHeight="1">
      <c r="B478" s="128" t="s">
        <v>402</v>
      </c>
      <c r="C478" s="128" t="s">
        <v>2982</v>
      </c>
      <c r="D478" s="129">
        <v>46040.557881944442</v>
      </c>
      <c r="E478" s="130">
        <v>-60</v>
      </c>
      <c r="F478" s="131">
        <v>4.4999999999999998E-2</v>
      </c>
      <c r="G478" s="126">
        <f t="shared" si="7"/>
        <v>-60</v>
      </c>
      <c r="H478" s="126" t="s">
        <v>231</v>
      </c>
      <c r="I478" s="127" t="s">
        <v>232</v>
      </c>
      <c r="J478" s="126">
        <v>1.75</v>
      </c>
      <c r="K478" s="126">
        <v>60</v>
      </c>
      <c r="L478" s="129">
        <f>INT(base[[#This Row],[Data de liquidação]])</f>
        <v>46040</v>
      </c>
      <c r="M478" s="126">
        <f>base[[#This Row],[L/P Bruto]]-base[[#This Row],[L/P Líquido]]</f>
        <v>0</v>
      </c>
      <c r="N478" s="126">
        <f>base[[#This Row],[L/P Líquido]]/base[[#This Row],[Stake/Responsabilidade]]</f>
        <v>-1</v>
      </c>
      <c r="O478" s="132">
        <f>IF(base[[#This Row],[L/P Líquido]]&gt;0,1,0)</f>
        <v>0</v>
      </c>
      <c r="P478" s="132"/>
      <c r="Q478" s="132" t="str">
        <f>LEFT(base[[#This Row],[Evento / Mercado]],FIND("vs",base[[#This Row],[Evento / Mercado]])-2)</f>
        <v>VfB Stuttgart</v>
      </c>
      <c r="R4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478" s="132" t="e">
        <f>LEFT(base[[#This Row],[Evento / Mercado]],FIND("/",base[[#This Row],[Evento / Mercado]])-2)</f>
        <v>#VALUE!</v>
      </c>
    </row>
    <row r="479" spans="2:19" ht="15" customHeight="1">
      <c r="B479" s="128" t="s">
        <v>401</v>
      </c>
      <c r="C479" s="128" t="s">
        <v>2982</v>
      </c>
      <c r="D479" s="129">
        <v>46040.591481481482</v>
      </c>
      <c r="E479" s="130">
        <v>5.42</v>
      </c>
      <c r="F479" s="131">
        <v>4.4999999999999998E-2</v>
      </c>
      <c r="G479" s="126">
        <f t="shared" si="7"/>
        <v>5.6753926701570681</v>
      </c>
      <c r="H479" s="126" t="s">
        <v>73</v>
      </c>
      <c r="I479" s="127" t="s">
        <v>13</v>
      </c>
      <c r="J479" s="126">
        <v>18</v>
      </c>
      <c r="K479" s="126">
        <v>96.51</v>
      </c>
      <c r="L479" s="129">
        <f>INT(base[[#This Row],[Data de liquidação]])</f>
        <v>46040</v>
      </c>
      <c r="M479" s="126">
        <f>base[[#This Row],[L/P Bruto]]-base[[#This Row],[L/P Líquido]]</f>
        <v>0.25539267015706812</v>
      </c>
      <c r="N479" s="126">
        <f>base[[#This Row],[L/P Líquido]]/base[[#This Row],[Stake/Responsabilidade]]</f>
        <v>5.6159983421407107E-2</v>
      </c>
      <c r="O479" s="132">
        <f>IF(base[[#This Row],[L/P Líquido]]&gt;0,1,0)</f>
        <v>1</v>
      </c>
      <c r="P479" s="132"/>
      <c r="Q479" s="132" t="str">
        <f>LEFT(base[[#This Row],[Evento / Mercado]],FIND("vs",base[[#This Row],[Evento / Mercado]])-2)</f>
        <v>Atlético de Madrid</v>
      </c>
      <c r="R4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Alaves</v>
      </c>
      <c r="S479" s="132" t="e">
        <f>LEFT(base[[#This Row],[Evento / Mercado]],FIND("/",base[[#This Row],[Evento / Mercado]])-2)</f>
        <v>#VALUE!</v>
      </c>
    </row>
    <row r="480" spans="2:19" ht="15" customHeight="1">
      <c r="B480" s="128" t="s">
        <v>401</v>
      </c>
      <c r="C480" s="128" t="s">
        <v>2982</v>
      </c>
      <c r="D480" s="129">
        <v>46040.591666666667</v>
      </c>
      <c r="E480" s="130">
        <v>14.33</v>
      </c>
      <c r="F480" s="131">
        <v>4.4999999999999998E-2</v>
      </c>
      <c r="G480" s="126">
        <f t="shared" si="7"/>
        <v>15.005235602094242</v>
      </c>
      <c r="H480" s="126" t="s">
        <v>145</v>
      </c>
      <c r="I480" s="127" t="s">
        <v>301</v>
      </c>
      <c r="J480" s="126">
        <v>11</v>
      </c>
      <c r="K480" s="126">
        <v>150</v>
      </c>
      <c r="L480" s="129">
        <f>INT(base[[#This Row],[Data de liquidação]])</f>
        <v>46040</v>
      </c>
      <c r="M480" s="126">
        <f>base[[#This Row],[L/P Bruto]]-base[[#This Row],[L/P Líquido]]</f>
        <v>0.67523560209424183</v>
      </c>
      <c r="N480" s="126">
        <f>base[[#This Row],[L/P Líquido]]/base[[#This Row],[Stake/Responsabilidade]]</f>
        <v>9.5533333333333331E-2</v>
      </c>
      <c r="O480" s="132">
        <f>IF(base[[#This Row],[L/P Líquido]]&gt;0,1,0)</f>
        <v>1</v>
      </c>
      <c r="P480" s="132" t="s">
        <v>964</v>
      </c>
      <c r="Q480" s="132" t="str">
        <f>LEFT(base[[#This Row],[Evento / Mercado]],FIND("vs",base[[#This Row],[Evento / Mercado]])-2)</f>
        <v>Atlético de Madrid</v>
      </c>
      <c r="R4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Alaves</v>
      </c>
      <c r="S480" s="132" t="e">
        <f>LEFT(base[[#This Row],[Evento / Mercado]],FIND("/",base[[#This Row],[Evento / Mercado]])-2)</f>
        <v>#VALUE!</v>
      </c>
    </row>
    <row r="481" spans="2:21" ht="15" customHeight="1">
      <c r="B481" s="128" t="s">
        <v>400</v>
      </c>
      <c r="C481" s="128" t="s">
        <v>2982</v>
      </c>
      <c r="D481" s="129">
        <v>46040.63548611111</v>
      </c>
      <c r="E481" s="130">
        <v>6.06</v>
      </c>
      <c r="F481" s="131">
        <v>0</v>
      </c>
      <c r="G481" s="126">
        <f t="shared" si="7"/>
        <v>6.06</v>
      </c>
      <c r="H481" s="126" t="s">
        <v>73</v>
      </c>
      <c r="I481" s="127" t="s">
        <v>13</v>
      </c>
      <c r="J481" s="126">
        <v>17.5</v>
      </c>
      <c r="K481" s="126">
        <v>99.99</v>
      </c>
      <c r="L481" s="129">
        <f>INT(base[[#This Row],[Data de liquidação]])</f>
        <v>46040</v>
      </c>
      <c r="M481" s="126">
        <f>base[[#This Row],[L/P Bruto]]-base[[#This Row],[L/P Líquido]]</f>
        <v>0</v>
      </c>
      <c r="N481" s="126">
        <f>base[[#This Row],[L/P Líquido]]/base[[#This Row],[Stake/Responsabilidade]]</f>
        <v>6.0606060606060608E-2</v>
      </c>
      <c r="O481" s="132">
        <f>IF(base[[#This Row],[L/P Líquido]]&gt;0,1,0)</f>
        <v>1</v>
      </c>
      <c r="P481" s="132"/>
      <c r="Q481" s="132" t="str">
        <f>LEFT(base[[#This Row],[Evento / Mercado]],FIND("vs",base[[#This Row],[Evento / Mercado]])-2)</f>
        <v>Palermo</v>
      </c>
      <c r="R4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Spezia</v>
      </c>
      <c r="S481" s="132" t="e">
        <f>LEFT(base[[#This Row],[Evento / Mercado]],FIND("/",base[[#This Row],[Evento / Mercado]])-2)</f>
        <v>#VALUE!</v>
      </c>
      <c r="T481" s="8">
        <v>6.06</v>
      </c>
      <c r="U481" s="9">
        <f>T481*0.955</f>
        <v>5.7872999999999992</v>
      </c>
    </row>
    <row r="482" spans="2:21" ht="15" customHeight="1">
      <c r="B482" s="128" t="s">
        <v>400</v>
      </c>
      <c r="C482" s="128" t="s">
        <v>2982</v>
      </c>
      <c r="D482" s="129">
        <v>46040.63548611111</v>
      </c>
      <c r="E482" s="130">
        <v>-99.97</v>
      </c>
      <c r="F482" s="131">
        <v>4.4999999999999998E-2</v>
      </c>
      <c r="G482" s="126">
        <f t="shared" si="7"/>
        <v>-99.97</v>
      </c>
      <c r="H482" s="126" t="s">
        <v>73</v>
      </c>
      <c r="I482" s="127" t="s">
        <v>16</v>
      </c>
      <c r="J482" s="126">
        <v>8.4</v>
      </c>
      <c r="K482" s="126">
        <v>99.97</v>
      </c>
      <c r="L482" s="129">
        <f>INT(base[[#This Row],[Data de liquidação]])</f>
        <v>46040</v>
      </c>
      <c r="M482" s="126">
        <f>base[[#This Row],[L/P Bruto]]-base[[#This Row],[L/P Líquido]]</f>
        <v>0</v>
      </c>
      <c r="N482" s="126">
        <f>base[[#This Row],[L/P Líquido]]/base[[#This Row],[Stake/Responsabilidade]]</f>
        <v>-1</v>
      </c>
      <c r="O482" s="132">
        <f>IF(base[[#This Row],[L/P Líquido]]&gt;0,1,0)</f>
        <v>0</v>
      </c>
      <c r="P482" s="132"/>
      <c r="Q482" s="132" t="str">
        <f>LEFT(base[[#This Row],[Evento / Mercado]],FIND("vs",base[[#This Row],[Evento / Mercado]])-2)</f>
        <v>Palermo</v>
      </c>
      <c r="R4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Spezia</v>
      </c>
      <c r="S482" s="132" t="e">
        <f>LEFT(base[[#This Row],[Evento / Mercado]],FIND("/",base[[#This Row],[Evento / Mercado]])-2)</f>
        <v>#VALUE!</v>
      </c>
      <c r="T482" s="8">
        <v>13.51</v>
      </c>
      <c r="U482" s="9">
        <f>T482*0.955</f>
        <v>12.902049999999999</v>
      </c>
    </row>
    <row r="483" spans="2:21" ht="15" customHeight="1">
      <c r="B483" s="128" t="s">
        <v>399</v>
      </c>
      <c r="C483" s="128" t="s">
        <v>2982</v>
      </c>
      <c r="D483" s="129">
        <v>46040.636446759258</v>
      </c>
      <c r="E483" s="130">
        <v>10.848799999999999</v>
      </c>
      <c r="F483" s="131">
        <v>4.4999999999999998E-2</v>
      </c>
      <c r="G483" s="126">
        <f t="shared" si="7"/>
        <v>11.36</v>
      </c>
      <c r="H483" s="126" t="s">
        <v>73</v>
      </c>
      <c r="I483" s="127" t="s">
        <v>16</v>
      </c>
      <c r="J483" s="126">
        <v>9.8000000000000007</v>
      </c>
      <c r="K483" s="126">
        <v>99.97</v>
      </c>
      <c r="L483" s="129">
        <f>INT(base[[#This Row],[Data de liquidação]])</f>
        <v>46040</v>
      </c>
      <c r="M483" s="126">
        <f>base[[#This Row],[L/P Bruto]]-base[[#This Row],[L/P Líquido]]</f>
        <v>0.51120000000000054</v>
      </c>
      <c r="N483" s="126">
        <f>base[[#This Row],[L/P Líquido]]/base[[#This Row],[Stake/Responsabilidade]]</f>
        <v>0.10852055616685005</v>
      </c>
      <c r="O483" s="132">
        <f>IF(base[[#This Row],[L/P Líquido]]&gt;0,1,0)</f>
        <v>1</v>
      </c>
      <c r="P483" s="132"/>
      <c r="Q483" s="132" t="str">
        <f>LEFT(base[[#This Row],[Evento / Mercado]],FIND("vs",base[[#This Row],[Evento / Mercado]])-2)</f>
        <v>Stade Rennais</v>
      </c>
      <c r="R4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483" s="132" t="e">
        <f>LEFT(base[[#This Row],[Evento / Mercado]],FIND("/",base[[#This Row],[Evento / Mercado]])-2)</f>
        <v>#VALUE!</v>
      </c>
      <c r="T483" s="8">
        <v>11.36</v>
      </c>
      <c r="U483" s="9">
        <f>T483*0.955</f>
        <v>10.848799999999999</v>
      </c>
    </row>
    <row r="484" spans="2:21" ht="15" customHeight="1">
      <c r="B484" s="128" t="s">
        <v>399</v>
      </c>
      <c r="C484" s="128" t="s">
        <v>2982</v>
      </c>
      <c r="D484" s="129">
        <v>46040.636446759258</v>
      </c>
      <c r="E484" s="130">
        <v>6.8186999999999998</v>
      </c>
      <c r="F484" s="131">
        <v>4.4999999999999998E-2</v>
      </c>
      <c r="G484" s="126">
        <f t="shared" si="7"/>
        <v>7.14</v>
      </c>
      <c r="H484" s="126" t="s">
        <v>74</v>
      </c>
      <c r="I484" s="127" t="s">
        <v>476</v>
      </c>
      <c r="J484" s="126">
        <v>22</v>
      </c>
      <c r="K484" s="126">
        <v>149.94</v>
      </c>
      <c r="L484" s="129">
        <f>INT(base[[#This Row],[Data de liquidação]])</f>
        <v>46040</v>
      </c>
      <c r="M484" s="126">
        <f>base[[#This Row],[L/P Bruto]]-base[[#This Row],[L/P Líquido]]</f>
        <v>0.32129999999999992</v>
      </c>
      <c r="N484" s="139">
        <f>base[[#This Row],[L/P Líquido]]/base[[#This Row],[Stake/Responsabilidade]]</f>
        <v>4.5476190476190476E-2</v>
      </c>
      <c r="O484" s="132">
        <f>IF(base[[#This Row],[L/P Líquido]]&gt;0,1,0)</f>
        <v>1</v>
      </c>
      <c r="P484" s="132" t="s">
        <v>970</v>
      </c>
      <c r="Q484" s="132" t="str">
        <f>LEFT(base[[#This Row],[Evento / Mercado]],FIND("vs",base[[#This Row],[Evento / Mercado]])-2)</f>
        <v>Stade Rennais</v>
      </c>
      <c r="R4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484" s="132" t="e">
        <f>LEFT(base[[#This Row],[Evento / Mercado]],FIND("/",base[[#This Row],[Evento / Mercado]])-2)</f>
        <v>#VALUE!</v>
      </c>
      <c r="T484" s="8">
        <v>7.14</v>
      </c>
      <c r="U484" s="9">
        <f>T484*0.955</f>
        <v>6.8186999999999998</v>
      </c>
    </row>
    <row r="485" spans="2:21" ht="15" customHeight="1">
      <c r="B485" s="128" t="s">
        <v>399</v>
      </c>
      <c r="C485" s="128" t="s">
        <v>2982</v>
      </c>
      <c r="D485" s="129">
        <v>46040.636446759258</v>
      </c>
      <c r="E485" s="130">
        <v>5.6153999999999993</v>
      </c>
      <c r="F485" s="131">
        <v>4.4999999999999998E-2</v>
      </c>
      <c r="G485" s="126">
        <f t="shared" si="7"/>
        <v>5.88</v>
      </c>
      <c r="H485" s="126" t="s">
        <v>73</v>
      </c>
      <c r="I485" s="127" t="s">
        <v>13</v>
      </c>
      <c r="J485" s="126">
        <v>18</v>
      </c>
      <c r="K485" s="126">
        <v>99.96</v>
      </c>
      <c r="L485" s="129">
        <f>INT(base[[#This Row],[Data de liquidação]])</f>
        <v>46040</v>
      </c>
      <c r="M485" s="126">
        <f>base[[#This Row],[L/P Bruto]]-base[[#This Row],[L/P Líquido]]</f>
        <v>0.26460000000000061</v>
      </c>
      <c r="N485" s="126">
        <f>base[[#This Row],[L/P Líquido]]/base[[#This Row],[Stake/Responsabilidade]]</f>
        <v>5.6176470588235293E-2</v>
      </c>
      <c r="O485" s="132">
        <f>IF(base[[#This Row],[L/P Líquido]]&gt;0,1,0)</f>
        <v>1</v>
      </c>
      <c r="P485" s="132"/>
      <c r="Q485" s="132" t="str">
        <f>LEFT(base[[#This Row],[Evento / Mercado]],FIND("vs",base[[#This Row],[Evento / Mercado]])-2)</f>
        <v>Stade Rennais</v>
      </c>
      <c r="R4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485" s="132" t="e">
        <f>LEFT(base[[#This Row],[Evento / Mercado]],FIND("/",base[[#This Row],[Evento / Mercado]])-2)</f>
        <v>#VALUE!</v>
      </c>
      <c r="T485" s="8">
        <v>5.88</v>
      </c>
      <c r="U485" s="9">
        <f>T485*0.955</f>
        <v>5.6153999999999993</v>
      </c>
    </row>
    <row r="486" spans="2:21" ht="15" customHeight="1">
      <c r="B486" s="128" t="s">
        <v>399</v>
      </c>
      <c r="C486" s="128" t="s">
        <v>2982</v>
      </c>
      <c r="D486" s="129">
        <v>46040.636550925927</v>
      </c>
      <c r="E486" s="130">
        <v>-60</v>
      </c>
      <c r="F486" s="131">
        <v>4.4999999999999998E-2</v>
      </c>
      <c r="G486" s="126">
        <f t="shared" si="7"/>
        <v>-60</v>
      </c>
      <c r="H486" s="126" t="s">
        <v>231</v>
      </c>
      <c r="I486" s="127" t="s">
        <v>232</v>
      </c>
      <c r="J486" s="126">
        <v>1.71</v>
      </c>
      <c r="K486" s="126">
        <v>60</v>
      </c>
      <c r="L486" s="129">
        <f>INT(base[[#This Row],[Data de liquidação]])</f>
        <v>46040</v>
      </c>
      <c r="M486" s="126">
        <f>base[[#This Row],[L/P Bruto]]-base[[#This Row],[L/P Líquido]]</f>
        <v>0</v>
      </c>
      <c r="N486" s="126">
        <f>base[[#This Row],[L/P Líquido]]/base[[#This Row],[Stake/Responsabilidade]]</f>
        <v>-1</v>
      </c>
      <c r="O486" s="132">
        <f>IF(base[[#This Row],[L/P Líquido]]&gt;0,1,0)</f>
        <v>0</v>
      </c>
      <c r="P486" s="132"/>
      <c r="Q486" s="132" t="str">
        <f>LEFT(base[[#This Row],[Evento / Mercado]],FIND("vs",base[[#This Row],[Evento / Mercado]])-2)</f>
        <v>Stade Rennais</v>
      </c>
      <c r="R4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486" s="132" t="e">
        <f>LEFT(base[[#This Row],[Evento / Mercado]],FIND("/",base[[#This Row],[Evento / Mercado]])-2)</f>
        <v>#VALUE!</v>
      </c>
    </row>
    <row r="487" spans="2:21" ht="15" customHeight="1">
      <c r="B487" s="128" t="s">
        <v>398</v>
      </c>
      <c r="C487" s="128" t="s">
        <v>2982</v>
      </c>
      <c r="D487" s="129">
        <v>46040.641898148147</v>
      </c>
      <c r="E487" s="130">
        <v>-99.96</v>
      </c>
      <c r="F487" s="131">
        <v>4.4999999999999998E-2</v>
      </c>
      <c r="G487" s="126">
        <f t="shared" si="7"/>
        <v>-99.96</v>
      </c>
      <c r="H487" s="126" t="s">
        <v>73</v>
      </c>
      <c r="I487" s="127" t="s">
        <v>13</v>
      </c>
      <c r="J487" s="126">
        <v>18</v>
      </c>
      <c r="K487" s="126">
        <v>99.96</v>
      </c>
      <c r="L487" s="129">
        <f>INT(base[[#This Row],[Data de liquidação]])</f>
        <v>46040</v>
      </c>
      <c r="M487" s="126">
        <f>base[[#This Row],[L/P Bruto]]-base[[#This Row],[L/P Líquido]]</f>
        <v>0</v>
      </c>
      <c r="N487" s="126">
        <f>base[[#This Row],[L/P Líquido]]/base[[#This Row],[Stake/Responsabilidade]]</f>
        <v>-1</v>
      </c>
      <c r="O487" s="132">
        <f>IF(base[[#This Row],[L/P Líquido]]&gt;0,1,0)</f>
        <v>0</v>
      </c>
      <c r="P487" s="132"/>
      <c r="Q487" s="132" t="str">
        <f>LEFT(base[[#This Row],[Evento / Mercado]],FIND("vs",base[[#This Row],[Evento / Mercado]])-2)</f>
        <v>Aston Villa</v>
      </c>
      <c r="R4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Everton</v>
      </c>
      <c r="S487" s="132" t="e">
        <f>LEFT(base[[#This Row],[Evento / Mercado]],FIND("/",base[[#This Row],[Evento / Mercado]])-2)</f>
        <v>#VALUE!</v>
      </c>
    </row>
    <row r="488" spans="2:21" ht="15" customHeight="1">
      <c r="B488" s="128" t="s">
        <v>397</v>
      </c>
      <c r="C488" s="128" t="s">
        <v>2982</v>
      </c>
      <c r="D488" s="129">
        <v>46040.778263888889</v>
      </c>
      <c r="E488" s="130">
        <v>5.6153999999999993</v>
      </c>
      <c r="F488" s="131">
        <v>4.4999999999999998E-2</v>
      </c>
      <c r="G488" s="126">
        <f t="shared" si="7"/>
        <v>5.88</v>
      </c>
      <c r="H488" s="126" t="s">
        <v>73</v>
      </c>
      <c r="I488" s="127" t="s">
        <v>13</v>
      </c>
      <c r="J488" s="126">
        <v>18</v>
      </c>
      <c r="K488" s="126">
        <v>99.96</v>
      </c>
      <c r="L488" s="129">
        <f>INT(base[[#This Row],[Data de liquidação]])</f>
        <v>46040</v>
      </c>
      <c r="M488" s="126">
        <f>base[[#This Row],[L/P Bruto]]-base[[#This Row],[L/P Líquido]]</f>
        <v>0.26460000000000061</v>
      </c>
      <c r="N488" s="126">
        <f>base[[#This Row],[L/P Líquido]]/base[[#This Row],[Stake/Responsabilidade]]</f>
        <v>5.6176470588235293E-2</v>
      </c>
      <c r="O488" s="132">
        <f>IF(base[[#This Row],[L/P Líquido]]&gt;0,1,0)</f>
        <v>1</v>
      </c>
      <c r="P488" s="132"/>
      <c r="Q488" s="132" t="str">
        <f>LEFT(base[[#This Row],[Evento / Mercado]],FIND("vs",base[[#This Row],[Evento / Mercado]])-2)</f>
        <v>Olympique Lyonnais</v>
      </c>
      <c r="R4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488" s="132" t="e">
        <f>LEFT(base[[#This Row],[Evento / Mercado]],FIND("/",base[[#This Row],[Evento / Mercado]])-2)</f>
        <v>#VALUE!</v>
      </c>
      <c r="T488" s="8">
        <v>5.88</v>
      </c>
      <c r="U488" s="9">
        <f>T488*0.955</f>
        <v>5.6153999999999993</v>
      </c>
    </row>
    <row r="489" spans="2:21" ht="15" customHeight="1">
      <c r="B489" s="128" t="s">
        <v>397</v>
      </c>
      <c r="C489" s="128" t="s">
        <v>2982</v>
      </c>
      <c r="D489" s="129">
        <v>46040.778263888889</v>
      </c>
      <c r="E489" s="130">
        <v>12.2431</v>
      </c>
      <c r="F489" s="131">
        <v>4.4999999999999998E-2</v>
      </c>
      <c r="G489" s="126">
        <f t="shared" si="7"/>
        <v>12.82</v>
      </c>
      <c r="H489" s="126" t="s">
        <v>73</v>
      </c>
      <c r="I489" s="127" t="s">
        <v>16</v>
      </c>
      <c r="J489" s="126">
        <v>8.8000000000000007</v>
      </c>
      <c r="K489" s="126">
        <v>100</v>
      </c>
      <c r="L489" s="129">
        <f>INT(base[[#This Row],[Data de liquidação]])</f>
        <v>46040</v>
      </c>
      <c r="M489" s="126">
        <f>base[[#This Row],[L/P Bruto]]-base[[#This Row],[L/P Líquido]]</f>
        <v>0.57690000000000019</v>
      </c>
      <c r="N489" s="126">
        <f>base[[#This Row],[L/P Líquido]]/base[[#This Row],[Stake/Responsabilidade]]</f>
        <v>0.122431</v>
      </c>
      <c r="O489" s="132">
        <f>IF(base[[#This Row],[L/P Líquido]]&gt;0,1,0)</f>
        <v>1</v>
      </c>
      <c r="P489" s="132"/>
      <c r="Q489" s="132" t="str">
        <f>LEFT(base[[#This Row],[Evento / Mercado]],FIND("vs",base[[#This Row],[Evento / Mercado]])-2)</f>
        <v>Olympique Lyonnais</v>
      </c>
      <c r="R4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489" s="132" t="e">
        <f>LEFT(base[[#This Row],[Evento / Mercado]],FIND("/",base[[#This Row],[Evento / Mercado]])-2)</f>
        <v>#VALUE!</v>
      </c>
      <c r="T489" s="8">
        <v>12.82</v>
      </c>
      <c r="U489" s="9">
        <f>T489*0.955</f>
        <v>12.2431</v>
      </c>
    </row>
    <row r="490" spans="2:21" ht="15" customHeight="1">
      <c r="B490" s="128" t="s">
        <v>397</v>
      </c>
      <c r="C490" s="128" t="s">
        <v>2982</v>
      </c>
      <c r="D490" s="129">
        <v>46040.778263888889</v>
      </c>
      <c r="E490" s="130">
        <v>8.1843500000000002</v>
      </c>
      <c r="F490" s="131">
        <v>4.4999999999999998E-2</v>
      </c>
      <c r="G490" s="126">
        <f t="shared" si="7"/>
        <v>8.57</v>
      </c>
      <c r="H490" s="126" t="s">
        <v>74</v>
      </c>
      <c r="I490" s="127" t="s">
        <v>476</v>
      </c>
      <c r="J490" s="126">
        <v>18.5</v>
      </c>
      <c r="K490" s="126">
        <v>149.97999999999999</v>
      </c>
      <c r="L490" s="129">
        <f>INT(base[[#This Row],[Data de liquidação]])</f>
        <v>46040</v>
      </c>
      <c r="M490" s="126">
        <f>base[[#This Row],[L/P Bruto]]-base[[#This Row],[L/P Líquido]]</f>
        <v>0.38565000000000005</v>
      </c>
      <c r="N490" s="139">
        <f>base[[#This Row],[L/P Líquido]]/base[[#This Row],[Stake/Responsabilidade]]</f>
        <v>5.4569609281237504E-2</v>
      </c>
      <c r="O490" s="132">
        <f>IF(base[[#This Row],[L/P Líquido]]&gt;0,1,0)</f>
        <v>1</v>
      </c>
      <c r="P490" s="132" t="s">
        <v>970</v>
      </c>
      <c r="Q490" s="132" t="str">
        <f>LEFT(base[[#This Row],[Evento / Mercado]],FIND("vs",base[[#This Row],[Evento / Mercado]])-2)</f>
        <v>Olympique Lyonnais</v>
      </c>
      <c r="R4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490" s="132" t="e">
        <f>LEFT(base[[#This Row],[Evento / Mercado]],FIND("/",base[[#This Row],[Evento / Mercado]])-2)</f>
        <v>#VALUE!</v>
      </c>
      <c r="T490" s="8">
        <v>8.57</v>
      </c>
      <c r="U490" s="9">
        <f>T490*0.955</f>
        <v>8.1843500000000002</v>
      </c>
    </row>
    <row r="491" spans="2:21" ht="15" customHeight="1">
      <c r="B491" s="128" t="s">
        <v>396</v>
      </c>
      <c r="C491" s="128" t="s">
        <v>2982</v>
      </c>
      <c r="D491" s="129">
        <v>46040.779062499998</v>
      </c>
      <c r="E491" s="130">
        <v>5.46</v>
      </c>
      <c r="F491" s="131">
        <v>4.4999999999999998E-2</v>
      </c>
      <c r="G491" s="126">
        <f t="shared" si="7"/>
        <v>5.7172774869109952</v>
      </c>
      <c r="H491" s="126" t="s">
        <v>73</v>
      </c>
      <c r="I491" s="127" t="s">
        <v>13</v>
      </c>
      <c r="J491" s="126">
        <v>18</v>
      </c>
      <c r="K491" s="126">
        <v>97.24</v>
      </c>
      <c r="L491" s="129">
        <f>INT(base[[#This Row],[Data de liquidação]])</f>
        <v>46040</v>
      </c>
      <c r="M491" s="126">
        <f>base[[#This Row],[L/P Bruto]]-base[[#This Row],[L/P Líquido]]</f>
        <v>0.25727748691099528</v>
      </c>
      <c r="N491" s="126">
        <f>base[[#This Row],[L/P Líquido]]/base[[#This Row],[Stake/Responsabilidade]]</f>
        <v>5.6149732620320858E-2</v>
      </c>
      <c r="O491" s="132">
        <f>IF(base[[#This Row],[L/P Líquido]]&gt;0,1,0)</f>
        <v>1</v>
      </c>
      <c r="P491" s="132"/>
      <c r="Q491" s="132" t="str">
        <f>LEFT(base[[#This Row],[Evento / Mercado]],FIND("vs",base[[#This Row],[Evento / Mercado]])-2)</f>
        <v>AC Milan</v>
      </c>
      <c r="R4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Lecce</v>
      </c>
      <c r="S491" s="132" t="e">
        <f>LEFT(base[[#This Row],[Evento / Mercado]],FIND("/",base[[#This Row],[Evento / Mercado]])-2)</f>
        <v>#VALUE!</v>
      </c>
    </row>
    <row r="492" spans="2:21" ht="15" customHeight="1">
      <c r="B492" s="128" t="s">
        <v>395</v>
      </c>
      <c r="C492" s="128" t="s">
        <v>2982</v>
      </c>
      <c r="D492" s="129">
        <v>46040.796296296299</v>
      </c>
      <c r="E492" s="130">
        <v>10.61</v>
      </c>
      <c r="F492" s="131">
        <v>4.4999999999999998E-2</v>
      </c>
      <c r="G492" s="126">
        <f t="shared" si="7"/>
        <v>11.109947643979057</v>
      </c>
      <c r="H492" s="126" t="s">
        <v>74</v>
      </c>
      <c r="I492" s="127" t="s">
        <v>541</v>
      </c>
      <c r="J492" s="126">
        <v>14.5</v>
      </c>
      <c r="K492" s="126">
        <v>149.97999999999999</v>
      </c>
      <c r="L492" s="129">
        <f>INT(base[[#This Row],[Data de liquidação]])</f>
        <v>46040</v>
      </c>
      <c r="M492" s="126">
        <f>base[[#This Row],[L/P Bruto]]-base[[#This Row],[L/P Líquido]]</f>
        <v>0.49994764397905733</v>
      </c>
      <c r="N492" s="139">
        <f>base[[#This Row],[L/P Líquido]]/base[[#This Row],[Stake/Responsabilidade]]</f>
        <v>7.0742765702093618E-2</v>
      </c>
      <c r="O492" s="132">
        <f>IF(base[[#This Row],[L/P Líquido]]&gt;0,1,0)</f>
        <v>1</v>
      </c>
      <c r="P492" s="132" t="s">
        <v>964</v>
      </c>
      <c r="Q492" s="132" t="str">
        <f>LEFT(base[[#This Row],[Evento / Mercado]],FIND("vs",base[[#This Row],[Evento / Mercado]])-2)</f>
        <v>Real Sociedad</v>
      </c>
      <c r="R4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492" s="132" t="e">
        <f>LEFT(base[[#This Row],[Evento / Mercado]],FIND("/",base[[#This Row],[Evento / Mercado]])-2)</f>
        <v>#VALUE!</v>
      </c>
    </row>
    <row r="493" spans="2:21" ht="15" customHeight="1">
      <c r="B493" s="128" t="s">
        <v>394</v>
      </c>
      <c r="C493" s="128" t="s">
        <v>2982</v>
      </c>
      <c r="D493" s="129">
        <v>46040.815532407411</v>
      </c>
      <c r="E493" s="130">
        <v>7.16</v>
      </c>
      <c r="F493" s="131">
        <v>4.4999999999999998E-2</v>
      </c>
      <c r="G493" s="126">
        <f t="shared" si="7"/>
        <v>7.4973821989528799</v>
      </c>
      <c r="H493" s="126" t="s">
        <v>74</v>
      </c>
      <c r="I493" s="127" t="s">
        <v>542</v>
      </c>
      <c r="J493" s="126">
        <v>21</v>
      </c>
      <c r="K493" s="126">
        <v>150</v>
      </c>
      <c r="L493" s="129">
        <f>INT(base[[#This Row],[Data de liquidação]])</f>
        <v>46040</v>
      </c>
      <c r="M493" s="126">
        <f>base[[#This Row],[L/P Bruto]]-base[[#This Row],[L/P Líquido]]</f>
        <v>0.3373821989528798</v>
      </c>
      <c r="N493" s="139">
        <f>base[[#This Row],[L/P Líquido]]/base[[#This Row],[Stake/Responsabilidade]]</f>
        <v>4.7733333333333336E-2</v>
      </c>
      <c r="O493" s="132">
        <f>IF(base[[#This Row],[L/P Líquido]]&gt;0,1,0)</f>
        <v>1</v>
      </c>
      <c r="P493" s="132" t="s">
        <v>965</v>
      </c>
      <c r="Q493" s="132" t="str">
        <f>LEFT(base[[#This Row],[Evento / Mercado]],FIND("vs",base[[#This Row],[Evento / Mercado]])-2)</f>
        <v>Vitoria de Guimaraes</v>
      </c>
      <c r="R4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Porto</v>
      </c>
      <c r="S493" s="132" t="e">
        <f>LEFT(base[[#This Row],[Evento / Mercado]],FIND("/",base[[#This Row],[Evento / Mercado]])-2)</f>
        <v>#VALUE!</v>
      </c>
    </row>
    <row r="494" spans="2:21" ht="15" customHeight="1">
      <c r="B494" s="128" t="s">
        <v>457</v>
      </c>
      <c r="C494" s="128" t="s">
        <v>2982</v>
      </c>
      <c r="D494" s="129">
        <v>46042.582650462966</v>
      </c>
      <c r="E494" s="130">
        <v>5.6153999999999993</v>
      </c>
      <c r="F494" s="131">
        <v>4.4999999999999998E-2</v>
      </c>
      <c r="G494" s="126">
        <f t="shared" si="7"/>
        <v>5.88</v>
      </c>
      <c r="H494" s="126" t="s">
        <v>73</v>
      </c>
      <c r="I494" s="127" t="s">
        <v>13</v>
      </c>
      <c r="J494" s="126">
        <v>18</v>
      </c>
      <c r="K494" s="126">
        <v>99.96</v>
      </c>
      <c r="L494" s="129">
        <f>INT(base[[#This Row],[Data de liquidação]])</f>
        <v>46042</v>
      </c>
      <c r="M494" s="126">
        <f>base[[#This Row],[L/P Bruto]]-base[[#This Row],[L/P Líquido]]</f>
        <v>0.26460000000000061</v>
      </c>
      <c r="N494" s="126">
        <f>base[[#This Row],[L/P Líquido]]/base[[#This Row],[Stake/Responsabilidade]]</f>
        <v>5.6176470588235293E-2</v>
      </c>
      <c r="O494" s="132">
        <f>IF(base[[#This Row],[L/P Líquido]]&gt;0,1,0)</f>
        <v>1</v>
      </c>
      <c r="P494" s="132"/>
      <c r="Q494" s="132" t="str">
        <f>LEFT(base[[#This Row],[Evento / Mercado]],FIND("vs",base[[#This Row],[Evento / Mercado]])-2)</f>
        <v>Al-Shabab Riyadh</v>
      </c>
      <c r="R4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Najma Club</v>
      </c>
      <c r="S494" s="132" t="e">
        <f>LEFT(base[[#This Row],[Evento / Mercado]],FIND("/",base[[#This Row],[Evento / Mercado]])-2)</f>
        <v>#VALUE!</v>
      </c>
      <c r="T494" s="8">
        <v>5.88</v>
      </c>
      <c r="U494" s="9">
        <f>T494*0.955</f>
        <v>5.6153999999999993</v>
      </c>
    </row>
    <row r="495" spans="2:21" ht="15" customHeight="1">
      <c r="B495" s="128" t="s">
        <v>457</v>
      </c>
      <c r="C495" s="128" t="s">
        <v>2982</v>
      </c>
      <c r="D495" s="129">
        <v>46042.582650462966</v>
      </c>
      <c r="E495" s="130">
        <v>10.457249999999998</v>
      </c>
      <c r="F495" s="131">
        <v>4.4999999999999998E-2</v>
      </c>
      <c r="G495" s="126">
        <f t="shared" si="7"/>
        <v>10.95</v>
      </c>
      <c r="H495" s="126" t="s">
        <v>73</v>
      </c>
      <c r="I495" s="127" t="s">
        <v>16</v>
      </c>
      <c r="J495" s="126">
        <v>10</v>
      </c>
      <c r="K495" s="126">
        <v>98.55</v>
      </c>
      <c r="L495" s="129">
        <f>INT(base[[#This Row],[Data de liquidação]])</f>
        <v>46042</v>
      </c>
      <c r="M495" s="126">
        <f>base[[#This Row],[L/P Bruto]]-base[[#This Row],[L/P Líquido]]</f>
        <v>0.49275000000000091</v>
      </c>
      <c r="N495" s="126">
        <f>base[[#This Row],[L/P Líquido]]/base[[#This Row],[Stake/Responsabilidade]]</f>
        <v>0.1061111111111111</v>
      </c>
      <c r="O495" s="132">
        <f>IF(base[[#This Row],[L/P Líquido]]&gt;0,1,0)</f>
        <v>1</v>
      </c>
      <c r="P495" s="132"/>
      <c r="Q495" s="132" t="str">
        <f>LEFT(base[[#This Row],[Evento / Mercado]],FIND("vs",base[[#This Row],[Evento / Mercado]])-2)</f>
        <v>Al-Shabab Riyadh</v>
      </c>
      <c r="R4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Najma Club</v>
      </c>
      <c r="S495" s="132" t="e">
        <f>LEFT(base[[#This Row],[Evento / Mercado]],FIND("/",base[[#This Row],[Evento / Mercado]])-2)</f>
        <v>#VALUE!</v>
      </c>
      <c r="T495" s="8">
        <v>10.95</v>
      </c>
      <c r="U495" s="9">
        <f>T495*0.955</f>
        <v>10.457249999999998</v>
      </c>
    </row>
    <row r="496" spans="2:21" ht="15" customHeight="1">
      <c r="B496" s="128" t="s">
        <v>456</v>
      </c>
      <c r="C496" s="128" t="s">
        <v>2982</v>
      </c>
      <c r="D496" s="129">
        <v>46042.597858796296</v>
      </c>
      <c r="E496" s="130">
        <v>9.5500000000000007</v>
      </c>
      <c r="F496" s="131">
        <v>4.4999999999999998E-2</v>
      </c>
      <c r="G496" s="126">
        <f t="shared" si="7"/>
        <v>10.000000000000002</v>
      </c>
      <c r="H496" s="126" t="s">
        <v>73</v>
      </c>
      <c r="I496" s="127" t="s">
        <v>13</v>
      </c>
      <c r="J496" s="126">
        <v>11</v>
      </c>
      <c r="K496" s="126">
        <v>100</v>
      </c>
      <c r="L496" s="129">
        <f>INT(base[[#This Row],[Data de liquidação]])</f>
        <v>46042</v>
      </c>
      <c r="M496" s="126">
        <f>base[[#This Row],[L/P Bruto]]-base[[#This Row],[L/P Líquido]]</f>
        <v>0.45000000000000107</v>
      </c>
      <c r="N496" s="126">
        <f>base[[#This Row],[L/P Líquido]]/base[[#This Row],[Stake/Responsabilidade]]</f>
        <v>9.5500000000000002E-2</v>
      </c>
      <c r="O496" s="132">
        <f>IF(base[[#This Row],[L/P Líquido]]&gt;0,1,0)</f>
        <v>1</v>
      </c>
      <c r="P496" s="132"/>
      <c r="Q496" s="132" t="str">
        <f>LEFT(base[[#This Row],[Evento / Mercado]],FIND("vs",base[[#This Row],[Evento / Mercado]])-2)</f>
        <v>FC Kairat Almaty</v>
      </c>
      <c r="R4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Brugge</v>
      </c>
      <c r="S496" s="132" t="e">
        <f>LEFT(base[[#This Row],[Evento / Mercado]],FIND("/",base[[#This Row],[Evento / Mercado]])-2)</f>
        <v>#VALUE!</v>
      </c>
    </row>
    <row r="497" spans="2:21" ht="15" customHeight="1">
      <c r="B497" s="128" t="s">
        <v>455</v>
      </c>
      <c r="C497" s="128" t="s">
        <v>2982</v>
      </c>
      <c r="D497" s="129">
        <v>46042.660127314812</v>
      </c>
      <c r="E497" s="130">
        <v>37.25</v>
      </c>
      <c r="F497" s="131">
        <v>4.4999999999999998E-2</v>
      </c>
      <c r="G497" s="126">
        <f t="shared" si="7"/>
        <v>39.005235602094245</v>
      </c>
      <c r="H497" s="126" t="s">
        <v>231</v>
      </c>
      <c r="I497" s="127" t="s">
        <v>266</v>
      </c>
      <c r="J497" s="126">
        <v>1.65</v>
      </c>
      <c r="K497" s="126">
        <v>60</v>
      </c>
      <c r="L497" s="129">
        <f>INT(base[[#This Row],[Data de liquidação]])</f>
        <v>46042</v>
      </c>
      <c r="M497" s="126">
        <f>base[[#This Row],[L/P Bruto]]-base[[#This Row],[L/P Líquido]]</f>
        <v>1.7552356020942455</v>
      </c>
      <c r="N497" s="126">
        <f>base[[#This Row],[L/P Líquido]]/base[[#This Row],[Stake/Responsabilidade]]</f>
        <v>0.62083333333333335</v>
      </c>
      <c r="O497" s="132">
        <f>IF(base[[#This Row],[L/P Líquido]]&gt;0,1,0)</f>
        <v>1</v>
      </c>
      <c r="P497" s="132"/>
      <c r="Q497" s="132" t="str">
        <f>LEFT(base[[#This Row],[Evento / Mercado]],FIND("vs",base[[#This Row],[Evento / Mercado]])-2)</f>
        <v>Al Ahli Jeddah</v>
      </c>
      <c r="R4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Al-Khaleej Saihat</v>
      </c>
      <c r="S497" s="132" t="e">
        <f>LEFT(base[[#This Row],[Evento / Mercado]],FIND("/",base[[#This Row],[Evento / Mercado]])-2)</f>
        <v>#VALUE!</v>
      </c>
    </row>
    <row r="498" spans="2:21" ht="15" customHeight="1">
      <c r="B498" s="128" t="s">
        <v>455</v>
      </c>
      <c r="C498" s="128" t="s">
        <v>2982</v>
      </c>
      <c r="D498" s="129">
        <v>46042.684270833335</v>
      </c>
      <c r="E498" s="130">
        <v>9.09</v>
      </c>
      <c r="F498" s="131">
        <v>4.4999999999999998E-2</v>
      </c>
      <c r="G498" s="126">
        <f t="shared" si="7"/>
        <v>9.5183246073298431</v>
      </c>
      <c r="H498" s="126" t="s">
        <v>73</v>
      </c>
      <c r="I498" s="127" t="s">
        <v>16</v>
      </c>
      <c r="J498" s="126">
        <v>11.5</v>
      </c>
      <c r="K498" s="126">
        <v>99.96</v>
      </c>
      <c r="L498" s="129">
        <f>INT(base[[#This Row],[Data de liquidação]])</f>
        <v>46042</v>
      </c>
      <c r="M498" s="126">
        <f>base[[#This Row],[L/P Bruto]]-base[[#This Row],[L/P Líquido]]</f>
        <v>0.42832460732984323</v>
      </c>
      <c r="N498" s="126">
        <f>base[[#This Row],[L/P Líquido]]/base[[#This Row],[Stake/Responsabilidade]]</f>
        <v>9.0936374549819926E-2</v>
      </c>
      <c r="O498" s="132">
        <f>IF(base[[#This Row],[L/P Líquido]]&gt;0,1,0)</f>
        <v>1</v>
      </c>
      <c r="P498" s="132"/>
      <c r="Q498" s="132" t="str">
        <f>LEFT(base[[#This Row],[Evento / Mercado]],FIND("vs",base[[#This Row],[Evento / Mercado]])-2)</f>
        <v>Al Ahli Jeddah</v>
      </c>
      <c r="R4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Al-Khaleej Saihat</v>
      </c>
      <c r="S498" s="132" t="e">
        <f>LEFT(base[[#This Row],[Evento / Mercado]],FIND("/",base[[#This Row],[Evento / Mercado]])-2)</f>
        <v>#VALUE!</v>
      </c>
    </row>
    <row r="499" spans="2:21" ht="15" customHeight="1">
      <c r="B499" s="128" t="s">
        <v>454</v>
      </c>
      <c r="C499" s="128" t="s">
        <v>2982</v>
      </c>
      <c r="D499" s="129">
        <v>46042.691863425927</v>
      </c>
      <c r="E499" s="130">
        <v>-164.99</v>
      </c>
      <c r="F499" s="131">
        <v>4.4999999999999998E-2</v>
      </c>
      <c r="G499" s="126">
        <f t="shared" si="7"/>
        <v>-164.99</v>
      </c>
      <c r="H499" s="126" t="s">
        <v>145</v>
      </c>
      <c r="I499" s="127" t="s">
        <v>300</v>
      </c>
      <c r="J499" s="126">
        <v>8</v>
      </c>
      <c r="K499" s="126">
        <v>164.99</v>
      </c>
      <c r="L499" s="129">
        <f>INT(base[[#This Row],[Data de liquidação]])</f>
        <v>46042</v>
      </c>
      <c r="M499" s="126">
        <f>base[[#This Row],[L/P Bruto]]-base[[#This Row],[L/P Líquido]]</f>
        <v>0</v>
      </c>
      <c r="N499" s="126">
        <f>base[[#This Row],[L/P Líquido]]/base[[#This Row],[Stake/Responsabilidade]]</f>
        <v>-1</v>
      </c>
      <c r="O499" s="132">
        <f>IF(base[[#This Row],[L/P Líquido]]&gt;0,1,0)</f>
        <v>0</v>
      </c>
      <c r="P499" s="132" t="s">
        <v>972</v>
      </c>
      <c r="Q499" s="132" t="str">
        <f>LEFT(base[[#This Row],[Evento / Mercado]],FIND("vs",base[[#This Row],[Evento / Mercado]])-2)</f>
        <v>Bodø/Glimt</v>
      </c>
      <c r="R499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499" s="132" t="str">
        <f>LEFT(base[[#This Row],[Evento / Mercado]],FIND("/",base[[#This Row],[Evento / Mercado]])-2)</f>
        <v>Bod</v>
      </c>
    </row>
    <row r="500" spans="2:21" ht="15" customHeight="1">
      <c r="B500" s="128" t="s">
        <v>453</v>
      </c>
      <c r="C500" s="128" t="s">
        <v>2982</v>
      </c>
      <c r="D500" s="129">
        <v>46042.776006944441</v>
      </c>
      <c r="E500" s="130">
        <v>-59.92</v>
      </c>
      <c r="F500" s="131">
        <v>4.4999999999999998E-2</v>
      </c>
      <c r="G500" s="126">
        <f t="shared" si="7"/>
        <v>-59.92</v>
      </c>
      <c r="H500" s="126" t="s">
        <v>231</v>
      </c>
      <c r="I500" s="127" t="s">
        <v>266</v>
      </c>
      <c r="J500" s="126">
        <v>1.89</v>
      </c>
      <c r="K500" s="126">
        <v>59.92</v>
      </c>
      <c r="L500" s="129">
        <f>INT(base[[#This Row],[Data de liquidação]])</f>
        <v>46042</v>
      </c>
      <c r="M500" s="126">
        <f>base[[#This Row],[L/P Bruto]]-base[[#This Row],[L/P Líquido]]</f>
        <v>0</v>
      </c>
      <c r="N500" s="126">
        <f>base[[#This Row],[L/P Líquido]]/base[[#This Row],[Stake/Responsabilidade]]</f>
        <v>-1</v>
      </c>
      <c r="O500" s="132">
        <f>IF(base[[#This Row],[L/P Líquido]]&gt;0,1,0)</f>
        <v>0</v>
      </c>
      <c r="P500" s="132"/>
      <c r="Q500" s="132" t="str">
        <f>LEFT(base[[#This Row],[Evento / Mercado]],FIND("vs",base[[#This Row],[Evento / Mercado]])-2)</f>
        <v>West Bromwich Albion</v>
      </c>
      <c r="R5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500" s="132" t="e">
        <f>LEFT(base[[#This Row],[Evento / Mercado]],FIND("/",base[[#This Row],[Evento / Mercado]])-2)</f>
        <v>#VALUE!</v>
      </c>
    </row>
    <row r="501" spans="2:21" ht="15" customHeight="1">
      <c r="B501" s="128" t="s">
        <v>452</v>
      </c>
      <c r="C501" s="128" t="s">
        <v>2982</v>
      </c>
      <c r="D501" s="129">
        <v>46042.777719907404</v>
      </c>
      <c r="E501" s="130">
        <v>5.97</v>
      </c>
      <c r="F501" s="131">
        <v>4.4999999999999998E-2</v>
      </c>
      <c r="G501" s="126">
        <f t="shared" si="7"/>
        <v>6.2513089005235605</v>
      </c>
      <c r="H501" s="126" t="s">
        <v>73</v>
      </c>
      <c r="I501" s="127" t="s">
        <v>13</v>
      </c>
      <c r="J501" s="126">
        <v>17</v>
      </c>
      <c r="K501" s="126">
        <v>100</v>
      </c>
      <c r="L501" s="129">
        <f>INT(base[[#This Row],[Data de liquidação]])</f>
        <v>46042</v>
      </c>
      <c r="M501" s="126">
        <f>base[[#This Row],[L/P Bruto]]-base[[#This Row],[L/P Líquido]]</f>
        <v>0.28130890052356072</v>
      </c>
      <c r="N501" s="126">
        <f>base[[#This Row],[L/P Líquido]]/base[[#This Row],[Stake/Responsabilidade]]</f>
        <v>5.9699999999999996E-2</v>
      </c>
      <c r="O501" s="132">
        <f>IF(base[[#This Row],[L/P Líquido]]&gt;0,1,0)</f>
        <v>1</v>
      </c>
      <c r="P501" s="132"/>
      <c r="Q501" s="132" t="str">
        <f>LEFT(base[[#This Row],[Evento / Mercado]],FIND("vs",base[[#This Row],[Evento / Mercado]])-2)</f>
        <v>Ipswich Town</v>
      </c>
      <c r="R5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Bristol City</v>
      </c>
      <c r="S501" s="132" t="e">
        <f>LEFT(base[[#This Row],[Evento / Mercado]],FIND("/",base[[#This Row],[Evento / Mercado]])-2)</f>
        <v>#VALUE!</v>
      </c>
    </row>
    <row r="502" spans="2:21" ht="15" customHeight="1">
      <c r="B502" s="128" t="s">
        <v>451</v>
      </c>
      <c r="C502" s="128" t="s">
        <v>2982</v>
      </c>
      <c r="D502" s="129">
        <v>46042.78052083333</v>
      </c>
      <c r="E502" s="130">
        <v>-60</v>
      </c>
      <c r="F502" s="131">
        <v>4.4999999999999998E-2</v>
      </c>
      <c r="G502" s="126">
        <f t="shared" si="7"/>
        <v>-60</v>
      </c>
      <c r="H502" s="126" t="s">
        <v>231</v>
      </c>
      <c r="I502" s="127" t="s">
        <v>266</v>
      </c>
      <c r="J502" s="126">
        <v>1.93</v>
      </c>
      <c r="K502" s="126">
        <v>60</v>
      </c>
      <c r="L502" s="129">
        <f>INT(base[[#This Row],[Data de liquidação]])</f>
        <v>46042</v>
      </c>
      <c r="M502" s="126">
        <f>base[[#This Row],[L/P Bruto]]-base[[#This Row],[L/P Líquido]]</f>
        <v>0</v>
      </c>
      <c r="N502" s="126">
        <f>base[[#This Row],[L/P Líquido]]/base[[#This Row],[Stake/Responsabilidade]]</f>
        <v>-1</v>
      </c>
      <c r="O502" s="132">
        <f>IF(base[[#This Row],[L/P Líquido]]&gt;0,1,0)</f>
        <v>0</v>
      </c>
      <c r="P502" s="132"/>
      <c r="Q502" s="132" t="str">
        <f>LEFT(base[[#This Row],[Evento / Mercado]],FIND("vs",base[[#This Row],[Evento / Mercado]])-2)</f>
        <v>Preston North End</v>
      </c>
      <c r="R5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Hull City</v>
      </c>
      <c r="S502" s="132" t="e">
        <f>LEFT(base[[#This Row],[Evento / Mercado]],FIND("/",base[[#This Row],[Evento / Mercado]])-2)</f>
        <v>#VALUE!</v>
      </c>
    </row>
    <row r="503" spans="2:21" ht="15" customHeight="1">
      <c r="B503" s="128" t="s">
        <v>450</v>
      </c>
      <c r="C503" s="128" t="s">
        <v>2982</v>
      </c>
      <c r="D503" s="129">
        <v>46042.787430555552</v>
      </c>
      <c r="E503" s="130">
        <v>11.94</v>
      </c>
      <c r="F503" s="131">
        <v>4.4999999999999998E-2</v>
      </c>
      <c r="G503" s="126">
        <f t="shared" si="7"/>
        <v>12.502617801047121</v>
      </c>
      <c r="H503" s="126" t="s">
        <v>74</v>
      </c>
      <c r="I503" s="127" t="s">
        <v>541</v>
      </c>
      <c r="J503" s="126">
        <v>13</v>
      </c>
      <c r="K503" s="126">
        <v>150</v>
      </c>
      <c r="L503" s="129">
        <f>INT(base[[#This Row],[Data de liquidação]])</f>
        <v>46042</v>
      </c>
      <c r="M503" s="126">
        <f>base[[#This Row],[L/P Bruto]]-base[[#This Row],[L/P Líquido]]</f>
        <v>0.56261780104712145</v>
      </c>
      <c r="N503" s="139">
        <f>base[[#This Row],[L/P Líquido]]/base[[#This Row],[Stake/Responsabilidade]]</f>
        <v>7.959999999999999E-2</v>
      </c>
      <c r="O503" s="132">
        <f>IF(base[[#This Row],[L/P Líquido]]&gt;0,1,0)</f>
        <v>1</v>
      </c>
      <c r="P503" s="132" t="s">
        <v>972</v>
      </c>
      <c r="Q503" s="132" t="str">
        <f>LEFT(base[[#This Row],[Evento / Mercado]],FIND("vs",base[[#This Row],[Evento / Mercado]])-2)</f>
        <v>Tottenham Hotspur</v>
      </c>
      <c r="R5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503" s="132" t="e">
        <f>LEFT(base[[#This Row],[Evento / Mercado]],FIND("/",base[[#This Row],[Evento / Mercado]])-2)</f>
        <v>#VALUE!</v>
      </c>
    </row>
    <row r="504" spans="2:21" ht="15" customHeight="1">
      <c r="B504" s="128" t="s">
        <v>450</v>
      </c>
      <c r="C504" s="128" t="s">
        <v>2982</v>
      </c>
      <c r="D504" s="129">
        <v>46042.787534722222</v>
      </c>
      <c r="E504" s="130">
        <v>-60</v>
      </c>
      <c r="F504" s="131">
        <v>4.4999999999999998E-2</v>
      </c>
      <c r="G504" s="126">
        <f t="shared" si="7"/>
        <v>-60</v>
      </c>
      <c r="H504" s="126" t="s">
        <v>231</v>
      </c>
      <c r="I504" s="127" t="s">
        <v>232</v>
      </c>
      <c r="J504" s="126">
        <v>1.71</v>
      </c>
      <c r="K504" s="126">
        <v>60</v>
      </c>
      <c r="L504" s="129">
        <f>INT(base[[#This Row],[Data de liquidação]])</f>
        <v>46042</v>
      </c>
      <c r="M504" s="126">
        <f>base[[#This Row],[L/P Bruto]]-base[[#This Row],[L/P Líquido]]</f>
        <v>0</v>
      </c>
      <c r="N504" s="126">
        <f>base[[#This Row],[L/P Líquido]]/base[[#This Row],[Stake/Responsabilidade]]</f>
        <v>-1</v>
      </c>
      <c r="O504" s="132">
        <f>IF(base[[#This Row],[L/P Líquido]]&gt;0,1,0)</f>
        <v>0</v>
      </c>
      <c r="P504" s="132"/>
      <c r="Q504" s="132" t="str">
        <f>LEFT(base[[#This Row],[Evento / Mercado]],FIND("vs",base[[#This Row],[Evento / Mercado]])-2)</f>
        <v>Tottenham Hotspur</v>
      </c>
      <c r="R5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504" s="132" t="e">
        <f>LEFT(base[[#This Row],[Evento / Mercado]],FIND("/",base[[#This Row],[Evento / Mercado]])-2)</f>
        <v>#VALUE!</v>
      </c>
    </row>
    <row r="505" spans="2:21" ht="15" customHeight="1">
      <c r="B505" s="128" t="s">
        <v>449</v>
      </c>
      <c r="C505" s="128" t="s">
        <v>2982</v>
      </c>
      <c r="D505" s="129">
        <v>46042.788194444445</v>
      </c>
      <c r="E505" s="130">
        <v>6.5895000000000001</v>
      </c>
      <c r="F505" s="131">
        <v>4.4999999999999998E-2</v>
      </c>
      <c r="G505" s="126">
        <f t="shared" si="7"/>
        <v>6.9</v>
      </c>
      <c r="H505" s="126" t="s">
        <v>73</v>
      </c>
      <c r="I505" s="127" t="s">
        <v>16</v>
      </c>
      <c r="J505" s="126">
        <v>15.5</v>
      </c>
      <c r="K505" s="126">
        <v>100.05</v>
      </c>
      <c r="L505" s="129">
        <f>INT(base[[#This Row],[Data de liquidação]])</f>
        <v>46042</v>
      </c>
      <c r="M505" s="126">
        <f>base[[#This Row],[L/P Bruto]]-base[[#This Row],[L/P Líquido]]</f>
        <v>0.31050000000000022</v>
      </c>
      <c r="N505" s="126">
        <f>base[[#This Row],[L/P Líquido]]/base[[#This Row],[Stake/Responsabilidade]]</f>
        <v>6.5862068965517245E-2</v>
      </c>
      <c r="O505" s="132">
        <f>IF(base[[#This Row],[L/P Líquido]]&gt;0,1,0)</f>
        <v>1</v>
      </c>
      <c r="P505" s="132"/>
      <c r="Q505" s="132" t="str">
        <f>LEFT(base[[#This Row],[Evento / Mercado]],FIND("vs",base[[#This Row],[Evento / Mercado]])-2)</f>
        <v>Villarreal</v>
      </c>
      <c r="R5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505" s="132" t="e">
        <f>LEFT(base[[#This Row],[Evento / Mercado]],FIND("/",base[[#This Row],[Evento / Mercado]])-2)</f>
        <v>#VALUE!</v>
      </c>
      <c r="T505" s="8">
        <v>6.9</v>
      </c>
      <c r="U505" s="9">
        <f>T505*0.955</f>
        <v>6.5895000000000001</v>
      </c>
    </row>
    <row r="506" spans="2:21" ht="15" customHeight="1">
      <c r="B506" s="128" t="s">
        <v>449</v>
      </c>
      <c r="C506" s="128" t="s">
        <v>2982</v>
      </c>
      <c r="D506" s="129">
        <v>46042.788194444445</v>
      </c>
      <c r="E506" s="130">
        <v>5.6153999999999993</v>
      </c>
      <c r="F506" s="131">
        <v>4.4999999999999998E-2</v>
      </c>
      <c r="G506" s="126">
        <f t="shared" si="7"/>
        <v>5.88</v>
      </c>
      <c r="H506" s="126" t="s">
        <v>73</v>
      </c>
      <c r="I506" s="127" t="s">
        <v>13</v>
      </c>
      <c r="J506" s="126">
        <v>18</v>
      </c>
      <c r="K506" s="126">
        <v>99.96</v>
      </c>
      <c r="L506" s="129">
        <f>INT(base[[#This Row],[Data de liquidação]])</f>
        <v>46042</v>
      </c>
      <c r="M506" s="126">
        <f>base[[#This Row],[L/P Bruto]]-base[[#This Row],[L/P Líquido]]</f>
        <v>0.26460000000000061</v>
      </c>
      <c r="N506" s="126">
        <f>base[[#This Row],[L/P Líquido]]/base[[#This Row],[Stake/Responsabilidade]]</f>
        <v>5.6176470588235293E-2</v>
      </c>
      <c r="O506" s="132">
        <f>IF(base[[#This Row],[L/P Líquido]]&gt;0,1,0)</f>
        <v>1</v>
      </c>
      <c r="P506" s="132"/>
      <c r="Q506" s="132" t="str">
        <f>LEFT(base[[#This Row],[Evento / Mercado]],FIND("vs",base[[#This Row],[Evento / Mercado]])-2)</f>
        <v>Villarreal</v>
      </c>
      <c r="R5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506" s="132" t="e">
        <f>LEFT(base[[#This Row],[Evento / Mercado]],FIND("/",base[[#This Row],[Evento / Mercado]])-2)</f>
        <v>#VALUE!</v>
      </c>
      <c r="T506" s="8">
        <v>5.88</v>
      </c>
      <c r="U506" s="9">
        <f>T506*0.955</f>
        <v>5.6153999999999993</v>
      </c>
    </row>
    <row r="507" spans="2:21" ht="15" customHeight="1">
      <c r="B507" s="128" t="s">
        <v>448</v>
      </c>
      <c r="C507" s="128" t="s">
        <v>2982</v>
      </c>
      <c r="D507" s="129">
        <v>46042.788807870369</v>
      </c>
      <c r="E507" s="130">
        <v>-60</v>
      </c>
      <c r="F507" s="131">
        <v>4.4999999999999998E-2</v>
      </c>
      <c r="G507" s="126">
        <f t="shared" si="7"/>
        <v>-60</v>
      </c>
      <c r="H507" s="126" t="s">
        <v>231</v>
      </c>
      <c r="I507" s="127" t="s">
        <v>232</v>
      </c>
      <c r="J507" s="126">
        <v>1.91</v>
      </c>
      <c r="K507" s="126">
        <v>60</v>
      </c>
      <c r="L507" s="129">
        <f>INT(base[[#This Row],[Data de liquidação]])</f>
        <v>46042</v>
      </c>
      <c r="M507" s="126">
        <f>base[[#This Row],[L/P Bruto]]-base[[#This Row],[L/P Líquido]]</f>
        <v>0</v>
      </c>
      <c r="N507" s="126">
        <f>base[[#This Row],[L/P Líquido]]/base[[#This Row],[Stake/Responsabilidade]]</f>
        <v>-1</v>
      </c>
      <c r="O507" s="132">
        <f>IF(base[[#This Row],[L/P Líquido]]&gt;0,1,0)</f>
        <v>0</v>
      </c>
      <c r="P507" s="132"/>
      <c r="Q507" s="132" t="str">
        <f>LEFT(base[[#This Row],[Evento / Mercado]],FIND("vs",base[[#This Row],[Evento / Mercado]])-2)</f>
        <v>Wrexham</v>
      </c>
      <c r="R5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Leicester City</v>
      </c>
      <c r="S507" s="132" t="e">
        <f>LEFT(base[[#This Row],[Evento / Mercado]],FIND("/",base[[#This Row],[Evento / Mercado]])-2)</f>
        <v>#VALUE!</v>
      </c>
    </row>
    <row r="508" spans="2:21" ht="15" customHeight="1">
      <c r="B508" s="128" t="s">
        <v>447</v>
      </c>
      <c r="C508" s="128" t="s">
        <v>2982</v>
      </c>
      <c r="D508" s="129">
        <v>46042.789594907408</v>
      </c>
      <c r="E508" s="130">
        <v>11.46</v>
      </c>
      <c r="F508" s="131">
        <v>4.4999999999999998E-2</v>
      </c>
      <c r="G508" s="126">
        <f t="shared" si="7"/>
        <v>12.000000000000002</v>
      </c>
      <c r="H508" s="126" t="s">
        <v>74</v>
      </c>
      <c r="I508" s="127" t="s">
        <v>541</v>
      </c>
      <c r="J508" s="126">
        <v>13.5</v>
      </c>
      <c r="K508" s="126">
        <v>150</v>
      </c>
      <c r="L508" s="129">
        <f>INT(base[[#This Row],[Data de liquidação]])</f>
        <v>46042</v>
      </c>
      <c r="M508" s="126">
        <f>base[[#This Row],[L/P Bruto]]-base[[#This Row],[L/P Líquido]]</f>
        <v>0.54000000000000092</v>
      </c>
      <c r="N508" s="139">
        <f>base[[#This Row],[L/P Líquido]]/base[[#This Row],[Stake/Responsabilidade]]</f>
        <v>7.640000000000001E-2</v>
      </c>
      <c r="O508" s="132">
        <f>IF(base[[#This Row],[L/P Líquido]]&gt;0,1,0)</f>
        <v>1</v>
      </c>
      <c r="P508" s="132" t="s">
        <v>972</v>
      </c>
      <c r="Q508" s="132" t="str">
        <f>LEFT(base[[#This Row],[Evento / Mercado]],FIND("vs",base[[#This Row],[Evento / Mercado]])-2)</f>
        <v>Sporting CP</v>
      </c>
      <c r="R5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508" s="132" t="e">
        <f>LEFT(base[[#This Row],[Evento / Mercado]],FIND("/",base[[#This Row],[Evento / Mercado]])-2)</f>
        <v>#VALUE!</v>
      </c>
    </row>
    <row r="509" spans="2:21" ht="15" customHeight="1">
      <c r="B509" s="128" t="s">
        <v>469</v>
      </c>
      <c r="C509" s="128" t="s">
        <v>2982</v>
      </c>
      <c r="D509" s="129">
        <v>46043.682916666665</v>
      </c>
      <c r="E509" s="130">
        <v>35.53</v>
      </c>
      <c r="F509" s="131">
        <v>4.4999999999999998E-2</v>
      </c>
      <c r="G509" s="126">
        <f t="shared" si="7"/>
        <v>37.204188481675395</v>
      </c>
      <c r="H509" s="126" t="s">
        <v>231</v>
      </c>
      <c r="I509" s="127" t="s">
        <v>232</v>
      </c>
      <c r="J509" s="126">
        <v>1.62</v>
      </c>
      <c r="K509" s="126">
        <v>60</v>
      </c>
      <c r="L509" s="129">
        <f>INT(base[[#This Row],[Data de liquidação]])</f>
        <v>46043</v>
      </c>
      <c r="M509" s="126">
        <f>base[[#This Row],[L/P Bruto]]-base[[#This Row],[L/P Líquido]]</f>
        <v>1.6741884816753938</v>
      </c>
      <c r="N509" s="126">
        <f>base[[#This Row],[L/P Líquido]]/base[[#This Row],[Stake/Responsabilidade]]</f>
        <v>0.59216666666666673</v>
      </c>
      <c r="O509" s="132">
        <f>IF(base[[#This Row],[L/P Líquido]]&gt;0,1,0)</f>
        <v>1</v>
      </c>
      <c r="P509" s="132"/>
      <c r="Q509" s="132" t="str">
        <f>LEFT(base[[#This Row],[Evento / Mercado]],FIND("vs",base[[#This Row],[Evento / Mercado]])-2)</f>
        <v>FK Qarabag</v>
      </c>
      <c r="R5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509" s="132" t="e">
        <f>LEFT(base[[#This Row],[Evento / Mercado]],FIND("/",base[[#This Row],[Evento / Mercado]])-2)</f>
        <v>#VALUE!</v>
      </c>
    </row>
    <row r="510" spans="2:21" ht="15" customHeight="1">
      <c r="B510" s="128" t="s">
        <v>468</v>
      </c>
      <c r="C510" s="128" t="s">
        <v>2982</v>
      </c>
      <c r="D510" s="129">
        <v>46043.684166666666</v>
      </c>
      <c r="E510" s="130">
        <v>-60</v>
      </c>
      <c r="F510" s="131">
        <v>4.4999999999999998E-2</v>
      </c>
      <c r="G510" s="126">
        <f t="shared" si="7"/>
        <v>-60</v>
      </c>
      <c r="H510" s="126" t="s">
        <v>231</v>
      </c>
      <c r="I510" s="127" t="s">
        <v>266</v>
      </c>
      <c r="J510" s="126">
        <v>1.66</v>
      </c>
      <c r="K510" s="126">
        <v>60</v>
      </c>
      <c r="L510" s="129">
        <f>INT(base[[#This Row],[Data de liquidação]])</f>
        <v>46043</v>
      </c>
      <c r="M510" s="126">
        <f>base[[#This Row],[L/P Bruto]]-base[[#This Row],[L/P Líquido]]</f>
        <v>0</v>
      </c>
      <c r="N510" s="126">
        <f>base[[#This Row],[L/P Líquido]]/base[[#This Row],[Stake/Responsabilidade]]</f>
        <v>-1</v>
      </c>
      <c r="O510" s="132">
        <f>IF(base[[#This Row],[L/P Líquido]]&gt;0,1,0)</f>
        <v>0</v>
      </c>
      <c r="P510" s="132"/>
      <c r="Q510" s="132" t="str">
        <f>LEFT(base[[#This Row],[Evento / Mercado]],FIND("vs",base[[#This Row],[Evento / Mercado]])-2)</f>
        <v>Al-Ettifaq</v>
      </c>
      <c r="R5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510" s="132" t="e">
        <f>LEFT(base[[#This Row],[Evento / Mercado]],FIND("/",base[[#This Row],[Evento / Mercado]])-2)</f>
        <v>#VALUE!</v>
      </c>
    </row>
    <row r="511" spans="2:21" ht="15" customHeight="1">
      <c r="B511" s="128" t="s">
        <v>467</v>
      </c>
      <c r="C511" s="128" t="s">
        <v>2982</v>
      </c>
      <c r="D511" s="129">
        <v>46043.693043981482</v>
      </c>
      <c r="E511" s="130">
        <v>5.44</v>
      </c>
      <c r="F511" s="131">
        <v>4.4999999999999998E-2</v>
      </c>
      <c r="G511" s="126">
        <f t="shared" si="7"/>
        <v>5.6963350785340321</v>
      </c>
      <c r="H511" s="126" t="s">
        <v>73</v>
      </c>
      <c r="I511" s="127" t="s">
        <v>13</v>
      </c>
      <c r="J511" s="126">
        <v>18</v>
      </c>
      <c r="K511" s="126">
        <v>96.85</v>
      </c>
      <c r="L511" s="129">
        <f>INT(base[[#This Row],[Data de liquidação]])</f>
        <v>46043</v>
      </c>
      <c r="M511" s="126">
        <f>base[[#This Row],[L/P Bruto]]-base[[#This Row],[L/P Líquido]]</f>
        <v>0.2563350785340317</v>
      </c>
      <c r="N511" s="126">
        <f>base[[#This Row],[L/P Líquido]]/base[[#This Row],[Stake/Responsabilidade]]</f>
        <v>5.6169334021683025E-2</v>
      </c>
      <c r="O511" s="132">
        <f>IF(base[[#This Row],[L/P Líquido]]&gt;0,1,0)</f>
        <v>1</v>
      </c>
      <c r="P511" s="132"/>
      <c r="Q511" s="132" t="str">
        <f>LEFT(base[[#This Row],[Evento / Mercado]],FIND("vs",base[[#This Row],[Evento / Mercado]])-2)</f>
        <v>AZ Alkmaar</v>
      </c>
      <c r="R5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511" s="132" t="e">
        <f>LEFT(base[[#This Row],[Evento / Mercado]],FIND("/",base[[#This Row],[Evento / Mercado]])-2)</f>
        <v>#VALUE!</v>
      </c>
    </row>
    <row r="512" spans="2:21" ht="15" customHeight="1">
      <c r="B512" s="128" t="s">
        <v>466</v>
      </c>
      <c r="C512" s="128" t="s">
        <v>2982</v>
      </c>
      <c r="D512" s="129">
        <v>46043.776620370372</v>
      </c>
      <c r="E512" s="130">
        <v>-60</v>
      </c>
      <c r="F512" s="131">
        <v>4.4999999999999998E-2</v>
      </c>
      <c r="G512" s="126">
        <f t="shared" si="7"/>
        <v>-60</v>
      </c>
      <c r="H512" s="126" t="s">
        <v>231</v>
      </c>
      <c r="I512" s="127" t="s">
        <v>232</v>
      </c>
      <c r="J512" s="126">
        <v>1.79</v>
      </c>
      <c r="K512" s="126">
        <v>60</v>
      </c>
      <c r="L512" s="129">
        <f>INT(base[[#This Row],[Data de liquidação]])</f>
        <v>46043</v>
      </c>
      <c r="M512" s="126">
        <f>base[[#This Row],[L/P Bruto]]-base[[#This Row],[L/P Líquido]]</f>
        <v>0</v>
      </c>
      <c r="N512" s="126">
        <f>base[[#This Row],[L/P Líquido]]/base[[#This Row],[Stake/Responsabilidade]]</f>
        <v>-1</v>
      </c>
      <c r="O512" s="132">
        <f>IF(base[[#This Row],[L/P Líquido]]&gt;0,1,0)</f>
        <v>0</v>
      </c>
      <c r="P512" s="132"/>
      <c r="Q512" s="132" t="str">
        <f>LEFT(base[[#This Row],[Evento / Mercado]],FIND("vs",base[[#This Row],[Evento / Mercado]])-2)</f>
        <v>Southampton</v>
      </c>
      <c r="R5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United</v>
      </c>
      <c r="S512" s="132" t="e">
        <f>LEFT(base[[#This Row],[Evento / Mercado]],FIND("/",base[[#This Row],[Evento / Mercado]])-2)</f>
        <v>#VALUE!</v>
      </c>
    </row>
    <row r="513" spans="2:21" ht="15" customHeight="1">
      <c r="B513" s="128" t="s">
        <v>465</v>
      </c>
      <c r="C513" s="128" t="s">
        <v>2982</v>
      </c>
      <c r="D513" s="129">
        <v>46043.780856481484</v>
      </c>
      <c r="E513" s="130">
        <v>13.646949999999999</v>
      </c>
      <c r="F513" s="131">
        <v>4.4999999999999998E-2</v>
      </c>
      <c r="G513" s="126">
        <f t="shared" si="7"/>
        <v>14.29</v>
      </c>
      <c r="H513" s="126" t="s">
        <v>73</v>
      </c>
      <c r="I513" s="127" t="s">
        <v>16</v>
      </c>
      <c r="J513" s="126">
        <v>8</v>
      </c>
      <c r="K513" s="126">
        <v>100.03</v>
      </c>
      <c r="L513" s="129">
        <f>INT(base[[#This Row],[Data de liquidação]])</f>
        <v>46043</v>
      </c>
      <c r="M513" s="126">
        <f>base[[#This Row],[L/P Bruto]]-base[[#This Row],[L/P Líquido]]</f>
        <v>0.64305000000000057</v>
      </c>
      <c r="N513" s="126">
        <f>base[[#This Row],[L/P Líquido]]/base[[#This Row],[Stake/Responsabilidade]]</f>
        <v>0.1364285714285714</v>
      </c>
      <c r="O513" s="132">
        <f>IF(base[[#This Row],[L/P Líquido]]&gt;0,1,0)</f>
        <v>1</v>
      </c>
      <c r="P513" s="132"/>
      <c r="Q513" s="132" t="str">
        <f>LEFT(base[[#This Row],[Evento / Mercado]],FIND("vs",base[[#This Row],[Evento / Mercado]])-2)</f>
        <v>Watford</v>
      </c>
      <c r="R5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Portsmouth</v>
      </c>
      <c r="S513" s="132" t="e">
        <f>LEFT(base[[#This Row],[Evento / Mercado]],FIND("/",base[[#This Row],[Evento / Mercado]])-2)</f>
        <v>#VALUE!</v>
      </c>
      <c r="T513" s="8">
        <v>14.29</v>
      </c>
      <c r="U513" s="9">
        <f t="shared" ref="U513:U518" si="8">T513*0.955</f>
        <v>13.646949999999999</v>
      </c>
    </row>
    <row r="514" spans="2:21" ht="15" customHeight="1">
      <c r="B514" s="128" t="s">
        <v>465</v>
      </c>
      <c r="C514" s="128" t="s">
        <v>2982</v>
      </c>
      <c r="D514" s="129">
        <v>46043.780856481484</v>
      </c>
      <c r="E514" s="130">
        <v>6.1597499999999998</v>
      </c>
      <c r="F514" s="131">
        <v>4.4999999999999998E-2</v>
      </c>
      <c r="G514" s="126">
        <f t="shared" si="7"/>
        <v>6.45</v>
      </c>
      <c r="H514" s="126" t="s">
        <v>73</v>
      </c>
      <c r="I514" s="127" t="s">
        <v>13</v>
      </c>
      <c r="J514" s="126">
        <v>16.5</v>
      </c>
      <c r="K514" s="126">
        <v>99.98</v>
      </c>
      <c r="L514" s="129">
        <f>INT(base[[#This Row],[Data de liquidação]])</f>
        <v>46043</v>
      </c>
      <c r="M514" s="126">
        <f>base[[#This Row],[L/P Bruto]]-base[[#This Row],[L/P Líquido]]</f>
        <v>0.29025000000000034</v>
      </c>
      <c r="N514" s="126">
        <f>base[[#This Row],[L/P Líquido]]/base[[#This Row],[Stake/Responsabilidade]]</f>
        <v>6.1609821964392873E-2</v>
      </c>
      <c r="O514" s="132">
        <f>IF(base[[#This Row],[L/P Líquido]]&gt;0,1,0)</f>
        <v>1</v>
      </c>
      <c r="P514" s="132"/>
      <c r="Q514" s="132" t="str">
        <f>LEFT(base[[#This Row],[Evento / Mercado]],FIND("vs",base[[#This Row],[Evento / Mercado]])-2)</f>
        <v>Watford</v>
      </c>
      <c r="R5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Portsmouth</v>
      </c>
      <c r="S514" s="132" t="e">
        <f>LEFT(base[[#This Row],[Evento / Mercado]],FIND("/",base[[#This Row],[Evento / Mercado]])-2)</f>
        <v>#VALUE!</v>
      </c>
      <c r="T514" s="8">
        <v>6.45</v>
      </c>
      <c r="U514" s="9">
        <f t="shared" si="8"/>
        <v>6.1597499999999998</v>
      </c>
    </row>
    <row r="515" spans="2:21" ht="15" customHeight="1">
      <c r="B515" s="128" t="s">
        <v>464</v>
      </c>
      <c r="C515" s="128" t="s">
        <v>2982</v>
      </c>
      <c r="D515" s="129">
        <v>46043.786006944443</v>
      </c>
      <c r="E515" s="130">
        <v>6.3698499999999996</v>
      </c>
      <c r="F515" s="131">
        <v>4.4999999999999998E-2</v>
      </c>
      <c r="G515" s="126">
        <f t="shared" ref="G515:G578" si="9">IF(E515&gt;0,E515/(1-F515),E515)</f>
        <v>6.67</v>
      </c>
      <c r="H515" s="126" t="s">
        <v>73</v>
      </c>
      <c r="I515" s="127" t="s">
        <v>13</v>
      </c>
      <c r="J515" s="126">
        <v>16</v>
      </c>
      <c r="K515" s="126">
        <v>100.05</v>
      </c>
      <c r="L515" s="129">
        <f>INT(base[[#This Row],[Data de liquidação]])</f>
        <v>46043</v>
      </c>
      <c r="M515" s="126">
        <f>base[[#This Row],[L/P Bruto]]-base[[#This Row],[L/P Líquido]]</f>
        <v>0.30015000000000036</v>
      </c>
      <c r="N515" s="126">
        <f>base[[#This Row],[L/P Líquido]]/base[[#This Row],[Stake/Responsabilidade]]</f>
        <v>6.3666666666666663E-2</v>
      </c>
      <c r="O515" s="132">
        <f>IF(base[[#This Row],[L/P Líquido]]&gt;0,1,0)</f>
        <v>1</v>
      </c>
      <c r="P515" s="132"/>
      <c r="Q515" s="132" t="str">
        <f>LEFT(base[[#This Row],[Evento / Mercado]],FIND("vs",base[[#This Row],[Evento / Mercado]])-2)</f>
        <v>Atalanta</v>
      </c>
      <c r="R5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Bilbao</v>
      </c>
      <c r="S515" s="132" t="e">
        <f>LEFT(base[[#This Row],[Evento / Mercado]],FIND("/",base[[#This Row],[Evento / Mercado]])-2)</f>
        <v>#VALUE!</v>
      </c>
      <c r="T515" s="8">
        <v>6.67</v>
      </c>
      <c r="U515" s="9">
        <f t="shared" si="8"/>
        <v>6.3698499999999996</v>
      </c>
    </row>
    <row r="516" spans="2:21" ht="15" customHeight="1">
      <c r="B516" s="128" t="s">
        <v>464</v>
      </c>
      <c r="C516" s="128" t="s">
        <v>2982</v>
      </c>
      <c r="D516" s="129">
        <v>46043.786006944443</v>
      </c>
      <c r="E516" s="130">
        <v>13.264950000000001</v>
      </c>
      <c r="F516" s="131">
        <v>4.4999999999999998E-2</v>
      </c>
      <c r="G516" s="126">
        <f t="shared" si="9"/>
        <v>13.89</v>
      </c>
      <c r="H516" s="126" t="s">
        <v>73</v>
      </c>
      <c r="I516" s="127" t="s">
        <v>16</v>
      </c>
      <c r="J516" s="126">
        <v>8.1999999999999993</v>
      </c>
      <c r="K516" s="126">
        <v>100.01</v>
      </c>
      <c r="L516" s="129">
        <f>INT(base[[#This Row],[Data de liquidação]])</f>
        <v>46043</v>
      </c>
      <c r="M516" s="126">
        <f>base[[#This Row],[L/P Bruto]]-base[[#This Row],[L/P Líquido]]</f>
        <v>0.62504999999999988</v>
      </c>
      <c r="N516" s="126">
        <f>base[[#This Row],[L/P Líquido]]/base[[#This Row],[Stake/Responsabilidade]]</f>
        <v>0.13263623637636238</v>
      </c>
      <c r="O516" s="132">
        <f>IF(base[[#This Row],[L/P Líquido]]&gt;0,1,0)</f>
        <v>1</v>
      </c>
      <c r="P516" s="132"/>
      <c r="Q516" s="132" t="str">
        <f>LEFT(base[[#This Row],[Evento / Mercado]],FIND("vs",base[[#This Row],[Evento / Mercado]])-2)</f>
        <v>Atalanta</v>
      </c>
      <c r="R5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Bilbao</v>
      </c>
      <c r="S516" s="132" t="e">
        <f>LEFT(base[[#This Row],[Evento / Mercado]],FIND("/",base[[#This Row],[Evento / Mercado]])-2)</f>
        <v>#VALUE!</v>
      </c>
      <c r="T516" s="8">
        <v>13.89</v>
      </c>
      <c r="U516" s="9">
        <f t="shared" si="8"/>
        <v>13.264950000000001</v>
      </c>
    </row>
    <row r="517" spans="2:21" ht="15" customHeight="1">
      <c r="B517" s="128" t="s">
        <v>463</v>
      </c>
      <c r="C517" s="128" t="s">
        <v>2982</v>
      </c>
      <c r="D517" s="129">
        <v>46043.786249999997</v>
      </c>
      <c r="E517" s="130">
        <v>6.3698499999999996</v>
      </c>
      <c r="F517" s="131">
        <v>4.4999999999999998E-2</v>
      </c>
      <c r="G517" s="126">
        <f t="shared" si="9"/>
        <v>6.67</v>
      </c>
      <c r="H517" s="126" t="s">
        <v>73</v>
      </c>
      <c r="I517" s="127" t="s">
        <v>13</v>
      </c>
      <c r="J517" s="126">
        <v>16</v>
      </c>
      <c r="K517" s="126">
        <v>100.05</v>
      </c>
      <c r="L517" s="129">
        <f>INT(base[[#This Row],[Data de liquidação]])</f>
        <v>46043</v>
      </c>
      <c r="M517" s="126">
        <f>base[[#This Row],[L/P Bruto]]-base[[#This Row],[L/P Líquido]]</f>
        <v>0.30015000000000036</v>
      </c>
      <c r="N517" s="126">
        <f>base[[#This Row],[L/P Líquido]]/base[[#This Row],[Stake/Responsabilidade]]</f>
        <v>6.3666666666666663E-2</v>
      </c>
      <c r="O517" s="132">
        <f>IF(base[[#This Row],[L/P Líquido]]&gt;0,1,0)</f>
        <v>1</v>
      </c>
      <c r="P517" s="132"/>
      <c r="Q517" s="132" t="str">
        <f>LEFT(base[[#This Row],[Evento / Mercado]],FIND("vs",base[[#This Row],[Evento / Mercado]])-2)</f>
        <v>Juventus</v>
      </c>
      <c r="R5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Benfica</v>
      </c>
      <c r="S517" s="132" t="e">
        <f>LEFT(base[[#This Row],[Evento / Mercado]],FIND("/",base[[#This Row],[Evento / Mercado]])-2)</f>
        <v>#VALUE!</v>
      </c>
      <c r="T517" s="8">
        <v>6.67</v>
      </c>
      <c r="U517" s="9">
        <f t="shared" si="8"/>
        <v>6.3698499999999996</v>
      </c>
    </row>
    <row r="518" spans="2:21" ht="15" customHeight="1">
      <c r="B518" s="128" t="s">
        <v>463</v>
      </c>
      <c r="C518" s="128" t="s">
        <v>2982</v>
      </c>
      <c r="D518" s="129">
        <v>46043.786249999997</v>
      </c>
      <c r="E518" s="130">
        <v>13.646949999999999</v>
      </c>
      <c r="F518" s="131">
        <v>4.4999999999999998E-2</v>
      </c>
      <c r="G518" s="126">
        <f t="shared" si="9"/>
        <v>14.29</v>
      </c>
      <c r="H518" s="126" t="s">
        <v>73</v>
      </c>
      <c r="I518" s="127" t="s">
        <v>16</v>
      </c>
      <c r="J518" s="126">
        <v>8</v>
      </c>
      <c r="K518" s="126">
        <v>100.03</v>
      </c>
      <c r="L518" s="129">
        <f>INT(base[[#This Row],[Data de liquidação]])</f>
        <v>46043</v>
      </c>
      <c r="M518" s="126">
        <f>base[[#This Row],[L/P Bruto]]-base[[#This Row],[L/P Líquido]]</f>
        <v>0.64305000000000057</v>
      </c>
      <c r="N518" s="126">
        <f>base[[#This Row],[L/P Líquido]]/base[[#This Row],[Stake/Responsabilidade]]</f>
        <v>0.1364285714285714</v>
      </c>
      <c r="O518" s="132">
        <f>IF(base[[#This Row],[L/P Líquido]]&gt;0,1,0)</f>
        <v>1</v>
      </c>
      <c r="P518" s="132"/>
      <c r="Q518" s="132" t="str">
        <f>LEFT(base[[#This Row],[Evento / Mercado]],FIND("vs",base[[#This Row],[Evento / Mercado]])-2)</f>
        <v>Juventus</v>
      </c>
      <c r="R5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Benfica</v>
      </c>
      <c r="S518" s="132" t="e">
        <f>LEFT(base[[#This Row],[Evento / Mercado]],FIND("/",base[[#This Row],[Evento / Mercado]])-2)</f>
        <v>#VALUE!</v>
      </c>
      <c r="T518" s="8">
        <v>14.29</v>
      </c>
      <c r="U518" s="9">
        <f t="shared" si="8"/>
        <v>13.646949999999999</v>
      </c>
    </row>
    <row r="519" spans="2:21" ht="15" customHeight="1">
      <c r="B519" s="128" t="s">
        <v>461</v>
      </c>
      <c r="C519" s="128" t="s">
        <v>2982</v>
      </c>
      <c r="D519" s="129">
        <v>46043.787962962961</v>
      </c>
      <c r="E519" s="130">
        <v>9.5500000000000007</v>
      </c>
      <c r="F519" s="131">
        <v>4.4999999999999998E-2</v>
      </c>
      <c r="G519" s="126">
        <f t="shared" si="9"/>
        <v>10.000000000000002</v>
      </c>
      <c r="H519" s="126" t="s">
        <v>74</v>
      </c>
      <c r="I519" s="127" t="s">
        <v>541</v>
      </c>
      <c r="J519" s="126">
        <v>16</v>
      </c>
      <c r="K519" s="126">
        <v>150</v>
      </c>
      <c r="L519" s="129">
        <f>INT(base[[#This Row],[Data de liquidação]])</f>
        <v>46043</v>
      </c>
      <c r="M519" s="126">
        <f>base[[#This Row],[L/P Bruto]]-base[[#This Row],[L/P Líquido]]</f>
        <v>0.45000000000000107</v>
      </c>
      <c r="N519" s="139">
        <f>base[[#This Row],[L/P Líquido]]/base[[#This Row],[Stake/Responsabilidade]]</f>
        <v>6.3666666666666677E-2</v>
      </c>
      <c r="O519" s="132">
        <f>IF(base[[#This Row],[L/P Líquido]]&gt;0,1,0)</f>
        <v>1</v>
      </c>
      <c r="P519" s="132" t="s">
        <v>972</v>
      </c>
      <c r="Q519" s="132" t="str">
        <f>LEFT(base[[#This Row],[Evento / Mercado]],FIND("vs",base[[#This Row],[Evento / Mercado]])-2)</f>
        <v>SK Slavia Praha</v>
      </c>
      <c r="R5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519" s="132" t="e">
        <f>LEFT(base[[#This Row],[Evento / Mercado]],FIND("/",base[[#This Row],[Evento / Mercado]])-2)</f>
        <v>#VALUE!</v>
      </c>
    </row>
    <row r="520" spans="2:21" ht="15" customHeight="1">
      <c r="B520" s="128" t="s">
        <v>462</v>
      </c>
      <c r="C520" s="128" t="s">
        <v>2982</v>
      </c>
      <c r="D520" s="129">
        <v>46043.78802083333</v>
      </c>
      <c r="E520" s="130">
        <v>8.68</v>
      </c>
      <c r="F520" s="131">
        <v>4.4999999999999998E-2</v>
      </c>
      <c r="G520" s="126">
        <f t="shared" si="9"/>
        <v>9.0890052356020945</v>
      </c>
      <c r="H520" s="126" t="s">
        <v>74</v>
      </c>
      <c r="I520" s="127" t="s">
        <v>477</v>
      </c>
      <c r="J520" s="126">
        <v>17.5</v>
      </c>
      <c r="K520" s="126">
        <v>149.97999999999999</v>
      </c>
      <c r="L520" s="129">
        <f>INT(base[[#This Row],[Data de liquidação]])</f>
        <v>46043</v>
      </c>
      <c r="M520" s="126">
        <f>base[[#This Row],[L/P Bruto]]-base[[#This Row],[L/P Líquido]]</f>
        <v>0.40900523560209479</v>
      </c>
      <c r="N520" s="139">
        <f>base[[#This Row],[L/P Líquido]]/base[[#This Row],[Stake/Responsabilidade]]</f>
        <v>5.7874383251100149E-2</v>
      </c>
      <c r="O520" s="132">
        <f>IF(base[[#This Row],[L/P Líquido]]&gt;0,1,0)</f>
        <v>1</v>
      </c>
      <c r="P520" s="132" t="s">
        <v>972</v>
      </c>
      <c r="Q520" s="132" t="str">
        <f>LEFT(base[[#This Row],[Evento / Mercado]],FIND("vs",base[[#This Row],[Evento / Mercado]])-2)</f>
        <v>FC Bayern München</v>
      </c>
      <c r="R5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Union Saint Gilloise</v>
      </c>
      <c r="S520" s="132" t="e">
        <f>LEFT(base[[#This Row],[Evento / Mercado]],FIND("/",base[[#This Row],[Evento / Mercado]])-2)</f>
        <v>#VALUE!</v>
      </c>
    </row>
    <row r="521" spans="2:21" ht="15" customHeight="1">
      <c r="B521" s="128" t="s">
        <v>461</v>
      </c>
      <c r="C521" s="128" t="s">
        <v>2982</v>
      </c>
      <c r="D521" s="129">
        <v>46043.788043981483</v>
      </c>
      <c r="E521" s="130">
        <v>11.11</v>
      </c>
      <c r="F521" s="131">
        <v>4.4999999999999998E-2</v>
      </c>
      <c r="G521" s="126">
        <f t="shared" si="9"/>
        <v>11.633507853403142</v>
      </c>
      <c r="H521" s="126" t="s">
        <v>145</v>
      </c>
      <c r="I521" s="127" t="s">
        <v>300</v>
      </c>
      <c r="J521" s="126">
        <v>9.6</v>
      </c>
      <c r="K521" s="126">
        <v>100.02</v>
      </c>
      <c r="L521" s="129">
        <f>INT(base[[#This Row],[Data de liquidação]])</f>
        <v>46043</v>
      </c>
      <c r="M521" s="126">
        <f>base[[#This Row],[L/P Bruto]]-base[[#This Row],[L/P Líquido]]</f>
        <v>0.52350785340314232</v>
      </c>
      <c r="N521" s="126">
        <f>base[[#This Row],[L/P Líquido]]/base[[#This Row],[Stake/Responsabilidade]]</f>
        <v>0.11107778444311138</v>
      </c>
      <c r="O521" s="132">
        <f>IF(base[[#This Row],[L/P Líquido]]&gt;0,1,0)</f>
        <v>1</v>
      </c>
      <c r="P521" s="132" t="s">
        <v>972</v>
      </c>
      <c r="Q521" s="132" t="str">
        <f>LEFT(base[[#This Row],[Evento / Mercado]],FIND("vs",base[[#This Row],[Evento / Mercado]])-2)</f>
        <v>SK Slavia Praha</v>
      </c>
      <c r="R5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521" s="132" t="e">
        <f>LEFT(base[[#This Row],[Evento / Mercado]],FIND("/",base[[#This Row],[Evento / Mercado]])-2)</f>
        <v>#VALUE!</v>
      </c>
    </row>
    <row r="522" spans="2:21" ht="15" customHeight="1">
      <c r="B522" s="128" t="s">
        <v>461</v>
      </c>
      <c r="C522" s="128" t="s">
        <v>2982</v>
      </c>
      <c r="D522" s="129">
        <v>46043.788657407407</v>
      </c>
      <c r="E522" s="130">
        <v>-0.56000000000000005</v>
      </c>
      <c r="F522" s="131">
        <v>4.4999999999999998E-2</v>
      </c>
      <c r="G522" s="126">
        <f t="shared" si="9"/>
        <v>-0.56000000000000005</v>
      </c>
      <c r="H522" s="126" t="s">
        <v>231</v>
      </c>
      <c r="I522" s="127" t="s">
        <v>266</v>
      </c>
      <c r="J522" s="126">
        <v>1.71</v>
      </c>
      <c r="K522" s="126">
        <v>60</v>
      </c>
      <c r="L522" s="129">
        <f>INT(base[[#This Row],[Data de liquidação]])</f>
        <v>46043</v>
      </c>
      <c r="M522" s="126">
        <f>base[[#This Row],[L/P Bruto]]-base[[#This Row],[L/P Líquido]]</f>
        <v>0</v>
      </c>
      <c r="N522" s="126">
        <f>base[[#This Row],[L/P Líquido]]/base[[#This Row],[Stake/Responsabilidade]]</f>
        <v>-9.3333333333333341E-3</v>
      </c>
      <c r="O522" s="132">
        <f>IF(base[[#This Row],[L/P Líquido]]&gt;0,1,0)</f>
        <v>0</v>
      </c>
      <c r="P522" s="132"/>
      <c r="Q522" s="132" t="str">
        <f>LEFT(base[[#This Row],[Evento / Mercado]],FIND("vs",base[[#This Row],[Evento / Mercado]])-2)</f>
        <v>SK Slavia Praha</v>
      </c>
      <c r="R5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522" s="132" t="e">
        <f>LEFT(base[[#This Row],[Evento / Mercado]],FIND("/",base[[#This Row],[Evento / Mercado]])-2)</f>
        <v>#VALUE!</v>
      </c>
    </row>
    <row r="523" spans="2:21" ht="15" customHeight="1">
      <c r="B523" s="128" t="s">
        <v>460</v>
      </c>
      <c r="C523" s="128" t="s">
        <v>2982</v>
      </c>
      <c r="D523" s="129">
        <v>46043.7893287037</v>
      </c>
      <c r="E523" s="130">
        <v>6.82</v>
      </c>
      <c r="F523" s="131">
        <v>4.4999999999999998E-2</v>
      </c>
      <c r="G523" s="126">
        <f t="shared" si="9"/>
        <v>7.1413612565445028</v>
      </c>
      <c r="H523" s="126" t="s">
        <v>73</v>
      </c>
      <c r="I523" s="127" t="s">
        <v>16</v>
      </c>
      <c r="J523" s="126">
        <v>15</v>
      </c>
      <c r="K523" s="126">
        <v>99.96</v>
      </c>
      <c r="L523" s="129">
        <f>INT(base[[#This Row],[Data de liquidação]])</f>
        <v>46043</v>
      </c>
      <c r="M523" s="126">
        <f>base[[#This Row],[L/P Bruto]]-base[[#This Row],[L/P Líquido]]</f>
        <v>0.32136125654450254</v>
      </c>
      <c r="N523" s="126">
        <f>base[[#This Row],[L/P Líquido]]/base[[#This Row],[Stake/Responsabilidade]]</f>
        <v>6.8227290916366548E-2</v>
      </c>
      <c r="O523" s="132">
        <f>IF(base[[#This Row],[L/P Líquido]]&gt;0,1,0)</f>
        <v>1</v>
      </c>
      <c r="P523" s="132"/>
      <c r="Q523" s="132" t="str">
        <f>LEFT(base[[#This Row],[Evento / Mercado]],FIND("vs",base[[#This Row],[Evento / Mercado]])-2)</f>
        <v>Newcastle United</v>
      </c>
      <c r="R5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PSV Eindhoven</v>
      </c>
      <c r="S523" s="132" t="e">
        <f>LEFT(base[[#This Row],[Evento / Mercado]],FIND("/",base[[#This Row],[Evento / Mercado]])-2)</f>
        <v>#VALUE!</v>
      </c>
    </row>
    <row r="524" spans="2:21" ht="15" customHeight="1">
      <c r="B524" s="128" t="s">
        <v>460</v>
      </c>
      <c r="C524" s="128" t="s">
        <v>2982</v>
      </c>
      <c r="D524" s="129">
        <v>46043.789456018516</v>
      </c>
      <c r="E524" s="130">
        <v>-60</v>
      </c>
      <c r="F524" s="131">
        <v>4.4999999999999998E-2</v>
      </c>
      <c r="G524" s="126">
        <f t="shared" si="9"/>
        <v>-60</v>
      </c>
      <c r="H524" s="126" t="s">
        <v>231</v>
      </c>
      <c r="I524" s="127" t="s">
        <v>266</v>
      </c>
      <c r="J524" s="126">
        <v>1.67</v>
      </c>
      <c r="K524" s="126">
        <v>60</v>
      </c>
      <c r="L524" s="129">
        <f>INT(base[[#This Row],[Data de liquidação]])</f>
        <v>46043</v>
      </c>
      <c r="M524" s="126">
        <f>base[[#This Row],[L/P Bruto]]-base[[#This Row],[L/P Líquido]]</f>
        <v>0</v>
      </c>
      <c r="N524" s="126">
        <f>base[[#This Row],[L/P Líquido]]/base[[#This Row],[Stake/Responsabilidade]]</f>
        <v>-1</v>
      </c>
      <c r="O524" s="132">
        <f>IF(base[[#This Row],[L/P Líquido]]&gt;0,1,0)</f>
        <v>0</v>
      </c>
      <c r="P524" s="132"/>
      <c r="Q524" s="132" t="str">
        <f>LEFT(base[[#This Row],[Evento / Mercado]],FIND("vs",base[[#This Row],[Evento / Mercado]])-2)</f>
        <v>Newcastle United</v>
      </c>
      <c r="R5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PSV Eindhoven</v>
      </c>
      <c r="S524" s="132" t="e">
        <f>LEFT(base[[#This Row],[Evento / Mercado]],FIND("/",base[[#This Row],[Evento / Mercado]])-2)</f>
        <v>#VALUE!</v>
      </c>
    </row>
    <row r="525" spans="2:21" ht="15" customHeight="1">
      <c r="B525" s="128" t="s">
        <v>459</v>
      </c>
      <c r="C525" s="128" t="s">
        <v>2982</v>
      </c>
      <c r="D525" s="129">
        <v>46043.874618055554</v>
      </c>
      <c r="E525" s="130">
        <v>5.43</v>
      </c>
      <c r="F525" s="131">
        <v>4.4999999999999998E-2</v>
      </c>
      <c r="G525" s="126">
        <f t="shared" si="9"/>
        <v>5.6858638743455501</v>
      </c>
      <c r="H525" s="126" t="s">
        <v>73</v>
      </c>
      <c r="I525" s="127" t="s">
        <v>13</v>
      </c>
      <c r="J525" s="126">
        <v>18</v>
      </c>
      <c r="K525" s="126">
        <v>96.71</v>
      </c>
      <c r="L525" s="129">
        <f>INT(base[[#This Row],[Data de liquidação]])</f>
        <v>46043</v>
      </c>
      <c r="M525" s="126">
        <f>base[[#This Row],[L/P Bruto]]-base[[#This Row],[L/P Líquido]]</f>
        <v>0.25586387434555036</v>
      </c>
      <c r="N525" s="126">
        <f>base[[#This Row],[L/P Líquido]]/base[[#This Row],[Stake/Responsabilidade]]</f>
        <v>5.6147244338744698E-2</v>
      </c>
      <c r="O525" s="132">
        <f>IF(base[[#This Row],[L/P Líquido]]&gt;0,1,0)</f>
        <v>1</v>
      </c>
      <c r="P525" s="132"/>
      <c r="Q525" s="132" t="str">
        <f>LEFT(base[[#This Row],[Evento / Mercado]],FIND("vs",base[[#This Row],[Evento / Mercado]])-2)</f>
        <v>Botafogo FR</v>
      </c>
      <c r="R5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Volta Redonda FC</v>
      </c>
      <c r="S525" s="132" t="e">
        <f>LEFT(base[[#This Row],[Evento / Mercado]],FIND("/",base[[#This Row],[Evento / Mercado]])-2)</f>
        <v>#VALUE!</v>
      </c>
    </row>
    <row r="526" spans="2:21" ht="15" customHeight="1">
      <c r="B526" s="128" t="s">
        <v>458</v>
      </c>
      <c r="C526" s="128" t="s">
        <v>2982</v>
      </c>
      <c r="D526" s="129">
        <v>46043.897361111114</v>
      </c>
      <c r="E526" s="130">
        <v>5.62</v>
      </c>
      <c r="F526" s="131">
        <v>4.4999999999999998E-2</v>
      </c>
      <c r="G526" s="126">
        <f t="shared" si="9"/>
        <v>5.8848167539267022</v>
      </c>
      <c r="H526" s="126" t="s">
        <v>73</v>
      </c>
      <c r="I526" s="127" t="s">
        <v>13</v>
      </c>
      <c r="J526" s="126">
        <v>18</v>
      </c>
      <c r="K526" s="126">
        <v>99.96</v>
      </c>
      <c r="L526" s="129">
        <f>INT(base[[#This Row],[Data de liquidação]])</f>
        <v>46043</v>
      </c>
      <c r="M526" s="126">
        <f>base[[#This Row],[L/P Bruto]]-base[[#This Row],[L/P Líquido]]</f>
        <v>0.26481675392670212</v>
      </c>
      <c r="N526" s="126">
        <f>base[[#This Row],[L/P Líquido]]/base[[#This Row],[Stake/Responsabilidade]]</f>
        <v>5.6222488995598244E-2</v>
      </c>
      <c r="O526" s="132">
        <f>IF(base[[#This Row],[L/P Líquido]]&gt;0,1,0)</f>
        <v>1</v>
      </c>
      <c r="P526" s="132"/>
      <c r="Q526" s="132" t="str">
        <f>LEFT(base[[#This Row],[Evento / Mercado]],FIND("vs",base[[#This Row],[Evento / Mercado]])-2)</f>
        <v>São Paulo</v>
      </c>
      <c r="R5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Portuguesa</v>
      </c>
      <c r="S526" s="132" t="e">
        <f>LEFT(base[[#This Row],[Evento / Mercado]],FIND("/",base[[#This Row],[Evento / Mercado]])-2)</f>
        <v>#VALUE!</v>
      </c>
    </row>
    <row r="527" spans="2:21" ht="15" customHeight="1">
      <c r="B527" s="128" t="s">
        <v>475</v>
      </c>
      <c r="C527" s="128" t="s">
        <v>2982</v>
      </c>
      <c r="D527" s="129">
        <v>46044.685787037037</v>
      </c>
      <c r="E527" s="130">
        <v>13.03</v>
      </c>
      <c r="F527" s="131">
        <v>4.4999999999999998E-2</v>
      </c>
      <c r="G527" s="126">
        <f t="shared" si="9"/>
        <v>13.643979057591624</v>
      </c>
      <c r="H527" s="126" t="s">
        <v>74</v>
      </c>
      <c r="I527" s="127" t="s">
        <v>477</v>
      </c>
      <c r="J527" s="126">
        <v>12</v>
      </c>
      <c r="K527" s="126">
        <v>150.04</v>
      </c>
      <c r="L527" s="129">
        <f>INT(base[[#This Row],[Data de liquidação]])</f>
        <v>46044</v>
      </c>
      <c r="M527" s="126">
        <f>base[[#This Row],[L/P Bruto]]-base[[#This Row],[L/P Líquido]]</f>
        <v>0.61397905759162441</v>
      </c>
      <c r="N527" s="139">
        <f>base[[#This Row],[L/P Líquido]]/base[[#This Row],[Stake/Responsabilidade]]</f>
        <v>8.6843508397760602E-2</v>
      </c>
      <c r="O527" s="132">
        <f>IF(base[[#This Row],[L/P Líquido]]&gt;0,1,0)</f>
        <v>1</v>
      </c>
      <c r="P527" s="132" t="s">
        <v>973</v>
      </c>
      <c r="Q527" s="132" t="str">
        <f>LEFT(base[[#This Row],[Evento / Mercado]],FIND("vs",base[[#This Row],[Evento / Mercado]])-2)</f>
        <v>Al-Hilal Riyadh</v>
      </c>
      <c r="R5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Al-Fayha FC</v>
      </c>
      <c r="S527" s="132" t="e">
        <f>LEFT(base[[#This Row],[Evento / Mercado]],FIND("/",base[[#This Row],[Evento / Mercado]])-2)</f>
        <v>#VALUE!</v>
      </c>
    </row>
    <row r="528" spans="2:21" ht="15" customHeight="1">
      <c r="B528" s="128" t="s">
        <v>474</v>
      </c>
      <c r="C528" s="128" t="s">
        <v>2982</v>
      </c>
      <c r="D528" s="129">
        <v>46044.687847222223</v>
      </c>
      <c r="E528" s="130">
        <v>7.16</v>
      </c>
      <c r="F528" s="131">
        <v>4.4999999999999998E-2</v>
      </c>
      <c r="G528" s="126">
        <f t="shared" si="9"/>
        <v>7.4973821989528799</v>
      </c>
      <c r="H528" s="126" t="s">
        <v>74</v>
      </c>
      <c r="I528" s="127" t="s">
        <v>476</v>
      </c>
      <c r="J528" s="126">
        <v>21</v>
      </c>
      <c r="K528" s="126">
        <v>150</v>
      </c>
      <c r="L528" s="129">
        <f>INT(base[[#This Row],[Data de liquidação]])</f>
        <v>46044</v>
      </c>
      <c r="M528" s="126">
        <f>base[[#This Row],[L/P Bruto]]-base[[#This Row],[L/P Líquido]]</f>
        <v>0.3373821989528798</v>
      </c>
      <c r="N528" s="139">
        <f>base[[#This Row],[L/P Líquido]]/base[[#This Row],[Stake/Responsabilidade]]</f>
        <v>4.7733333333333336E-2</v>
      </c>
      <c r="O528" s="132">
        <f>IF(base[[#This Row],[L/P Líquido]]&gt;0,1,0)</f>
        <v>1</v>
      </c>
      <c r="P528" s="132" t="s">
        <v>973</v>
      </c>
      <c r="Q528" s="132" t="str">
        <f>LEFT(base[[#This Row],[Evento / Mercado]],FIND("vs",base[[#This Row],[Evento / Mercado]])-2)</f>
        <v>Al-Qadisiyah</v>
      </c>
      <c r="R5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Jeddah</v>
      </c>
      <c r="S528" s="132" t="e">
        <f>LEFT(base[[#This Row],[Evento / Mercado]],FIND("/",base[[#This Row],[Evento / Mercado]])-2)</f>
        <v>#VALUE!</v>
      </c>
    </row>
    <row r="529" spans="2:21" ht="15" customHeight="1">
      <c r="B529" s="128" t="s">
        <v>473</v>
      </c>
      <c r="C529" s="128" t="s">
        <v>2982</v>
      </c>
      <c r="D529" s="129">
        <v>46044.692164351851</v>
      </c>
      <c r="E529" s="130">
        <v>7.64</v>
      </c>
      <c r="F529" s="131">
        <v>4.4999999999999998E-2</v>
      </c>
      <c r="G529" s="126">
        <f t="shared" si="9"/>
        <v>8</v>
      </c>
      <c r="H529" s="126" t="s">
        <v>73</v>
      </c>
      <c r="I529" s="127" t="s">
        <v>16</v>
      </c>
      <c r="J529" s="126">
        <v>13.5</v>
      </c>
      <c r="K529" s="126">
        <v>100</v>
      </c>
      <c r="L529" s="129">
        <f>INT(base[[#This Row],[Data de liquidação]])</f>
        <v>46044</v>
      </c>
      <c r="M529" s="126">
        <f>base[[#This Row],[L/P Bruto]]-base[[#This Row],[L/P Líquido]]</f>
        <v>0.36000000000000032</v>
      </c>
      <c r="N529" s="126">
        <f>base[[#This Row],[L/P Líquido]]/base[[#This Row],[Stake/Responsabilidade]]</f>
        <v>7.6399999999999996E-2</v>
      </c>
      <c r="O529" s="132">
        <f>IF(base[[#This Row],[L/P Líquido]]&gt;0,1,0)</f>
        <v>1</v>
      </c>
      <c r="P529" s="132"/>
      <c r="Q529" s="132" t="str">
        <f>LEFT(base[[#This Row],[Evento / Mercado]],FIND("vs",base[[#This Row],[Evento / Mercado]])-2)</f>
        <v>Feyenoord</v>
      </c>
      <c r="R5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Puntigamer Sturm Graz</v>
      </c>
      <c r="S529" s="132" t="e">
        <f>LEFT(base[[#This Row],[Evento / Mercado]],FIND("/",base[[#This Row],[Evento / Mercado]])-2)</f>
        <v>#VALUE!</v>
      </c>
    </row>
    <row r="530" spans="2:21" ht="15" customHeight="1">
      <c r="B530" s="128" t="s">
        <v>472</v>
      </c>
      <c r="C530" s="128" t="s">
        <v>2982</v>
      </c>
      <c r="D530" s="129">
        <v>46044.693715277775</v>
      </c>
      <c r="E530" s="130">
        <v>12.24</v>
      </c>
      <c r="F530" s="131">
        <v>4.4999999999999998E-2</v>
      </c>
      <c r="G530" s="126">
        <f t="shared" si="9"/>
        <v>12.816753926701571</v>
      </c>
      <c r="H530" s="126" t="s">
        <v>73</v>
      </c>
      <c r="I530" s="127" t="s">
        <v>16</v>
      </c>
      <c r="J530" s="126">
        <v>8.8000000000000007</v>
      </c>
      <c r="K530" s="126">
        <v>100</v>
      </c>
      <c r="L530" s="129">
        <f>INT(base[[#This Row],[Data de liquidação]])</f>
        <v>46044</v>
      </c>
      <c r="M530" s="126">
        <f>base[[#This Row],[L/P Bruto]]-base[[#This Row],[L/P Líquido]]</f>
        <v>0.57675392670157066</v>
      </c>
      <c r="N530" s="126">
        <f>base[[#This Row],[L/P Líquido]]/base[[#This Row],[Stake/Responsabilidade]]</f>
        <v>0.12240000000000001</v>
      </c>
      <c r="O530" s="132">
        <f>IF(base[[#This Row],[L/P Líquido]]&gt;0,1,0)</f>
        <v>1</v>
      </c>
      <c r="P530" s="132"/>
      <c r="Q530" s="132" t="str">
        <f>LEFT(base[[#This Row],[Evento / Mercado]],FIND("vs",base[[#This Row],[Evento / Mercado]])-2)</f>
        <v>Bologna</v>
      </c>
      <c r="R5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530" s="132" t="e">
        <f>LEFT(base[[#This Row],[Evento / Mercado]],FIND("/",base[[#This Row],[Evento / Mercado]])-2)</f>
        <v>#VALUE!</v>
      </c>
    </row>
    <row r="531" spans="2:21" ht="15" customHeight="1">
      <c r="B531" s="128" t="s">
        <v>471</v>
      </c>
      <c r="C531" s="128" t="s">
        <v>2982</v>
      </c>
      <c r="D531" s="129">
        <v>46044.696134259262</v>
      </c>
      <c r="E531" s="130">
        <v>5.62</v>
      </c>
      <c r="F531" s="131">
        <v>4.4999999999999998E-2</v>
      </c>
      <c r="G531" s="126">
        <f t="shared" si="9"/>
        <v>5.8848167539267022</v>
      </c>
      <c r="H531" s="126" t="s">
        <v>73</v>
      </c>
      <c r="I531" s="127" t="s">
        <v>13</v>
      </c>
      <c r="J531" s="126">
        <v>18</v>
      </c>
      <c r="K531" s="126">
        <v>99.96</v>
      </c>
      <c r="L531" s="129">
        <f>INT(base[[#This Row],[Data de liquidação]])</f>
        <v>46044</v>
      </c>
      <c r="M531" s="126">
        <f>base[[#This Row],[L/P Bruto]]-base[[#This Row],[L/P Líquido]]</f>
        <v>0.26481675392670212</v>
      </c>
      <c r="N531" s="126">
        <f>base[[#This Row],[L/P Líquido]]/base[[#This Row],[Stake/Responsabilidade]]</f>
        <v>5.6222488995598244E-2</v>
      </c>
      <c r="O531" s="132">
        <f>IF(base[[#This Row],[L/P Líquido]]&gt;0,1,0)</f>
        <v>1</v>
      </c>
      <c r="P531" s="132"/>
      <c r="Q531" s="132" t="str">
        <f>LEFT(base[[#This Row],[Evento / Mercado]],FIND("vs",base[[#This Row],[Evento / Mercado]])-2)</f>
        <v>SC Freiburg</v>
      </c>
      <c r="R5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Maccabi Tel Aviv</v>
      </c>
      <c r="S531" s="132" t="e">
        <f>LEFT(base[[#This Row],[Evento / Mercado]],FIND("/",base[[#This Row],[Evento / Mercado]])-2)</f>
        <v>#VALUE!</v>
      </c>
    </row>
    <row r="532" spans="2:21" ht="15" customHeight="1">
      <c r="B532" s="128" t="s">
        <v>470</v>
      </c>
      <c r="C532" s="128" t="s">
        <v>2982</v>
      </c>
      <c r="D532" s="129">
        <v>46044.786041666666</v>
      </c>
      <c r="E532" s="130">
        <v>5.62</v>
      </c>
      <c r="F532" s="131">
        <v>4.4999999999999998E-2</v>
      </c>
      <c r="G532" s="126">
        <f t="shared" si="9"/>
        <v>5.8848167539267022</v>
      </c>
      <c r="H532" s="126" t="s">
        <v>73</v>
      </c>
      <c r="I532" s="127" t="s">
        <v>13</v>
      </c>
      <c r="J532" s="126">
        <v>18</v>
      </c>
      <c r="K532" s="126">
        <v>99.96</v>
      </c>
      <c r="L532" s="129">
        <f>INT(base[[#This Row],[Data de liquidação]])</f>
        <v>46044</v>
      </c>
      <c r="M532" s="126">
        <f>base[[#This Row],[L/P Bruto]]-base[[#This Row],[L/P Líquido]]</f>
        <v>0.26481675392670212</v>
      </c>
      <c r="N532" s="126">
        <f>base[[#This Row],[L/P Líquido]]/base[[#This Row],[Stake/Responsabilidade]]</f>
        <v>5.6222488995598244E-2</v>
      </c>
      <c r="O532" s="132">
        <f>IF(base[[#This Row],[L/P Líquido]]&gt;0,1,0)</f>
        <v>1</v>
      </c>
      <c r="P532" s="132"/>
      <c r="Q532" s="132" t="str">
        <f>LEFT(base[[#This Row],[Evento / Mercado]],FIND("vs",base[[#This Row],[Evento / Mercado]])-2)</f>
        <v>Lincoln City</v>
      </c>
      <c r="R5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Burton Albion</v>
      </c>
      <c r="S532" s="132" t="e">
        <f>LEFT(base[[#This Row],[Evento / Mercado]],FIND("/",base[[#This Row],[Evento / Mercado]])-2)</f>
        <v>#VALUE!</v>
      </c>
    </row>
    <row r="533" spans="2:21" ht="15" customHeight="1">
      <c r="B533" s="128" t="s">
        <v>537</v>
      </c>
      <c r="C533" s="128" t="s">
        <v>2982</v>
      </c>
      <c r="D533" s="129">
        <v>46045.493344907409</v>
      </c>
      <c r="E533" s="130">
        <v>13.26</v>
      </c>
      <c r="F533" s="131">
        <v>4.4999999999999998E-2</v>
      </c>
      <c r="G533" s="126">
        <f t="shared" si="9"/>
        <v>13.884816753926701</v>
      </c>
      <c r="H533" s="126" t="s">
        <v>210</v>
      </c>
      <c r="I533" s="127" t="s">
        <v>16</v>
      </c>
      <c r="J533" s="126">
        <v>8.1999999999999993</v>
      </c>
      <c r="K533" s="126">
        <v>100.01</v>
      </c>
      <c r="L533" s="129">
        <f>INT(base[[#This Row],[Data de liquidação]])</f>
        <v>46045</v>
      </c>
      <c r="M533" s="126">
        <f>base[[#This Row],[L/P Bruto]]-base[[#This Row],[L/P Líquido]]</f>
        <v>0.62481675392670155</v>
      </c>
      <c r="N533" s="126">
        <f>base[[#This Row],[L/P Líquido]]/base[[#This Row],[Stake/Responsabilidade]]</f>
        <v>0.1325867413258674</v>
      </c>
      <c r="O533" s="132">
        <f>IF(base[[#This Row],[L/P Líquido]]&gt;0,1,0)</f>
        <v>1</v>
      </c>
      <c r="P533" s="132"/>
      <c r="Q533" s="132" t="str">
        <f>LEFT(base[[#This Row],[Evento / Mercado]],FIND("vs",base[[#This Row],[Evento / Mercado]])-2)</f>
        <v>Al Hussein SC</v>
      </c>
      <c r="R5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Al-Jazeera Amman</v>
      </c>
      <c r="S533" s="132" t="e">
        <f>LEFT(base[[#This Row],[Evento / Mercado]],FIND("/",base[[#This Row],[Evento / Mercado]])-2)</f>
        <v>#VALUE!</v>
      </c>
    </row>
    <row r="534" spans="2:21" ht="15" customHeight="1">
      <c r="B534" s="128" t="s">
        <v>536</v>
      </c>
      <c r="C534" s="128" t="s">
        <v>2982</v>
      </c>
      <c r="D534" s="129">
        <v>46045.666863425926</v>
      </c>
      <c r="E534" s="130">
        <v>48.13</v>
      </c>
      <c r="F534" s="131">
        <v>4.4999999999999998E-2</v>
      </c>
      <c r="G534" s="126">
        <f t="shared" si="9"/>
        <v>50.397905759162306</v>
      </c>
      <c r="H534" s="126" t="s">
        <v>231</v>
      </c>
      <c r="I534" s="127" t="s">
        <v>266</v>
      </c>
      <c r="J534" s="126">
        <v>1.84</v>
      </c>
      <c r="K534" s="126">
        <v>60</v>
      </c>
      <c r="L534" s="129">
        <f>INT(base[[#This Row],[Data de liquidação]])</f>
        <v>46045</v>
      </c>
      <c r="M534" s="126">
        <f>base[[#This Row],[L/P Bruto]]-base[[#This Row],[L/P Líquido]]</f>
        <v>2.2679057591623035</v>
      </c>
      <c r="N534" s="126">
        <f>base[[#This Row],[L/P Líquido]]/base[[#This Row],[Stake/Responsabilidade]]</f>
        <v>0.80216666666666669</v>
      </c>
      <c r="O534" s="132">
        <f>IF(base[[#This Row],[L/P Líquido]]&gt;0,1,0)</f>
        <v>1</v>
      </c>
      <c r="P534" s="132"/>
      <c r="Q534" s="132" t="str">
        <f>LEFT(base[[#This Row],[Evento / Mercado]],FIND("vs",base[[#This Row],[Evento / Mercado]])-2)</f>
        <v>Arminia Bielefeld</v>
      </c>
      <c r="R5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534" s="132" t="e">
        <f>LEFT(base[[#This Row],[Evento / Mercado]],FIND("/",base[[#This Row],[Evento / Mercado]])-2)</f>
        <v>#VALUE!</v>
      </c>
    </row>
    <row r="535" spans="2:21" ht="15" customHeight="1">
      <c r="B535" s="128" t="s">
        <v>535</v>
      </c>
      <c r="C535" s="128" t="s">
        <v>2982</v>
      </c>
      <c r="D535" s="129">
        <v>46045.667314814818</v>
      </c>
      <c r="E535" s="130">
        <v>7.3439500000000004</v>
      </c>
      <c r="F535" s="131">
        <v>4.4999999999999998E-2</v>
      </c>
      <c r="G535" s="126">
        <f t="shared" si="9"/>
        <v>7.69</v>
      </c>
      <c r="H535" s="126" t="s">
        <v>73</v>
      </c>
      <c r="I535" s="127" t="s">
        <v>13</v>
      </c>
      <c r="J535" s="126">
        <v>14</v>
      </c>
      <c r="K535" s="126">
        <v>99.97</v>
      </c>
      <c r="L535" s="129">
        <f>INT(base[[#This Row],[Data de liquidação]])</f>
        <v>46045</v>
      </c>
      <c r="M535" s="126">
        <f>base[[#This Row],[L/P Bruto]]-base[[#This Row],[L/P Líquido]]</f>
        <v>0.34604999999999997</v>
      </c>
      <c r="N535" s="126">
        <f>base[[#This Row],[L/P Líquido]]/base[[#This Row],[Stake/Responsabilidade]]</f>
        <v>7.3461538461538467E-2</v>
      </c>
      <c r="O535" s="132">
        <f>IF(base[[#This Row],[L/P Líquido]]&gt;0,1,0)</f>
        <v>1</v>
      </c>
      <c r="P535" s="132"/>
      <c r="Q535" s="132" t="str">
        <f>LEFT(base[[#This Row],[Evento / Mercado]],FIND("vs",base[[#This Row],[Evento / Mercado]])-2)</f>
        <v>Trabzonspor</v>
      </c>
      <c r="R5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Kasimpasa SK</v>
      </c>
      <c r="S535" s="132" t="e">
        <f>LEFT(base[[#This Row],[Evento / Mercado]],FIND("/",base[[#This Row],[Evento / Mercado]])-2)</f>
        <v>#VALUE!</v>
      </c>
      <c r="T535" s="8">
        <v>7.69</v>
      </c>
      <c r="U535" s="9">
        <f>T535*0.955</f>
        <v>7.3439500000000004</v>
      </c>
    </row>
    <row r="536" spans="2:21" ht="15" customHeight="1">
      <c r="B536" s="128" t="s">
        <v>535</v>
      </c>
      <c r="C536" s="128" t="s">
        <v>2982</v>
      </c>
      <c r="D536" s="129">
        <v>46045.667314814818</v>
      </c>
      <c r="E536" s="130">
        <v>10.056149999999999</v>
      </c>
      <c r="F536" s="131">
        <v>4.4999999999999998E-2</v>
      </c>
      <c r="G536" s="126">
        <f t="shared" si="9"/>
        <v>10.53</v>
      </c>
      <c r="H536" s="126" t="s">
        <v>73</v>
      </c>
      <c r="I536" s="127" t="s">
        <v>16</v>
      </c>
      <c r="J536" s="126">
        <v>10.5</v>
      </c>
      <c r="K536" s="126">
        <v>100.04</v>
      </c>
      <c r="L536" s="129">
        <f>INT(base[[#This Row],[Data de liquidação]])</f>
        <v>46045</v>
      </c>
      <c r="M536" s="126">
        <f>base[[#This Row],[L/P Bruto]]-base[[#This Row],[L/P Líquido]]</f>
        <v>0.47385000000000055</v>
      </c>
      <c r="N536" s="126">
        <f>base[[#This Row],[L/P Líquido]]/base[[#This Row],[Stake/Responsabilidade]]</f>
        <v>0.10052129148340662</v>
      </c>
      <c r="O536" s="132">
        <f>IF(base[[#This Row],[L/P Líquido]]&gt;0,1,0)</f>
        <v>1</v>
      </c>
      <c r="P536" s="132"/>
      <c r="Q536" s="132" t="str">
        <f>LEFT(base[[#This Row],[Evento / Mercado]],FIND("vs",base[[#This Row],[Evento / Mercado]])-2)</f>
        <v>Trabzonspor</v>
      </c>
      <c r="R5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Kasimpasa SK</v>
      </c>
      <c r="S536" s="132" t="e">
        <f>LEFT(base[[#This Row],[Evento / Mercado]],FIND("/",base[[#This Row],[Evento / Mercado]])-2)</f>
        <v>#VALUE!</v>
      </c>
      <c r="T536" s="8">
        <v>10.53</v>
      </c>
      <c r="U536" s="9">
        <f>T536*0.955</f>
        <v>10.056149999999999</v>
      </c>
    </row>
    <row r="537" spans="2:21" ht="15" customHeight="1">
      <c r="B537" s="128" t="s">
        <v>534</v>
      </c>
      <c r="C537" s="128" t="s">
        <v>2982</v>
      </c>
      <c r="D537" s="129">
        <v>46045.687002314815</v>
      </c>
      <c r="E537" s="130">
        <v>8.9600000000000009</v>
      </c>
      <c r="F537" s="131">
        <v>4.4999999999999998E-2</v>
      </c>
      <c r="G537" s="126">
        <f t="shared" si="9"/>
        <v>9.3821989528795822</v>
      </c>
      <c r="H537" s="126" t="s">
        <v>74</v>
      </c>
      <c r="I537" s="127" t="s">
        <v>476</v>
      </c>
      <c r="J537" s="126">
        <v>17</v>
      </c>
      <c r="K537" s="126">
        <v>150.08000000000001</v>
      </c>
      <c r="L537" s="129">
        <f>INT(base[[#This Row],[Data de liquidação]])</f>
        <v>46045</v>
      </c>
      <c r="M537" s="126">
        <f>base[[#This Row],[L/P Bruto]]-base[[#This Row],[L/P Líquido]]</f>
        <v>0.42219895287958131</v>
      </c>
      <c r="N537" s="139">
        <f>base[[#This Row],[L/P Líquido]]/base[[#This Row],[Stake/Responsabilidade]]</f>
        <v>5.9701492537313432E-2</v>
      </c>
      <c r="O537" s="132">
        <f>IF(base[[#This Row],[L/P Líquido]]&gt;0,1,0)</f>
        <v>1</v>
      </c>
      <c r="P537" s="132" t="s">
        <v>974</v>
      </c>
      <c r="Q537" s="132" t="str">
        <f>LEFT(base[[#This Row],[Evento / Mercado]],FIND("vs",base[[#This Row],[Evento / Mercado]])-2)</f>
        <v>SV Darmstadt 98</v>
      </c>
      <c r="R5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Nürnberg</v>
      </c>
      <c r="S537" s="132" t="e">
        <f>LEFT(base[[#This Row],[Evento / Mercado]],FIND("/",base[[#This Row],[Evento / Mercado]])-2)</f>
        <v>#VALUE!</v>
      </c>
    </row>
    <row r="538" spans="2:21" ht="15" customHeight="1">
      <c r="B538" s="128" t="s">
        <v>533</v>
      </c>
      <c r="C538" s="128" t="s">
        <v>2982</v>
      </c>
      <c r="D538" s="129">
        <v>46045.705289351848</v>
      </c>
      <c r="E538" s="130">
        <v>-60</v>
      </c>
      <c r="F538" s="131">
        <v>4.4999999999999998E-2</v>
      </c>
      <c r="G538" s="126">
        <f t="shared" si="9"/>
        <v>-60</v>
      </c>
      <c r="H538" s="126" t="s">
        <v>231</v>
      </c>
      <c r="I538" s="127" t="s">
        <v>232</v>
      </c>
      <c r="J538" s="126">
        <v>1.8</v>
      </c>
      <c r="K538" s="126">
        <v>60</v>
      </c>
      <c r="L538" s="129">
        <f>INT(base[[#This Row],[Data de liquidação]])</f>
        <v>46045</v>
      </c>
      <c r="M538" s="126">
        <f>base[[#This Row],[L/P Bruto]]-base[[#This Row],[L/P Líquido]]</f>
        <v>0</v>
      </c>
      <c r="N538" s="126">
        <f>base[[#This Row],[L/P Líquido]]/base[[#This Row],[Stake/Responsabilidade]]</f>
        <v>-1</v>
      </c>
      <c r="O538" s="132">
        <f>IF(base[[#This Row],[L/P Líquido]]&gt;0,1,0)</f>
        <v>0</v>
      </c>
      <c r="P538" s="132"/>
      <c r="Q538" s="132" t="str">
        <f>LEFT(base[[#This Row],[Evento / Mercado]],FIND("vs",base[[#This Row],[Evento / Mercado]])-2)</f>
        <v>Viktoria Köln</v>
      </c>
      <c r="R5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Saarbrücken</v>
      </c>
      <c r="S538" s="132" t="e">
        <f>LEFT(base[[#This Row],[Evento / Mercado]],FIND("/",base[[#This Row],[Evento / Mercado]])-2)</f>
        <v>#VALUE!</v>
      </c>
    </row>
    <row r="539" spans="2:21" ht="15" customHeight="1">
      <c r="B539" s="128" t="s">
        <v>532</v>
      </c>
      <c r="C539" s="128" t="s">
        <v>2982</v>
      </c>
      <c r="D539" s="129">
        <v>46045.745439814818</v>
      </c>
      <c r="E539" s="130">
        <v>5.91</v>
      </c>
      <c r="F539" s="131">
        <v>4.4999999999999998E-2</v>
      </c>
      <c r="G539" s="126">
        <f t="shared" si="9"/>
        <v>6.1884816753926701</v>
      </c>
      <c r="H539" s="126" t="s">
        <v>73</v>
      </c>
      <c r="I539" s="127" t="s">
        <v>13</v>
      </c>
      <c r="J539" s="126">
        <v>17</v>
      </c>
      <c r="K539" s="126">
        <v>98.98</v>
      </c>
      <c r="L539" s="129">
        <f>INT(base[[#This Row],[Data de liquidação]])</f>
        <v>46045</v>
      </c>
      <c r="M539" s="126">
        <f>base[[#This Row],[L/P Bruto]]-base[[#This Row],[L/P Líquido]]</f>
        <v>0.27848167539266999</v>
      </c>
      <c r="N539" s="126">
        <f>base[[#This Row],[L/P Líquido]]/base[[#This Row],[Stake/Responsabilidade]]</f>
        <v>5.9709032127702566E-2</v>
      </c>
      <c r="O539" s="132">
        <f>IF(base[[#This Row],[L/P Líquido]]&gt;0,1,0)</f>
        <v>1</v>
      </c>
      <c r="P539" s="132"/>
      <c r="Q539" s="132" t="str">
        <f>LEFT(base[[#This Row],[Evento / Mercado]],FIND("vs",base[[#This Row],[Evento / Mercado]])-2)</f>
        <v>Pau FC</v>
      </c>
      <c r="R5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Grenoble Foot 38</v>
      </c>
      <c r="S539" s="132" t="e">
        <f>LEFT(base[[#This Row],[Evento / Mercado]],FIND("/",base[[#This Row],[Evento / Mercado]])-2)</f>
        <v>#VALUE!</v>
      </c>
    </row>
    <row r="540" spans="2:21" ht="15" customHeight="1">
      <c r="B540" s="128" t="s">
        <v>531</v>
      </c>
      <c r="C540" s="128" t="s">
        <v>2982</v>
      </c>
      <c r="D540" s="129">
        <v>46045.748680555553</v>
      </c>
      <c r="E540" s="130">
        <v>11.46</v>
      </c>
      <c r="F540" s="131">
        <v>4.4999999999999998E-2</v>
      </c>
      <c r="G540" s="126">
        <f t="shared" si="9"/>
        <v>12.000000000000002</v>
      </c>
      <c r="H540" s="126" t="s">
        <v>74</v>
      </c>
      <c r="I540" s="127" t="s">
        <v>541</v>
      </c>
      <c r="J540" s="126">
        <v>13.5</v>
      </c>
      <c r="K540" s="126">
        <v>150</v>
      </c>
      <c r="L540" s="129">
        <f>INT(base[[#This Row],[Data de liquidação]])</f>
        <v>46045</v>
      </c>
      <c r="M540" s="126">
        <f>base[[#This Row],[L/P Bruto]]-base[[#This Row],[L/P Líquido]]</f>
        <v>0.54000000000000092</v>
      </c>
      <c r="N540" s="139">
        <f>base[[#This Row],[L/P Líquido]]/base[[#This Row],[Stake/Responsabilidade]]</f>
        <v>7.640000000000001E-2</v>
      </c>
      <c r="O540" s="132">
        <f>IF(base[[#This Row],[L/P Líquido]]&gt;0,1,0)</f>
        <v>1</v>
      </c>
      <c r="P540" s="132" t="s">
        <v>960</v>
      </c>
      <c r="Q540" s="132" t="str">
        <f>LEFT(base[[#This Row],[Evento / Mercado]],FIND("vs",base[[#This Row],[Evento / Mercado]])-2)</f>
        <v>Vitesse</v>
      </c>
      <c r="R5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ADO Den Haag</v>
      </c>
      <c r="S540" s="132" t="e">
        <f>LEFT(base[[#This Row],[Evento / Mercado]],FIND("/",base[[#This Row],[Evento / Mercado]])-2)</f>
        <v>#VALUE!</v>
      </c>
    </row>
    <row r="541" spans="2:21" ht="15" customHeight="1">
      <c r="B541" s="128" t="s">
        <v>530</v>
      </c>
      <c r="C541" s="128" t="s">
        <v>2982</v>
      </c>
      <c r="D541" s="129">
        <v>46045.749467592592</v>
      </c>
      <c r="E541" s="130">
        <v>5.6153999999999993</v>
      </c>
      <c r="F541" s="131">
        <v>4.4999999999999998E-2</v>
      </c>
      <c r="G541" s="126">
        <f t="shared" si="9"/>
        <v>5.88</v>
      </c>
      <c r="H541" s="126" t="s">
        <v>73</v>
      </c>
      <c r="I541" s="127" t="s">
        <v>13</v>
      </c>
      <c r="J541" s="126">
        <v>18</v>
      </c>
      <c r="K541" s="126">
        <v>99.96</v>
      </c>
      <c r="L541" s="129">
        <f>INT(base[[#This Row],[Data de liquidação]])</f>
        <v>46045</v>
      </c>
      <c r="M541" s="126">
        <f>base[[#This Row],[L/P Bruto]]-base[[#This Row],[L/P Líquido]]</f>
        <v>0.26460000000000061</v>
      </c>
      <c r="N541" s="126">
        <f>base[[#This Row],[L/P Líquido]]/base[[#This Row],[Stake/Responsabilidade]]</f>
        <v>5.6176470588235293E-2</v>
      </c>
      <c r="O541" s="132">
        <f>IF(base[[#This Row],[L/P Líquido]]&gt;0,1,0)</f>
        <v>1</v>
      </c>
      <c r="P541" s="132"/>
      <c r="Q541" s="132" t="str">
        <f>LEFT(base[[#This Row],[Evento / Mercado]],FIND("vs",base[[#This Row],[Evento / Mercado]])-2)</f>
        <v>Roda JC</v>
      </c>
      <c r="R5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TOP Oss</v>
      </c>
      <c r="S541" s="132" t="e">
        <f>LEFT(base[[#This Row],[Evento / Mercado]],FIND("/",base[[#This Row],[Evento / Mercado]])-2)</f>
        <v>#VALUE!</v>
      </c>
      <c r="T541" s="8">
        <v>5.88</v>
      </c>
      <c r="U541" s="9">
        <f>T541*0.955</f>
        <v>5.6153999999999993</v>
      </c>
    </row>
    <row r="542" spans="2:21" ht="15" customHeight="1">
      <c r="B542" s="128" t="s">
        <v>530</v>
      </c>
      <c r="C542" s="128" t="s">
        <v>2982</v>
      </c>
      <c r="D542" s="129">
        <v>46045.749467592592</v>
      </c>
      <c r="E542" s="130">
        <v>9.5499999999999989</v>
      </c>
      <c r="F542" s="131">
        <v>4.4999999999999998E-2</v>
      </c>
      <c r="G542" s="126">
        <f t="shared" si="9"/>
        <v>10</v>
      </c>
      <c r="H542" s="126" t="s">
        <v>73</v>
      </c>
      <c r="I542" s="127" t="s">
        <v>16</v>
      </c>
      <c r="J542" s="126">
        <v>11</v>
      </c>
      <c r="K542" s="126">
        <v>100</v>
      </c>
      <c r="L542" s="129">
        <f>INT(base[[#This Row],[Data de liquidação]])</f>
        <v>46045</v>
      </c>
      <c r="M542" s="126">
        <f>base[[#This Row],[L/P Bruto]]-base[[#This Row],[L/P Líquido]]</f>
        <v>0.45000000000000107</v>
      </c>
      <c r="N542" s="126">
        <f>base[[#This Row],[L/P Líquido]]/base[[#This Row],[Stake/Responsabilidade]]</f>
        <v>9.5499999999999988E-2</v>
      </c>
      <c r="O542" s="132">
        <f>IF(base[[#This Row],[L/P Líquido]]&gt;0,1,0)</f>
        <v>1</v>
      </c>
      <c r="P542" s="132"/>
      <c r="Q542" s="132" t="str">
        <f>LEFT(base[[#This Row],[Evento / Mercado]],FIND("vs",base[[#This Row],[Evento / Mercado]])-2)</f>
        <v>Roda JC</v>
      </c>
      <c r="R5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TOP Oss</v>
      </c>
      <c r="S542" s="132" t="e">
        <f>LEFT(base[[#This Row],[Evento / Mercado]],FIND("/",base[[#This Row],[Evento / Mercado]])-2)</f>
        <v>#VALUE!</v>
      </c>
      <c r="T542" s="8">
        <v>10</v>
      </c>
      <c r="U542" s="9">
        <f>T542*0.955</f>
        <v>9.5499999999999989</v>
      </c>
    </row>
    <row r="543" spans="2:21" ht="15" customHeight="1">
      <c r="B543" s="128" t="s">
        <v>529</v>
      </c>
      <c r="C543" s="128" t="s">
        <v>2982</v>
      </c>
      <c r="D543" s="129">
        <v>46045.753923611112</v>
      </c>
      <c r="E543" s="130">
        <v>5.62</v>
      </c>
      <c r="F543" s="131">
        <v>4.4999999999999998E-2</v>
      </c>
      <c r="G543" s="126">
        <f t="shared" si="9"/>
        <v>5.8848167539267022</v>
      </c>
      <c r="H543" s="126" t="s">
        <v>73</v>
      </c>
      <c r="I543" s="127" t="s">
        <v>13</v>
      </c>
      <c r="J543" s="126">
        <v>18</v>
      </c>
      <c r="K543" s="126">
        <v>99.96</v>
      </c>
      <c r="L543" s="129">
        <f>INT(base[[#This Row],[Data de liquidação]])</f>
        <v>46045</v>
      </c>
      <c r="M543" s="126">
        <f>base[[#This Row],[L/P Bruto]]-base[[#This Row],[L/P Líquido]]</f>
        <v>0.26481675392670212</v>
      </c>
      <c r="N543" s="126">
        <f>base[[#This Row],[L/P Líquido]]/base[[#This Row],[Stake/Responsabilidade]]</f>
        <v>5.6222488995598244E-2</v>
      </c>
      <c r="O543" s="132">
        <f>IF(base[[#This Row],[L/P Líquido]]&gt;0,1,0)</f>
        <v>1</v>
      </c>
      <c r="P543" s="132"/>
      <c r="Q543" s="132" t="str">
        <f>LEFT(base[[#This Row],[Evento / Mercado]],FIND("vs",base[[#This Row],[Evento / Mercado]])-2)</f>
        <v>FC Vaduz</v>
      </c>
      <c r="R5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Wil 1900</v>
      </c>
      <c r="S543" s="132" t="e">
        <f>LEFT(base[[#This Row],[Evento / Mercado]],FIND("/",base[[#This Row],[Evento / Mercado]])-2)</f>
        <v>#VALUE!</v>
      </c>
    </row>
    <row r="544" spans="2:21" ht="15" customHeight="1">
      <c r="B544" s="128" t="s">
        <v>528</v>
      </c>
      <c r="C544" s="128" t="s">
        <v>2982</v>
      </c>
      <c r="D544" s="129">
        <v>46045.778020833335</v>
      </c>
      <c r="E544" s="130">
        <v>8.68</v>
      </c>
      <c r="F544" s="131">
        <v>4.4999999999999998E-2</v>
      </c>
      <c r="G544" s="126">
        <f t="shared" si="9"/>
        <v>9.0890052356020945</v>
      </c>
      <c r="H544" s="126" t="s">
        <v>73</v>
      </c>
      <c r="I544" s="127" t="s">
        <v>16</v>
      </c>
      <c r="J544" s="126">
        <v>12</v>
      </c>
      <c r="K544" s="126">
        <v>99.99</v>
      </c>
      <c r="L544" s="129">
        <f>INT(base[[#This Row],[Data de liquidação]])</f>
        <v>46045</v>
      </c>
      <c r="M544" s="126">
        <f>base[[#This Row],[L/P Bruto]]-base[[#This Row],[L/P Líquido]]</f>
        <v>0.40900523560209479</v>
      </c>
      <c r="N544" s="126">
        <f>base[[#This Row],[L/P Líquido]]/base[[#This Row],[Stake/Responsabilidade]]</f>
        <v>8.680868086808681E-2</v>
      </c>
      <c r="O544" s="132">
        <f>IF(base[[#This Row],[L/P Líquido]]&gt;0,1,0)</f>
        <v>1</v>
      </c>
      <c r="P544" s="132"/>
      <c r="Q544" s="132" t="str">
        <f>LEFT(base[[#This Row],[Evento / Mercado]],FIND("vs",base[[#This Row],[Evento / Mercado]])-2)</f>
        <v>Briton Ferry</v>
      </c>
      <c r="R5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Llanelli Town</v>
      </c>
      <c r="S544" s="132" t="e">
        <f>LEFT(base[[#This Row],[Evento / Mercado]],FIND("/",base[[#This Row],[Evento / Mercado]])-2)</f>
        <v>#VALUE!</v>
      </c>
    </row>
    <row r="545" spans="2:21" ht="15" customHeight="1">
      <c r="B545" s="128" t="s">
        <v>527</v>
      </c>
      <c r="C545" s="128" t="s">
        <v>2982</v>
      </c>
      <c r="D545" s="129">
        <v>46046.455312500002</v>
      </c>
      <c r="E545" s="130">
        <v>8.68</v>
      </c>
      <c r="F545" s="131">
        <v>4.4999999999999998E-2</v>
      </c>
      <c r="G545" s="126">
        <f t="shared" si="9"/>
        <v>9.0890052356020945</v>
      </c>
      <c r="H545" s="126" t="s">
        <v>73</v>
      </c>
      <c r="I545" s="127" t="s">
        <v>16</v>
      </c>
      <c r="J545" s="126">
        <v>12</v>
      </c>
      <c r="K545" s="126">
        <v>99.99</v>
      </c>
      <c r="L545" s="129">
        <f>INT(base[[#This Row],[Data de liquidação]])</f>
        <v>46046</v>
      </c>
      <c r="M545" s="126">
        <f>base[[#This Row],[L/P Bruto]]-base[[#This Row],[L/P Líquido]]</f>
        <v>0.40900523560209479</v>
      </c>
      <c r="N545" s="126">
        <f>base[[#This Row],[L/P Líquido]]/base[[#This Row],[Stake/Responsabilidade]]</f>
        <v>8.680868086808681E-2</v>
      </c>
      <c r="O545" s="132">
        <f>IF(base[[#This Row],[L/P Líquido]]&gt;0,1,0)</f>
        <v>1</v>
      </c>
      <c r="P545" s="132"/>
      <c r="Q545" s="132" t="str">
        <f>LEFT(base[[#This Row],[Evento / Mercado]],FIND("vs",base[[#This Row],[Evento / Mercado]])-2)</f>
        <v>Hannover 96</v>
      </c>
      <c r="R5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Düsseldorf</v>
      </c>
      <c r="S545" s="132" t="e">
        <f>LEFT(base[[#This Row],[Evento / Mercado]],FIND("/",base[[#This Row],[Evento / Mercado]])-2)</f>
        <v>#VALUE!</v>
      </c>
    </row>
    <row r="546" spans="2:21" ht="15" customHeight="1">
      <c r="B546" s="128" t="s">
        <v>526</v>
      </c>
      <c r="C546" s="128" t="s">
        <v>2982</v>
      </c>
      <c r="D546" s="129">
        <v>46046.458356481482</v>
      </c>
      <c r="E546" s="130">
        <v>-60</v>
      </c>
      <c r="F546" s="131">
        <v>4.4999999999999998E-2</v>
      </c>
      <c r="G546" s="126">
        <f t="shared" si="9"/>
        <v>-60</v>
      </c>
      <c r="H546" s="126" t="s">
        <v>231</v>
      </c>
      <c r="I546" s="127" t="s">
        <v>266</v>
      </c>
      <c r="J546" s="126">
        <v>2.06</v>
      </c>
      <c r="K546" s="126">
        <v>60</v>
      </c>
      <c r="L546" s="129">
        <f>INT(base[[#This Row],[Data de liquidação]])</f>
        <v>46046</v>
      </c>
      <c r="M546" s="126">
        <f>base[[#This Row],[L/P Bruto]]-base[[#This Row],[L/P Líquido]]</f>
        <v>0</v>
      </c>
      <c r="N546" s="126">
        <f>base[[#This Row],[L/P Líquido]]/base[[#This Row],[Stake/Responsabilidade]]</f>
        <v>-1</v>
      </c>
      <c r="O546" s="132">
        <f>IF(base[[#This Row],[L/P Líquido]]&gt;0,1,0)</f>
        <v>0</v>
      </c>
      <c r="P546" s="132"/>
      <c r="Q546" s="132" t="str">
        <f>LEFT(base[[#This Row],[Evento / Mercado]],FIND("vs",base[[#This Row],[Evento / Mercado]])-2)</f>
        <v>SpVgg Greuther Fürth</v>
      </c>
      <c r="R5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546" s="132" t="e">
        <f>LEFT(base[[#This Row],[Evento / Mercado]],FIND("/",base[[#This Row],[Evento / Mercado]])-2)</f>
        <v>#VALUE!</v>
      </c>
    </row>
    <row r="547" spans="2:21" ht="15" customHeight="1">
      <c r="B547" s="128" t="s">
        <v>525</v>
      </c>
      <c r="C547" s="128" t="s">
        <v>2982</v>
      </c>
      <c r="D547" s="129">
        <v>46046.473402777781</v>
      </c>
      <c r="E547" s="130">
        <v>36.270000000000003</v>
      </c>
      <c r="F547" s="131">
        <v>4.4999999999999998E-2</v>
      </c>
      <c r="G547" s="126">
        <f t="shared" si="9"/>
        <v>37.97905759162304</v>
      </c>
      <c r="H547" s="126" t="s">
        <v>231</v>
      </c>
      <c r="I547" s="127" t="s">
        <v>232</v>
      </c>
      <c r="J547" s="126">
        <v>1.63</v>
      </c>
      <c r="K547" s="126">
        <v>60</v>
      </c>
      <c r="L547" s="129">
        <f>INT(base[[#This Row],[Data de liquidação]])</f>
        <v>46046</v>
      </c>
      <c r="M547" s="126">
        <f>base[[#This Row],[L/P Bruto]]-base[[#This Row],[L/P Líquido]]</f>
        <v>1.7090575916230364</v>
      </c>
      <c r="N547" s="126">
        <f>base[[#This Row],[L/P Líquido]]/base[[#This Row],[Stake/Responsabilidade]]</f>
        <v>0.60450000000000004</v>
      </c>
      <c r="O547" s="132">
        <f>IF(base[[#This Row],[L/P Líquido]]&gt;0,1,0)</f>
        <v>1</v>
      </c>
      <c r="P547" s="132"/>
      <c r="Q547" s="132" t="str">
        <f>LEFT(base[[#This Row],[Evento / Mercado]],FIND("vs",base[[#This Row],[Evento / Mercado]])-2)</f>
        <v>1899 Hoffenheim II</v>
      </c>
      <c r="R5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Alemannia Aachen</v>
      </c>
      <c r="S547" s="132" t="e">
        <f>LEFT(base[[#This Row],[Evento / Mercado]],FIND("/",base[[#This Row],[Evento / Mercado]])-2)</f>
        <v>#VALUE!</v>
      </c>
    </row>
    <row r="548" spans="2:21" ht="15" customHeight="1">
      <c r="B548" s="128" t="s">
        <v>524</v>
      </c>
      <c r="C548" s="128" t="s">
        <v>2982</v>
      </c>
      <c r="D548" s="129">
        <v>46046.473981481482</v>
      </c>
      <c r="E548" s="130">
        <v>63.67</v>
      </c>
      <c r="F548" s="131">
        <v>4.4999999999999998E-2</v>
      </c>
      <c r="G548" s="126">
        <f t="shared" si="9"/>
        <v>66.670157068062835</v>
      </c>
      <c r="H548" s="126" t="s">
        <v>231</v>
      </c>
      <c r="I548" s="127" t="s">
        <v>266</v>
      </c>
      <c r="J548" s="126">
        <v>2.11</v>
      </c>
      <c r="K548" s="126">
        <v>60</v>
      </c>
      <c r="L548" s="129">
        <f>INT(base[[#This Row],[Data de liquidação]])</f>
        <v>46046</v>
      </c>
      <c r="M548" s="126">
        <f>base[[#This Row],[L/P Bruto]]-base[[#This Row],[L/P Líquido]]</f>
        <v>3.0001570680628333</v>
      </c>
      <c r="N548" s="126">
        <f>base[[#This Row],[L/P Líquido]]/base[[#This Row],[Stake/Responsabilidade]]</f>
        <v>1.0611666666666666</v>
      </c>
      <c r="O548" s="132">
        <f>IF(base[[#This Row],[L/P Líquido]]&gt;0,1,0)</f>
        <v>1</v>
      </c>
      <c r="P548" s="132"/>
      <c r="Q548" s="132" t="str">
        <f>LEFT(base[[#This Row],[Evento / Mercado]],FIND("vs",base[[#This Row],[Evento / Mercado]])-2)</f>
        <v>Rayo Vallecano</v>
      </c>
      <c r="R5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548" s="132" t="e">
        <f>LEFT(base[[#This Row],[Evento / Mercado]],FIND("/",base[[#This Row],[Evento / Mercado]])-2)</f>
        <v>#VALUE!</v>
      </c>
    </row>
    <row r="549" spans="2:21" ht="15" customHeight="1">
      <c r="B549" s="128" t="s">
        <v>523</v>
      </c>
      <c r="C549" s="128" t="s">
        <v>2982</v>
      </c>
      <c r="D549" s="129">
        <v>46046.474247685182</v>
      </c>
      <c r="E549" s="130">
        <v>9.5500000000000007</v>
      </c>
      <c r="F549" s="131">
        <v>4.4999999999999998E-2</v>
      </c>
      <c r="G549" s="126">
        <f t="shared" si="9"/>
        <v>10.000000000000002</v>
      </c>
      <c r="H549" s="126" t="s">
        <v>73</v>
      </c>
      <c r="I549" s="127" t="s">
        <v>13</v>
      </c>
      <c r="J549" s="126">
        <v>11</v>
      </c>
      <c r="K549" s="126">
        <v>100</v>
      </c>
      <c r="L549" s="129">
        <f>INT(base[[#This Row],[Data de liquidação]])</f>
        <v>46046</v>
      </c>
      <c r="M549" s="126">
        <f>base[[#This Row],[L/P Bruto]]-base[[#This Row],[L/P Líquido]]</f>
        <v>0.45000000000000107</v>
      </c>
      <c r="N549" s="126">
        <f>base[[#This Row],[L/P Líquido]]/base[[#This Row],[Stake/Responsabilidade]]</f>
        <v>9.5500000000000002E-2</v>
      </c>
      <c r="O549" s="132">
        <f>IF(base[[#This Row],[L/P Líquido]]&gt;0,1,0)</f>
        <v>1</v>
      </c>
      <c r="P549" s="132"/>
      <c r="Q549" s="132" t="str">
        <f>LEFT(base[[#This Row],[Evento / Mercado]],FIND("vs",base[[#This Row],[Evento / Mercado]])-2)</f>
        <v>FK Qarabag</v>
      </c>
      <c r="R5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Kapaz</v>
      </c>
      <c r="S549" s="132" t="e">
        <f>LEFT(base[[#This Row],[Evento / Mercado]],FIND("/",base[[#This Row],[Evento / Mercado]])-2)</f>
        <v>#VALUE!</v>
      </c>
    </row>
    <row r="550" spans="2:21" ht="15" customHeight="1">
      <c r="B550" s="128" t="s">
        <v>522</v>
      </c>
      <c r="C550" s="128" t="s">
        <v>2982</v>
      </c>
      <c r="D550" s="129">
        <v>46046.474374999998</v>
      </c>
      <c r="E550" s="130">
        <v>12.902049999999999</v>
      </c>
      <c r="F550" s="131">
        <v>4.4999999999999998E-2</v>
      </c>
      <c r="G550" s="126">
        <f t="shared" si="9"/>
        <v>13.51</v>
      </c>
      <c r="H550" s="126" t="s">
        <v>73</v>
      </c>
      <c r="I550" s="127" t="s">
        <v>16</v>
      </c>
      <c r="J550" s="126">
        <v>8.4</v>
      </c>
      <c r="K550" s="126">
        <v>99.97</v>
      </c>
      <c r="L550" s="129">
        <f>INT(base[[#This Row],[Data de liquidação]])</f>
        <v>46046</v>
      </c>
      <c r="M550" s="126">
        <f>base[[#This Row],[L/P Bruto]]-base[[#This Row],[L/P Líquido]]</f>
        <v>0.60795000000000066</v>
      </c>
      <c r="N550" s="126">
        <f>base[[#This Row],[L/P Líquido]]/base[[#This Row],[Stake/Responsabilidade]]</f>
        <v>0.12905921776532958</v>
      </c>
      <c r="O550" s="132">
        <f>IF(base[[#This Row],[L/P Líquido]]&gt;0,1,0)</f>
        <v>1</v>
      </c>
      <c r="P550" s="132"/>
      <c r="Q550" s="132" t="str">
        <f>LEFT(base[[#This Row],[Evento / Mercado]],FIND("vs",base[[#This Row],[Evento / Mercado]])-2)</f>
        <v>Middlesbrough</v>
      </c>
      <c r="R5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Preston North End</v>
      </c>
      <c r="S550" s="132" t="e">
        <f>LEFT(base[[#This Row],[Evento / Mercado]],FIND("/",base[[#This Row],[Evento / Mercado]])-2)</f>
        <v>#VALUE!</v>
      </c>
      <c r="T550" s="8">
        <v>13.51</v>
      </c>
      <c r="U550" s="9">
        <f>T550*0.955</f>
        <v>12.902049999999999</v>
      </c>
    </row>
    <row r="551" spans="2:21" ht="15" customHeight="1">
      <c r="B551" s="128" t="s">
        <v>522</v>
      </c>
      <c r="C551" s="128" t="s">
        <v>2982</v>
      </c>
      <c r="D551" s="129">
        <v>46046.474374999998</v>
      </c>
      <c r="E551" s="130">
        <v>2.9127499999999995</v>
      </c>
      <c r="F551" s="131">
        <v>4.4999999999999998E-2</v>
      </c>
      <c r="G551" s="126">
        <f t="shared" si="9"/>
        <v>3.05</v>
      </c>
      <c r="H551" s="126" t="s">
        <v>73</v>
      </c>
      <c r="I551" s="127" t="s">
        <v>13</v>
      </c>
      <c r="J551" s="126">
        <v>18</v>
      </c>
      <c r="K551" s="126">
        <v>51.85</v>
      </c>
      <c r="L551" s="129">
        <f>INT(base[[#This Row],[Data de liquidação]])</f>
        <v>46046</v>
      </c>
      <c r="M551" s="126">
        <f>base[[#This Row],[L/P Bruto]]-base[[#This Row],[L/P Líquido]]</f>
        <v>0.13725000000000032</v>
      </c>
      <c r="N551" s="126">
        <f>base[[#This Row],[L/P Líquido]]/base[[#This Row],[Stake/Responsabilidade]]</f>
        <v>5.6176470588235286E-2</v>
      </c>
      <c r="O551" s="132">
        <f>IF(base[[#This Row],[L/P Líquido]]&gt;0,1,0)</f>
        <v>1</v>
      </c>
      <c r="P551" s="132"/>
      <c r="Q551" s="132" t="str">
        <f>LEFT(base[[#This Row],[Evento / Mercado]],FIND("vs",base[[#This Row],[Evento / Mercado]])-2)</f>
        <v>Middlesbrough</v>
      </c>
      <c r="R5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Preston North End</v>
      </c>
      <c r="S551" s="132" t="e">
        <f>LEFT(base[[#This Row],[Evento / Mercado]],FIND("/",base[[#This Row],[Evento / Mercado]])-2)</f>
        <v>#VALUE!</v>
      </c>
      <c r="T551" s="8">
        <v>3.05</v>
      </c>
      <c r="U551" s="9">
        <f>T551*0.955</f>
        <v>2.9127499999999995</v>
      </c>
    </row>
    <row r="552" spans="2:21" ht="15" customHeight="1">
      <c r="B552" s="128" t="s">
        <v>521</v>
      </c>
      <c r="C552" s="128" t="s">
        <v>2982</v>
      </c>
      <c r="D552" s="129">
        <v>46046.47587962963</v>
      </c>
      <c r="E552" s="130">
        <v>6.59</v>
      </c>
      <c r="F552" s="131">
        <v>4.4999999999999998E-2</v>
      </c>
      <c r="G552" s="126">
        <f t="shared" si="9"/>
        <v>6.9005235602094244</v>
      </c>
      <c r="H552" s="126" t="s">
        <v>73</v>
      </c>
      <c r="I552" s="127" t="s">
        <v>13</v>
      </c>
      <c r="J552" s="126">
        <v>15.5</v>
      </c>
      <c r="K552" s="126">
        <v>100.05</v>
      </c>
      <c r="L552" s="129">
        <f>INT(base[[#This Row],[Data de liquidação]])</f>
        <v>46046</v>
      </c>
      <c r="M552" s="126">
        <f>base[[#This Row],[L/P Bruto]]-base[[#This Row],[L/P Líquido]]</f>
        <v>0.31052356020942451</v>
      </c>
      <c r="N552" s="126">
        <f>base[[#This Row],[L/P Líquido]]/base[[#This Row],[Stake/Responsabilidade]]</f>
        <v>6.5867066466766613E-2</v>
      </c>
      <c r="O552" s="132">
        <f>IF(base[[#This Row],[L/P Líquido]]&gt;0,1,0)</f>
        <v>1</v>
      </c>
      <c r="P552" s="132"/>
      <c r="Q552" s="132" t="str">
        <f>LEFT(base[[#This Row],[Evento / Mercado]],FIND("vs",base[[#This Row],[Evento / Mercado]])-2)</f>
        <v>Millwall</v>
      </c>
      <c r="R5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Charlton Athletic</v>
      </c>
      <c r="S552" s="132" t="e">
        <f>LEFT(base[[#This Row],[Evento / Mercado]],FIND("/",base[[#This Row],[Evento / Mercado]])-2)</f>
        <v>#VALUE!</v>
      </c>
    </row>
    <row r="553" spans="2:21" ht="15" customHeight="1">
      <c r="B553" s="128" t="s">
        <v>520</v>
      </c>
      <c r="C553" s="128" t="s">
        <v>2982</v>
      </c>
      <c r="D553" s="129">
        <v>46046.477407407408</v>
      </c>
      <c r="E553" s="130">
        <v>-60</v>
      </c>
      <c r="F553" s="131">
        <v>4.4999999999999998E-2</v>
      </c>
      <c r="G553" s="126">
        <f t="shared" si="9"/>
        <v>-60</v>
      </c>
      <c r="H553" s="126" t="s">
        <v>231</v>
      </c>
      <c r="I553" s="127" t="s">
        <v>232</v>
      </c>
      <c r="J553" s="126">
        <v>2.5</v>
      </c>
      <c r="K553" s="126">
        <v>60</v>
      </c>
      <c r="L553" s="129">
        <f>INT(base[[#This Row],[Data de liquidação]])</f>
        <v>46046</v>
      </c>
      <c r="M553" s="126">
        <f>base[[#This Row],[L/P Bruto]]-base[[#This Row],[L/P Líquido]]</f>
        <v>0</v>
      </c>
      <c r="N553" s="126">
        <f>base[[#This Row],[L/P Líquido]]/base[[#This Row],[Stake/Responsabilidade]]</f>
        <v>-1</v>
      </c>
      <c r="O553" s="132">
        <f>IF(base[[#This Row],[L/P Líquido]]&gt;0,1,0)</f>
        <v>0</v>
      </c>
      <c r="P553" s="132"/>
      <c r="Q553" s="132" t="str">
        <f>LEFT(base[[#This Row],[Evento / Mercado]],FIND("vs",base[[#This Row],[Evento / Mercado]])-2)</f>
        <v>Huddersfield Town</v>
      </c>
      <c r="R5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Bradford City</v>
      </c>
      <c r="S553" s="132" t="e">
        <f>LEFT(base[[#This Row],[Evento / Mercado]],FIND("/",base[[#This Row],[Evento / Mercado]])-2)</f>
        <v>#VALUE!</v>
      </c>
    </row>
    <row r="554" spans="2:21" ht="15" customHeight="1">
      <c r="B554" s="128" t="s">
        <v>519</v>
      </c>
      <c r="C554" s="128" t="s">
        <v>2982</v>
      </c>
      <c r="D554" s="129">
        <v>46046.496157407404</v>
      </c>
      <c r="E554" s="130">
        <v>13.026199999999999</v>
      </c>
      <c r="F554" s="131">
        <v>4.4999999999999998E-2</v>
      </c>
      <c r="G554" s="126">
        <f t="shared" si="9"/>
        <v>13.64</v>
      </c>
      <c r="H554" s="126" t="s">
        <v>74</v>
      </c>
      <c r="I554" s="127" t="s">
        <v>477</v>
      </c>
      <c r="J554" s="126">
        <v>12</v>
      </c>
      <c r="K554" s="126">
        <v>150.04</v>
      </c>
      <c r="L554" s="129">
        <f>INT(base[[#This Row],[Data de liquidação]])</f>
        <v>46046</v>
      </c>
      <c r="M554" s="126">
        <f>base[[#This Row],[L/P Bruto]]-base[[#This Row],[L/P Líquido]]</f>
        <v>0.61380000000000123</v>
      </c>
      <c r="N554" s="139">
        <f>base[[#This Row],[L/P Líquido]]/base[[#This Row],[Stake/Responsabilidade]]</f>
        <v>8.6818181818181822E-2</v>
      </c>
      <c r="O554" s="132">
        <f>IF(base[[#This Row],[L/P Líquido]]&gt;0,1,0)</f>
        <v>1</v>
      </c>
      <c r="P554" s="132" t="s">
        <v>975</v>
      </c>
      <c r="Q554" s="132" t="str">
        <f>LEFT(base[[#This Row],[Evento / Mercado]],FIND("vs",base[[#This Row],[Evento / Mercado]])-2)</f>
        <v>Rot-Weiss Essen</v>
      </c>
      <c r="R5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554" s="132" t="e">
        <f>LEFT(base[[#This Row],[Evento / Mercado]],FIND("/",base[[#This Row],[Evento / Mercado]])-2)</f>
        <v>#VALUE!</v>
      </c>
      <c r="T554" s="8">
        <v>13.64</v>
      </c>
      <c r="U554" s="9">
        <f>T554*0.955</f>
        <v>13.026199999999999</v>
      </c>
    </row>
    <row r="555" spans="2:21" ht="15" customHeight="1">
      <c r="B555" s="128" t="s">
        <v>519</v>
      </c>
      <c r="C555" s="128" t="s">
        <v>2982</v>
      </c>
      <c r="D555" s="129">
        <v>46046.496157407404</v>
      </c>
      <c r="E555" s="130">
        <v>8.6809499999999993</v>
      </c>
      <c r="F555" s="131">
        <v>4.4999999999999998E-2</v>
      </c>
      <c r="G555" s="126">
        <f t="shared" si="9"/>
        <v>9.09</v>
      </c>
      <c r="H555" s="126" t="s">
        <v>73</v>
      </c>
      <c r="I555" s="127" t="s">
        <v>16</v>
      </c>
      <c r="J555" s="126">
        <v>12</v>
      </c>
      <c r="K555" s="126">
        <v>99.99</v>
      </c>
      <c r="L555" s="129">
        <f>INT(base[[#This Row],[Data de liquidação]])</f>
        <v>46046</v>
      </c>
      <c r="M555" s="126">
        <f>base[[#This Row],[L/P Bruto]]-base[[#This Row],[L/P Líquido]]</f>
        <v>0.40905000000000058</v>
      </c>
      <c r="N555" s="126">
        <f>base[[#This Row],[L/P Líquido]]/base[[#This Row],[Stake/Responsabilidade]]</f>
        <v>8.6818181818181822E-2</v>
      </c>
      <c r="O555" s="132">
        <f>IF(base[[#This Row],[L/P Líquido]]&gt;0,1,0)</f>
        <v>1</v>
      </c>
      <c r="P555" s="132"/>
      <c r="Q555" s="132" t="str">
        <f>LEFT(base[[#This Row],[Evento / Mercado]],FIND("vs",base[[#This Row],[Evento / Mercado]])-2)</f>
        <v>Rot-Weiss Essen</v>
      </c>
      <c r="R5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555" s="132" t="e">
        <f>LEFT(base[[#This Row],[Evento / Mercado]],FIND("/",base[[#This Row],[Evento / Mercado]])-2)</f>
        <v>#VALUE!</v>
      </c>
      <c r="T555" s="8">
        <v>9.09</v>
      </c>
      <c r="U555" s="9">
        <f>T555*0.955</f>
        <v>8.6809499999999993</v>
      </c>
    </row>
    <row r="556" spans="2:21" ht="15" customHeight="1">
      <c r="B556" s="128" t="s">
        <v>518</v>
      </c>
      <c r="C556" s="128" t="s">
        <v>2982</v>
      </c>
      <c r="D556" s="129">
        <v>46046.496331018519</v>
      </c>
      <c r="E556" s="130">
        <v>44.69</v>
      </c>
      <c r="F556" s="131">
        <v>4.4999999999999998E-2</v>
      </c>
      <c r="G556" s="126">
        <f t="shared" si="9"/>
        <v>46.795811518324605</v>
      </c>
      <c r="H556" s="126" t="s">
        <v>231</v>
      </c>
      <c r="I556" s="127" t="s">
        <v>232</v>
      </c>
      <c r="J556" s="126">
        <v>1.78</v>
      </c>
      <c r="K556" s="126">
        <v>60</v>
      </c>
      <c r="L556" s="129">
        <f>INT(base[[#This Row],[Data de liquidação]])</f>
        <v>46046</v>
      </c>
      <c r="M556" s="126">
        <f>base[[#This Row],[L/P Bruto]]-base[[#This Row],[L/P Líquido]]</f>
        <v>2.1058115183246073</v>
      </c>
      <c r="N556" s="126">
        <f>base[[#This Row],[L/P Líquido]]/base[[#This Row],[Stake/Responsabilidade]]</f>
        <v>0.74483333333333335</v>
      </c>
      <c r="O556" s="132">
        <f>IF(base[[#This Row],[L/P Líquido]]&gt;0,1,0)</f>
        <v>1</v>
      </c>
      <c r="P556" s="132"/>
      <c r="Q556" s="132" t="str">
        <f>LEFT(base[[#This Row],[Evento / Mercado]],FIND("vs",base[[#This Row],[Evento / Mercado]])-2)</f>
        <v>FC Erzgebirge Aue</v>
      </c>
      <c r="R5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SSV Ulm 1846</v>
      </c>
      <c r="S556" s="132" t="e">
        <f>LEFT(base[[#This Row],[Evento / Mercado]],FIND("/",base[[#This Row],[Evento / Mercado]])-2)</f>
        <v>#VALUE!</v>
      </c>
    </row>
    <row r="557" spans="2:21" ht="15" customHeight="1">
      <c r="B557" s="128" t="s">
        <v>517</v>
      </c>
      <c r="C557" s="128" t="s">
        <v>2982</v>
      </c>
      <c r="D557" s="129">
        <v>46046.501643518517</v>
      </c>
      <c r="E557" s="130">
        <v>7.9551499999999997</v>
      </c>
      <c r="F557" s="131">
        <v>4.4999999999999998E-2</v>
      </c>
      <c r="G557" s="126">
        <f t="shared" si="9"/>
        <v>8.33</v>
      </c>
      <c r="H557" s="126" t="s">
        <v>73</v>
      </c>
      <c r="I557" s="127" t="s">
        <v>16</v>
      </c>
      <c r="J557" s="126">
        <v>13</v>
      </c>
      <c r="K557" s="126">
        <v>99.96</v>
      </c>
      <c r="L557" s="129">
        <f>INT(base[[#This Row],[Data de liquidação]])</f>
        <v>46046</v>
      </c>
      <c r="M557" s="126">
        <f>base[[#This Row],[L/P Bruto]]-base[[#This Row],[L/P Líquido]]</f>
        <v>0.37485000000000035</v>
      </c>
      <c r="N557" s="126">
        <f>base[[#This Row],[L/P Líquido]]/base[[#This Row],[Stake/Responsabilidade]]</f>
        <v>7.9583333333333339E-2</v>
      </c>
      <c r="O557" s="132">
        <f>IF(base[[#This Row],[L/P Líquido]]&gt;0,1,0)</f>
        <v>1</v>
      </c>
      <c r="P557" s="132"/>
      <c r="Q557" s="132" t="str">
        <f>LEFT(base[[#This Row],[Evento / Mercado]],FIND("vs",base[[#This Row],[Evento / Mercado]])-2)</f>
        <v>Energie Cottbus</v>
      </c>
      <c r="R5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Schweinfurt 05</v>
      </c>
      <c r="S557" s="132" t="e">
        <f>LEFT(base[[#This Row],[Evento / Mercado]],FIND("/",base[[#This Row],[Evento / Mercado]])-2)</f>
        <v>#VALUE!</v>
      </c>
      <c r="T557" s="8">
        <v>8.33</v>
      </c>
      <c r="U557" s="9">
        <f>T557*0.955</f>
        <v>7.9551499999999997</v>
      </c>
    </row>
    <row r="558" spans="2:21" ht="15" customHeight="1">
      <c r="B558" s="128" t="s">
        <v>517</v>
      </c>
      <c r="C558" s="128" t="s">
        <v>2982</v>
      </c>
      <c r="D558" s="129">
        <v>46046.501643518517</v>
      </c>
      <c r="E558" s="130">
        <v>11.9375</v>
      </c>
      <c r="F558" s="131">
        <v>4.4999999999999998E-2</v>
      </c>
      <c r="G558" s="126">
        <f t="shared" si="9"/>
        <v>12.5</v>
      </c>
      <c r="H558" s="126" t="s">
        <v>74</v>
      </c>
      <c r="I558" s="127" t="s">
        <v>477</v>
      </c>
      <c r="J558" s="126">
        <v>13</v>
      </c>
      <c r="K558" s="126">
        <v>150</v>
      </c>
      <c r="L558" s="129">
        <f>INT(base[[#This Row],[Data de liquidação]])</f>
        <v>46046</v>
      </c>
      <c r="M558" s="126">
        <f>base[[#This Row],[L/P Bruto]]-base[[#This Row],[L/P Líquido]]</f>
        <v>0.5625</v>
      </c>
      <c r="N558" s="139">
        <f>base[[#This Row],[L/P Líquido]]/base[[#This Row],[Stake/Responsabilidade]]</f>
        <v>7.9583333333333339E-2</v>
      </c>
      <c r="O558" s="132">
        <f>IF(base[[#This Row],[L/P Líquido]]&gt;0,1,0)</f>
        <v>1</v>
      </c>
      <c r="P558" s="132" t="s">
        <v>975</v>
      </c>
      <c r="Q558" s="132" t="str">
        <f>LEFT(base[[#This Row],[Evento / Mercado]],FIND("vs",base[[#This Row],[Evento / Mercado]])-2)</f>
        <v>Energie Cottbus</v>
      </c>
      <c r="R5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Schweinfurt 05</v>
      </c>
      <c r="S558" s="132" t="e">
        <f>LEFT(base[[#This Row],[Evento / Mercado]],FIND("/",base[[#This Row],[Evento / Mercado]])-2)</f>
        <v>#VALUE!</v>
      </c>
      <c r="T558" s="8">
        <v>12.5</v>
      </c>
      <c r="U558" s="9">
        <f>T558*0.955</f>
        <v>11.9375</v>
      </c>
    </row>
    <row r="559" spans="2:21" ht="15" customHeight="1">
      <c r="B559" s="128" t="s">
        <v>516</v>
      </c>
      <c r="C559" s="128" t="s">
        <v>2982</v>
      </c>
      <c r="D559" s="129">
        <v>46046.537175925929</v>
      </c>
      <c r="E559" s="130">
        <v>38.72</v>
      </c>
      <c r="F559" s="131">
        <v>4.4999999999999998E-2</v>
      </c>
      <c r="G559" s="126">
        <f t="shared" si="9"/>
        <v>40.544502617801051</v>
      </c>
      <c r="H559" s="126" t="s">
        <v>231</v>
      </c>
      <c r="I559" s="127" t="s">
        <v>232</v>
      </c>
      <c r="J559" s="126">
        <v>1.68</v>
      </c>
      <c r="K559" s="126">
        <v>60</v>
      </c>
      <c r="L559" s="129">
        <f>INT(base[[#This Row],[Data de liquidação]])</f>
        <v>46046</v>
      </c>
      <c r="M559" s="126">
        <f>base[[#This Row],[L/P Bruto]]-base[[#This Row],[L/P Líquido]]</f>
        <v>1.8245026178010519</v>
      </c>
      <c r="N559" s="126">
        <f>base[[#This Row],[L/P Líquido]]/base[[#This Row],[Stake/Responsabilidade]]</f>
        <v>0.64533333333333331</v>
      </c>
      <c r="O559" s="132">
        <f>IF(base[[#This Row],[L/P Líquido]]&gt;0,1,0)</f>
        <v>1</v>
      </c>
      <c r="P559" s="132"/>
      <c r="Q559" s="132" t="str">
        <f>LEFT(base[[#This Row],[Evento / Mercado]],FIND("vs",base[[#This Row],[Evento / Mercado]])-2)</f>
        <v>Eintracht Frankfurt</v>
      </c>
      <c r="R5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559" s="132" t="e">
        <f>LEFT(base[[#This Row],[Evento / Mercado]],FIND("/",base[[#This Row],[Evento / Mercado]])-2)</f>
        <v>#VALUE!</v>
      </c>
    </row>
    <row r="560" spans="2:21" ht="15" customHeight="1">
      <c r="B560" s="128" t="s">
        <v>515</v>
      </c>
      <c r="C560" s="128" t="s">
        <v>2982</v>
      </c>
      <c r="D560" s="129">
        <v>46046.537777777776</v>
      </c>
      <c r="E560" s="130">
        <v>5.62</v>
      </c>
      <c r="F560" s="131">
        <v>4.4999999999999998E-2</v>
      </c>
      <c r="G560" s="126">
        <f t="shared" si="9"/>
        <v>5.8848167539267022</v>
      </c>
      <c r="H560" s="126" t="s">
        <v>73</v>
      </c>
      <c r="I560" s="127" t="s">
        <v>13</v>
      </c>
      <c r="J560" s="126">
        <v>18</v>
      </c>
      <c r="K560" s="126">
        <v>99.96</v>
      </c>
      <c r="L560" s="129">
        <f>INT(base[[#This Row],[Data de liquidação]])</f>
        <v>46046</v>
      </c>
      <c r="M560" s="126">
        <f>base[[#This Row],[L/P Bruto]]-base[[#This Row],[L/P Líquido]]</f>
        <v>0.26481675392670212</v>
      </c>
      <c r="N560" s="126">
        <f>base[[#This Row],[L/P Líquido]]/base[[#This Row],[Stake/Responsabilidade]]</f>
        <v>5.6222488995598244E-2</v>
      </c>
      <c r="O560" s="132">
        <f>IF(base[[#This Row],[L/P Líquido]]&gt;0,1,0)</f>
        <v>1</v>
      </c>
      <c r="P560" s="132"/>
      <c r="Q560" s="132" t="str">
        <f>LEFT(base[[#This Row],[Evento / Mercado]],FIND("vs",base[[#This Row],[Evento / Mercado]])-2)</f>
        <v>Cesena</v>
      </c>
      <c r="R5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Bari</v>
      </c>
      <c r="S560" s="132" t="e">
        <f>LEFT(base[[#This Row],[Evento / Mercado]],FIND("/",base[[#This Row],[Evento / Mercado]])-2)</f>
        <v>#VALUE!</v>
      </c>
    </row>
    <row r="561" spans="2:21" ht="15" customHeight="1">
      <c r="B561" s="128" t="s">
        <v>514</v>
      </c>
      <c r="C561" s="128" t="s">
        <v>2982</v>
      </c>
      <c r="D561" s="129">
        <v>46046.540034722224</v>
      </c>
      <c r="E561" s="130">
        <v>5.88</v>
      </c>
      <c r="F561" s="131">
        <v>0</v>
      </c>
      <c r="G561" s="126">
        <f t="shared" si="9"/>
        <v>5.88</v>
      </c>
      <c r="H561" s="126" t="s">
        <v>73</v>
      </c>
      <c r="I561" s="127" t="s">
        <v>13</v>
      </c>
      <c r="J561" s="126">
        <v>18</v>
      </c>
      <c r="K561" s="126">
        <v>99.96</v>
      </c>
      <c r="L561" s="129">
        <f>INT(base[[#This Row],[Data de liquidação]])</f>
        <v>46046</v>
      </c>
      <c r="M561" s="126">
        <f>base[[#This Row],[L/P Bruto]]-base[[#This Row],[L/P Líquido]]</f>
        <v>0</v>
      </c>
      <c r="N561" s="126">
        <f>base[[#This Row],[L/P Líquido]]/base[[#This Row],[Stake/Responsabilidade]]</f>
        <v>5.8823529411764705E-2</v>
      </c>
      <c r="O561" s="132">
        <f>IF(base[[#This Row],[L/P Líquido]]&gt;0,1,0)</f>
        <v>1</v>
      </c>
      <c r="P561" s="132"/>
      <c r="Q561" s="132" t="str">
        <f>LEFT(base[[#This Row],[Evento / Mercado]],FIND("vs",base[[#This Row],[Evento / Mercado]])-2)</f>
        <v>Frosinone</v>
      </c>
      <c r="R5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Reggiana</v>
      </c>
      <c r="S561" s="132" t="e">
        <f>LEFT(base[[#This Row],[Evento / Mercado]],FIND("/",base[[#This Row],[Evento / Mercado]])-2)</f>
        <v>#VALUE!</v>
      </c>
      <c r="T561" s="8">
        <v>5.88</v>
      </c>
      <c r="U561" s="9">
        <f>T561*0.955</f>
        <v>5.6153999999999993</v>
      </c>
    </row>
    <row r="562" spans="2:21" ht="15" customHeight="1">
      <c r="B562" s="128" t="s">
        <v>514</v>
      </c>
      <c r="C562" s="128" t="s">
        <v>2982</v>
      </c>
      <c r="D562" s="129">
        <v>46046.540034722224</v>
      </c>
      <c r="E562" s="130">
        <v>-100.01</v>
      </c>
      <c r="F562" s="131">
        <v>4.4999999999999998E-2</v>
      </c>
      <c r="G562" s="126">
        <f t="shared" si="9"/>
        <v>-100.01</v>
      </c>
      <c r="H562" s="126" t="s">
        <v>73</v>
      </c>
      <c r="I562" s="127" t="s">
        <v>16</v>
      </c>
      <c r="J562" s="126">
        <v>8.1999999999999993</v>
      </c>
      <c r="K562" s="126">
        <v>100.01</v>
      </c>
      <c r="L562" s="129">
        <f>INT(base[[#This Row],[Data de liquidação]])</f>
        <v>46046</v>
      </c>
      <c r="M562" s="126">
        <f>base[[#This Row],[L/P Bruto]]-base[[#This Row],[L/P Líquido]]</f>
        <v>0</v>
      </c>
      <c r="N562" s="126">
        <f>base[[#This Row],[L/P Líquido]]/base[[#This Row],[Stake/Responsabilidade]]</f>
        <v>-1</v>
      </c>
      <c r="O562" s="132">
        <f>IF(base[[#This Row],[L/P Líquido]]&gt;0,1,0)</f>
        <v>0</v>
      </c>
      <c r="P562" s="132"/>
      <c r="Q562" s="132" t="str">
        <f>LEFT(base[[#This Row],[Evento / Mercado]],FIND("vs",base[[#This Row],[Evento / Mercado]])-2)</f>
        <v>Frosinone</v>
      </c>
      <c r="R5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Reggiana</v>
      </c>
      <c r="S562" s="132" t="e">
        <f>LEFT(base[[#This Row],[Evento / Mercado]],FIND("/",base[[#This Row],[Evento / Mercado]])-2)</f>
        <v>#VALUE!</v>
      </c>
      <c r="T562" s="8">
        <v>13.89</v>
      </c>
      <c r="U562" s="9">
        <f>T562*0.955</f>
        <v>13.264950000000001</v>
      </c>
    </row>
    <row r="563" spans="2:21" ht="15" customHeight="1">
      <c r="B563" s="128" t="s">
        <v>513</v>
      </c>
      <c r="C563" s="128" t="s">
        <v>2982</v>
      </c>
      <c r="D563" s="129">
        <v>46046.559016203704</v>
      </c>
      <c r="E563" s="130">
        <v>6.82</v>
      </c>
      <c r="F563" s="131">
        <v>4.4999999999999998E-2</v>
      </c>
      <c r="G563" s="126">
        <f t="shared" si="9"/>
        <v>7.1413612565445028</v>
      </c>
      <c r="H563" s="126" t="s">
        <v>122</v>
      </c>
      <c r="I563" s="127" t="s">
        <v>477</v>
      </c>
      <c r="J563" s="126">
        <v>22</v>
      </c>
      <c r="K563" s="126">
        <v>149.94</v>
      </c>
      <c r="L563" s="129">
        <f>INT(base[[#This Row],[Data de liquidação]])</f>
        <v>46046</v>
      </c>
      <c r="M563" s="126">
        <f>base[[#This Row],[L/P Bruto]]-base[[#This Row],[L/P Líquido]]</f>
        <v>0.32136125654450254</v>
      </c>
      <c r="N563" s="126">
        <f>base[[#This Row],[L/P Líquido]]/base[[#This Row],[Stake/Responsabilidade]]</f>
        <v>4.5484860610911032E-2</v>
      </c>
      <c r="O563" s="132">
        <f>IF(base[[#This Row],[L/P Líquido]]&gt;0,1,0)</f>
        <v>1</v>
      </c>
      <c r="P563" s="132" t="s">
        <v>962</v>
      </c>
      <c r="Q563" s="132" t="str">
        <f>LEFT(base[[#This Row],[Evento / Mercado]],FIND("vs",base[[#This Row],[Evento / Mercado]])-2)</f>
        <v>FC Bayern München</v>
      </c>
      <c r="R5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Augsburg</v>
      </c>
      <c r="S563" s="132" t="e">
        <f>LEFT(base[[#This Row],[Evento / Mercado]],FIND("/",base[[#This Row],[Evento / Mercado]])-2)</f>
        <v>#VALUE!</v>
      </c>
    </row>
    <row r="564" spans="2:21" ht="15" customHeight="1">
      <c r="B564" s="128" t="s">
        <v>512</v>
      </c>
      <c r="C564" s="128" t="s">
        <v>2982</v>
      </c>
      <c r="D564" s="129">
        <v>46046.562002314815</v>
      </c>
      <c r="E564" s="130">
        <v>-150</v>
      </c>
      <c r="F564" s="131">
        <v>4.4999999999999998E-2</v>
      </c>
      <c r="G564" s="126">
        <f t="shared" si="9"/>
        <v>-150</v>
      </c>
      <c r="H564" s="126" t="s">
        <v>74</v>
      </c>
      <c r="I564" s="127" t="s">
        <v>477</v>
      </c>
      <c r="J564" s="126">
        <v>13.5</v>
      </c>
      <c r="K564" s="126">
        <v>150</v>
      </c>
      <c r="L564" s="129">
        <f>INT(base[[#This Row],[Data de liquidação]])</f>
        <v>46046</v>
      </c>
      <c r="M564" s="126">
        <f>base[[#This Row],[L/P Bruto]]-base[[#This Row],[L/P Líquido]]</f>
        <v>0</v>
      </c>
      <c r="N564" s="139">
        <f>base[[#This Row],[L/P Líquido]]/base[[#This Row],[Stake/Responsabilidade]]</f>
        <v>-1</v>
      </c>
      <c r="O564" s="132">
        <f>IF(base[[#This Row],[L/P Líquido]]&gt;0,1,0)</f>
        <v>0</v>
      </c>
      <c r="P564" s="132" t="s">
        <v>962</v>
      </c>
      <c r="Q564" s="132" t="str">
        <f>LEFT(base[[#This Row],[Evento / Mercado]],FIND("vs",base[[#This Row],[Evento / Mercado]])-2)</f>
        <v>Bayer 04 Leverkusen</v>
      </c>
      <c r="R5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Werder Bremen</v>
      </c>
      <c r="S564" s="132" t="e">
        <f>LEFT(base[[#This Row],[Evento / Mercado]],FIND("/",base[[#This Row],[Evento / Mercado]])-2)</f>
        <v>#VALUE!</v>
      </c>
    </row>
    <row r="565" spans="2:21" ht="15" customHeight="1">
      <c r="B565" s="128" t="s">
        <v>512</v>
      </c>
      <c r="C565" s="128" t="s">
        <v>2982</v>
      </c>
      <c r="D565" s="129">
        <v>46046.562002314815</v>
      </c>
      <c r="E565" s="130">
        <v>-99.96</v>
      </c>
      <c r="F565" s="131">
        <v>4.4999999999999998E-2</v>
      </c>
      <c r="G565" s="126">
        <f t="shared" si="9"/>
        <v>-99.96</v>
      </c>
      <c r="H565" s="126" t="s">
        <v>73</v>
      </c>
      <c r="I565" s="127" t="s">
        <v>16</v>
      </c>
      <c r="J565" s="126">
        <v>13</v>
      </c>
      <c r="K565" s="126">
        <v>99.96</v>
      </c>
      <c r="L565" s="129">
        <f>INT(base[[#This Row],[Data de liquidação]])</f>
        <v>46046</v>
      </c>
      <c r="M565" s="126">
        <f>base[[#This Row],[L/P Bruto]]-base[[#This Row],[L/P Líquido]]</f>
        <v>0</v>
      </c>
      <c r="N565" s="126">
        <f>base[[#This Row],[L/P Líquido]]/base[[#This Row],[Stake/Responsabilidade]]</f>
        <v>-1</v>
      </c>
      <c r="O565" s="132">
        <f>IF(base[[#This Row],[L/P Líquido]]&gt;0,1,0)</f>
        <v>0</v>
      </c>
      <c r="P565" s="132"/>
      <c r="Q565" s="132" t="str">
        <f>LEFT(base[[#This Row],[Evento / Mercado]],FIND("vs",base[[#This Row],[Evento / Mercado]])-2)</f>
        <v>Bayer 04 Leverkusen</v>
      </c>
      <c r="R5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Werder Bremen</v>
      </c>
      <c r="S565" s="132" t="e">
        <f>LEFT(base[[#This Row],[Evento / Mercado]],FIND("/",base[[#This Row],[Evento / Mercado]])-2)</f>
        <v>#VALUE!</v>
      </c>
    </row>
    <row r="566" spans="2:21" ht="15" customHeight="1">
      <c r="B566" s="128" t="s">
        <v>511</v>
      </c>
      <c r="C566" s="128" t="s">
        <v>2982</v>
      </c>
      <c r="D566" s="129">
        <v>46046.562696759262</v>
      </c>
      <c r="E566" s="130">
        <v>39.54</v>
      </c>
      <c r="F566" s="131">
        <v>4.4999999999999998E-2</v>
      </c>
      <c r="G566" s="126">
        <f t="shared" si="9"/>
        <v>41.403141361256544</v>
      </c>
      <c r="H566" s="126" t="s">
        <v>231</v>
      </c>
      <c r="I566" s="127" t="s">
        <v>266</v>
      </c>
      <c r="J566" s="126">
        <v>1.69</v>
      </c>
      <c r="K566" s="126">
        <v>60</v>
      </c>
      <c r="L566" s="129">
        <f>INT(base[[#This Row],[Data de liquidação]])</f>
        <v>46046</v>
      </c>
      <c r="M566" s="126">
        <f>base[[#This Row],[L/P Bruto]]-base[[#This Row],[L/P Líquido]]</f>
        <v>1.8631413612565453</v>
      </c>
      <c r="N566" s="126">
        <f>base[[#This Row],[L/P Líquido]]/base[[#This Row],[Stake/Responsabilidade]]</f>
        <v>0.65900000000000003</v>
      </c>
      <c r="O566" s="132">
        <f>IF(base[[#This Row],[L/P Líquido]]&gt;0,1,0)</f>
        <v>1</v>
      </c>
      <c r="P566" s="132"/>
      <c r="Q566" s="132" t="str">
        <f>LEFT(base[[#This Row],[Evento / Mercado]],FIND("vs",base[[#This Row],[Evento / Mercado]])-2)</f>
        <v>Fulham</v>
      </c>
      <c r="R5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566" s="132" t="e">
        <f>LEFT(base[[#This Row],[Evento / Mercado]],FIND("/",base[[#This Row],[Evento / Mercado]])-2)</f>
        <v>#VALUE!</v>
      </c>
    </row>
    <row r="567" spans="2:21" ht="15" customHeight="1">
      <c r="B567" s="128" t="s">
        <v>510</v>
      </c>
      <c r="C567" s="128" t="s">
        <v>2982</v>
      </c>
      <c r="D567" s="129">
        <v>46046.578518518516</v>
      </c>
      <c r="E567" s="130">
        <v>-100.02</v>
      </c>
      <c r="F567" s="131">
        <v>4.4999999999999998E-2</v>
      </c>
      <c r="G567" s="126">
        <f t="shared" si="9"/>
        <v>-100.02</v>
      </c>
      <c r="H567" s="126" t="s">
        <v>73</v>
      </c>
      <c r="I567" s="127" t="s">
        <v>16</v>
      </c>
      <c r="J567" s="126">
        <v>8.6</v>
      </c>
      <c r="K567" s="126">
        <v>100.02</v>
      </c>
      <c r="L567" s="129">
        <f>INT(base[[#This Row],[Data de liquidação]])</f>
        <v>46046</v>
      </c>
      <c r="M567" s="126">
        <f>base[[#This Row],[L/P Bruto]]-base[[#This Row],[L/P Líquido]]</f>
        <v>0</v>
      </c>
      <c r="N567" s="126">
        <f>base[[#This Row],[L/P Líquido]]/base[[#This Row],[Stake/Responsabilidade]]</f>
        <v>-1</v>
      </c>
      <c r="O567" s="132">
        <f>IF(base[[#This Row],[L/P Líquido]]&gt;0,1,0)</f>
        <v>0</v>
      </c>
      <c r="P567" s="132"/>
      <c r="Q567" s="132" t="str">
        <f>LEFT(base[[#This Row],[Evento / Mercado]],FIND("vs",base[[#This Row],[Evento / Mercado]])-2)</f>
        <v>Salford City</v>
      </c>
      <c r="R5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Bristol Rovers</v>
      </c>
      <c r="S567" s="132" t="e">
        <f>LEFT(base[[#This Row],[Evento / Mercado]],FIND("/",base[[#This Row],[Evento / Mercado]])-2)</f>
        <v>#VALUE!</v>
      </c>
    </row>
    <row r="568" spans="2:21" ht="15" customHeight="1">
      <c r="B568" s="128" t="s">
        <v>509</v>
      </c>
      <c r="C568" s="128" t="s">
        <v>2982</v>
      </c>
      <c r="D568" s="129">
        <v>46046.579305555555</v>
      </c>
      <c r="E568" s="130">
        <v>13.26</v>
      </c>
      <c r="F568" s="131">
        <v>4.4999999999999998E-2</v>
      </c>
      <c r="G568" s="126">
        <f t="shared" si="9"/>
        <v>13.884816753926701</v>
      </c>
      <c r="H568" s="126" t="s">
        <v>73</v>
      </c>
      <c r="I568" s="127" t="s">
        <v>16</v>
      </c>
      <c r="J568" s="126">
        <v>8.1999999999999993</v>
      </c>
      <c r="K568" s="126">
        <v>100.01</v>
      </c>
      <c r="L568" s="129">
        <f>INT(base[[#This Row],[Data de liquidação]])</f>
        <v>46046</v>
      </c>
      <c r="M568" s="126">
        <f>base[[#This Row],[L/P Bruto]]-base[[#This Row],[L/P Líquido]]</f>
        <v>0.62481675392670155</v>
      </c>
      <c r="N568" s="126">
        <f>base[[#This Row],[L/P Líquido]]/base[[#This Row],[Stake/Responsabilidade]]</f>
        <v>0.1325867413258674</v>
      </c>
      <c r="O568" s="132">
        <f>IF(base[[#This Row],[L/P Líquido]]&gt;0,1,0)</f>
        <v>1</v>
      </c>
      <c r="P568" s="132"/>
      <c r="Q568" s="132" t="str">
        <f>LEFT(base[[#This Row],[Evento / Mercado]],FIND("vs",base[[#This Row],[Evento / Mercado]])-2)</f>
        <v>Birmingham City</v>
      </c>
      <c r="R5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Stoke City</v>
      </c>
      <c r="S568" s="132" t="e">
        <f>LEFT(base[[#This Row],[Evento / Mercado]],FIND("/",base[[#This Row],[Evento / Mercado]])-2)</f>
        <v>#VALUE!</v>
      </c>
    </row>
    <row r="569" spans="2:21" ht="15" customHeight="1">
      <c r="B569" s="128" t="s">
        <v>508</v>
      </c>
      <c r="C569" s="128" t="s">
        <v>2982</v>
      </c>
      <c r="D569" s="129">
        <v>46046.581145833334</v>
      </c>
      <c r="E569" s="130">
        <v>7.08</v>
      </c>
      <c r="F569" s="131">
        <v>4.4999999999999998E-2</v>
      </c>
      <c r="G569" s="126">
        <f t="shared" si="9"/>
        <v>7.4136125654450264</v>
      </c>
      <c r="H569" s="126" t="s">
        <v>73</v>
      </c>
      <c r="I569" s="127" t="s">
        <v>13</v>
      </c>
      <c r="J569" s="126">
        <v>14.5</v>
      </c>
      <c r="K569" s="126">
        <v>100.04</v>
      </c>
      <c r="L569" s="129">
        <f>INT(base[[#This Row],[Data de liquidação]])</f>
        <v>46046</v>
      </c>
      <c r="M569" s="126">
        <f>base[[#This Row],[L/P Bruto]]-base[[#This Row],[L/P Líquido]]</f>
        <v>0.33361256544502638</v>
      </c>
      <c r="N569" s="126">
        <f>base[[#This Row],[L/P Líquido]]/base[[#This Row],[Stake/Responsabilidade]]</f>
        <v>7.0771691323470609E-2</v>
      </c>
      <c r="O569" s="132">
        <f>IF(base[[#This Row],[L/P Líquido]]&gt;0,1,0)</f>
        <v>1</v>
      </c>
      <c r="P569" s="132"/>
      <c r="Q569" s="132" t="str">
        <f>LEFT(base[[#This Row],[Evento / Mercado]],FIND("vs",base[[#This Row],[Evento / Mercado]])-2)</f>
        <v>Leicester City</v>
      </c>
      <c r="R5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569" s="132" t="e">
        <f>LEFT(base[[#This Row],[Evento / Mercado]],FIND("/",base[[#This Row],[Evento / Mercado]])-2)</f>
        <v>#VALUE!</v>
      </c>
    </row>
    <row r="570" spans="2:21" ht="15" customHeight="1">
      <c r="B570" s="128" t="s">
        <v>507</v>
      </c>
      <c r="C570" s="128" t="s">
        <v>2982</v>
      </c>
      <c r="D570" s="129">
        <v>46046.582175925927</v>
      </c>
      <c r="E570" s="130">
        <v>13.65</v>
      </c>
      <c r="F570" s="131">
        <v>4.4999999999999998E-2</v>
      </c>
      <c r="G570" s="126">
        <f t="shared" si="9"/>
        <v>14.293193717277488</v>
      </c>
      <c r="H570" s="126" t="s">
        <v>73</v>
      </c>
      <c r="I570" s="127" t="s">
        <v>16</v>
      </c>
      <c r="J570" s="126">
        <v>8</v>
      </c>
      <c r="K570" s="126">
        <v>100.03</v>
      </c>
      <c r="L570" s="129">
        <f>INT(base[[#This Row],[Data de liquidação]])</f>
        <v>46046</v>
      </c>
      <c r="M570" s="126">
        <f>base[[#This Row],[L/P Bruto]]-base[[#This Row],[L/P Líquido]]</f>
        <v>0.64319371727748731</v>
      </c>
      <c r="N570" s="126">
        <f>base[[#This Row],[L/P Líquido]]/base[[#This Row],[Stake/Responsabilidade]]</f>
        <v>0.1364590622813156</v>
      </c>
      <c r="O570" s="132">
        <f>IF(base[[#This Row],[L/P Líquido]]&gt;0,1,0)</f>
        <v>1</v>
      </c>
      <c r="P570" s="132"/>
      <c r="Q570" s="132" t="str">
        <f>LEFT(base[[#This Row],[Evento / Mercado]],FIND("vs",base[[#This Row],[Evento / Mercado]])-2)</f>
        <v>Colchester United</v>
      </c>
      <c r="R5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Fleetwood Town</v>
      </c>
      <c r="S570" s="132" t="e">
        <f>LEFT(base[[#This Row],[Evento / Mercado]],FIND("/",base[[#This Row],[Evento / Mercado]])-2)</f>
        <v>#VALUE!</v>
      </c>
    </row>
    <row r="571" spans="2:21" ht="15" customHeight="1">
      <c r="B571" s="128" t="s">
        <v>506</v>
      </c>
      <c r="C571" s="128" t="s">
        <v>2982</v>
      </c>
      <c r="D571" s="129">
        <v>46046.584143518521</v>
      </c>
      <c r="E571" s="130">
        <v>11.94</v>
      </c>
      <c r="F571" s="131">
        <v>4.4999999999999998E-2</v>
      </c>
      <c r="G571" s="126">
        <f t="shared" si="9"/>
        <v>12.502617801047121</v>
      </c>
      <c r="H571" s="126" t="s">
        <v>73</v>
      </c>
      <c r="I571" s="127" t="s">
        <v>16</v>
      </c>
      <c r="J571" s="126">
        <v>9</v>
      </c>
      <c r="K571" s="126">
        <v>100</v>
      </c>
      <c r="L571" s="129">
        <f>INT(base[[#This Row],[Data de liquidação]])</f>
        <v>46046</v>
      </c>
      <c r="M571" s="126">
        <f>base[[#This Row],[L/P Bruto]]-base[[#This Row],[L/P Líquido]]</f>
        <v>0.56261780104712145</v>
      </c>
      <c r="N571" s="126">
        <f>base[[#This Row],[L/P Líquido]]/base[[#This Row],[Stake/Responsabilidade]]</f>
        <v>0.11939999999999999</v>
      </c>
      <c r="O571" s="132">
        <f>IF(base[[#This Row],[L/P Líquido]]&gt;0,1,0)</f>
        <v>1</v>
      </c>
      <c r="P571" s="132"/>
      <c r="Q571" s="132" t="str">
        <f>LEFT(base[[#This Row],[Evento / Mercado]],FIND("vs",base[[#This Row],[Evento / Mercado]])-2)</f>
        <v>Bolton Wanderers</v>
      </c>
      <c r="R5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Leyton Orient</v>
      </c>
      <c r="S571" s="132" t="e">
        <f>LEFT(base[[#This Row],[Evento / Mercado]],FIND("/",base[[#This Row],[Evento / Mercado]])-2)</f>
        <v>#VALUE!</v>
      </c>
    </row>
    <row r="572" spans="2:21" ht="15" customHeight="1">
      <c r="B572" s="128" t="s">
        <v>505</v>
      </c>
      <c r="C572" s="128" t="s">
        <v>2982</v>
      </c>
      <c r="D572" s="129">
        <v>46046.618969907409</v>
      </c>
      <c r="E572" s="130">
        <v>9.5500000000000007</v>
      </c>
      <c r="F572" s="131">
        <v>4.4999999999999998E-2</v>
      </c>
      <c r="G572" s="126">
        <f t="shared" si="9"/>
        <v>10.000000000000002</v>
      </c>
      <c r="H572" s="126" t="s">
        <v>73</v>
      </c>
      <c r="I572" s="127" t="s">
        <v>16</v>
      </c>
      <c r="J572" s="126">
        <v>11</v>
      </c>
      <c r="K572" s="126">
        <v>100</v>
      </c>
      <c r="L572" s="129">
        <f>INT(base[[#This Row],[Data de liquidação]])</f>
        <v>46046</v>
      </c>
      <c r="M572" s="126">
        <f>base[[#This Row],[L/P Bruto]]-base[[#This Row],[L/P Líquido]]</f>
        <v>0.45000000000000107</v>
      </c>
      <c r="N572" s="126">
        <f>base[[#This Row],[L/P Líquido]]/base[[#This Row],[Stake/Responsabilidade]]</f>
        <v>9.5500000000000002E-2</v>
      </c>
      <c r="O572" s="132">
        <f>IF(base[[#This Row],[L/P Líquido]]&gt;0,1,0)</f>
        <v>1</v>
      </c>
      <c r="P572" s="132"/>
      <c r="Q572" s="132" t="str">
        <f>LEFT(base[[#This Row],[Evento / Mercado]],FIND("vs",base[[#This Row],[Evento / Mercado]])-2)</f>
        <v>Stade Rennais</v>
      </c>
      <c r="R5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Lorient</v>
      </c>
      <c r="S572" s="132" t="e">
        <f>LEFT(base[[#This Row],[Evento / Mercado]],FIND("/",base[[#This Row],[Evento / Mercado]])-2)</f>
        <v>#VALUE!</v>
      </c>
    </row>
    <row r="573" spans="2:21" ht="15" customHeight="1">
      <c r="B573" s="128" t="s">
        <v>505</v>
      </c>
      <c r="C573" s="128" t="s">
        <v>2982</v>
      </c>
      <c r="D573" s="129">
        <v>46046.619039351855</v>
      </c>
      <c r="E573" s="130">
        <v>-60</v>
      </c>
      <c r="F573" s="131">
        <v>4.4999999999999998E-2</v>
      </c>
      <c r="G573" s="126">
        <f t="shared" si="9"/>
        <v>-60</v>
      </c>
      <c r="H573" s="126" t="s">
        <v>231</v>
      </c>
      <c r="I573" s="127" t="s">
        <v>232</v>
      </c>
      <c r="J573" s="126">
        <v>1.8</v>
      </c>
      <c r="K573" s="126">
        <v>60</v>
      </c>
      <c r="L573" s="129">
        <f>INT(base[[#This Row],[Data de liquidação]])</f>
        <v>46046</v>
      </c>
      <c r="M573" s="126">
        <f>base[[#This Row],[L/P Bruto]]-base[[#This Row],[L/P Líquido]]</f>
        <v>0</v>
      </c>
      <c r="N573" s="126">
        <f>base[[#This Row],[L/P Líquido]]/base[[#This Row],[Stake/Responsabilidade]]</f>
        <v>-1</v>
      </c>
      <c r="O573" s="132">
        <f>IF(base[[#This Row],[L/P Líquido]]&gt;0,1,0)</f>
        <v>0</v>
      </c>
      <c r="P573" s="132"/>
      <c r="Q573" s="132" t="str">
        <f>LEFT(base[[#This Row],[Evento / Mercado]],FIND("vs",base[[#This Row],[Evento / Mercado]])-2)</f>
        <v>Stade Rennais</v>
      </c>
      <c r="R5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Lorient</v>
      </c>
      <c r="S573" s="132" t="e">
        <f>LEFT(base[[#This Row],[Evento / Mercado]],FIND("/",base[[#This Row],[Evento / Mercado]])-2)</f>
        <v>#VALUE!</v>
      </c>
    </row>
    <row r="574" spans="2:21" ht="15" customHeight="1">
      <c r="B574" s="128" t="s">
        <v>504</v>
      </c>
      <c r="C574" s="128" t="s">
        <v>2982</v>
      </c>
      <c r="D574" s="129">
        <v>46046.642141203702</v>
      </c>
      <c r="E574" s="130">
        <v>5.53</v>
      </c>
      <c r="F574" s="131">
        <v>4.4999999999999998E-2</v>
      </c>
      <c r="G574" s="126">
        <f t="shared" si="9"/>
        <v>5.7905759162303667</v>
      </c>
      <c r="H574" s="126" t="s">
        <v>73</v>
      </c>
      <c r="I574" s="127" t="s">
        <v>13</v>
      </c>
      <c r="J574" s="126">
        <v>18</v>
      </c>
      <c r="K574" s="126">
        <v>98.39</v>
      </c>
      <c r="L574" s="129">
        <f>INT(base[[#This Row],[Data de liquidação]])</f>
        <v>46046</v>
      </c>
      <c r="M574" s="126">
        <f>base[[#This Row],[L/P Bruto]]-base[[#This Row],[L/P Líquido]]</f>
        <v>0.26057591623036647</v>
      </c>
      <c r="N574" s="126">
        <f>base[[#This Row],[L/P Líquido]]/base[[#This Row],[Stake/Responsabilidade]]</f>
        <v>5.6204898871836571E-2</v>
      </c>
      <c r="O574" s="132">
        <f>IF(base[[#This Row],[L/P Líquido]]&gt;0,1,0)</f>
        <v>1</v>
      </c>
      <c r="P574" s="132"/>
      <c r="Q574" s="132" t="str">
        <f>LEFT(base[[#This Row],[Evento / Mercado]],FIND("vs",base[[#This Row],[Evento / Mercado]])-2)</f>
        <v>Crotone</v>
      </c>
      <c r="R5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Potenza</v>
      </c>
      <c r="S574" s="132" t="e">
        <f>LEFT(base[[#This Row],[Evento / Mercado]],FIND("/",base[[#This Row],[Evento / Mercado]])-2)</f>
        <v>#VALUE!</v>
      </c>
    </row>
    <row r="575" spans="2:21" ht="15" customHeight="1">
      <c r="B575" s="128" t="s">
        <v>498</v>
      </c>
      <c r="C575" s="128" t="s">
        <v>2982</v>
      </c>
      <c r="D575" s="129">
        <v>46046.644386574073</v>
      </c>
      <c r="E575" s="130">
        <v>38.200000000000003</v>
      </c>
      <c r="F575" s="131">
        <v>4.4999999999999998E-2</v>
      </c>
      <c r="G575" s="126">
        <f t="shared" si="9"/>
        <v>40.000000000000007</v>
      </c>
      <c r="H575" s="126" t="s">
        <v>231</v>
      </c>
      <c r="I575" s="127" t="s">
        <v>266</v>
      </c>
      <c r="J575" s="126">
        <v>1.67</v>
      </c>
      <c r="K575" s="126">
        <v>60</v>
      </c>
      <c r="L575" s="129">
        <f>INT(base[[#This Row],[Data de liquidação]])</f>
        <v>46046</v>
      </c>
      <c r="M575" s="126">
        <f>base[[#This Row],[L/P Bruto]]-base[[#This Row],[L/P Líquido]]</f>
        <v>1.8000000000000043</v>
      </c>
      <c r="N575" s="126">
        <f>base[[#This Row],[L/P Líquido]]/base[[#This Row],[Stake/Responsabilidade]]</f>
        <v>0.63666666666666671</v>
      </c>
      <c r="O575" s="132">
        <f>IF(base[[#This Row],[L/P Líquido]]&gt;0,1,0)</f>
        <v>1</v>
      </c>
      <c r="P575" s="132"/>
      <c r="Q575" s="132" t="str">
        <f>LEFT(base[[#This Row],[Evento / Mercado]],FIND("vs",base[[#This Row],[Evento / Mercado]])-2)</f>
        <v>NEC</v>
      </c>
      <c r="R5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575" s="132" t="e">
        <f>LEFT(base[[#This Row],[Evento / Mercado]],FIND("/",base[[#This Row],[Evento / Mercado]])-2)</f>
        <v>#VALUE!</v>
      </c>
    </row>
    <row r="576" spans="2:21" ht="15" customHeight="1">
      <c r="B576" s="128" t="s">
        <v>503</v>
      </c>
      <c r="C576" s="128" t="s">
        <v>2982</v>
      </c>
      <c r="D576" s="129">
        <v>46046.661423611113</v>
      </c>
      <c r="E576" s="130">
        <v>13.03</v>
      </c>
      <c r="F576" s="131">
        <v>4.4999999999999998E-2</v>
      </c>
      <c r="G576" s="126">
        <f t="shared" si="9"/>
        <v>13.643979057591624</v>
      </c>
      <c r="H576" s="126" t="s">
        <v>74</v>
      </c>
      <c r="I576" s="127" t="s">
        <v>477</v>
      </c>
      <c r="J576" s="126">
        <v>12</v>
      </c>
      <c r="K576" s="126">
        <v>150.04</v>
      </c>
      <c r="L576" s="129">
        <f>INT(base[[#This Row],[Data de liquidação]])</f>
        <v>46046</v>
      </c>
      <c r="M576" s="126">
        <f>base[[#This Row],[L/P Bruto]]-base[[#This Row],[L/P Líquido]]</f>
        <v>0.61397905759162441</v>
      </c>
      <c r="N576" s="139">
        <f>base[[#This Row],[L/P Líquido]]/base[[#This Row],[Stake/Responsabilidade]]</f>
        <v>8.6843508397760602E-2</v>
      </c>
      <c r="O576" s="132">
        <f>IF(base[[#This Row],[L/P Líquido]]&gt;0,1,0)</f>
        <v>1</v>
      </c>
      <c r="P576" s="132" t="s">
        <v>976</v>
      </c>
      <c r="Q576" s="132" t="str">
        <f>LEFT(base[[#This Row],[Evento / Mercado]],FIND("vs",base[[#This Row],[Evento / Mercado]])-2)</f>
        <v>FC Lugano</v>
      </c>
      <c r="R5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Winterthur</v>
      </c>
      <c r="S576" s="132" t="e">
        <f>LEFT(base[[#This Row],[Evento / Mercado]],FIND("/",base[[#This Row],[Evento / Mercado]])-2)</f>
        <v>#VALUE!</v>
      </c>
    </row>
    <row r="577" spans="2:21" ht="15" customHeight="1">
      <c r="B577" s="128" t="s">
        <v>502</v>
      </c>
      <c r="C577" s="128" t="s">
        <v>2982</v>
      </c>
      <c r="D577" s="129">
        <v>46046.6640162037</v>
      </c>
      <c r="E577" s="130">
        <v>-99.99</v>
      </c>
      <c r="F577" s="131">
        <v>4.4999999999999998E-2</v>
      </c>
      <c r="G577" s="126">
        <f t="shared" si="9"/>
        <v>-99.99</v>
      </c>
      <c r="H577" s="126" t="s">
        <v>73</v>
      </c>
      <c r="I577" s="127" t="s">
        <v>16</v>
      </c>
      <c r="J577" s="126">
        <v>10</v>
      </c>
      <c r="K577" s="126">
        <v>99.99</v>
      </c>
      <c r="L577" s="129">
        <f>INT(base[[#This Row],[Data de liquidação]])</f>
        <v>46046</v>
      </c>
      <c r="M577" s="126">
        <f>base[[#This Row],[L/P Bruto]]-base[[#This Row],[L/P Líquido]]</f>
        <v>0</v>
      </c>
      <c r="N577" s="126">
        <f>base[[#This Row],[L/P Líquido]]/base[[#This Row],[Stake/Responsabilidade]]</f>
        <v>-1</v>
      </c>
      <c r="O577" s="132">
        <f>IF(base[[#This Row],[L/P Líquido]]&gt;0,1,0)</f>
        <v>0</v>
      </c>
      <c r="P577" s="132"/>
      <c r="Q577" s="132" t="str">
        <f>LEFT(base[[#This Row],[Evento / Mercado]],FIND("vs",base[[#This Row],[Evento / Mercado]])-2)</f>
        <v>FC Aarau</v>
      </c>
      <c r="R5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Bellinzona</v>
      </c>
      <c r="S577" s="132" t="e">
        <f>LEFT(base[[#This Row],[Evento / Mercado]],FIND("/",base[[#This Row],[Evento / Mercado]])-2)</f>
        <v>#VALUE!</v>
      </c>
    </row>
    <row r="578" spans="2:21" ht="15" customHeight="1">
      <c r="B578" s="128" t="s">
        <v>501</v>
      </c>
      <c r="C578" s="128" t="s">
        <v>2982</v>
      </c>
      <c r="D578" s="129">
        <v>46046.668287037035</v>
      </c>
      <c r="E578" s="130">
        <v>13.264950000000001</v>
      </c>
      <c r="F578" s="131">
        <v>4.4999999999999998E-2</v>
      </c>
      <c r="G578" s="126">
        <f t="shared" si="9"/>
        <v>13.89</v>
      </c>
      <c r="H578" s="126" t="s">
        <v>73</v>
      </c>
      <c r="I578" s="127" t="s">
        <v>16</v>
      </c>
      <c r="J578" s="126">
        <v>8.1999999999999993</v>
      </c>
      <c r="K578" s="126">
        <v>100.01</v>
      </c>
      <c r="L578" s="129">
        <f>INT(base[[#This Row],[Data de liquidação]])</f>
        <v>46046</v>
      </c>
      <c r="M578" s="126">
        <f>base[[#This Row],[L/P Bruto]]-base[[#This Row],[L/P Líquido]]</f>
        <v>0.62504999999999988</v>
      </c>
      <c r="N578" s="126">
        <f>base[[#This Row],[L/P Líquido]]/base[[#This Row],[Stake/Responsabilidade]]</f>
        <v>0.13263623637636238</v>
      </c>
      <c r="O578" s="132">
        <f>IF(base[[#This Row],[L/P Líquido]]&gt;0,1,0)</f>
        <v>1</v>
      </c>
      <c r="P578" s="132"/>
      <c r="Q578" s="132" t="str">
        <f>LEFT(base[[#This Row],[Evento / Mercado]],FIND("vs",base[[#This Row],[Evento / Mercado]])-2)</f>
        <v>Fiorentina</v>
      </c>
      <c r="R5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578" s="132" t="e">
        <f>LEFT(base[[#This Row],[Evento / Mercado]],FIND("/",base[[#This Row],[Evento / Mercado]])-2)</f>
        <v>#VALUE!</v>
      </c>
      <c r="T578" s="8">
        <v>13.89</v>
      </c>
      <c r="U578" s="9">
        <f>T578*0.955</f>
        <v>13.264950000000001</v>
      </c>
    </row>
    <row r="579" spans="2:21" ht="15" customHeight="1">
      <c r="B579" s="128" t="s">
        <v>501</v>
      </c>
      <c r="C579" s="128" t="s">
        <v>2982</v>
      </c>
      <c r="D579" s="129">
        <v>46046.668287037035</v>
      </c>
      <c r="E579" s="130">
        <v>6.1597499999999998</v>
      </c>
      <c r="F579" s="131">
        <v>4.4999999999999998E-2</v>
      </c>
      <c r="G579" s="126">
        <f t="shared" ref="G579:G642" si="10">IF(E579&gt;0,E579/(1-F579),E579)</f>
        <v>6.45</v>
      </c>
      <c r="H579" s="126" t="s">
        <v>73</v>
      </c>
      <c r="I579" s="127" t="s">
        <v>13</v>
      </c>
      <c r="J579" s="126">
        <v>16.5</v>
      </c>
      <c r="K579" s="126">
        <v>99.98</v>
      </c>
      <c r="L579" s="129">
        <f>INT(base[[#This Row],[Data de liquidação]])</f>
        <v>46046</v>
      </c>
      <c r="M579" s="126">
        <f>base[[#This Row],[L/P Bruto]]-base[[#This Row],[L/P Líquido]]</f>
        <v>0.29025000000000034</v>
      </c>
      <c r="N579" s="126">
        <f>base[[#This Row],[L/P Líquido]]/base[[#This Row],[Stake/Responsabilidade]]</f>
        <v>6.1609821964392873E-2</v>
      </c>
      <c r="O579" s="132">
        <f>IF(base[[#This Row],[L/P Líquido]]&gt;0,1,0)</f>
        <v>1</v>
      </c>
      <c r="P579" s="132"/>
      <c r="Q579" s="132" t="str">
        <f>LEFT(base[[#This Row],[Evento / Mercado]],FIND("vs",base[[#This Row],[Evento / Mercado]])-2)</f>
        <v>Fiorentina</v>
      </c>
      <c r="R5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579" s="132" t="e">
        <f>LEFT(base[[#This Row],[Evento / Mercado]],FIND("/",base[[#This Row],[Evento / Mercado]])-2)</f>
        <v>#VALUE!</v>
      </c>
      <c r="T579" s="8">
        <v>6.45</v>
      </c>
      <c r="U579" s="9">
        <f>T579*0.955</f>
        <v>6.1597499999999998</v>
      </c>
    </row>
    <row r="580" spans="2:21" ht="15" customHeight="1">
      <c r="B580" s="128" t="s">
        <v>500</v>
      </c>
      <c r="C580" s="128" t="s">
        <v>2982</v>
      </c>
      <c r="D580" s="129">
        <v>46046.674953703703</v>
      </c>
      <c r="E580" s="130">
        <v>11.36</v>
      </c>
      <c r="F580" s="131">
        <v>4.4999999999999998E-2</v>
      </c>
      <c r="G580" s="126">
        <f t="shared" si="10"/>
        <v>11.895287958115183</v>
      </c>
      <c r="H580" s="126" t="s">
        <v>73</v>
      </c>
      <c r="I580" s="127" t="s">
        <v>16</v>
      </c>
      <c r="J580" s="126">
        <v>9.4</v>
      </c>
      <c r="K580" s="126">
        <v>99.96</v>
      </c>
      <c r="L580" s="129">
        <f>INT(base[[#This Row],[Data de liquidação]])</f>
        <v>46046</v>
      </c>
      <c r="M580" s="126">
        <f>base[[#This Row],[L/P Bruto]]-base[[#This Row],[L/P Líquido]]</f>
        <v>0.53528795811518393</v>
      </c>
      <c r="N580" s="126">
        <f>base[[#This Row],[L/P Líquido]]/base[[#This Row],[Stake/Responsabilidade]]</f>
        <v>0.1136454581832733</v>
      </c>
      <c r="O580" s="132">
        <f>IF(base[[#This Row],[L/P Líquido]]&gt;0,1,0)</f>
        <v>1</v>
      </c>
      <c r="P580" s="132"/>
      <c r="Q580" s="132" t="str">
        <f>LEFT(base[[#This Row],[Evento / Mercado]],FIND("vs",base[[#This Row],[Evento / Mercado]])-2)</f>
        <v>Club Brugge</v>
      </c>
      <c r="R5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Zulte Waregem</v>
      </c>
      <c r="S580" s="132" t="e">
        <f>LEFT(base[[#This Row],[Evento / Mercado]],FIND("/",base[[#This Row],[Evento / Mercado]])-2)</f>
        <v>#VALUE!</v>
      </c>
    </row>
    <row r="581" spans="2:21" ht="15" customHeight="1">
      <c r="B581" s="128" t="s">
        <v>499</v>
      </c>
      <c r="C581" s="128" t="s">
        <v>2982</v>
      </c>
      <c r="D581" s="129">
        <v>46046.683530092596</v>
      </c>
      <c r="E581" s="130">
        <v>5.62</v>
      </c>
      <c r="F581" s="131">
        <v>4.4999999999999998E-2</v>
      </c>
      <c r="G581" s="126">
        <f t="shared" si="10"/>
        <v>5.8848167539267022</v>
      </c>
      <c r="H581" s="126" t="s">
        <v>73</v>
      </c>
      <c r="I581" s="127" t="s">
        <v>13</v>
      </c>
      <c r="J581" s="126">
        <v>18</v>
      </c>
      <c r="K581" s="126">
        <v>99.96</v>
      </c>
      <c r="L581" s="129">
        <f>INT(base[[#This Row],[Data de liquidação]])</f>
        <v>46046</v>
      </c>
      <c r="M581" s="126">
        <f>base[[#This Row],[L/P Bruto]]-base[[#This Row],[L/P Líquido]]</f>
        <v>0.26481675392670212</v>
      </c>
      <c r="N581" s="126">
        <f>base[[#This Row],[L/P Líquido]]/base[[#This Row],[Stake/Responsabilidade]]</f>
        <v>5.6222488995598244E-2</v>
      </c>
      <c r="O581" s="132">
        <f>IF(base[[#This Row],[L/P Líquido]]&gt;0,1,0)</f>
        <v>1</v>
      </c>
      <c r="P581" s="132"/>
      <c r="Q581" s="132" t="str">
        <f>LEFT(base[[#This Row],[Evento / Mercado]],FIND("vs",base[[#This Row],[Evento / Mercado]])-2)</f>
        <v>Real Sporting de Gijon</v>
      </c>
      <c r="R5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Mirandés</v>
      </c>
      <c r="S581" s="132" t="e">
        <f>LEFT(base[[#This Row],[Evento / Mercado]],FIND("/",base[[#This Row],[Evento / Mercado]])-2)</f>
        <v>#VALUE!</v>
      </c>
    </row>
    <row r="582" spans="2:21" ht="15" customHeight="1">
      <c r="B582" s="128" t="s">
        <v>498</v>
      </c>
      <c r="C582" s="128" t="s">
        <v>2982</v>
      </c>
      <c r="D582" s="129">
        <v>46046.696574074071</v>
      </c>
      <c r="E582" s="130">
        <v>11.020699999999998</v>
      </c>
      <c r="F582" s="131">
        <v>4.4999999999999998E-2</v>
      </c>
      <c r="G582" s="126">
        <f t="shared" si="10"/>
        <v>11.54</v>
      </c>
      <c r="H582" s="126" t="s">
        <v>74</v>
      </c>
      <c r="I582" s="127" t="s">
        <v>477</v>
      </c>
      <c r="J582" s="126">
        <v>14</v>
      </c>
      <c r="K582" s="126">
        <v>150.02000000000001</v>
      </c>
      <c r="L582" s="129">
        <f>INT(base[[#This Row],[Data de liquidação]])</f>
        <v>46046</v>
      </c>
      <c r="M582" s="126">
        <f>base[[#This Row],[L/P Bruto]]-base[[#This Row],[L/P Líquido]]</f>
        <v>0.51930000000000121</v>
      </c>
      <c r="N582" s="139">
        <f>base[[#This Row],[L/P Líquido]]/base[[#This Row],[Stake/Responsabilidade]]</f>
        <v>7.3461538461538439E-2</v>
      </c>
      <c r="O582" s="132">
        <f>IF(base[[#This Row],[L/P Líquido]]&gt;0,1,0)</f>
        <v>1</v>
      </c>
      <c r="P582" s="132" t="s">
        <v>967</v>
      </c>
      <c r="Q582" s="132" t="str">
        <f>LEFT(base[[#This Row],[Evento / Mercado]],FIND("vs",base[[#This Row],[Evento / Mercado]])-2)</f>
        <v>NEC</v>
      </c>
      <c r="R5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582" s="132" t="e">
        <f>LEFT(base[[#This Row],[Evento / Mercado]],FIND("/",base[[#This Row],[Evento / Mercado]])-2)</f>
        <v>#VALUE!</v>
      </c>
      <c r="T582" s="8">
        <v>11.54</v>
      </c>
      <c r="U582" s="9">
        <f>T582*0.955</f>
        <v>11.020699999999998</v>
      </c>
    </row>
    <row r="583" spans="2:21" ht="15" customHeight="1">
      <c r="B583" s="128" t="s">
        <v>498</v>
      </c>
      <c r="C583" s="128" t="s">
        <v>2982</v>
      </c>
      <c r="D583" s="129">
        <v>46046.696574074071</v>
      </c>
      <c r="E583" s="130">
        <v>7.64</v>
      </c>
      <c r="F583" s="131">
        <v>4.4999999999999998E-2</v>
      </c>
      <c r="G583" s="126">
        <f t="shared" si="10"/>
        <v>8</v>
      </c>
      <c r="H583" s="126" t="s">
        <v>73</v>
      </c>
      <c r="I583" s="127" t="s">
        <v>16</v>
      </c>
      <c r="J583" s="126">
        <v>13.5</v>
      </c>
      <c r="K583" s="126">
        <v>100</v>
      </c>
      <c r="L583" s="129">
        <f>INT(base[[#This Row],[Data de liquidação]])</f>
        <v>46046</v>
      </c>
      <c r="M583" s="126">
        <f>base[[#This Row],[L/P Bruto]]-base[[#This Row],[L/P Líquido]]</f>
        <v>0.36000000000000032</v>
      </c>
      <c r="N583" s="126">
        <f>base[[#This Row],[L/P Líquido]]/base[[#This Row],[Stake/Responsabilidade]]</f>
        <v>7.6399999999999996E-2</v>
      </c>
      <c r="O583" s="132">
        <f>IF(base[[#This Row],[L/P Líquido]]&gt;0,1,0)</f>
        <v>1</v>
      </c>
      <c r="P583" s="132"/>
      <c r="Q583" s="132" t="str">
        <f>LEFT(base[[#This Row],[Evento / Mercado]],FIND("vs",base[[#This Row],[Evento / Mercado]])-2)</f>
        <v>NEC</v>
      </c>
      <c r="R5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583" s="132" t="e">
        <f>LEFT(base[[#This Row],[Evento / Mercado]],FIND("/",base[[#This Row],[Evento / Mercado]])-2)</f>
        <v>#VALUE!</v>
      </c>
      <c r="T583" s="8">
        <v>8</v>
      </c>
      <c r="U583" s="9">
        <f>T583*0.955</f>
        <v>7.64</v>
      </c>
    </row>
    <row r="584" spans="2:21" ht="15" customHeight="1">
      <c r="B584" s="128" t="s">
        <v>497</v>
      </c>
      <c r="C584" s="128" t="s">
        <v>2982</v>
      </c>
      <c r="D584" s="129">
        <v>46046.747233796297</v>
      </c>
      <c r="E584" s="130">
        <v>13.03</v>
      </c>
      <c r="F584" s="131">
        <v>4.4999999999999998E-2</v>
      </c>
      <c r="G584" s="126">
        <f t="shared" si="10"/>
        <v>13.643979057591624</v>
      </c>
      <c r="H584" s="126" t="s">
        <v>122</v>
      </c>
      <c r="I584" s="127" t="s">
        <v>477</v>
      </c>
      <c r="J584" s="126">
        <v>12</v>
      </c>
      <c r="K584" s="126">
        <v>150.04</v>
      </c>
      <c r="L584" s="129">
        <f>INT(base[[#This Row],[Data de liquidação]])</f>
        <v>46046</v>
      </c>
      <c r="M584" s="126">
        <f>base[[#This Row],[L/P Bruto]]-base[[#This Row],[L/P Líquido]]</f>
        <v>0.61397905759162441</v>
      </c>
      <c r="N584" s="126">
        <f>base[[#This Row],[L/P Líquido]]/base[[#This Row],[Stake/Responsabilidade]]</f>
        <v>8.6843508397760602E-2</v>
      </c>
      <c r="O584" s="132">
        <f>IF(base[[#This Row],[L/P Líquido]]&gt;0,1,0)</f>
        <v>1</v>
      </c>
      <c r="P584" s="132" t="s">
        <v>967</v>
      </c>
      <c r="Q584" s="132" t="str">
        <f>LEFT(base[[#This Row],[Evento / Mercado]],FIND("vs",base[[#This Row],[Evento / Mercado]])-2)</f>
        <v>PSV Eindhoven</v>
      </c>
      <c r="R5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 Breda</v>
      </c>
      <c r="S584" s="132" t="e">
        <f>LEFT(base[[#This Row],[Evento / Mercado]],FIND("/",base[[#This Row],[Evento / Mercado]])-2)</f>
        <v>#VALUE!</v>
      </c>
    </row>
    <row r="585" spans="2:21" ht="15" customHeight="1">
      <c r="B585" s="128" t="s">
        <v>497</v>
      </c>
      <c r="C585" s="128" t="s">
        <v>2982</v>
      </c>
      <c r="D585" s="129">
        <v>46046.747303240743</v>
      </c>
      <c r="E585" s="130">
        <v>17.86</v>
      </c>
      <c r="F585" s="131">
        <v>4.4999999999999998E-2</v>
      </c>
      <c r="G585" s="126">
        <f t="shared" si="10"/>
        <v>18.701570680628272</v>
      </c>
      <c r="H585" s="126" t="s">
        <v>145</v>
      </c>
      <c r="I585" s="127" t="s">
        <v>301</v>
      </c>
      <c r="J585" s="126">
        <f>+(9.2*85.53+8.8*64.54)/base[[#This Row],[Stake/Responsabilidade]]</f>
        <v>9.0297787256731521</v>
      </c>
      <c r="K585" s="126">
        <f>85.53+64.51</f>
        <v>150.04000000000002</v>
      </c>
      <c r="L585" s="129">
        <f>INT(base[[#This Row],[Data de liquidação]])</f>
        <v>46046</v>
      </c>
      <c r="M585" s="126">
        <f>base[[#This Row],[L/P Bruto]]-base[[#This Row],[L/P Líquido]]</f>
        <v>0.84157068062827278</v>
      </c>
      <c r="N585" s="126">
        <f>base[[#This Row],[L/P Líquido]]/base[[#This Row],[Stake/Responsabilidade]]</f>
        <v>0.11903492402026124</v>
      </c>
      <c r="O585" s="132">
        <f>IF(base[[#This Row],[L/P Líquido]]&gt;0,1,0)</f>
        <v>1</v>
      </c>
      <c r="P585" s="132" t="s">
        <v>967</v>
      </c>
      <c r="Q585" s="132" t="str">
        <f>LEFT(base[[#This Row],[Evento / Mercado]],FIND("vs",base[[#This Row],[Evento / Mercado]])-2)</f>
        <v>PSV Eindhoven</v>
      </c>
      <c r="R5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 Breda</v>
      </c>
      <c r="S585" s="132" t="e">
        <f>LEFT(base[[#This Row],[Evento / Mercado]],FIND("/",base[[#This Row],[Evento / Mercado]])-2)</f>
        <v>#VALUE!</v>
      </c>
    </row>
    <row r="586" spans="2:21" ht="15" customHeight="1">
      <c r="B586" s="128" t="s">
        <v>496</v>
      </c>
      <c r="C586" s="128" t="s">
        <v>2982</v>
      </c>
      <c r="D586" s="129">
        <v>46046.775046296294</v>
      </c>
      <c r="E586" s="130">
        <v>9.5500000000000007</v>
      </c>
      <c r="F586" s="131">
        <v>4.4999999999999998E-2</v>
      </c>
      <c r="G586" s="126">
        <f t="shared" si="10"/>
        <v>10.000000000000002</v>
      </c>
      <c r="H586" s="126" t="s">
        <v>73</v>
      </c>
      <c r="I586" s="127" t="s">
        <v>16</v>
      </c>
      <c r="J586" s="126">
        <v>11</v>
      </c>
      <c r="K586" s="126">
        <v>100</v>
      </c>
      <c r="L586" s="129">
        <f>INT(base[[#This Row],[Data de liquidação]])</f>
        <v>46046</v>
      </c>
      <c r="M586" s="126">
        <f>base[[#This Row],[L/P Bruto]]-base[[#This Row],[L/P Líquido]]</f>
        <v>0.45000000000000107</v>
      </c>
      <c r="N586" s="126">
        <f>base[[#This Row],[L/P Líquido]]/base[[#This Row],[Stake/Responsabilidade]]</f>
        <v>9.5500000000000002E-2</v>
      </c>
      <c r="O586" s="132">
        <f>IF(base[[#This Row],[L/P Líquido]]&gt;0,1,0)</f>
        <v>1</v>
      </c>
      <c r="P586" s="132"/>
      <c r="Q586" s="132" t="str">
        <f>LEFT(base[[#This Row],[Evento / Mercado]],FIND("vs",base[[#This Row],[Evento / Mercado]])-2)</f>
        <v>1. FC Magdeburg</v>
      </c>
      <c r="R5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586" s="132" t="e">
        <f>LEFT(base[[#This Row],[Evento / Mercado]],FIND("/",base[[#This Row],[Evento / Mercado]])-2)</f>
        <v>#VALUE!</v>
      </c>
    </row>
    <row r="587" spans="2:21" ht="15" customHeight="1">
      <c r="B587" s="128" t="s">
        <v>495</v>
      </c>
      <c r="C587" s="128" t="s">
        <v>2982</v>
      </c>
      <c r="D587" s="129">
        <v>46046.787800925929</v>
      </c>
      <c r="E587" s="130">
        <v>10.23</v>
      </c>
      <c r="F587" s="131">
        <v>4.4999999999999998E-2</v>
      </c>
      <c r="G587" s="126">
        <f t="shared" si="10"/>
        <v>10.712041884816754</v>
      </c>
      <c r="H587" s="126" t="s">
        <v>74</v>
      </c>
      <c r="I587" s="127" t="s">
        <v>541</v>
      </c>
      <c r="J587" s="126">
        <v>15</v>
      </c>
      <c r="K587" s="126">
        <v>149.94</v>
      </c>
      <c r="L587" s="129">
        <f>INT(base[[#This Row],[Data de liquidação]])</f>
        <v>46046</v>
      </c>
      <c r="M587" s="126">
        <f>base[[#This Row],[L/P Bruto]]-base[[#This Row],[L/P Líquido]]</f>
        <v>0.48204188481675381</v>
      </c>
      <c r="N587" s="139">
        <f>base[[#This Row],[L/P Líquido]]/base[[#This Row],[Stake/Responsabilidade]]</f>
        <v>6.8227290916366548E-2</v>
      </c>
      <c r="O587" s="132">
        <f>IF(base[[#This Row],[L/P Líquido]]&gt;0,1,0)</f>
        <v>1</v>
      </c>
      <c r="P587" s="132" t="s">
        <v>964</v>
      </c>
      <c r="Q587" s="132" t="str">
        <f>LEFT(base[[#This Row],[Evento / Mercado]],FIND("vs",base[[#This Row],[Evento / Mercado]])-2)</f>
        <v>Villarreal</v>
      </c>
      <c r="R5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587" s="132" t="e">
        <f>LEFT(base[[#This Row],[Evento / Mercado]],FIND("/",base[[#This Row],[Evento / Mercado]])-2)</f>
        <v>#VALUE!</v>
      </c>
    </row>
    <row r="588" spans="2:21" ht="15" customHeight="1">
      <c r="B588" s="128" t="s">
        <v>494</v>
      </c>
      <c r="C588" s="128" t="s">
        <v>2982</v>
      </c>
      <c r="D588" s="129">
        <v>46046.788368055553</v>
      </c>
      <c r="E588" s="130">
        <v>5.62</v>
      </c>
      <c r="F588" s="131">
        <v>4.4999999999999998E-2</v>
      </c>
      <c r="G588" s="126">
        <f t="shared" si="10"/>
        <v>5.8848167539267022</v>
      </c>
      <c r="H588" s="126" t="s">
        <v>73</v>
      </c>
      <c r="I588" s="127" t="s">
        <v>13</v>
      </c>
      <c r="J588" s="126">
        <v>18</v>
      </c>
      <c r="K588" s="126">
        <v>99.96</v>
      </c>
      <c r="L588" s="129">
        <f>INT(base[[#This Row],[Data de liquidação]])</f>
        <v>46046</v>
      </c>
      <c r="M588" s="126">
        <f>base[[#This Row],[L/P Bruto]]-base[[#This Row],[L/P Líquido]]</f>
        <v>0.26481675392670212</v>
      </c>
      <c r="N588" s="126">
        <f>base[[#This Row],[L/P Líquido]]/base[[#This Row],[Stake/Responsabilidade]]</f>
        <v>5.6222488995598244E-2</v>
      </c>
      <c r="O588" s="132">
        <f>IF(base[[#This Row],[L/P Líquido]]&gt;0,1,0)</f>
        <v>1</v>
      </c>
      <c r="P588" s="132"/>
      <c r="Q588" s="132" t="str">
        <f>LEFT(base[[#This Row],[Evento / Mercado]],FIND("vs",base[[#This Row],[Evento / Mercado]])-2)</f>
        <v>FC Twente</v>
      </c>
      <c r="R5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588" s="132" t="e">
        <f>LEFT(base[[#This Row],[Evento / Mercado]],FIND("/",base[[#This Row],[Evento / Mercado]])-2)</f>
        <v>#VALUE!</v>
      </c>
    </row>
    <row r="589" spans="2:21" ht="15" customHeight="1">
      <c r="B589" s="128" t="s">
        <v>494</v>
      </c>
      <c r="C589" s="128" t="s">
        <v>2982</v>
      </c>
      <c r="D589" s="129">
        <v>46046.788460648146</v>
      </c>
      <c r="E589" s="130">
        <v>-60</v>
      </c>
      <c r="F589" s="131">
        <v>4.4999999999999998E-2</v>
      </c>
      <c r="G589" s="126">
        <f t="shared" si="10"/>
        <v>-60</v>
      </c>
      <c r="H589" s="126" t="s">
        <v>231</v>
      </c>
      <c r="I589" s="127" t="s">
        <v>266</v>
      </c>
      <c r="J589" s="126">
        <v>2.1</v>
      </c>
      <c r="K589" s="126">
        <v>60</v>
      </c>
      <c r="L589" s="129">
        <f>INT(base[[#This Row],[Data de liquidação]])</f>
        <v>46046</v>
      </c>
      <c r="M589" s="126">
        <f>base[[#This Row],[L/P Bruto]]-base[[#This Row],[L/P Líquido]]</f>
        <v>0</v>
      </c>
      <c r="N589" s="126">
        <f>base[[#This Row],[L/P Líquido]]/base[[#This Row],[Stake/Responsabilidade]]</f>
        <v>-1</v>
      </c>
      <c r="O589" s="132">
        <f>IF(base[[#This Row],[L/P Líquido]]&gt;0,1,0)</f>
        <v>0</v>
      </c>
      <c r="P589" s="132"/>
      <c r="Q589" s="132" t="str">
        <f>LEFT(base[[#This Row],[Evento / Mercado]],FIND("vs",base[[#This Row],[Evento / Mercado]])-2)</f>
        <v>FC Twente</v>
      </c>
      <c r="R5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589" s="132" t="e">
        <f>LEFT(base[[#This Row],[Evento / Mercado]],FIND("/",base[[#This Row],[Evento / Mercado]])-2)</f>
        <v>#VALUE!</v>
      </c>
    </row>
    <row r="590" spans="2:21" ht="15" customHeight="1">
      <c r="B590" s="128" t="s">
        <v>493</v>
      </c>
      <c r="C590" s="128" t="s">
        <v>2982</v>
      </c>
      <c r="D590" s="129">
        <v>46046.791990740741</v>
      </c>
      <c r="E590" s="130">
        <v>11.02</v>
      </c>
      <c r="F590" s="131">
        <v>4.4999999999999998E-2</v>
      </c>
      <c r="G590" s="126">
        <f t="shared" si="10"/>
        <v>11.539267015706807</v>
      </c>
      <c r="H590" s="126" t="s">
        <v>74</v>
      </c>
      <c r="I590" s="127" t="s">
        <v>477</v>
      </c>
      <c r="J590" s="126">
        <v>14</v>
      </c>
      <c r="K590" s="126">
        <v>150.02000000000001</v>
      </c>
      <c r="L590" s="129">
        <f>INT(base[[#This Row],[Data de liquidação]])</f>
        <v>46046</v>
      </c>
      <c r="M590" s="126">
        <f>base[[#This Row],[L/P Bruto]]-base[[#This Row],[L/P Líquido]]</f>
        <v>0.51926701570680756</v>
      </c>
      <c r="N590" s="139">
        <f>base[[#This Row],[L/P Líquido]]/base[[#This Row],[Stake/Responsabilidade]]</f>
        <v>7.3456872417011057E-2</v>
      </c>
      <c r="O590" s="132">
        <f>IF(base[[#This Row],[L/P Líquido]]&gt;0,1,0)</f>
        <v>1</v>
      </c>
      <c r="P590" s="132" t="s">
        <v>970</v>
      </c>
      <c r="Q590" s="132" t="str">
        <f>LEFT(base[[#This Row],[Evento / Mercado]],FIND("vs",base[[#This Row],[Evento / Mercado]])-2)</f>
        <v>Olympique Marseille</v>
      </c>
      <c r="R5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Lens</v>
      </c>
      <c r="S590" s="132" t="e">
        <f>LEFT(base[[#This Row],[Evento / Mercado]],FIND("/",base[[#This Row],[Evento / Mercado]])-2)</f>
        <v>#VALUE!</v>
      </c>
    </row>
    <row r="591" spans="2:21" ht="15" customHeight="1">
      <c r="B591" s="128" t="s">
        <v>492</v>
      </c>
      <c r="C591" s="128" t="s">
        <v>2982</v>
      </c>
      <c r="D591" s="129">
        <v>46047.421782407408</v>
      </c>
      <c r="E591" s="130">
        <v>-60</v>
      </c>
      <c r="F591" s="131">
        <v>4.4999999999999998E-2</v>
      </c>
      <c r="G591" s="126">
        <f t="shared" si="10"/>
        <v>-60</v>
      </c>
      <c r="H591" s="126" t="s">
        <v>231</v>
      </c>
      <c r="I591" s="127" t="s">
        <v>232</v>
      </c>
      <c r="J591" s="126">
        <v>4.7</v>
      </c>
      <c r="K591" s="126">
        <v>60</v>
      </c>
      <c r="L591" s="129">
        <f>INT(base[[#This Row],[Data de liquidação]])</f>
        <v>46047</v>
      </c>
      <c r="M591" s="126">
        <f>base[[#This Row],[L/P Bruto]]-base[[#This Row],[L/P Líquido]]</f>
        <v>0</v>
      </c>
      <c r="N591" s="126">
        <f>base[[#This Row],[L/P Líquido]]/base[[#This Row],[Stake/Responsabilidade]]</f>
        <v>-1</v>
      </c>
      <c r="O591" s="132">
        <f>IF(base[[#This Row],[L/P Líquido]]&gt;0,1,0)</f>
        <v>0</v>
      </c>
      <c r="P591" s="132"/>
      <c r="Q591" s="132" t="str">
        <f>LEFT(base[[#This Row],[Evento / Mercado]],FIND("vs",base[[#This Row],[Evento / Mercado]])-2)</f>
        <v>SC Telstar</v>
      </c>
      <c r="R5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AZ Alkmaar</v>
      </c>
      <c r="S591" s="132" t="e">
        <f>LEFT(base[[#This Row],[Evento / Mercado]],FIND("/",base[[#This Row],[Evento / Mercado]])-2)</f>
        <v>#VALUE!</v>
      </c>
    </row>
    <row r="592" spans="2:21" ht="15" customHeight="1">
      <c r="B592" s="128" t="s">
        <v>491</v>
      </c>
      <c r="C592" s="128" t="s">
        <v>2982</v>
      </c>
      <c r="D592" s="129">
        <v>46047.478668981479</v>
      </c>
      <c r="E592" s="130">
        <v>10.056149999999999</v>
      </c>
      <c r="F592" s="131">
        <v>4.4999999999999998E-2</v>
      </c>
      <c r="G592" s="126">
        <f t="shared" si="10"/>
        <v>10.53</v>
      </c>
      <c r="H592" s="126" t="s">
        <v>73</v>
      </c>
      <c r="I592" s="127" t="s">
        <v>16</v>
      </c>
      <c r="J592" s="126">
        <v>10.5</v>
      </c>
      <c r="K592" s="126">
        <v>100.04</v>
      </c>
      <c r="L592" s="129">
        <f>INT(base[[#This Row],[Data de liquidação]])</f>
        <v>46047</v>
      </c>
      <c r="M592" s="126">
        <f>base[[#This Row],[L/P Bruto]]-base[[#This Row],[L/P Líquido]]</f>
        <v>0.47385000000000055</v>
      </c>
      <c r="N592" s="126">
        <f>base[[#This Row],[L/P Líquido]]/base[[#This Row],[Stake/Responsabilidade]]</f>
        <v>0.10052129148340662</v>
      </c>
      <c r="O592" s="132">
        <f>IF(base[[#This Row],[L/P Líquido]]&gt;0,1,0)</f>
        <v>1</v>
      </c>
      <c r="P592" s="132"/>
      <c r="Q592" s="132" t="str">
        <f>LEFT(base[[#This Row],[Evento / Mercado]],FIND("vs",base[[#This Row],[Evento / Mercado]])-2)</f>
        <v>SC Paderborn 07</v>
      </c>
      <c r="R5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Preußen Münster</v>
      </c>
      <c r="S592" s="132" t="e">
        <f>LEFT(base[[#This Row],[Evento / Mercado]],FIND("/",base[[#This Row],[Evento / Mercado]])-2)</f>
        <v>#VALUE!</v>
      </c>
      <c r="T592" s="8">
        <v>10.53</v>
      </c>
      <c r="U592" s="9">
        <f>T592*0.955</f>
        <v>10.056149999999999</v>
      </c>
    </row>
    <row r="593" spans="2:21" ht="15" customHeight="1">
      <c r="B593" s="128" t="s">
        <v>491</v>
      </c>
      <c r="C593" s="128" t="s">
        <v>2982</v>
      </c>
      <c r="D593" s="129">
        <v>46047.478668981479</v>
      </c>
      <c r="E593" s="130">
        <v>6.2265999999999995</v>
      </c>
      <c r="F593" s="131">
        <v>4.4999999999999998E-2</v>
      </c>
      <c r="G593" s="126">
        <f t="shared" si="10"/>
        <v>6.52</v>
      </c>
      <c r="H593" s="126" t="s">
        <v>74</v>
      </c>
      <c r="I593" s="127" t="s">
        <v>476</v>
      </c>
      <c r="J593" s="126">
        <v>24</v>
      </c>
      <c r="K593" s="126">
        <v>149.96</v>
      </c>
      <c r="L593" s="129">
        <f>INT(base[[#This Row],[Data de liquidação]])</f>
        <v>46047</v>
      </c>
      <c r="M593" s="126">
        <f>base[[#This Row],[L/P Bruto]]-base[[#This Row],[L/P Líquido]]</f>
        <v>0.29340000000000011</v>
      </c>
      <c r="N593" s="139">
        <f>base[[#This Row],[L/P Líquido]]/base[[#This Row],[Stake/Responsabilidade]]</f>
        <v>4.1521739130434776E-2</v>
      </c>
      <c r="O593" s="132">
        <f>IF(base[[#This Row],[L/P Líquido]]&gt;0,1,0)</f>
        <v>1</v>
      </c>
      <c r="P593" s="132" t="s">
        <v>974</v>
      </c>
      <c r="Q593" s="132" t="str">
        <f>LEFT(base[[#This Row],[Evento / Mercado]],FIND("vs",base[[#This Row],[Evento / Mercado]])-2)</f>
        <v>SC Paderborn 07</v>
      </c>
      <c r="R5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Preußen Münster</v>
      </c>
      <c r="S593" s="132" t="e">
        <f>LEFT(base[[#This Row],[Evento / Mercado]],FIND("/",base[[#This Row],[Evento / Mercado]])-2)</f>
        <v>#VALUE!</v>
      </c>
      <c r="T593" s="8">
        <v>6.52</v>
      </c>
      <c r="U593" s="9">
        <f>T593*0.955</f>
        <v>6.2265999999999995</v>
      </c>
    </row>
    <row r="594" spans="2:21" ht="15" customHeight="1">
      <c r="B594" s="128" t="s">
        <v>490</v>
      </c>
      <c r="C594" s="128" t="s">
        <v>2982</v>
      </c>
      <c r="D594" s="129">
        <v>46047.517453703702</v>
      </c>
      <c r="E594" s="130">
        <v>6.31</v>
      </c>
      <c r="F594" s="131">
        <v>4.4999999999999998E-2</v>
      </c>
      <c r="G594" s="126">
        <f t="shared" si="10"/>
        <v>6.6073298429319367</v>
      </c>
      <c r="H594" s="126" t="s">
        <v>73</v>
      </c>
      <c r="I594" s="127" t="s">
        <v>13</v>
      </c>
      <c r="J594" s="126">
        <v>16</v>
      </c>
      <c r="K594" s="126">
        <v>99.09</v>
      </c>
      <c r="L594" s="129">
        <f>INT(base[[#This Row],[Data de liquidação]])</f>
        <v>46047</v>
      </c>
      <c r="M594" s="126">
        <f>base[[#This Row],[L/P Bruto]]-base[[#This Row],[L/P Líquido]]</f>
        <v>0.29732984293193709</v>
      </c>
      <c r="N594" s="126">
        <f>base[[#This Row],[L/P Líquido]]/base[[#This Row],[Stake/Responsabilidade]]</f>
        <v>6.3679483298011902E-2</v>
      </c>
      <c r="O594" s="132">
        <f>IF(base[[#This Row],[L/P Líquido]]&gt;0,1,0)</f>
        <v>1</v>
      </c>
      <c r="P594" s="132"/>
      <c r="Q594" s="132" t="str">
        <f>LEFT(base[[#This Row],[Evento / Mercado]],FIND("vs",base[[#This Row],[Evento / Mercado]])-2)</f>
        <v>Novara</v>
      </c>
      <c r="R5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Pro Patria</v>
      </c>
      <c r="S594" s="132" t="e">
        <f>LEFT(base[[#This Row],[Evento / Mercado]],FIND("/",base[[#This Row],[Evento / Mercado]])-2)</f>
        <v>#VALUE!</v>
      </c>
    </row>
    <row r="595" spans="2:21" ht="15" customHeight="1">
      <c r="B595" s="128" t="s">
        <v>489</v>
      </c>
      <c r="C595" s="128" t="s">
        <v>2982</v>
      </c>
      <c r="D595" s="129">
        <v>46047.540960648148</v>
      </c>
      <c r="E595" s="130">
        <v>5.62</v>
      </c>
      <c r="F595" s="131">
        <v>4.4999999999999998E-2</v>
      </c>
      <c r="G595" s="126">
        <f t="shared" si="10"/>
        <v>5.8848167539267022</v>
      </c>
      <c r="H595" s="126" t="s">
        <v>73</v>
      </c>
      <c r="I595" s="127" t="s">
        <v>13</v>
      </c>
      <c r="J595" s="126">
        <v>18</v>
      </c>
      <c r="K595" s="126">
        <v>99.96</v>
      </c>
      <c r="L595" s="129">
        <f>INT(base[[#This Row],[Data de liquidação]])</f>
        <v>46047</v>
      </c>
      <c r="M595" s="126">
        <f>base[[#This Row],[L/P Bruto]]-base[[#This Row],[L/P Líquido]]</f>
        <v>0.26481675392670212</v>
      </c>
      <c r="N595" s="126">
        <f>base[[#This Row],[L/P Líquido]]/base[[#This Row],[Stake/Responsabilidade]]</f>
        <v>5.6222488995598244E-2</v>
      </c>
      <c r="O595" s="132">
        <f>IF(base[[#This Row],[L/P Líquido]]&gt;0,1,0)</f>
        <v>1</v>
      </c>
      <c r="P595" s="132"/>
      <c r="Q595" s="132" t="str">
        <f>LEFT(base[[#This Row],[Evento / Mercado]],FIND("vs",base[[#This Row],[Evento / Mercado]])-2)</f>
        <v>Hajduk Split</v>
      </c>
      <c r="R5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Istra 1961</v>
      </c>
      <c r="S595" s="132" t="e">
        <f>LEFT(base[[#This Row],[Evento / Mercado]],FIND("/",base[[#This Row],[Evento / Mercado]])-2)</f>
        <v>#VALUE!</v>
      </c>
    </row>
    <row r="596" spans="2:21" ht="15" customHeight="1">
      <c r="B596" s="128" t="s">
        <v>488</v>
      </c>
      <c r="C596" s="128" t="s">
        <v>2982</v>
      </c>
      <c r="D596" s="129">
        <v>46047.54109953704</v>
      </c>
      <c r="E596" s="130">
        <v>-60</v>
      </c>
      <c r="F596" s="131">
        <v>4.4999999999999998E-2</v>
      </c>
      <c r="G596" s="126">
        <f t="shared" si="10"/>
        <v>-60</v>
      </c>
      <c r="H596" s="126" t="s">
        <v>231</v>
      </c>
      <c r="I596" s="127" t="s">
        <v>232</v>
      </c>
      <c r="J596" s="126">
        <v>1.69</v>
      </c>
      <c r="K596" s="126">
        <v>60</v>
      </c>
      <c r="L596" s="129">
        <f>INT(base[[#This Row],[Data de liquidação]])</f>
        <v>46047</v>
      </c>
      <c r="M596" s="126">
        <f>base[[#This Row],[L/P Bruto]]-base[[#This Row],[L/P Líquido]]</f>
        <v>0</v>
      </c>
      <c r="N596" s="126">
        <f>base[[#This Row],[L/P Líquido]]/base[[#This Row],[Stake/Responsabilidade]]</f>
        <v>-1</v>
      </c>
      <c r="O596" s="132">
        <f>IF(base[[#This Row],[L/P Líquido]]&gt;0,1,0)</f>
        <v>0</v>
      </c>
      <c r="P596" s="132"/>
      <c r="Q596" s="132" t="str">
        <f>LEFT(base[[#This Row],[Evento / Mercado]],FIND("vs",base[[#This Row],[Evento / Mercado]])-2)</f>
        <v>Newcastle United</v>
      </c>
      <c r="R5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596" s="132" t="e">
        <f>LEFT(base[[#This Row],[Evento / Mercado]],FIND("/",base[[#This Row],[Evento / Mercado]])-2)</f>
        <v>#VALUE!</v>
      </c>
    </row>
    <row r="597" spans="2:21" ht="15" customHeight="1">
      <c r="B597" s="128" t="s">
        <v>487</v>
      </c>
      <c r="C597" s="128" t="s">
        <v>2982</v>
      </c>
      <c r="D597" s="129">
        <v>46047.545335648145</v>
      </c>
      <c r="E597" s="130">
        <v>41.52</v>
      </c>
      <c r="F597" s="131">
        <v>4.4999999999999998E-2</v>
      </c>
      <c r="G597" s="126">
        <f t="shared" si="10"/>
        <v>43.476439790575924</v>
      </c>
      <c r="H597" s="126" t="s">
        <v>231</v>
      </c>
      <c r="I597" s="127" t="s">
        <v>266</v>
      </c>
      <c r="J597" s="126">
        <v>1.72</v>
      </c>
      <c r="K597" s="126">
        <v>60</v>
      </c>
      <c r="L597" s="129">
        <f>INT(base[[#This Row],[Data de liquidação]])</f>
        <v>46047</v>
      </c>
      <c r="M597" s="126">
        <f>base[[#This Row],[L/P Bruto]]-base[[#This Row],[L/P Líquido]]</f>
        <v>1.9564397905759208</v>
      </c>
      <c r="N597" s="126">
        <f>base[[#This Row],[L/P Líquido]]/base[[#This Row],[Stake/Responsabilidade]]</f>
        <v>0.69200000000000006</v>
      </c>
      <c r="O597" s="132">
        <f>IF(base[[#This Row],[L/P Líquido]]&gt;0,1,0)</f>
        <v>1</v>
      </c>
      <c r="P597" s="132"/>
      <c r="Q597" s="132" t="str">
        <f>LEFT(base[[#This Row],[Evento / Mercado]],FIND("vs",base[[#This Row],[Evento / Mercado]])-2)</f>
        <v>Hearts</v>
      </c>
      <c r="R5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597" s="132" t="e">
        <f>LEFT(base[[#This Row],[Evento / Mercado]],FIND("/",base[[#This Row],[Evento / Mercado]])-2)</f>
        <v>#VALUE!</v>
      </c>
    </row>
    <row r="598" spans="2:21" ht="15" customHeight="1">
      <c r="B598" s="128" t="s">
        <v>486</v>
      </c>
      <c r="C598" s="128" t="s">
        <v>2982</v>
      </c>
      <c r="D598" s="129">
        <v>46047.558599537035</v>
      </c>
      <c r="E598" s="130">
        <v>10.61</v>
      </c>
      <c r="F598" s="131">
        <v>4.4999999999999998E-2</v>
      </c>
      <c r="G598" s="126">
        <f t="shared" si="10"/>
        <v>11.109947643979057</v>
      </c>
      <c r="H598" s="126" t="s">
        <v>74</v>
      </c>
      <c r="I598" s="127" t="s">
        <v>541</v>
      </c>
      <c r="J598" s="126">
        <v>14.5</v>
      </c>
      <c r="K598" s="126">
        <v>149.97999999999999</v>
      </c>
      <c r="L598" s="129">
        <f>INT(base[[#This Row],[Data de liquidação]])</f>
        <v>46047</v>
      </c>
      <c r="M598" s="126">
        <f>base[[#This Row],[L/P Bruto]]-base[[#This Row],[L/P Líquido]]</f>
        <v>0.49994764397905733</v>
      </c>
      <c r="N598" s="139">
        <f>base[[#This Row],[L/P Líquido]]/base[[#This Row],[Stake/Responsabilidade]]</f>
        <v>7.0742765702093618E-2</v>
      </c>
      <c r="O598" s="132">
        <f>IF(base[[#This Row],[L/P Líquido]]&gt;0,1,0)</f>
        <v>1</v>
      </c>
      <c r="P598" s="132" t="s">
        <v>962</v>
      </c>
      <c r="Q598" s="132" t="str">
        <f>LEFT(base[[#This Row],[Evento / Mercado]],FIND("vs",base[[#This Row],[Evento / Mercado]])-2)</f>
        <v>Borussia Mönchengladbach</v>
      </c>
      <c r="R5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598" s="132" t="e">
        <f>LEFT(base[[#This Row],[Evento / Mercado]],FIND("/",base[[#This Row],[Evento / Mercado]])-2)</f>
        <v>#VALUE!</v>
      </c>
    </row>
    <row r="599" spans="2:21" ht="15" customHeight="1">
      <c r="B599" s="128" t="s">
        <v>485</v>
      </c>
      <c r="C599" s="128" t="s">
        <v>2982</v>
      </c>
      <c r="D599" s="129">
        <v>46047.574942129628</v>
      </c>
      <c r="E599" s="130">
        <v>53.29</v>
      </c>
      <c r="F599" s="131">
        <v>4.4999999999999998E-2</v>
      </c>
      <c r="G599" s="126">
        <f t="shared" si="10"/>
        <v>55.801047120418851</v>
      </c>
      <c r="H599" s="126" t="s">
        <v>231</v>
      </c>
      <c r="I599" s="127" t="s">
        <v>232</v>
      </c>
      <c r="J599" s="126">
        <v>1.93</v>
      </c>
      <c r="K599" s="126">
        <v>60</v>
      </c>
      <c r="L599" s="129">
        <f>INT(base[[#This Row],[Data de liquidação]])</f>
        <v>46047</v>
      </c>
      <c r="M599" s="126">
        <f>base[[#This Row],[L/P Bruto]]-base[[#This Row],[L/P Líquido]]</f>
        <v>2.5110471204188514</v>
      </c>
      <c r="N599" s="126">
        <f>base[[#This Row],[L/P Líquido]]/base[[#This Row],[Stake/Responsabilidade]]</f>
        <v>0.88816666666666666</v>
      </c>
      <c r="O599" s="132">
        <f>IF(base[[#This Row],[L/P Líquido]]&gt;0,1,0)</f>
        <v>1</v>
      </c>
      <c r="P599" s="132"/>
      <c r="Q599" s="132" t="str">
        <f>LEFT(base[[#This Row],[Evento / Mercado]],FIND("vs",base[[#This Row],[Evento / Mercado]])-2)</f>
        <v>FC Metz</v>
      </c>
      <c r="R5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Lyonnais</v>
      </c>
      <c r="S599" s="132" t="e">
        <f>LEFT(base[[#This Row],[Evento / Mercado]],FIND("/",base[[#This Row],[Evento / Mercado]])-2)</f>
        <v>#VALUE!</v>
      </c>
    </row>
    <row r="600" spans="2:21" ht="15" customHeight="1">
      <c r="B600" s="128" t="s">
        <v>484</v>
      </c>
      <c r="C600" s="128" t="s">
        <v>2982</v>
      </c>
      <c r="D600" s="129">
        <v>46047.612824074073</v>
      </c>
      <c r="E600" s="130">
        <v>10.61</v>
      </c>
      <c r="F600" s="131">
        <v>4.4999999999999998E-2</v>
      </c>
      <c r="G600" s="126">
        <f t="shared" si="10"/>
        <v>11.109947643979057</v>
      </c>
      <c r="H600" s="126" t="s">
        <v>74</v>
      </c>
      <c r="I600" s="127" t="s">
        <v>477</v>
      </c>
      <c r="J600" s="126">
        <v>14.5</v>
      </c>
      <c r="K600" s="126">
        <v>149.97999999999999</v>
      </c>
      <c r="L600" s="129">
        <f>INT(base[[#This Row],[Data de liquidação]])</f>
        <v>46047</v>
      </c>
      <c r="M600" s="126">
        <f>base[[#This Row],[L/P Bruto]]-base[[#This Row],[L/P Líquido]]</f>
        <v>0.49994764397905733</v>
      </c>
      <c r="N600" s="139">
        <f>base[[#This Row],[L/P Líquido]]/base[[#This Row],[Stake/Responsabilidade]]</f>
        <v>7.0742765702093618E-2</v>
      </c>
      <c r="O600" s="132">
        <f>IF(base[[#This Row],[L/P Líquido]]&gt;0,1,0)</f>
        <v>1</v>
      </c>
      <c r="P600" s="132" t="s">
        <v>967</v>
      </c>
      <c r="Q600" s="132" t="str">
        <f>LEFT(base[[#This Row],[Evento / Mercado]],FIND("vs",base[[#This Row],[Evento / Mercado]])-2)</f>
        <v>Feyenoord</v>
      </c>
      <c r="R6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Heracles Almelo</v>
      </c>
      <c r="S600" s="132" t="e">
        <f>LEFT(base[[#This Row],[Evento / Mercado]],FIND("/",base[[#This Row],[Evento / Mercado]])-2)</f>
        <v>#VALUE!</v>
      </c>
    </row>
    <row r="601" spans="2:21" ht="15" customHeight="1">
      <c r="B601" s="128" t="s">
        <v>484</v>
      </c>
      <c r="C601" s="128" t="s">
        <v>2982</v>
      </c>
      <c r="D601" s="129">
        <v>46047.612847222219</v>
      </c>
      <c r="E601" s="130">
        <v>7.64</v>
      </c>
      <c r="F601" s="131">
        <v>4.4999999999999998E-2</v>
      </c>
      <c r="G601" s="126">
        <f t="shared" si="10"/>
        <v>8</v>
      </c>
      <c r="H601" s="126" t="s">
        <v>145</v>
      </c>
      <c r="I601" s="127" t="s">
        <v>301</v>
      </c>
      <c r="J601" s="126">
        <v>13.5</v>
      </c>
      <c r="K601" s="126">
        <v>100</v>
      </c>
      <c r="L601" s="129">
        <f>INT(base[[#This Row],[Data de liquidação]])</f>
        <v>46047</v>
      </c>
      <c r="M601" s="126">
        <f>base[[#This Row],[L/P Bruto]]-base[[#This Row],[L/P Líquido]]</f>
        <v>0.36000000000000032</v>
      </c>
      <c r="N601" s="126">
        <f>base[[#This Row],[L/P Líquido]]/base[[#This Row],[Stake/Responsabilidade]]</f>
        <v>7.6399999999999996E-2</v>
      </c>
      <c r="O601" s="132">
        <f>IF(base[[#This Row],[L/P Líquido]]&gt;0,1,0)</f>
        <v>1</v>
      </c>
      <c r="P601" s="132" t="s">
        <v>967</v>
      </c>
      <c r="Q601" s="132" t="str">
        <f>LEFT(base[[#This Row],[Evento / Mercado]],FIND("vs",base[[#This Row],[Evento / Mercado]])-2)</f>
        <v>Feyenoord</v>
      </c>
      <c r="R6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Heracles Almelo</v>
      </c>
      <c r="S601" s="132" t="e">
        <f>LEFT(base[[#This Row],[Evento / Mercado]],FIND("/",base[[#This Row],[Evento / Mercado]])-2)</f>
        <v>#VALUE!</v>
      </c>
    </row>
    <row r="602" spans="2:21" ht="15" customHeight="1">
      <c r="B602" s="128" t="s">
        <v>483</v>
      </c>
      <c r="C602" s="128" t="s">
        <v>2982</v>
      </c>
      <c r="D602" s="129">
        <v>46047.633888888886</v>
      </c>
      <c r="E602" s="130">
        <v>7.08</v>
      </c>
      <c r="F602" s="131">
        <v>4.4999999999999998E-2</v>
      </c>
      <c r="G602" s="126">
        <f t="shared" si="10"/>
        <v>7.4136125654450264</v>
      </c>
      <c r="H602" s="126" t="s">
        <v>73</v>
      </c>
      <c r="I602" s="127" t="s">
        <v>13</v>
      </c>
      <c r="J602" s="126">
        <v>14.5</v>
      </c>
      <c r="K602" s="126">
        <v>100.04</v>
      </c>
      <c r="L602" s="129">
        <f>INT(base[[#This Row],[Data de liquidação]])</f>
        <v>46047</v>
      </c>
      <c r="M602" s="126">
        <f>base[[#This Row],[L/P Bruto]]-base[[#This Row],[L/P Líquido]]</f>
        <v>0.33361256544502638</v>
      </c>
      <c r="N602" s="126">
        <f>base[[#This Row],[L/P Líquido]]/base[[#This Row],[Stake/Responsabilidade]]</f>
        <v>7.0771691323470609E-2</v>
      </c>
      <c r="O602" s="132">
        <f>IF(base[[#This Row],[L/P Líquido]]&gt;0,1,0)</f>
        <v>1</v>
      </c>
      <c r="P602" s="132"/>
      <c r="Q602" s="132" t="str">
        <f>LEFT(base[[#This Row],[Evento / Mercado]],FIND("vs",base[[#This Row],[Evento / Mercado]])-2)</f>
        <v>Paris FC</v>
      </c>
      <c r="R6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Angers SCO</v>
      </c>
      <c r="S602" s="132" t="e">
        <f>LEFT(base[[#This Row],[Evento / Mercado]],FIND("/",base[[#This Row],[Evento / Mercado]])-2)</f>
        <v>#VALUE!</v>
      </c>
    </row>
    <row r="603" spans="2:21" ht="15" customHeight="1">
      <c r="B603" s="128" t="s">
        <v>482</v>
      </c>
      <c r="C603" s="128" t="s">
        <v>2982</v>
      </c>
      <c r="D603" s="129">
        <v>46047.642824074072</v>
      </c>
      <c r="E603" s="130">
        <v>5.6153999999999993</v>
      </c>
      <c r="F603" s="131">
        <v>4.4999999999999998E-2</v>
      </c>
      <c r="G603" s="126">
        <f t="shared" si="10"/>
        <v>5.88</v>
      </c>
      <c r="H603" s="126" t="s">
        <v>73</v>
      </c>
      <c r="I603" s="127" t="s">
        <v>13</v>
      </c>
      <c r="J603" s="126">
        <v>18</v>
      </c>
      <c r="K603" s="126">
        <v>99.96</v>
      </c>
      <c r="L603" s="129">
        <f>INT(base[[#This Row],[Data de liquidação]])</f>
        <v>46047</v>
      </c>
      <c r="M603" s="126">
        <f>base[[#This Row],[L/P Bruto]]-base[[#This Row],[L/P Líquido]]</f>
        <v>0.26460000000000061</v>
      </c>
      <c r="N603" s="126">
        <f>base[[#This Row],[L/P Líquido]]/base[[#This Row],[Stake/Responsabilidade]]</f>
        <v>5.6176470588235293E-2</v>
      </c>
      <c r="O603" s="132">
        <f>IF(base[[#This Row],[L/P Líquido]]&gt;0,1,0)</f>
        <v>1</v>
      </c>
      <c r="P603" s="132"/>
      <c r="Q603" s="132" t="str">
        <f>LEFT(base[[#This Row],[Evento / Mercado]],FIND("vs",base[[#This Row],[Evento / Mercado]])-2)</f>
        <v>Arsenal</v>
      </c>
      <c r="R6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603" s="132" t="e">
        <f>LEFT(base[[#This Row],[Evento / Mercado]],FIND("/",base[[#This Row],[Evento / Mercado]])-2)</f>
        <v>#VALUE!</v>
      </c>
      <c r="T603" s="8">
        <v>5.88</v>
      </c>
      <c r="U603" s="9">
        <f>T603*0.955</f>
        <v>5.6153999999999993</v>
      </c>
    </row>
    <row r="604" spans="2:21" ht="15" customHeight="1">
      <c r="B604" s="128" t="s">
        <v>482</v>
      </c>
      <c r="C604" s="128" t="s">
        <v>2982</v>
      </c>
      <c r="D604" s="129">
        <v>46047.642824074072</v>
      </c>
      <c r="E604" s="130">
        <v>10.610049999999999</v>
      </c>
      <c r="F604" s="131">
        <v>4.4999999999999998E-2</v>
      </c>
      <c r="G604" s="126">
        <f t="shared" si="10"/>
        <v>11.11</v>
      </c>
      <c r="H604" s="126" t="s">
        <v>73</v>
      </c>
      <c r="I604" s="127" t="s">
        <v>16</v>
      </c>
      <c r="J604" s="126">
        <v>10</v>
      </c>
      <c r="K604" s="126">
        <v>99.99</v>
      </c>
      <c r="L604" s="129">
        <f>INT(base[[#This Row],[Data de liquidação]])</f>
        <v>46047</v>
      </c>
      <c r="M604" s="126">
        <f>base[[#This Row],[L/P Bruto]]-base[[#This Row],[L/P Líquido]]</f>
        <v>0.49995000000000012</v>
      </c>
      <c r="N604" s="126">
        <f>base[[#This Row],[L/P Líquido]]/base[[#This Row],[Stake/Responsabilidade]]</f>
        <v>0.10611111111111111</v>
      </c>
      <c r="O604" s="132">
        <f>IF(base[[#This Row],[L/P Líquido]]&gt;0,1,0)</f>
        <v>1</v>
      </c>
      <c r="P604" s="132"/>
      <c r="Q604" s="132" t="str">
        <f>LEFT(base[[#This Row],[Evento / Mercado]],FIND("vs",base[[#This Row],[Evento / Mercado]])-2)</f>
        <v>Arsenal</v>
      </c>
      <c r="R6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604" s="132" t="e">
        <f>LEFT(base[[#This Row],[Evento / Mercado]],FIND("/",base[[#This Row],[Evento / Mercado]])-2)</f>
        <v>#VALUE!</v>
      </c>
      <c r="T604" s="8">
        <v>11.11</v>
      </c>
      <c r="U604" s="9">
        <f>T604*0.955</f>
        <v>10.610049999999999</v>
      </c>
    </row>
    <row r="605" spans="2:21" ht="15" customHeight="1">
      <c r="B605" s="128" t="s">
        <v>481</v>
      </c>
      <c r="C605" s="128" t="s">
        <v>2982</v>
      </c>
      <c r="D605" s="129">
        <v>46047.672719907408</v>
      </c>
      <c r="E605" s="130">
        <v>50.42</v>
      </c>
      <c r="F605" s="131">
        <v>4.4999999999999998E-2</v>
      </c>
      <c r="G605" s="126">
        <f t="shared" si="10"/>
        <v>52.795811518324612</v>
      </c>
      <c r="H605" s="126" t="s">
        <v>231</v>
      </c>
      <c r="I605" s="127" t="s">
        <v>266</v>
      </c>
      <c r="J605" s="126">
        <v>1.88</v>
      </c>
      <c r="K605" s="126">
        <v>60</v>
      </c>
      <c r="L605" s="129">
        <f>INT(base[[#This Row],[Data de liquidação]])</f>
        <v>46047</v>
      </c>
      <c r="M605" s="126">
        <f>base[[#This Row],[L/P Bruto]]-base[[#This Row],[L/P Líquido]]</f>
        <v>2.3758115183246105</v>
      </c>
      <c r="N605" s="126">
        <f>base[[#This Row],[L/P Líquido]]/base[[#This Row],[Stake/Responsabilidade]]</f>
        <v>0.84033333333333338</v>
      </c>
      <c r="O605" s="132">
        <f>IF(base[[#This Row],[L/P Líquido]]&gt;0,1,0)</f>
        <v>1</v>
      </c>
      <c r="P605" s="132"/>
      <c r="Q605" s="132" t="str">
        <f>LEFT(base[[#This Row],[Evento / Mercado]],FIND("vs",base[[#This Row],[Evento / Mercado]])-2)</f>
        <v>Real Sociedad</v>
      </c>
      <c r="R6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605" s="132" t="e">
        <f>LEFT(base[[#This Row],[Evento / Mercado]],FIND("/",base[[#This Row],[Evento / Mercado]])-2)</f>
        <v>#VALUE!</v>
      </c>
    </row>
    <row r="606" spans="2:21" ht="15" customHeight="1">
      <c r="B606" s="128" t="s">
        <v>480</v>
      </c>
      <c r="C606" s="128" t="s">
        <v>2982</v>
      </c>
      <c r="D606" s="129">
        <v>46047.715173611112</v>
      </c>
      <c r="E606" s="130">
        <v>39.79</v>
      </c>
      <c r="F606" s="131">
        <v>4.4999999999999998E-2</v>
      </c>
      <c r="G606" s="126">
        <f t="shared" si="10"/>
        <v>41.66492146596859</v>
      </c>
      <c r="H606" s="126" t="s">
        <v>231</v>
      </c>
      <c r="I606" s="127" t="s">
        <v>232</v>
      </c>
      <c r="J606" s="126">
        <v>1.69</v>
      </c>
      <c r="K606" s="126">
        <v>60</v>
      </c>
      <c r="L606" s="129">
        <f>INT(base[[#This Row],[Data de liquidação]])</f>
        <v>46047</v>
      </c>
      <c r="M606" s="126">
        <f>base[[#This Row],[L/P Bruto]]-base[[#This Row],[L/P Líquido]]</f>
        <v>1.8749214659685904</v>
      </c>
      <c r="N606" s="126">
        <f>base[[#This Row],[L/P Líquido]]/base[[#This Row],[Stake/Responsabilidade]]</f>
        <v>0.66316666666666668</v>
      </c>
      <c r="O606" s="132">
        <f>IF(base[[#This Row],[L/P Líquido]]&gt;0,1,0)</f>
        <v>1</v>
      </c>
      <c r="P606" s="132"/>
      <c r="Q606" s="132" t="str">
        <f>LEFT(base[[#This Row],[Evento / Mercado]],FIND("vs",base[[#This Row],[Evento / Mercado]])-2)</f>
        <v>SV Wehen Wiesbaden</v>
      </c>
      <c r="R6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Verl</v>
      </c>
      <c r="S606" s="132" t="e">
        <f>LEFT(base[[#This Row],[Evento / Mercado]],FIND("/",base[[#This Row],[Evento / Mercado]])-2)</f>
        <v>#VALUE!</v>
      </c>
    </row>
    <row r="607" spans="2:21" ht="15" customHeight="1">
      <c r="B607" s="128" t="s">
        <v>479</v>
      </c>
      <c r="C607" s="128" t="s">
        <v>2982</v>
      </c>
      <c r="D607" s="129">
        <v>46047.789918981478</v>
      </c>
      <c r="E607" s="130">
        <v>-60</v>
      </c>
      <c r="F607" s="131">
        <v>4.4999999999999998E-2</v>
      </c>
      <c r="G607" s="126">
        <f t="shared" si="10"/>
        <v>-60</v>
      </c>
      <c r="H607" s="126" t="s">
        <v>231</v>
      </c>
      <c r="I607" s="127" t="s">
        <v>266</v>
      </c>
      <c r="J607" s="126">
        <v>1.66</v>
      </c>
      <c r="K607" s="126">
        <v>60</v>
      </c>
      <c r="L607" s="129">
        <f>INT(base[[#This Row],[Data de liquidação]])</f>
        <v>46047</v>
      </c>
      <c r="M607" s="126">
        <f>base[[#This Row],[L/P Bruto]]-base[[#This Row],[L/P Líquido]]</f>
        <v>0</v>
      </c>
      <c r="N607" s="126">
        <f>base[[#This Row],[L/P Líquido]]/base[[#This Row],[Stake/Responsabilidade]]</f>
        <v>-1</v>
      </c>
      <c r="O607" s="132">
        <f>IF(base[[#This Row],[L/P Líquido]]&gt;0,1,0)</f>
        <v>0</v>
      </c>
      <c r="P607" s="132"/>
      <c r="Q607" s="132" t="str">
        <f>LEFT(base[[#This Row],[Evento / Mercado]],FIND("vs",base[[#This Row],[Evento / Mercado]])-2)</f>
        <v>Deportivo La Coruña</v>
      </c>
      <c r="R6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607" s="132" t="e">
        <f>LEFT(base[[#This Row],[Evento / Mercado]],FIND("/",base[[#This Row],[Evento / Mercado]])-2)</f>
        <v>#VALUE!</v>
      </c>
    </row>
    <row r="608" spans="2:21" ht="15" customHeight="1">
      <c r="B608" s="128" t="s">
        <v>479</v>
      </c>
      <c r="C608" s="128" t="s">
        <v>2982</v>
      </c>
      <c r="D608" s="129">
        <v>46047.79005787037</v>
      </c>
      <c r="E608" s="130">
        <v>14.33</v>
      </c>
      <c r="F608" s="131">
        <v>4.4999999999999998E-2</v>
      </c>
      <c r="G608" s="126">
        <f t="shared" si="10"/>
        <v>15.005235602094242</v>
      </c>
      <c r="H608" s="126" t="s">
        <v>74</v>
      </c>
      <c r="I608" s="127" t="s">
        <v>477</v>
      </c>
      <c r="J608" s="126">
        <v>11</v>
      </c>
      <c r="K608" s="126">
        <v>150</v>
      </c>
      <c r="L608" s="129">
        <f>INT(base[[#This Row],[Data de liquidação]])</f>
        <v>46047</v>
      </c>
      <c r="M608" s="126">
        <f>base[[#This Row],[L/P Bruto]]-base[[#This Row],[L/P Líquido]]</f>
        <v>0.67523560209424183</v>
      </c>
      <c r="N608" s="139">
        <f>base[[#This Row],[L/P Líquido]]/base[[#This Row],[Stake/Responsabilidade]]</f>
        <v>9.5533333333333331E-2</v>
      </c>
      <c r="O608" s="132">
        <f>IF(base[[#This Row],[L/P Líquido]]&gt;0,1,0)</f>
        <v>1</v>
      </c>
      <c r="P608" s="132" t="s">
        <v>977</v>
      </c>
      <c r="Q608" s="132" t="str">
        <f>LEFT(base[[#This Row],[Evento / Mercado]],FIND("vs",base[[#This Row],[Evento / Mercado]])-2)</f>
        <v>Deportivo La Coruña</v>
      </c>
      <c r="R6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608" s="132" t="e">
        <f>LEFT(base[[#This Row],[Evento / Mercado]],FIND("/",base[[#This Row],[Evento / Mercado]])-2)</f>
        <v>#VALUE!</v>
      </c>
    </row>
    <row r="609" spans="2:19" ht="15" customHeight="1">
      <c r="B609" s="128" t="s">
        <v>478</v>
      </c>
      <c r="C609" s="128" t="s">
        <v>2982</v>
      </c>
      <c r="D609" s="129">
        <v>46047.811168981483</v>
      </c>
      <c r="E609" s="130">
        <v>5.97</v>
      </c>
      <c r="F609" s="131">
        <v>4.4999999999999998E-2</v>
      </c>
      <c r="G609" s="126">
        <f t="shared" si="10"/>
        <v>6.2513089005235605</v>
      </c>
      <c r="H609" s="126" t="s">
        <v>74</v>
      </c>
      <c r="I609" s="127" t="s">
        <v>476</v>
      </c>
      <c r="J609" s="126">
        <v>25</v>
      </c>
      <c r="K609" s="126">
        <v>150</v>
      </c>
      <c r="L609" s="129">
        <f>INT(base[[#This Row],[Data de liquidação]])</f>
        <v>46047</v>
      </c>
      <c r="M609" s="126">
        <f>base[[#This Row],[L/P Bruto]]-base[[#This Row],[L/P Líquido]]</f>
        <v>0.28130890052356072</v>
      </c>
      <c r="N609" s="139">
        <f>base[[#This Row],[L/P Líquido]]/base[[#This Row],[Stake/Responsabilidade]]</f>
        <v>3.9799999999999995E-2</v>
      </c>
      <c r="O609" s="132">
        <f>IF(base[[#This Row],[L/P Líquido]]&gt;0,1,0)</f>
        <v>1</v>
      </c>
      <c r="P609" s="132" t="s">
        <v>965</v>
      </c>
      <c r="Q609" s="132" t="str">
        <f>LEFT(base[[#This Row],[Evento / Mercado]],FIND("vs",base[[#This Row],[Evento / Mercado]])-2)</f>
        <v>Sporting de Braga</v>
      </c>
      <c r="R6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Alverca</v>
      </c>
      <c r="S609" s="132" t="e">
        <f>LEFT(base[[#This Row],[Evento / Mercado]],FIND("/",base[[#This Row],[Evento / Mercado]])-2)</f>
        <v>#VALUE!</v>
      </c>
    </row>
    <row r="610" spans="2:19" ht="15" customHeight="1">
      <c r="B610" s="128" t="s">
        <v>546</v>
      </c>
      <c r="C610" s="128" t="s">
        <v>2982</v>
      </c>
      <c r="D610" s="129">
        <v>46048.597685185188</v>
      </c>
      <c r="E610" s="130">
        <v>12.9</v>
      </c>
      <c r="F610" s="131">
        <v>4.4999999999999998E-2</v>
      </c>
      <c r="G610" s="126">
        <f t="shared" si="10"/>
        <v>13.507853403141363</v>
      </c>
      <c r="H610" s="126" t="s">
        <v>210</v>
      </c>
      <c r="I610" s="127" t="s">
        <v>16</v>
      </c>
      <c r="J610" s="126">
        <v>8.4</v>
      </c>
      <c r="K610" s="126">
        <v>99.97</v>
      </c>
      <c r="L610" s="129">
        <f>INT(base[[#This Row],[Data de liquidação]])</f>
        <v>46048</v>
      </c>
      <c r="M610" s="126">
        <f>base[[#This Row],[L/P Bruto]]-base[[#This Row],[L/P Líquido]]</f>
        <v>0.60785340314136249</v>
      </c>
      <c r="N610" s="126">
        <f>base[[#This Row],[L/P Líquido]]/base[[#This Row],[Stake/Responsabilidade]]</f>
        <v>0.12903871161348404</v>
      </c>
      <c r="O610" s="132">
        <f>IF(base[[#This Row],[L/P Líquido]]&gt;0,1,0)</f>
        <v>1</v>
      </c>
      <c r="P610" s="132"/>
      <c r="Q610" s="132" t="str">
        <f>LEFT(base[[#This Row],[Evento / Mercado]],FIND("vs",base[[#This Row],[Evento / Mercado]])-2)</f>
        <v>Otelul Galati</v>
      </c>
      <c r="R6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Csikszereda Miercurea Ciuc</v>
      </c>
      <c r="S610" s="132" t="e">
        <f>LEFT(base[[#This Row],[Evento / Mercado]],FIND("/",base[[#This Row],[Evento / Mercado]])-2)</f>
        <v>#VALUE!</v>
      </c>
    </row>
    <row r="611" spans="2:19" ht="15" customHeight="1">
      <c r="B611" s="128" t="s">
        <v>546</v>
      </c>
      <c r="C611" s="128" t="s">
        <v>2982</v>
      </c>
      <c r="D611" s="129">
        <v>46048.597743055558</v>
      </c>
      <c r="E611" s="130">
        <v>5.0199999999999996</v>
      </c>
      <c r="F611" s="131">
        <v>4.4999999999999998E-2</v>
      </c>
      <c r="G611" s="126">
        <f t="shared" si="10"/>
        <v>5.2565445026178006</v>
      </c>
      <c r="H611" s="126" t="s">
        <v>145</v>
      </c>
      <c r="I611" s="127" t="s">
        <v>301</v>
      </c>
      <c r="J611" s="126">
        <v>10.5</v>
      </c>
      <c r="K611" s="126">
        <v>49.97</v>
      </c>
      <c r="L611" s="129">
        <f>INT(base[[#This Row],[Data de liquidação]])</f>
        <v>46048</v>
      </c>
      <c r="M611" s="126">
        <f>base[[#This Row],[L/P Bruto]]-base[[#This Row],[L/P Líquido]]</f>
        <v>0.23654450261780102</v>
      </c>
      <c r="N611" s="126">
        <f>base[[#This Row],[L/P Líquido]]/base[[#This Row],[Stake/Responsabilidade]]</f>
        <v>0.10046027616569941</v>
      </c>
      <c r="O611" s="132">
        <f>IF(base[[#This Row],[L/P Líquido]]&gt;0,1,0)</f>
        <v>1</v>
      </c>
      <c r="P611" s="132" t="s">
        <v>978</v>
      </c>
      <c r="Q611" s="132" t="str">
        <f>LEFT(base[[#This Row],[Evento / Mercado]],FIND("vs",base[[#This Row],[Evento / Mercado]])-2)</f>
        <v>Otelul Galati</v>
      </c>
      <c r="R6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Csikszereda Miercurea Ciuc</v>
      </c>
      <c r="S611" s="132" t="e">
        <f>LEFT(base[[#This Row],[Evento / Mercado]],FIND("/",base[[#This Row],[Evento / Mercado]])-2)</f>
        <v>#VALUE!</v>
      </c>
    </row>
    <row r="612" spans="2:19" ht="15" customHeight="1">
      <c r="B612" s="128" t="s">
        <v>545</v>
      </c>
      <c r="C612" s="128" t="s">
        <v>2982</v>
      </c>
      <c r="D612" s="129">
        <v>46048.676261574074</v>
      </c>
      <c r="E612" s="130">
        <v>65.319999999999993</v>
      </c>
      <c r="F612" s="131">
        <v>4.4999999999999998E-2</v>
      </c>
      <c r="G612" s="126">
        <f t="shared" si="10"/>
        <v>68.397905759162299</v>
      </c>
      <c r="H612" s="126" t="s">
        <v>231</v>
      </c>
      <c r="I612" s="127" t="s">
        <v>233</v>
      </c>
      <c r="J612" s="126">
        <v>2.14</v>
      </c>
      <c r="K612" s="126">
        <v>60</v>
      </c>
      <c r="L612" s="129">
        <f>INT(base[[#This Row],[Data de liquidação]])</f>
        <v>46048</v>
      </c>
      <c r="M612" s="126">
        <f>base[[#This Row],[L/P Bruto]]-base[[#This Row],[L/P Líquido]]</f>
        <v>3.0779057591623058</v>
      </c>
      <c r="N612" s="126">
        <f>base[[#This Row],[L/P Líquido]]/base[[#This Row],[Stake/Responsabilidade]]</f>
        <v>1.0886666666666664</v>
      </c>
      <c r="O612" s="132">
        <f>IF(base[[#This Row],[L/P Líquido]]&gt;0,1,0)</f>
        <v>1</v>
      </c>
      <c r="P612" s="132"/>
      <c r="Q612" s="132" t="str">
        <f>LEFT(base[[#This Row],[Evento / Mercado]],FIND("vs",base[[#This Row],[Evento / Mercado]])-2)</f>
        <v>Jong AZ Alkmaar</v>
      </c>
      <c r="R6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Almere City</v>
      </c>
      <c r="S612" s="132" t="e">
        <f>LEFT(base[[#This Row],[Evento / Mercado]],FIND("/",base[[#This Row],[Evento / Mercado]])-2)</f>
        <v>#VALUE!</v>
      </c>
    </row>
    <row r="613" spans="2:19" ht="15" customHeight="1">
      <c r="B613" s="128" t="s">
        <v>544</v>
      </c>
      <c r="C613" s="128" t="s">
        <v>2982</v>
      </c>
      <c r="D613" s="129">
        <v>46048.68582175926</v>
      </c>
      <c r="E613" s="130">
        <v>-149.27000000000001</v>
      </c>
      <c r="F613" s="131">
        <v>4.4999999999999998E-2</v>
      </c>
      <c r="G613" s="126">
        <f t="shared" si="10"/>
        <v>-149.27000000000001</v>
      </c>
      <c r="H613" s="126" t="s">
        <v>74</v>
      </c>
      <c r="I613" s="127" t="s">
        <v>477</v>
      </c>
      <c r="J613" s="126">
        <v>15</v>
      </c>
      <c r="K613" s="126">
        <v>149.27000000000001</v>
      </c>
      <c r="L613" s="129">
        <f>INT(base[[#This Row],[Data de liquidação]])</f>
        <v>46048</v>
      </c>
      <c r="M613" s="126">
        <f>base[[#This Row],[L/P Bruto]]-base[[#This Row],[L/P Líquido]]</f>
        <v>0</v>
      </c>
      <c r="N613" s="126">
        <f>base[[#This Row],[L/P Líquido]]/base[[#This Row],[Stake/Responsabilidade]]</f>
        <v>-1</v>
      </c>
      <c r="O613" s="132">
        <f>IF(base[[#This Row],[L/P Líquido]]&gt;0,1,0)</f>
        <v>0</v>
      </c>
      <c r="P613" s="132" t="s">
        <v>973</v>
      </c>
      <c r="Q613" s="132" t="str">
        <f>LEFT(base[[#This Row],[Evento / Mercado]],FIND("vs",base[[#This Row],[Evento / Mercado]])-2)</f>
        <v>Al-Nassr Riyadh</v>
      </c>
      <c r="R6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Al-Taawoun Buraidah</v>
      </c>
      <c r="S613" s="132" t="e">
        <f>LEFT(base[[#This Row],[Evento / Mercado]],FIND("/",base[[#This Row],[Evento / Mercado]])-2)</f>
        <v>#VALUE!</v>
      </c>
    </row>
    <row r="614" spans="2:19" ht="15" customHeight="1">
      <c r="B614" s="128" t="s">
        <v>544</v>
      </c>
      <c r="C614" s="128" t="s">
        <v>2982</v>
      </c>
      <c r="D614" s="129">
        <v>46048.686226851853</v>
      </c>
      <c r="E614" s="130">
        <v>-60</v>
      </c>
      <c r="F614" s="131">
        <v>4.4999999999999998E-2</v>
      </c>
      <c r="G614" s="126">
        <f t="shared" si="10"/>
        <v>-60</v>
      </c>
      <c r="H614" s="126" t="s">
        <v>231</v>
      </c>
      <c r="I614" s="127" t="s">
        <v>266</v>
      </c>
      <c r="J614" s="126">
        <v>1.71</v>
      </c>
      <c r="K614" s="126">
        <v>60</v>
      </c>
      <c r="L614" s="129">
        <f>INT(base[[#This Row],[Data de liquidação]])</f>
        <v>46048</v>
      </c>
      <c r="M614" s="126">
        <f>base[[#This Row],[L/P Bruto]]-base[[#This Row],[L/P Líquido]]</f>
        <v>0</v>
      </c>
      <c r="N614" s="126">
        <f>base[[#This Row],[L/P Líquido]]/base[[#This Row],[Stake/Responsabilidade]]</f>
        <v>-1</v>
      </c>
      <c r="O614" s="132">
        <f>IF(base[[#This Row],[L/P Líquido]]&gt;0,1,0)</f>
        <v>0</v>
      </c>
      <c r="P614" s="132"/>
      <c r="Q614" s="132" t="str">
        <f>LEFT(base[[#This Row],[Evento / Mercado]],FIND("vs",base[[#This Row],[Evento / Mercado]])-2)</f>
        <v>Al-Nassr Riyadh</v>
      </c>
      <c r="R6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Al-Taawoun Buraidah</v>
      </c>
      <c r="S614" s="132" t="e">
        <f>LEFT(base[[#This Row],[Evento / Mercado]],FIND("/",base[[#This Row],[Evento / Mercado]])-2)</f>
        <v>#VALUE!</v>
      </c>
    </row>
    <row r="615" spans="2:19" ht="15" customHeight="1">
      <c r="B615" s="128" t="s">
        <v>543</v>
      </c>
      <c r="C615" s="128" t="s">
        <v>2982</v>
      </c>
      <c r="D615" s="129">
        <v>46048.770451388889</v>
      </c>
      <c r="E615" s="130">
        <v>40.93</v>
      </c>
      <c r="F615" s="131">
        <v>4.4999999999999998E-2</v>
      </c>
      <c r="G615" s="126">
        <f t="shared" si="10"/>
        <v>42.858638743455501</v>
      </c>
      <c r="H615" s="126" t="s">
        <v>231</v>
      </c>
      <c r="I615" s="127" t="s">
        <v>232</v>
      </c>
      <c r="J615" s="126">
        <v>1.71</v>
      </c>
      <c r="K615" s="126">
        <v>60</v>
      </c>
      <c r="L615" s="129">
        <f>INT(base[[#This Row],[Data de liquidação]])</f>
        <v>46048</v>
      </c>
      <c r="M615" s="126">
        <f>base[[#This Row],[L/P Bruto]]-base[[#This Row],[L/P Líquido]]</f>
        <v>1.928638743455501</v>
      </c>
      <c r="N615" s="126">
        <f>base[[#This Row],[L/P Líquido]]/base[[#This Row],[Stake/Responsabilidade]]</f>
        <v>0.6821666666666667</v>
      </c>
      <c r="O615" s="132">
        <f>IF(base[[#This Row],[L/P Líquido]]&gt;0,1,0)</f>
        <v>1</v>
      </c>
      <c r="P615" s="132"/>
      <c r="Q615" s="132" t="str">
        <f>LEFT(base[[#This Row],[Evento / Mercado]],FIND("vs",base[[#This Row],[Evento / Mercado]])-2)</f>
        <v>Norwich City</v>
      </c>
      <c r="R6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615" s="132" t="e">
        <f>LEFT(base[[#This Row],[Evento / Mercado]],FIND("/",base[[#This Row],[Evento / Mercado]])-2)</f>
        <v>#VALUE!</v>
      </c>
    </row>
    <row r="616" spans="2:19" ht="15" customHeight="1">
      <c r="B616" s="128" t="s">
        <v>553</v>
      </c>
      <c r="C616" s="128" t="s">
        <v>2982</v>
      </c>
      <c r="D616" s="129">
        <v>46049.49554398148</v>
      </c>
      <c r="E616" s="130">
        <v>14.05</v>
      </c>
      <c r="F616" s="131">
        <v>4.4999999999999998E-2</v>
      </c>
      <c r="G616" s="126">
        <f t="shared" si="10"/>
        <v>14.712041884816756</v>
      </c>
      <c r="H616" s="126" t="s">
        <v>210</v>
      </c>
      <c r="I616" s="127" t="s">
        <v>16</v>
      </c>
      <c r="J616" s="126">
        <v>7.8</v>
      </c>
      <c r="K616" s="126">
        <v>100.03</v>
      </c>
      <c r="L616" s="129">
        <f>INT(base[[#This Row],[Data de liquidação]])</f>
        <v>46049</v>
      </c>
      <c r="M616" s="126">
        <f>base[[#This Row],[L/P Bruto]]-base[[#This Row],[L/P Líquido]]</f>
        <v>0.6620418848167553</v>
      </c>
      <c r="N616" s="126">
        <f>base[[#This Row],[L/P Líquido]]/base[[#This Row],[Stake/Responsabilidade]]</f>
        <v>0.14045786264120763</v>
      </c>
      <c r="O616" s="132">
        <f>IF(base[[#This Row],[L/P Líquido]]&gt;0,1,0)</f>
        <v>1</v>
      </c>
      <c r="P616" s="132"/>
      <c r="Q616" s="132" t="str">
        <f>LEFT(base[[#This Row],[Evento / Mercado]],FIND("vs",base[[#This Row],[Evento / Mercado]])-2)</f>
        <v>Kampala City Council FC</v>
      </c>
      <c r="R6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UPDF FC</v>
      </c>
      <c r="S616" s="132" t="e">
        <f>LEFT(base[[#This Row],[Evento / Mercado]],FIND("/",base[[#This Row],[Evento / Mercado]])-2)</f>
        <v>#VALUE!</v>
      </c>
    </row>
    <row r="617" spans="2:19" ht="15" customHeight="1">
      <c r="B617" s="128" t="s">
        <v>552</v>
      </c>
      <c r="C617" s="128" t="s">
        <v>2982</v>
      </c>
      <c r="D617" s="129">
        <v>46049.727025462962</v>
      </c>
      <c r="E617" s="130">
        <v>49.85</v>
      </c>
      <c r="F617" s="131">
        <v>4.4999999999999998E-2</v>
      </c>
      <c r="G617" s="126">
        <f t="shared" si="10"/>
        <v>52.198952879581157</v>
      </c>
      <c r="H617" s="126" t="s">
        <v>231</v>
      </c>
      <c r="I617" s="127" t="s">
        <v>266</v>
      </c>
      <c r="J617" s="126">
        <v>1.87</v>
      </c>
      <c r="K617" s="126">
        <v>60</v>
      </c>
      <c r="L617" s="129">
        <f>INT(base[[#This Row],[Data de liquidação]])</f>
        <v>46049</v>
      </c>
      <c r="M617" s="126">
        <f>base[[#This Row],[L/P Bruto]]-base[[#This Row],[L/P Líquido]]</f>
        <v>2.3489528795811552</v>
      </c>
      <c r="N617" s="126">
        <f>base[[#This Row],[L/P Líquido]]/base[[#This Row],[Stake/Responsabilidade]]</f>
        <v>0.83083333333333331</v>
      </c>
      <c r="O617" s="132">
        <f>IF(base[[#This Row],[L/P Líquido]]&gt;0,1,0)</f>
        <v>1</v>
      </c>
      <c r="P617" s="132"/>
      <c r="Q617" s="132" t="str">
        <f>LEFT(base[[#This Row],[Evento / Mercado]],FIND("vs",base[[#This Row],[Evento / Mercado]])-2)</f>
        <v>Plymouth Argyle</v>
      </c>
      <c r="R6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Mansfield Town</v>
      </c>
      <c r="S617" s="132" t="e">
        <f>LEFT(base[[#This Row],[Evento / Mercado]],FIND("/",base[[#This Row],[Evento / Mercado]])-2)</f>
        <v>#VALUE!</v>
      </c>
    </row>
    <row r="618" spans="2:19" ht="15" customHeight="1">
      <c r="B618" s="128" t="s">
        <v>551</v>
      </c>
      <c r="C618" s="128" t="s">
        <v>2982</v>
      </c>
      <c r="D618" s="129">
        <v>46049.728854166664</v>
      </c>
      <c r="E618" s="130">
        <v>49.28</v>
      </c>
      <c r="F618" s="131">
        <v>4.4999999999999998E-2</v>
      </c>
      <c r="G618" s="126">
        <f t="shared" si="10"/>
        <v>51.602094240837701</v>
      </c>
      <c r="H618" s="126" t="s">
        <v>231</v>
      </c>
      <c r="I618" s="127" t="s">
        <v>266</v>
      </c>
      <c r="J618" s="126">
        <v>1.86</v>
      </c>
      <c r="K618" s="126">
        <v>60</v>
      </c>
      <c r="L618" s="129">
        <f>INT(base[[#This Row],[Data de liquidação]])</f>
        <v>46049</v>
      </c>
      <c r="M618" s="126">
        <f>base[[#This Row],[L/P Bruto]]-base[[#This Row],[L/P Líquido]]</f>
        <v>2.3220942408376999</v>
      </c>
      <c r="N618" s="126">
        <f>base[[#This Row],[L/P Líquido]]/base[[#This Row],[Stake/Responsabilidade]]</f>
        <v>0.82133333333333336</v>
      </c>
      <c r="O618" s="132">
        <f>IF(base[[#This Row],[L/P Líquido]]&gt;0,1,0)</f>
        <v>1</v>
      </c>
      <c r="P618" s="132"/>
      <c r="Q618" s="132" t="str">
        <f>LEFT(base[[#This Row],[Evento / Mercado]],FIND("vs",base[[#This Row],[Evento / Mercado]])-2)</f>
        <v>Notts County</v>
      </c>
      <c r="R6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Swindon Town</v>
      </c>
      <c r="S618" s="132" t="e">
        <f>LEFT(base[[#This Row],[Evento / Mercado]],FIND("/",base[[#This Row],[Evento / Mercado]])-2)</f>
        <v>#VALUE!</v>
      </c>
    </row>
    <row r="619" spans="2:19" ht="15" customHeight="1">
      <c r="B619" s="128" t="s">
        <v>550</v>
      </c>
      <c r="C619" s="128" t="s">
        <v>2982</v>
      </c>
      <c r="D619" s="129">
        <v>46049.746666666666</v>
      </c>
      <c r="E619" s="130">
        <v>-100.03</v>
      </c>
      <c r="F619" s="131">
        <v>4.4999999999999998E-2</v>
      </c>
      <c r="G619" s="126">
        <f t="shared" si="10"/>
        <v>-100.03</v>
      </c>
      <c r="H619" s="126" t="s">
        <v>210</v>
      </c>
      <c r="I619" s="127" t="s">
        <v>16</v>
      </c>
      <c r="J619" s="126">
        <v>8</v>
      </c>
      <c r="K619" s="126">
        <v>100.03</v>
      </c>
      <c r="L619" s="129">
        <f>INT(base[[#This Row],[Data de liquidação]])</f>
        <v>46049</v>
      </c>
      <c r="M619" s="126">
        <f>base[[#This Row],[L/P Bruto]]-base[[#This Row],[L/P Líquido]]</f>
        <v>0</v>
      </c>
      <c r="N619" s="126">
        <f>base[[#This Row],[L/P Líquido]]/base[[#This Row],[Stake/Responsabilidade]]</f>
        <v>-1</v>
      </c>
      <c r="O619" s="132">
        <f>IF(base[[#This Row],[L/P Líquido]]&gt;0,1,0)</f>
        <v>0</v>
      </c>
      <c r="P619" s="132"/>
      <c r="Q619" s="132" t="str">
        <f>LEFT(base[[#This Row],[Evento / Mercado]],FIND("vs",base[[#This Row],[Evento / Mercado]])-2)</f>
        <v>Patro Maasmechelen</v>
      </c>
      <c r="R6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Royal Olympic Club Charleroi</v>
      </c>
      <c r="S619" s="132" t="e">
        <f>LEFT(base[[#This Row],[Evento / Mercado]],FIND("/",base[[#This Row],[Evento / Mercado]])-2)</f>
        <v>#VALUE!</v>
      </c>
    </row>
    <row r="620" spans="2:19" ht="15" customHeight="1">
      <c r="B620" s="128" t="s">
        <v>549</v>
      </c>
      <c r="C620" s="128" t="s">
        <v>2982</v>
      </c>
      <c r="D620" s="129">
        <v>46049.756469907406</v>
      </c>
      <c r="E620" s="130">
        <v>51.57</v>
      </c>
      <c r="F620" s="131">
        <v>4.4999999999999998E-2</v>
      </c>
      <c r="G620" s="126">
        <f t="shared" si="10"/>
        <v>54</v>
      </c>
      <c r="H620" s="126" t="s">
        <v>231</v>
      </c>
      <c r="I620" s="127" t="s">
        <v>232</v>
      </c>
      <c r="J620" s="126">
        <v>1.9</v>
      </c>
      <c r="K620" s="126">
        <v>60</v>
      </c>
      <c r="L620" s="129">
        <f>INT(base[[#This Row],[Data de liquidação]])</f>
        <v>46049</v>
      </c>
      <c r="M620" s="126">
        <f>base[[#This Row],[L/P Bruto]]-base[[#This Row],[L/P Líquido]]</f>
        <v>2.4299999999999997</v>
      </c>
      <c r="N620" s="126">
        <f>base[[#This Row],[L/P Líquido]]/base[[#This Row],[Stake/Responsabilidade]]</f>
        <v>0.85950000000000004</v>
      </c>
      <c r="O620" s="132">
        <f>IF(base[[#This Row],[L/P Líquido]]&gt;0,1,0)</f>
        <v>1</v>
      </c>
      <c r="P620" s="132"/>
      <c r="Q620" s="132" t="str">
        <f>LEFT(base[[#This Row],[Evento / Mercado]],FIND("vs",base[[#This Row],[Evento / Mercado]])-2)</f>
        <v>Doncaster Rovers</v>
      </c>
      <c r="R6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Leyton Orient</v>
      </c>
      <c r="S620" s="132" t="e">
        <f>LEFT(base[[#This Row],[Evento / Mercado]],FIND("/",base[[#This Row],[Evento / Mercado]])-2)</f>
        <v>#VALUE!</v>
      </c>
    </row>
    <row r="621" spans="2:19" ht="15" customHeight="1">
      <c r="B621" s="128" t="s">
        <v>548</v>
      </c>
      <c r="C621" s="128" t="s">
        <v>2982</v>
      </c>
      <c r="D621" s="129">
        <v>46049.769733796296</v>
      </c>
      <c r="E621" s="130">
        <v>8.42</v>
      </c>
      <c r="F621" s="131">
        <v>4.4999999999999998E-2</v>
      </c>
      <c r="G621" s="126">
        <f t="shared" si="10"/>
        <v>8.8167539267015709</v>
      </c>
      <c r="H621" s="126" t="s">
        <v>74</v>
      </c>
      <c r="I621" s="127" t="s">
        <v>542</v>
      </c>
      <c r="J621" s="126">
        <v>18</v>
      </c>
      <c r="K621" s="126">
        <v>149.94</v>
      </c>
      <c r="L621" s="129">
        <f>INT(base[[#This Row],[Data de liquidação]])</f>
        <v>46049</v>
      </c>
      <c r="M621" s="126">
        <f>base[[#This Row],[L/P Bruto]]-base[[#This Row],[L/P Líquido]]</f>
        <v>0.39675392670157095</v>
      </c>
      <c r="N621" s="126">
        <f>base[[#This Row],[L/P Líquido]]/base[[#This Row],[Stake/Responsabilidade]]</f>
        <v>5.6155795651593975E-2</v>
      </c>
      <c r="O621" s="132">
        <f>IF(base[[#This Row],[L/P Líquido]]&gt;0,1,0)</f>
        <v>1</v>
      </c>
      <c r="P621" s="132" t="s">
        <v>962</v>
      </c>
      <c r="Q621" s="132" t="str">
        <f>LEFT(base[[#This Row],[Evento / Mercado]],FIND("vs",base[[#This Row],[Evento / Mercado]])-2)</f>
        <v>Werder Bremen</v>
      </c>
      <c r="R6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621" s="132" t="e">
        <f>LEFT(base[[#This Row],[Evento / Mercado]],FIND("/",base[[#This Row],[Evento / Mercado]])-2)</f>
        <v>#VALUE!</v>
      </c>
    </row>
    <row r="622" spans="2:19" ht="15" customHeight="1">
      <c r="B622" s="128" t="s">
        <v>548</v>
      </c>
      <c r="C622" s="128" t="s">
        <v>2982</v>
      </c>
      <c r="D622" s="129">
        <v>46049.769837962966</v>
      </c>
      <c r="E622" s="130">
        <v>-60</v>
      </c>
      <c r="F622" s="131">
        <v>4.4999999999999998E-2</v>
      </c>
      <c r="G622" s="126">
        <f t="shared" si="10"/>
        <v>-60</v>
      </c>
      <c r="H622" s="126" t="s">
        <v>231</v>
      </c>
      <c r="I622" s="127" t="s">
        <v>232</v>
      </c>
      <c r="J622" s="126">
        <v>1.74</v>
      </c>
      <c r="K622" s="126">
        <v>60</v>
      </c>
      <c r="L622" s="129">
        <f>INT(base[[#This Row],[Data de liquidação]])</f>
        <v>46049</v>
      </c>
      <c r="M622" s="126">
        <f>base[[#This Row],[L/P Bruto]]-base[[#This Row],[L/P Líquido]]</f>
        <v>0</v>
      </c>
      <c r="N622" s="126">
        <f>base[[#This Row],[L/P Líquido]]/base[[#This Row],[Stake/Responsabilidade]]</f>
        <v>-1</v>
      </c>
      <c r="O622" s="132">
        <f>IF(base[[#This Row],[L/P Líquido]]&gt;0,1,0)</f>
        <v>0</v>
      </c>
      <c r="P622" s="132"/>
      <c r="Q622" s="132" t="str">
        <f>LEFT(base[[#This Row],[Evento / Mercado]],FIND("vs",base[[#This Row],[Evento / Mercado]])-2)</f>
        <v>Werder Bremen</v>
      </c>
      <c r="R6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622" s="132" t="e">
        <f>LEFT(base[[#This Row],[Evento / Mercado]],FIND("/",base[[#This Row],[Evento / Mercado]])-2)</f>
        <v>#VALUE!</v>
      </c>
    </row>
    <row r="623" spans="2:19" ht="15" customHeight="1">
      <c r="B623" s="128" t="s">
        <v>547</v>
      </c>
      <c r="C623" s="128" t="s">
        <v>2982</v>
      </c>
      <c r="D623" s="129">
        <v>46049.777673611112</v>
      </c>
      <c r="E623" s="130">
        <v>5.97</v>
      </c>
      <c r="F623" s="131">
        <v>4.4999999999999998E-2</v>
      </c>
      <c r="G623" s="126">
        <f t="shared" si="10"/>
        <v>6.2513089005235605</v>
      </c>
      <c r="H623" s="126" t="s">
        <v>74</v>
      </c>
      <c r="I623" s="127" t="s">
        <v>476</v>
      </c>
      <c r="J623" s="126">
        <v>25</v>
      </c>
      <c r="K623" s="126">
        <v>150</v>
      </c>
      <c r="L623" s="129">
        <f>INT(base[[#This Row],[Data de liquidação]])</f>
        <v>46049</v>
      </c>
      <c r="M623" s="126">
        <f>base[[#This Row],[L/P Bruto]]-base[[#This Row],[L/P Líquido]]</f>
        <v>0.28130890052356072</v>
      </c>
      <c r="N623" s="126">
        <f>base[[#This Row],[L/P Líquido]]/base[[#This Row],[Stake/Responsabilidade]]</f>
        <v>3.9799999999999995E-2</v>
      </c>
      <c r="O623" s="132">
        <f>IF(base[[#This Row],[L/P Líquido]]&gt;0,1,0)</f>
        <v>1</v>
      </c>
      <c r="P623" s="132" t="s">
        <v>979</v>
      </c>
      <c r="Q623" s="132" t="str">
        <f>LEFT(base[[#This Row],[Evento / Mercado]],FIND("vs",base[[#This Row],[Evento / Mercado]])-2)</f>
        <v>Cardiff City</v>
      </c>
      <c r="R6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Barnsley</v>
      </c>
      <c r="S623" s="132" t="e">
        <f>LEFT(base[[#This Row],[Evento / Mercado]],FIND("/",base[[#This Row],[Evento / Mercado]])-2)</f>
        <v>#VALUE!</v>
      </c>
    </row>
    <row r="624" spans="2:19" ht="15" customHeight="1">
      <c r="B624" s="128" t="s">
        <v>566</v>
      </c>
      <c r="C624" s="128" t="s">
        <v>2982</v>
      </c>
      <c r="D624" s="129">
        <v>46050.709074074075</v>
      </c>
      <c r="E624" s="130">
        <v>5.62</v>
      </c>
      <c r="F624" s="131">
        <v>4.4999999999999998E-2</v>
      </c>
      <c r="G624" s="126">
        <f t="shared" si="10"/>
        <v>5.8848167539267022</v>
      </c>
      <c r="H624" s="126" t="s">
        <v>73</v>
      </c>
      <c r="I624" s="127" t="s">
        <v>13</v>
      </c>
      <c r="J624" s="126">
        <v>18</v>
      </c>
      <c r="K624" s="126">
        <v>99.96</v>
      </c>
      <c r="L624" s="129">
        <f>INT(base[[#This Row],[Data de liquidação]])</f>
        <v>46050</v>
      </c>
      <c r="M624" s="126">
        <f>base[[#This Row],[L/P Bruto]]-base[[#This Row],[L/P Líquido]]</f>
        <v>0.26481675392670212</v>
      </c>
      <c r="N624" s="126">
        <f>base[[#This Row],[L/P Líquido]]/base[[#This Row],[Stake/Responsabilidade]]</f>
        <v>5.6222488995598244E-2</v>
      </c>
      <c r="O624" s="132">
        <f>IF(base[[#This Row],[L/P Líquido]]&gt;0,1,0)</f>
        <v>1</v>
      </c>
      <c r="P624" s="132"/>
      <c r="Q624" s="132" t="str">
        <f>LEFT(base[[#This Row],[Evento / Mercado]],FIND("vs",base[[#This Row],[Evento / Mercado]])-2)</f>
        <v>Pyramids FC</v>
      </c>
      <c r="R6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 Gounah</v>
      </c>
      <c r="S624" s="132" t="e">
        <f>LEFT(base[[#This Row],[Evento / Mercado]],FIND("/",base[[#This Row],[Evento / Mercado]])-2)</f>
        <v>#VALUE!</v>
      </c>
    </row>
    <row r="625" spans="2:19" ht="15" customHeight="1">
      <c r="B625" s="128" t="s">
        <v>565</v>
      </c>
      <c r="C625" s="128" t="s">
        <v>2982</v>
      </c>
      <c r="D625" s="129">
        <v>46050.729629629626</v>
      </c>
      <c r="E625" s="130">
        <v>55.01</v>
      </c>
      <c r="F625" s="131">
        <v>4.4999999999999998E-2</v>
      </c>
      <c r="G625" s="126">
        <f t="shared" si="10"/>
        <v>57.602094240837694</v>
      </c>
      <c r="H625" s="126" t="s">
        <v>231</v>
      </c>
      <c r="I625" s="127" t="s">
        <v>232</v>
      </c>
      <c r="J625" s="126">
        <v>1.96</v>
      </c>
      <c r="K625" s="126">
        <v>60</v>
      </c>
      <c r="L625" s="129">
        <f>INT(base[[#This Row],[Data de liquidação]])</f>
        <v>46050</v>
      </c>
      <c r="M625" s="126">
        <f>base[[#This Row],[L/P Bruto]]-base[[#This Row],[L/P Líquido]]</f>
        <v>2.5920942408376959</v>
      </c>
      <c r="N625" s="126">
        <f>base[[#This Row],[L/P Líquido]]/base[[#This Row],[Stake/Responsabilidade]]</f>
        <v>0.91683333333333328</v>
      </c>
      <c r="O625" s="132">
        <f>IF(base[[#This Row],[L/P Líquido]]&gt;0,1,0)</f>
        <v>1</v>
      </c>
      <c r="P625" s="132"/>
      <c r="Q625" s="132" t="str">
        <f>LEFT(base[[#This Row],[Evento / Mercado]],FIND("vs",base[[#This Row],[Evento / Mercado]])-2)</f>
        <v>Athletic Bilbao</v>
      </c>
      <c r="R6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625" s="132" t="e">
        <f>LEFT(base[[#This Row],[Evento / Mercado]],FIND("/",base[[#This Row],[Evento / Mercado]])-2)</f>
        <v>#VALUE!</v>
      </c>
    </row>
    <row r="626" spans="2:19" ht="15" customHeight="1">
      <c r="B626" s="128" t="s">
        <v>564</v>
      </c>
      <c r="C626" s="128" t="s">
        <v>2982</v>
      </c>
      <c r="D626" s="129">
        <v>46050.732534722221</v>
      </c>
      <c r="E626" s="130">
        <v>47.56</v>
      </c>
      <c r="F626" s="131">
        <v>4.4999999999999998E-2</v>
      </c>
      <c r="G626" s="126">
        <f t="shared" si="10"/>
        <v>49.801047120418851</v>
      </c>
      <c r="H626" s="126" t="s">
        <v>231</v>
      </c>
      <c r="I626" s="127" t="s">
        <v>266</v>
      </c>
      <c r="J626" s="126">
        <v>1.83</v>
      </c>
      <c r="K626" s="126">
        <v>60</v>
      </c>
      <c r="L626" s="129">
        <f>INT(base[[#This Row],[Data de liquidação]])</f>
        <v>46050</v>
      </c>
      <c r="M626" s="126">
        <f>base[[#This Row],[L/P Bruto]]-base[[#This Row],[L/P Líquido]]</f>
        <v>2.2410471204188482</v>
      </c>
      <c r="N626" s="126">
        <f>base[[#This Row],[L/P Líquido]]/base[[#This Row],[Stake/Responsabilidade]]</f>
        <v>0.79266666666666674</v>
      </c>
      <c r="O626" s="132">
        <f>IF(base[[#This Row],[L/P Líquido]]&gt;0,1,0)</f>
        <v>1</v>
      </c>
      <c r="P626" s="132"/>
      <c r="Q626" s="132" t="str">
        <f>LEFT(base[[#This Row],[Evento / Mercado]],FIND("vs",base[[#This Row],[Evento / Mercado]])-2)</f>
        <v>Napoli</v>
      </c>
      <c r="R6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626" s="132" t="e">
        <f>LEFT(base[[#This Row],[Evento / Mercado]],FIND("/",base[[#This Row],[Evento / Mercado]])-2)</f>
        <v>#VALUE!</v>
      </c>
    </row>
    <row r="627" spans="2:19" ht="15" customHeight="1">
      <c r="B627" s="128" t="s">
        <v>562</v>
      </c>
      <c r="C627" s="128" t="s">
        <v>2982</v>
      </c>
      <c r="D627" s="129">
        <v>46050.785150462965</v>
      </c>
      <c r="E627" s="130">
        <v>7.75</v>
      </c>
      <c r="F627" s="131">
        <v>4.4999999999999998E-2</v>
      </c>
      <c r="G627" s="126">
        <f t="shared" si="10"/>
        <v>8.1151832460732987</v>
      </c>
      <c r="H627" s="126" t="s">
        <v>74</v>
      </c>
      <c r="I627" s="127" t="s">
        <v>542</v>
      </c>
      <c r="J627" s="126">
        <v>19.5</v>
      </c>
      <c r="K627" s="126">
        <v>150.04</v>
      </c>
      <c r="L627" s="129">
        <f>INT(base[[#This Row],[Data de liquidação]])</f>
        <v>46050</v>
      </c>
      <c r="M627" s="126">
        <f>base[[#This Row],[L/P Bruto]]-base[[#This Row],[L/P Líquido]]</f>
        <v>0.36518324607329866</v>
      </c>
      <c r="N627" s="126">
        <f>base[[#This Row],[L/P Líquido]]/base[[#This Row],[Stake/Responsabilidade]]</f>
        <v>5.1652892561983473E-2</v>
      </c>
      <c r="O627" s="132">
        <f>IF(base[[#This Row],[L/P Líquido]]&gt;0,1,0)</f>
        <v>1</v>
      </c>
      <c r="P627" s="132" t="s">
        <v>972</v>
      </c>
      <c r="Q627" s="132" t="str">
        <f>LEFT(base[[#This Row],[Evento / Mercado]],FIND("vs",base[[#This Row],[Evento / Mercado]])-2)</f>
        <v>Eintracht Frankfurt</v>
      </c>
      <c r="R6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627" s="132" t="e">
        <f>LEFT(base[[#This Row],[Evento / Mercado]],FIND("/",base[[#This Row],[Evento / Mercado]])-2)</f>
        <v>#VALUE!</v>
      </c>
    </row>
    <row r="628" spans="2:19" ht="15" customHeight="1">
      <c r="B628" s="128" t="s">
        <v>563</v>
      </c>
      <c r="C628" s="128" t="s">
        <v>2982</v>
      </c>
      <c r="D628" s="129">
        <v>46050.785277777781</v>
      </c>
      <c r="E628" s="130">
        <v>-60</v>
      </c>
      <c r="F628" s="131">
        <v>4.4999999999999998E-2</v>
      </c>
      <c r="G628" s="126">
        <f t="shared" si="10"/>
        <v>-60</v>
      </c>
      <c r="H628" s="126" t="s">
        <v>231</v>
      </c>
      <c r="I628" s="127" t="s">
        <v>266</v>
      </c>
      <c r="J628" s="126">
        <v>2.1</v>
      </c>
      <c r="K628" s="126">
        <v>60</v>
      </c>
      <c r="L628" s="129">
        <f>INT(base[[#This Row],[Data de liquidação]])</f>
        <v>46050</v>
      </c>
      <c r="M628" s="126">
        <f>base[[#This Row],[L/P Bruto]]-base[[#This Row],[L/P Líquido]]</f>
        <v>0</v>
      </c>
      <c r="N628" s="126">
        <f>base[[#This Row],[L/P Líquido]]/base[[#This Row],[Stake/Responsabilidade]]</f>
        <v>-1</v>
      </c>
      <c r="O628" s="132">
        <f>IF(base[[#This Row],[L/P Líquido]]&gt;0,1,0)</f>
        <v>0</v>
      </c>
      <c r="P628" s="132"/>
      <c r="Q628" s="132" t="str">
        <f>LEFT(base[[#This Row],[Evento / Mercado]],FIND("vs",base[[#This Row],[Evento / Mercado]])-2)</f>
        <v>Liverpool</v>
      </c>
      <c r="R6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Qarabag</v>
      </c>
      <c r="S628" s="132" t="e">
        <f>LEFT(base[[#This Row],[Evento / Mercado]],FIND("/",base[[#This Row],[Evento / Mercado]])-2)</f>
        <v>#VALUE!</v>
      </c>
    </row>
    <row r="629" spans="2:19" ht="15" customHeight="1">
      <c r="B629" s="128" t="s">
        <v>562</v>
      </c>
      <c r="C629" s="128" t="s">
        <v>2982</v>
      </c>
      <c r="D629" s="129">
        <v>46050.78528935185</v>
      </c>
      <c r="E629" s="130">
        <v>-60</v>
      </c>
      <c r="F629" s="131">
        <v>4.4999999999999998E-2</v>
      </c>
      <c r="G629" s="126">
        <f t="shared" si="10"/>
        <v>-60</v>
      </c>
      <c r="H629" s="126" t="s">
        <v>231</v>
      </c>
      <c r="I629" s="127" t="s">
        <v>232</v>
      </c>
      <c r="J629" s="126">
        <v>1.72</v>
      </c>
      <c r="K629" s="126">
        <v>60</v>
      </c>
      <c r="L629" s="129">
        <f>INT(base[[#This Row],[Data de liquidação]])</f>
        <v>46050</v>
      </c>
      <c r="M629" s="126">
        <f>base[[#This Row],[L/P Bruto]]-base[[#This Row],[L/P Líquido]]</f>
        <v>0</v>
      </c>
      <c r="N629" s="126">
        <f>base[[#This Row],[L/P Líquido]]/base[[#This Row],[Stake/Responsabilidade]]</f>
        <v>-1</v>
      </c>
      <c r="O629" s="132">
        <f>IF(base[[#This Row],[L/P Líquido]]&gt;0,1,0)</f>
        <v>0</v>
      </c>
      <c r="P629" s="132"/>
      <c r="Q629" s="132" t="str">
        <f>LEFT(base[[#This Row],[Evento / Mercado]],FIND("vs",base[[#This Row],[Evento / Mercado]])-2)</f>
        <v>Eintracht Frankfurt</v>
      </c>
      <c r="R6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629" s="132" t="e">
        <f>LEFT(base[[#This Row],[Evento / Mercado]],FIND("/",base[[#This Row],[Evento / Mercado]])-2)</f>
        <v>#VALUE!</v>
      </c>
    </row>
    <row r="630" spans="2:19" ht="15" customHeight="1">
      <c r="B630" s="128" t="s">
        <v>561</v>
      </c>
      <c r="C630" s="128" t="s">
        <v>2982</v>
      </c>
      <c r="D630" s="129">
        <v>46050.786319444444</v>
      </c>
      <c r="E630" s="130">
        <v>9.5500000000000007</v>
      </c>
      <c r="F630" s="131">
        <v>4.4999999999999998E-2</v>
      </c>
      <c r="G630" s="126">
        <f t="shared" si="10"/>
        <v>10.000000000000002</v>
      </c>
      <c r="H630" s="126" t="s">
        <v>74</v>
      </c>
      <c r="I630" s="127" t="s">
        <v>541</v>
      </c>
      <c r="J630" s="126">
        <v>16</v>
      </c>
      <c r="K630" s="126">
        <v>150</v>
      </c>
      <c r="L630" s="129">
        <f>INT(base[[#This Row],[Data de liquidação]])</f>
        <v>46050</v>
      </c>
      <c r="M630" s="126">
        <f>base[[#This Row],[L/P Bruto]]-base[[#This Row],[L/P Líquido]]</f>
        <v>0.45000000000000107</v>
      </c>
      <c r="N630" s="126">
        <f>base[[#This Row],[L/P Líquido]]/base[[#This Row],[Stake/Responsabilidade]]</f>
        <v>6.3666666666666677E-2</v>
      </c>
      <c r="O630" s="132">
        <f>IF(base[[#This Row],[L/P Líquido]]&gt;0,1,0)</f>
        <v>1</v>
      </c>
      <c r="P630" s="132" t="s">
        <v>972</v>
      </c>
      <c r="Q630" s="132" t="str">
        <f>LEFT(base[[#This Row],[Evento / Mercado]],FIND("vs",base[[#This Row],[Evento / Mercado]])-2)</f>
        <v>PSV Eindhoven</v>
      </c>
      <c r="R6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630" s="132" t="e">
        <f>LEFT(base[[#This Row],[Evento / Mercado]],FIND("/",base[[#This Row],[Evento / Mercado]])-2)</f>
        <v>#VALUE!</v>
      </c>
    </row>
    <row r="631" spans="2:19" ht="15" customHeight="1">
      <c r="B631" s="128" t="s">
        <v>560</v>
      </c>
      <c r="C631" s="128" t="s">
        <v>2982</v>
      </c>
      <c r="D631" s="129">
        <v>46050.787083333336</v>
      </c>
      <c r="E631" s="130">
        <v>5.79</v>
      </c>
      <c r="F631" s="131">
        <v>4.4999999999999998E-2</v>
      </c>
      <c r="G631" s="126">
        <f t="shared" si="10"/>
        <v>6.0628272251308903</v>
      </c>
      <c r="H631" s="126" t="s">
        <v>73</v>
      </c>
      <c r="I631" s="127" t="s">
        <v>16</v>
      </c>
      <c r="J631" s="126">
        <v>17.5</v>
      </c>
      <c r="K631" s="126">
        <v>99.99</v>
      </c>
      <c r="L631" s="129">
        <f>INT(base[[#This Row],[Data de liquidação]])</f>
        <v>46050</v>
      </c>
      <c r="M631" s="126">
        <f>base[[#This Row],[L/P Bruto]]-base[[#This Row],[L/P Líquido]]</f>
        <v>0.27282722513089031</v>
      </c>
      <c r="N631" s="126">
        <f>base[[#This Row],[L/P Líquido]]/base[[#This Row],[Stake/Responsabilidade]]</f>
        <v>5.7905790579057911E-2</v>
      </c>
      <c r="O631" s="132">
        <f>IF(base[[#This Row],[L/P Líquido]]&gt;0,1,0)</f>
        <v>1</v>
      </c>
      <c r="P631" s="132"/>
      <c r="Q631" s="132" t="str">
        <f>LEFT(base[[#This Row],[Evento / Mercado]],FIND("vs",base[[#This Row],[Evento / Mercado]])-2)</f>
        <v>Paris Saint-Germain</v>
      </c>
      <c r="R6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631" s="132" t="e">
        <f>LEFT(base[[#This Row],[Evento / Mercado]],FIND("/",base[[#This Row],[Evento / Mercado]])-2)</f>
        <v>#VALUE!</v>
      </c>
    </row>
    <row r="632" spans="2:19" ht="15" customHeight="1">
      <c r="B632" s="128" t="s">
        <v>559</v>
      </c>
      <c r="C632" s="128" t="s">
        <v>2982</v>
      </c>
      <c r="D632" s="129">
        <v>46050.787418981483</v>
      </c>
      <c r="E632" s="130">
        <v>-60</v>
      </c>
      <c r="F632" s="131">
        <v>4.4999999999999998E-2</v>
      </c>
      <c r="G632" s="126">
        <f t="shared" si="10"/>
        <v>-60</v>
      </c>
      <c r="H632" s="126" t="s">
        <v>231</v>
      </c>
      <c r="I632" s="127" t="s">
        <v>232</v>
      </c>
      <c r="J632" s="126">
        <v>1.71</v>
      </c>
      <c r="K632" s="126">
        <v>60</v>
      </c>
      <c r="L632" s="129">
        <f>INT(base[[#This Row],[Data de liquidação]])</f>
        <v>46050</v>
      </c>
      <c r="M632" s="126">
        <f>base[[#This Row],[L/P Bruto]]-base[[#This Row],[L/P Líquido]]</f>
        <v>0</v>
      </c>
      <c r="N632" s="126">
        <f>base[[#This Row],[L/P Líquido]]/base[[#This Row],[Stake/Responsabilidade]]</f>
        <v>-1</v>
      </c>
      <c r="O632" s="132">
        <f>IF(base[[#This Row],[L/P Líquido]]&gt;0,1,0)</f>
        <v>0</v>
      </c>
      <c r="P632" s="132"/>
      <c r="Q632" s="132" t="str">
        <f>LEFT(base[[#This Row],[Evento / Mercado]],FIND("vs",base[[#This Row],[Evento / Mercado]])-2)</f>
        <v>Borussia Dortmund</v>
      </c>
      <c r="R6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Internazionale</v>
      </c>
      <c r="S632" s="132" t="e">
        <f>LEFT(base[[#This Row],[Evento / Mercado]],FIND("/",base[[#This Row],[Evento / Mercado]])-2)</f>
        <v>#VALUE!</v>
      </c>
    </row>
    <row r="633" spans="2:19" ht="15" customHeight="1">
      <c r="B633" s="128" t="s">
        <v>558</v>
      </c>
      <c r="C633" s="128" t="s">
        <v>2982</v>
      </c>
      <c r="D633" s="129">
        <v>46050.787685185183</v>
      </c>
      <c r="E633" s="130">
        <v>23.71</v>
      </c>
      <c r="F633" s="131">
        <v>4.4999999999999998E-2</v>
      </c>
      <c r="G633" s="126">
        <f t="shared" si="10"/>
        <v>24.827225130890053</v>
      </c>
      <c r="H633" s="126" t="s">
        <v>145</v>
      </c>
      <c r="I633" s="127" t="s">
        <v>301</v>
      </c>
      <c r="J633" s="126">
        <v>12.5</v>
      </c>
      <c r="K633" s="126">
        <v>300.04000000000002</v>
      </c>
      <c r="L633" s="129">
        <f>INT(base[[#This Row],[Data de liquidação]])</f>
        <v>46050</v>
      </c>
      <c r="M633" s="126">
        <f>base[[#This Row],[L/P Bruto]]-base[[#This Row],[L/P Líquido]]</f>
        <v>1.117225130890052</v>
      </c>
      <c r="N633" s="126">
        <f>base[[#This Row],[L/P Líquido]]/base[[#This Row],[Stake/Responsabilidade]]</f>
        <v>7.9022796960405275E-2</v>
      </c>
      <c r="O633" s="132">
        <f>IF(base[[#This Row],[L/P Líquido]]&gt;0,1,0)</f>
        <v>1</v>
      </c>
      <c r="P633" s="132" t="s">
        <v>972</v>
      </c>
      <c r="Q633" s="132" t="str">
        <f>LEFT(base[[#This Row],[Evento / Mercado]],FIND("vs",base[[#This Row],[Evento / Mercado]])-2)</f>
        <v>Manchester City</v>
      </c>
      <c r="R6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Galatasaray SK</v>
      </c>
      <c r="S633" s="132" t="e">
        <f>LEFT(base[[#This Row],[Evento / Mercado]],FIND("/",base[[#This Row],[Evento / Mercado]])-2)</f>
        <v>#VALUE!</v>
      </c>
    </row>
    <row r="634" spans="2:19" ht="15" customHeight="1">
      <c r="B634" s="128" t="s">
        <v>557</v>
      </c>
      <c r="C634" s="128" t="s">
        <v>2982</v>
      </c>
      <c r="D634" s="129">
        <v>46050.838912037034</v>
      </c>
      <c r="E634" s="130">
        <v>5.58</v>
      </c>
      <c r="F634" s="131">
        <v>4.4999999999999998E-2</v>
      </c>
      <c r="G634" s="126">
        <f t="shared" si="10"/>
        <v>5.842931937172775</v>
      </c>
      <c r="H634" s="126" t="s">
        <v>73</v>
      </c>
      <c r="I634" s="127" t="s">
        <v>13</v>
      </c>
      <c r="J634" s="126">
        <v>18</v>
      </c>
      <c r="K634" s="126">
        <v>99.39</v>
      </c>
      <c r="L634" s="129">
        <f>INT(base[[#This Row],[Data de liquidação]])</f>
        <v>46050</v>
      </c>
      <c r="M634" s="126">
        <f>base[[#This Row],[L/P Bruto]]-base[[#This Row],[L/P Líquido]]</f>
        <v>0.26293193717277497</v>
      </c>
      <c r="N634" s="126">
        <f>base[[#This Row],[L/P Líquido]]/base[[#This Row],[Stake/Responsabilidade]]</f>
        <v>5.6142469061273771E-2</v>
      </c>
      <c r="O634" s="132">
        <f>IF(base[[#This Row],[L/P Líquido]]&gt;0,1,0)</f>
        <v>1</v>
      </c>
      <c r="P634" s="132"/>
      <c r="Q634" s="132" t="str">
        <f>LEFT(base[[#This Row],[Evento / Mercado]],FIND("vs",base[[#This Row],[Evento / Mercado]])-2)</f>
        <v>Alianza FC Valledupar</v>
      </c>
      <c r="R6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Boyacá Chicó</v>
      </c>
      <c r="S634" s="132" t="e">
        <f>LEFT(base[[#This Row],[Evento / Mercado]],FIND("/",base[[#This Row],[Evento / Mercado]])-2)</f>
        <v>#VALUE!</v>
      </c>
    </row>
    <row r="635" spans="2:19" ht="15" customHeight="1">
      <c r="B635" s="128" t="s">
        <v>556</v>
      </c>
      <c r="C635" s="128" t="s">
        <v>2982</v>
      </c>
      <c r="D635" s="129">
        <v>46050.875381944446</v>
      </c>
      <c r="E635" s="130">
        <v>7.34</v>
      </c>
      <c r="F635" s="131">
        <v>4.4999999999999998E-2</v>
      </c>
      <c r="G635" s="126">
        <f t="shared" si="10"/>
        <v>7.6858638743455501</v>
      </c>
      <c r="H635" s="126" t="s">
        <v>73</v>
      </c>
      <c r="I635" s="127" t="s">
        <v>13</v>
      </c>
      <c r="J635" s="126">
        <v>14</v>
      </c>
      <c r="K635" s="126">
        <v>99.97</v>
      </c>
      <c r="L635" s="129">
        <f>INT(base[[#This Row],[Data de liquidação]])</f>
        <v>46050</v>
      </c>
      <c r="M635" s="126">
        <f>base[[#This Row],[L/P Bruto]]-base[[#This Row],[L/P Líquido]]</f>
        <v>0.34586387434555022</v>
      </c>
      <c r="N635" s="126">
        <f>base[[#This Row],[L/P Líquido]]/base[[#This Row],[Stake/Responsabilidade]]</f>
        <v>7.3422026607982388E-2</v>
      </c>
      <c r="O635" s="132">
        <f>IF(base[[#This Row],[L/P Líquido]]&gt;0,1,0)</f>
        <v>1</v>
      </c>
      <c r="P635" s="132"/>
      <c r="Q635" s="132" t="str">
        <f>LEFT(base[[#This Row],[Evento / Mercado]],FIND("vs",base[[#This Row],[Evento / Mercado]])-2)</f>
        <v>EC Vitória</v>
      </c>
      <c r="R6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635" s="132" t="e">
        <f>LEFT(base[[#This Row],[Evento / Mercado]],FIND("/",base[[#This Row],[Evento / Mercado]])-2)</f>
        <v>#VALUE!</v>
      </c>
    </row>
    <row r="636" spans="2:19" ht="15" customHeight="1">
      <c r="B636" s="128" t="s">
        <v>555</v>
      </c>
      <c r="C636" s="128" t="s">
        <v>2982</v>
      </c>
      <c r="D636" s="129">
        <v>46050.877384259256</v>
      </c>
      <c r="E636" s="130">
        <v>-100.04</v>
      </c>
      <c r="F636" s="131">
        <v>4.4999999999999998E-2</v>
      </c>
      <c r="G636" s="126">
        <f t="shared" si="10"/>
        <v>-100.04</v>
      </c>
      <c r="H636" s="126" t="s">
        <v>73</v>
      </c>
      <c r="I636" s="127" t="s">
        <v>13</v>
      </c>
      <c r="J636" s="126">
        <v>14.5</v>
      </c>
      <c r="K636" s="126">
        <v>100.04</v>
      </c>
      <c r="L636" s="129">
        <f>INT(base[[#This Row],[Data de liquidação]])</f>
        <v>46050</v>
      </c>
      <c r="M636" s="126">
        <f>base[[#This Row],[L/P Bruto]]-base[[#This Row],[L/P Líquido]]</f>
        <v>0</v>
      </c>
      <c r="N636" s="126">
        <f>base[[#This Row],[L/P Líquido]]/base[[#This Row],[Stake/Responsabilidade]]</f>
        <v>-1</v>
      </c>
      <c r="O636" s="132">
        <f>IF(base[[#This Row],[L/P Líquido]]&gt;0,1,0)</f>
        <v>0</v>
      </c>
      <c r="P636" s="132"/>
      <c r="Q636" s="132" t="str">
        <f>LEFT(base[[#This Row],[Evento / Mercado]],FIND("vs",base[[#This Row],[Evento / Mercado]])-2)</f>
        <v>SC Internacional</v>
      </c>
      <c r="R6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636" s="132" t="e">
        <f>LEFT(base[[#This Row],[Evento / Mercado]],FIND("/",base[[#This Row],[Evento / Mercado]])-2)</f>
        <v>#VALUE!</v>
      </c>
    </row>
    <row r="637" spans="2:19" ht="15" customHeight="1">
      <c r="B637" s="128" t="s">
        <v>554</v>
      </c>
      <c r="C637" s="128" t="s">
        <v>2982</v>
      </c>
      <c r="D637" s="129">
        <v>46050.89638888889</v>
      </c>
      <c r="E637" s="130">
        <v>6.37</v>
      </c>
      <c r="F637" s="131">
        <v>4.4999999999999998E-2</v>
      </c>
      <c r="G637" s="126">
        <f t="shared" si="10"/>
        <v>6.6701570680628279</v>
      </c>
      <c r="H637" s="126" t="s">
        <v>73</v>
      </c>
      <c r="I637" s="127" t="s">
        <v>13</v>
      </c>
      <c r="J637" s="126">
        <v>16</v>
      </c>
      <c r="K637" s="126">
        <v>100.05</v>
      </c>
      <c r="L637" s="129">
        <f>INT(base[[#This Row],[Data de liquidação]])</f>
        <v>46050</v>
      </c>
      <c r="M637" s="126">
        <f>base[[#This Row],[L/P Bruto]]-base[[#This Row],[L/P Líquido]]</f>
        <v>0.30015706806282783</v>
      </c>
      <c r="N637" s="126">
        <f>base[[#This Row],[L/P Líquido]]/base[[#This Row],[Stake/Responsabilidade]]</f>
        <v>6.3668165917041483E-2</v>
      </c>
      <c r="O637" s="132">
        <f>IF(base[[#This Row],[L/P Líquido]]&gt;0,1,0)</f>
        <v>1</v>
      </c>
      <c r="P637" s="132"/>
      <c r="Q637" s="132" t="str">
        <f>LEFT(base[[#This Row],[Evento / Mercado]],FIND("vs",base[[#This Row],[Evento / Mercado]])-2)</f>
        <v>Fluminense FC</v>
      </c>
      <c r="R6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637" s="132" t="e">
        <f>LEFT(base[[#This Row],[Evento / Mercado]],FIND("/",base[[#This Row],[Evento / Mercado]])-2)</f>
        <v>#VALUE!</v>
      </c>
    </row>
    <row r="638" spans="2:19" ht="15" customHeight="1">
      <c r="B638" s="128" t="s">
        <v>575</v>
      </c>
      <c r="C638" s="128" t="s">
        <v>2982</v>
      </c>
      <c r="D638" s="129">
        <v>46051.684699074074</v>
      </c>
      <c r="E638" s="130">
        <v>9.5500000000000007</v>
      </c>
      <c r="F638" s="131">
        <v>4.4999999999999998E-2</v>
      </c>
      <c r="G638" s="126">
        <f t="shared" si="10"/>
        <v>10.000000000000002</v>
      </c>
      <c r="H638" s="126" t="s">
        <v>74</v>
      </c>
      <c r="I638" s="127" t="s">
        <v>541</v>
      </c>
      <c r="J638" s="126">
        <v>16</v>
      </c>
      <c r="K638" s="126">
        <v>150</v>
      </c>
      <c r="L638" s="129">
        <f>INT(base[[#This Row],[Data de liquidação]])</f>
        <v>46051</v>
      </c>
      <c r="M638" s="126">
        <f>base[[#This Row],[L/P Bruto]]-base[[#This Row],[L/P Líquido]]</f>
        <v>0.45000000000000107</v>
      </c>
      <c r="N638" s="126">
        <f>base[[#This Row],[L/P Líquido]]/base[[#This Row],[Stake/Responsabilidade]]</f>
        <v>6.3666666666666677E-2</v>
      </c>
      <c r="O638" s="132">
        <f>IF(base[[#This Row],[L/P Líquido]]&gt;0,1,0)</f>
        <v>1</v>
      </c>
      <c r="P638" s="132" t="s">
        <v>973</v>
      </c>
      <c r="Q638" s="132" t="str">
        <f>LEFT(base[[#This Row],[Evento / Mercado]],FIND("vs",base[[#This Row],[Evento / Mercado]])-2)</f>
        <v>Al-Qadisiyah</v>
      </c>
      <c r="R6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638" s="132" t="e">
        <f>LEFT(base[[#This Row],[Evento / Mercado]],FIND("/",base[[#This Row],[Evento / Mercado]])-2)</f>
        <v>#VALUE!</v>
      </c>
    </row>
    <row r="639" spans="2:19" ht="15" customHeight="1">
      <c r="B639" s="128" t="s">
        <v>574</v>
      </c>
      <c r="C639" s="128" t="s">
        <v>2982</v>
      </c>
      <c r="D639" s="129">
        <v>46051.785937499997</v>
      </c>
      <c r="E639" s="130">
        <v>-60</v>
      </c>
      <c r="F639" s="131">
        <v>4.4999999999999998E-2</v>
      </c>
      <c r="G639" s="126">
        <f t="shared" si="10"/>
        <v>-60</v>
      </c>
      <c r="H639" s="126" t="s">
        <v>231</v>
      </c>
      <c r="I639" s="127" t="s">
        <v>232</v>
      </c>
      <c r="J639" s="126">
        <v>1.82</v>
      </c>
      <c r="K639" s="126">
        <v>60</v>
      </c>
      <c r="L639" s="129">
        <f>INT(base[[#This Row],[Data de liquidação]])</f>
        <v>46051</v>
      </c>
      <c r="M639" s="126">
        <f>base[[#This Row],[L/P Bruto]]-base[[#This Row],[L/P Líquido]]</f>
        <v>0</v>
      </c>
      <c r="N639" s="126">
        <f>base[[#This Row],[L/P Líquido]]/base[[#This Row],[Stake/Responsabilidade]]</f>
        <v>-1</v>
      </c>
      <c r="O639" s="132">
        <f>IF(base[[#This Row],[L/P Líquido]]&gt;0,1,0)</f>
        <v>0</v>
      </c>
      <c r="P639" s="132"/>
      <c r="Q639" s="132" t="str">
        <f>LEFT(base[[#This Row],[Evento / Mercado]],FIND("vs",base[[#This Row],[Evento / Mercado]])-2)</f>
        <v>FC Midtjylland</v>
      </c>
      <c r="R6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Dinamo Zagreb</v>
      </c>
      <c r="S639" s="132" t="e">
        <f>LEFT(base[[#This Row],[Evento / Mercado]],FIND("/",base[[#This Row],[Evento / Mercado]])-2)</f>
        <v>#VALUE!</v>
      </c>
    </row>
    <row r="640" spans="2:19" ht="15" customHeight="1">
      <c r="B640" s="128" t="s">
        <v>573</v>
      </c>
      <c r="C640" s="128" t="s">
        <v>2982</v>
      </c>
      <c r="D640" s="129">
        <v>46051.785983796297</v>
      </c>
      <c r="E640" s="130">
        <v>11.02</v>
      </c>
      <c r="F640" s="131">
        <v>4.4999999999999998E-2</v>
      </c>
      <c r="G640" s="126">
        <f t="shared" si="10"/>
        <v>11.539267015706807</v>
      </c>
      <c r="H640" s="126" t="s">
        <v>145</v>
      </c>
      <c r="I640" s="127" t="s">
        <v>301</v>
      </c>
      <c r="J640" s="126">
        <v>13.82</v>
      </c>
      <c r="K640" s="126">
        <v>147.93</v>
      </c>
      <c r="L640" s="129">
        <f>INT(base[[#This Row],[Data de liquidação]])</f>
        <v>46051</v>
      </c>
      <c r="M640" s="126">
        <f>base[[#This Row],[L/P Bruto]]-base[[#This Row],[L/P Líquido]]</f>
        <v>0.51926701570680756</v>
      </c>
      <c r="N640" s="126">
        <f>base[[#This Row],[L/P Líquido]]/base[[#This Row],[Stake/Responsabilidade]]</f>
        <v>7.4494693436084627E-2</v>
      </c>
      <c r="O640" s="132">
        <f>IF(base[[#This Row],[L/P Líquido]]&gt;0,1,0)</f>
        <v>1</v>
      </c>
      <c r="P640" s="132" t="s">
        <v>980</v>
      </c>
      <c r="Q640" s="132" t="str">
        <f>LEFT(base[[#This Row],[Evento / Mercado]],FIND("vs",base[[#This Row],[Evento / Mercado]])-2)</f>
        <v>VfB Stuttgart</v>
      </c>
      <c r="R6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BSC Young Boys</v>
      </c>
      <c r="S640" s="132" t="e">
        <f>LEFT(base[[#This Row],[Evento / Mercado]],FIND("/",base[[#This Row],[Evento / Mercado]])-2)</f>
        <v>#VALUE!</v>
      </c>
    </row>
    <row r="641" spans="2:21" ht="15" customHeight="1">
      <c r="B641" s="128" t="s">
        <v>572</v>
      </c>
      <c r="C641" s="128" t="s">
        <v>2982</v>
      </c>
      <c r="D641" s="129">
        <v>46051.786412037036</v>
      </c>
      <c r="E641" s="130">
        <v>5.62</v>
      </c>
      <c r="F641" s="131">
        <v>4.4999999999999998E-2</v>
      </c>
      <c r="G641" s="126">
        <f t="shared" si="10"/>
        <v>5.8848167539267022</v>
      </c>
      <c r="H641" s="126" t="s">
        <v>73</v>
      </c>
      <c r="I641" s="127" t="s">
        <v>13</v>
      </c>
      <c r="J641" s="126">
        <v>18</v>
      </c>
      <c r="K641" s="126">
        <v>99.96</v>
      </c>
      <c r="L641" s="129">
        <f>INT(base[[#This Row],[Data de liquidação]])</f>
        <v>46051</v>
      </c>
      <c r="M641" s="126">
        <f>base[[#This Row],[L/P Bruto]]-base[[#This Row],[L/P Líquido]]</f>
        <v>0.26481675392670212</v>
      </c>
      <c r="N641" s="126">
        <f>base[[#This Row],[L/P Líquido]]/base[[#This Row],[Stake/Responsabilidade]]</f>
        <v>5.6222488995598244E-2</v>
      </c>
      <c r="O641" s="132">
        <f>IF(base[[#This Row],[L/P Líquido]]&gt;0,1,0)</f>
        <v>1</v>
      </c>
      <c r="P641" s="132"/>
      <c r="Q641" s="132" t="str">
        <f>LEFT(base[[#This Row],[Evento / Mercado]],FIND("vs",base[[#This Row],[Evento / Mercado]])-2)</f>
        <v>Mount Pleasant FA</v>
      </c>
      <c r="R6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Arnett Gardens</v>
      </c>
      <c r="S641" s="132" t="e">
        <f>LEFT(base[[#This Row],[Evento / Mercado]],FIND("/",base[[#This Row],[Evento / Mercado]])-2)</f>
        <v>#VALUE!</v>
      </c>
    </row>
    <row r="642" spans="2:21" ht="15" customHeight="1">
      <c r="B642" s="128" t="s">
        <v>571</v>
      </c>
      <c r="C642" s="128" t="s">
        <v>2982</v>
      </c>
      <c r="D642" s="129">
        <v>46051.788136574076</v>
      </c>
      <c r="E642" s="130">
        <v>5.62</v>
      </c>
      <c r="F642" s="131">
        <v>4.4999999999999998E-2</v>
      </c>
      <c r="G642" s="126">
        <f t="shared" si="10"/>
        <v>5.8848167539267022</v>
      </c>
      <c r="H642" s="126" t="s">
        <v>73</v>
      </c>
      <c r="I642" s="127" t="s">
        <v>13</v>
      </c>
      <c r="J642" s="126">
        <v>18</v>
      </c>
      <c r="K642" s="126">
        <v>99.96</v>
      </c>
      <c r="L642" s="129">
        <f>INT(base[[#This Row],[Data de liquidação]])</f>
        <v>46051</v>
      </c>
      <c r="M642" s="126">
        <f>base[[#This Row],[L/P Bruto]]-base[[#This Row],[L/P Líquido]]</f>
        <v>0.26481675392670212</v>
      </c>
      <c r="N642" s="126">
        <f>base[[#This Row],[L/P Líquido]]/base[[#This Row],[Stake/Responsabilidade]]</f>
        <v>5.6222488995598244E-2</v>
      </c>
      <c r="O642" s="132">
        <f>IF(base[[#This Row],[L/P Líquido]]&gt;0,1,0)</f>
        <v>1</v>
      </c>
      <c r="P642" s="132"/>
      <c r="Q642" s="132" t="str">
        <f>LEFT(base[[#This Row],[Evento / Mercado]],FIND("vs",base[[#This Row],[Evento / Mercado]])-2)</f>
        <v>Nottingham Forest</v>
      </c>
      <c r="R6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Ferencvárosi TC</v>
      </c>
      <c r="S642" s="132" t="e">
        <f>LEFT(base[[#This Row],[Evento / Mercado]],FIND("/",base[[#This Row],[Evento / Mercado]])-2)</f>
        <v>#VALUE!</v>
      </c>
    </row>
    <row r="643" spans="2:21" ht="15" customHeight="1">
      <c r="B643" s="128" t="s">
        <v>571</v>
      </c>
      <c r="C643" s="128" t="s">
        <v>2982</v>
      </c>
      <c r="D643" s="129">
        <v>46051.788240740738</v>
      </c>
      <c r="E643" s="130">
        <v>-60</v>
      </c>
      <c r="F643" s="131">
        <v>4.4999999999999998E-2</v>
      </c>
      <c r="G643" s="126">
        <f t="shared" ref="G643:G706" si="11">IF(E643&gt;0,E643/(1-F643),E643)</f>
        <v>-60</v>
      </c>
      <c r="H643" s="126" t="s">
        <v>231</v>
      </c>
      <c r="I643" s="127" t="s">
        <v>266</v>
      </c>
      <c r="J643" s="126">
        <v>2.06</v>
      </c>
      <c r="K643" s="126">
        <v>60</v>
      </c>
      <c r="L643" s="129">
        <f>INT(base[[#This Row],[Data de liquidação]])</f>
        <v>46051</v>
      </c>
      <c r="M643" s="126">
        <f>base[[#This Row],[L/P Bruto]]-base[[#This Row],[L/P Líquido]]</f>
        <v>0</v>
      </c>
      <c r="N643" s="126">
        <f>base[[#This Row],[L/P Líquido]]/base[[#This Row],[Stake/Responsabilidade]]</f>
        <v>-1</v>
      </c>
      <c r="O643" s="132">
        <f>IF(base[[#This Row],[L/P Líquido]]&gt;0,1,0)</f>
        <v>0</v>
      </c>
      <c r="P643" s="132"/>
      <c r="Q643" s="132" t="str">
        <f>LEFT(base[[#This Row],[Evento / Mercado]],FIND("vs",base[[#This Row],[Evento / Mercado]])-2)</f>
        <v>Nottingham Forest</v>
      </c>
      <c r="R6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Ferencvárosi TC</v>
      </c>
      <c r="S643" s="132" t="e">
        <f>LEFT(base[[#This Row],[Evento / Mercado]],FIND("/",base[[#This Row],[Evento / Mercado]])-2)</f>
        <v>#VALUE!</v>
      </c>
    </row>
    <row r="644" spans="2:21" ht="15" customHeight="1">
      <c r="B644" s="128" t="s">
        <v>570</v>
      </c>
      <c r="C644" s="128" t="s">
        <v>2982</v>
      </c>
      <c r="D644" s="129">
        <v>46051.788564814815</v>
      </c>
      <c r="E644" s="130">
        <v>11.46</v>
      </c>
      <c r="F644" s="131">
        <v>4.4999999999999998E-2</v>
      </c>
      <c r="G644" s="126">
        <f t="shared" si="11"/>
        <v>12.000000000000002</v>
      </c>
      <c r="H644" s="126" t="s">
        <v>145</v>
      </c>
      <c r="I644" s="127" t="s">
        <v>301</v>
      </c>
      <c r="J644" s="126">
        <v>13.5</v>
      </c>
      <c r="K644" s="126">
        <v>150</v>
      </c>
      <c r="L644" s="129">
        <f>INT(base[[#This Row],[Data de liquidação]])</f>
        <v>46051</v>
      </c>
      <c r="M644" s="126">
        <f>base[[#This Row],[L/P Bruto]]-base[[#This Row],[L/P Líquido]]</f>
        <v>0.54000000000000092</v>
      </c>
      <c r="N644" s="126">
        <f>base[[#This Row],[L/P Líquido]]/base[[#This Row],[Stake/Responsabilidade]]</f>
        <v>7.640000000000001E-2</v>
      </c>
      <c r="O644" s="132">
        <f>IF(base[[#This Row],[L/P Líquido]]&gt;0,1,0)</f>
        <v>1</v>
      </c>
      <c r="P644" s="132" t="s">
        <v>980</v>
      </c>
      <c r="Q644" s="132" t="str">
        <f>LEFT(base[[#This Row],[Evento / Mercado]],FIND("vs",base[[#This Row],[Evento / Mercado]])-2)</f>
        <v>FC Porto</v>
      </c>
      <c r="R6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Rangers</v>
      </c>
      <c r="S644" s="132" t="e">
        <f>LEFT(base[[#This Row],[Evento / Mercado]],FIND("/",base[[#This Row],[Evento / Mercado]])-2)</f>
        <v>#VALUE!</v>
      </c>
    </row>
    <row r="645" spans="2:21" ht="15" customHeight="1">
      <c r="B645" s="128" t="s">
        <v>569</v>
      </c>
      <c r="C645" s="128" t="s">
        <v>2982</v>
      </c>
      <c r="D645" s="129">
        <v>46051.78869212963</v>
      </c>
      <c r="E645" s="130">
        <v>5.62</v>
      </c>
      <c r="F645" s="131">
        <v>4.4999999999999998E-2</v>
      </c>
      <c r="G645" s="126">
        <f t="shared" si="11"/>
        <v>5.8848167539267022</v>
      </c>
      <c r="H645" s="126" t="s">
        <v>73</v>
      </c>
      <c r="I645" s="127" t="s">
        <v>13</v>
      </c>
      <c r="J645" s="126">
        <v>18</v>
      </c>
      <c r="K645" s="126">
        <v>99.96</v>
      </c>
      <c r="L645" s="129">
        <f>INT(base[[#This Row],[Data de liquidação]])</f>
        <v>46051</v>
      </c>
      <c r="M645" s="126">
        <f>base[[#This Row],[L/P Bruto]]-base[[#This Row],[L/P Líquido]]</f>
        <v>0.26481675392670212</v>
      </c>
      <c r="N645" s="126">
        <f>base[[#This Row],[L/P Líquido]]/base[[#This Row],[Stake/Responsabilidade]]</f>
        <v>5.6222488995598244E-2</v>
      </c>
      <c r="O645" s="132">
        <f>IF(base[[#This Row],[L/P Líquido]]&gt;0,1,0)</f>
        <v>1</v>
      </c>
      <c r="P645" s="132"/>
      <c r="Q645" s="132" t="str">
        <f>LEFT(base[[#This Row],[Evento / Mercado]],FIND("vs",base[[#This Row],[Evento / Mercado]])-2)</f>
        <v>Racing Genk</v>
      </c>
      <c r="R6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Malmö FF</v>
      </c>
      <c r="S645" s="132" t="e">
        <f>LEFT(base[[#This Row],[Evento / Mercado]],FIND("/",base[[#This Row],[Evento / Mercado]])-2)</f>
        <v>#VALUE!</v>
      </c>
    </row>
    <row r="646" spans="2:21" ht="15" customHeight="1">
      <c r="B646" s="128" t="s">
        <v>568</v>
      </c>
      <c r="C646" s="128" t="s">
        <v>2982</v>
      </c>
      <c r="D646" s="129">
        <v>46051.790798611109</v>
      </c>
      <c r="E646" s="130">
        <v>8.9579000000000004</v>
      </c>
      <c r="F646" s="131">
        <v>4.4999999999999998E-2</v>
      </c>
      <c r="G646" s="126">
        <f t="shared" si="11"/>
        <v>9.3800000000000008</v>
      </c>
      <c r="H646" s="126" t="s">
        <v>74</v>
      </c>
      <c r="I646" s="127" t="s">
        <v>477</v>
      </c>
      <c r="J646" s="126">
        <v>17</v>
      </c>
      <c r="K646" s="126">
        <v>150.08000000000001</v>
      </c>
      <c r="L646" s="129">
        <f>INT(base[[#This Row],[Data de liquidação]])</f>
        <v>46051</v>
      </c>
      <c r="M646" s="126">
        <f>base[[#This Row],[L/P Bruto]]-base[[#This Row],[L/P Líquido]]</f>
        <v>0.42210000000000036</v>
      </c>
      <c r="N646" s="126">
        <f>base[[#This Row],[L/P Líquido]]/base[[#This Row],[Stake/Responsabilidade]]</f>
        <v>5.9687499999999998E-2</v>
      </c>
      <c r="O646" s="132">
        <f>IF(base[[#This Row],[L/P Líquido]]&gt;0,1,0)</f>
        <v>1</v>
      </c>
      <c r="P646" s="132" t="s">
        <v>980</v>
      </c>
      <c r="Q646" s="132" t="str">
        <f>LEFT(base[[#This Row],[Evento / Mercado]],FIND("vs",base[[#This Row],[Evento / Mercado]])-2)</f>
        <v>Real Betis</v>
      </c>
      <c r="R6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646" s="132" t="e">
        <f>LEFT(base[[#This Row],[Evento / Mercado]],FIND("/",base[[#This Row],[Evento / Mercado]])-2)</f>
        <v>#VALUE!</v>
      </c>
      <c r="T646" s="8">
        <v>9.3800000000000008</v>
      </c>
      <c r="U646" s="9">
        <f>T646*0.955</f>
        <v>8.9579000000000004</v>
      </c>
    </row>
    <row r="647" spans="2:21" ht="15" customHeight="1">
      <c r="B647" s="128" t="s">
        <v>568</v>
      </c>
      <c r="C647" s="128" t="s">
        <v>2982</v>
      </c>
      <c r="D647" s="129">
        <v>46051.790798611109</v>
      </c>
      <c r="E647" s="130">
        <v>6.5895000000000001</v>
      </c>
      <c r="F647" s="131">
        <v>4.4999999999999998E-2</v>
      </c>
      <c r="G647" s="126">
        <f t="shared" si="11"/>
        <v>6.9</v>
      </c>
      <c r="H647" s="126" t="s">
        <v>73</v>
      </c>
      <c r="I647" s="127" t="s">
        <v>16</v>
      </c>
      <c r="J647" s="126">
        <v>15.5</v>
      </c>
      <c r="K647" s="126">
        <v>100.05</v>
      </c>
      <c r="L647" s="129">
        <f>INT(base[[#This Row],[Data de liquidação]])</f>
        <v>46051</v>
      </c>
      <c r="M647" s="126">
        <f>base[[#This Row],[L/P Bruto]]-base[[#This Row],[L/P Líquido]]</f>
        <v>0.31050000000000022</v>
      </c>
      <c r="N647" s="126">
        <f>base[[#This Row],[L/P Líquido]]/base[[#This Row],[Stake/Responsabilidade]]</f>
        <v>6.5862068965517245E-2</v>
      </c>
      <c r="O647" s="132">
        <f>IF(base[[#This Row],[L/P Líquido]]&gt;0,1,0)</f>
        <v>1</v>
      </c>
      <c r="P647" s="132"/>
      <c r="Q647" s="132" t="str">
        <f>LEFT(base[[#This Row],[Evento / Mercado]],FIND("vs",base[[#This Row],[Evento / Mercado]])-2)</f>
        <v>Real Betis</v>
      </c>
      <c r="R6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647" s="132" t="e">
        <f>LEFT(base[[#This Row],[Evento / Mercado]],FIND("/",base[[#This Row],[Evento / Mercado]])-2)</f>
        <v>#VALUE!</v>
      </c>
      <c r="T647" s="8">
        <v>6.9</v>
      </c>
      <c r="U647" s="9">
        <f>T647*0.955</f>
        <v>6.5895000000000001</v>
      </c>
    </row>
    <row r="648" spans="2:21" ht="15" customHeight="1">
      <c r="B648" s="128" t="s">
        <v>567</v>
      </c>
      <c r="C648" s="128" t="s">
        <v>2982</v>
      </c>
      <c r="D648" s="129">
        <v>46051.791134259256</v>
      </c>
      <c r="E648" s="130">
        <v>5.62</v>
      </c>
      <c r="F648" s="131">
        <v>4.4999999999999998E-2</v>
      </c>
      <c r="G648" s="126">
        <f t="shared" si="11"/>
        <v>5.8848167539267022</v>
      </c>
      <c r="H648" s="126" t="s">
        <v>73</v>
      </c>
      <c r="I648" s="127" t="s">
        <v>13</v>
      </c>
      <c r="J648" s="126">
        <v>18</v>
      </c>
      <c r="K648" s="126">
        <v>99.96</v>
      </c>
      <c r="L648" s="129">
        <f>INT(base[[#This Row],[Data de liquidação]])</f>
        <v>46051</v>
      </c>
      <c r="M648" s="126">
        <f>base[[#This Row],[L/P Bruto]]-base[[#This Row],[L/P Líquido]]</f>
        <v>0.26481675392670212</v>
      </c>
      <c r="N648" s="126">
        <f>base[[#This Row],[L/P Líquido]]/base[[#This Row],[Stake/Responsabilidade]]</f>
        <v>5.6222488995598244E-2</v>
      </c>
      <c r="O648" s="132">
        <f>IF(base[[#This Row],[L/P Líquido]]&gt;0,1,0)</f>
        <v>1</v>
      </c>
      <c r="P648" s="132"/>
      <c r="Q648" s="132" t="str">
        <f>LEFT(base[[#This Row],[Evento / Mercado]],FIND("vs",base[[#This Row],[Evento / Mercado]])-2)</f>
        <v>Deportivo Táchira</v>
      </c>
      <c r="R6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Anzoategui FC</v>
      </c>
      <c r="S648" s="132" t="e">
        <f>LEFT(base[[#This Row],[Evento / Mercado]],FIND("/",base[[#This Row],[Evento / Mercado]])-2)</f>
        <v>#VALUE!</v>
      </c>
    </row>
    <row r="649" spans="2:21" ht="15" customHeight="1">
      <c r="B649" s="128" t="s">
        <v>652</v>
      </c>
      <c r="C649" s="128" t="s">
        <v>2982</v>
      </c>
      <c r="D649" s="129">
        <v>46052.53087962963</v>
      </c>
      <c r="E649" s="130">
        <v>7.1624999999999996</v>
      </c>
      <c r="F649" s="131">
        <v>4.4999999999999998E-2</v>
      </c>
      <c r="G649" s="126">
        <f t="shared" si="11"/>
        <v>7.5</v>
      </c>
      <c r="H649" s="126" t="s">
        <v>74</v>
      </c>
      <c r="I649" s="127" t="s">
        <v>476</v>
      </c>
      <c r="J649" s="126">
        <v>21</v>
      </c>
      <c r="K649" s="126">
        <v>150</v>
      </c>
      <c r="L649" s="129">
        <f>INT(base[[#This Row],[Data de liquidação]])</f>
        <v>46052</v>
      </c>
      <c r="M649" s="126">
        <f>base[[#This Row],[L/P Bruto]]-base[[#This Row],[L/P Líquido]]</f>
        <v>0.33750000000000036</v>
      </c>
      <c r="N649" s="126">
        <f>base[[#This Row],[L/P Líquido]]/base[[#This Row],[Stake/Responsabilidade]]</f>
        <v>4.7750000000000001E-2</v>
      </c>
      <c r="O649" s="132">
        <f>IF(base[[#This Row],[L/P Líquido]]&gt;0,1,0)</f>
        <v>1</v>
      </c>
      <c r="P649" s="132" t="s">
        <v>973</v>
      </c>
      <c r="Q649" s="132" t="str">
        <f>LEFT(base[[#This Row],[Evento / Mercado]],FIND("vs",base[[#This Row],[Evento / Mercado]])-2)</f>
        <v>Al-Taawoun Buraidah</v>
      </c>
      <c r="R6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Al-Akhdoud</v>
      </c>
      <c r="S649" s="132" t="e">
        <f>LEFT(base[[#This Row],[Evento / Mercado]],FIND("/",base[[#This Row],[Evento / Mercado]])-2)</f>
        <v>#VALUE!</v>
      </c>
      <c r="T649" s="8">
        <v>7.5</v>
      </c>
      <c r="U649" s="9">
        <f>T649*0.955</f>
        <v>7.1624999999999996</v>
      </c>
    </row>
    <row r="650" spans="2:21" ht="15" customHeight="1">
      <c r="B650" s="128" t="s">
        <v>652</v>
      </c>
      <c r="C650" s="128" t="s">
        <v>2982</v>
      </c>
      <c r="D650" s="129">
        <v>46052.53087962963</v>
      </c>
      <c r="E650" s="130">
        <v>5.6153999999999993</v>
      </c>
      <c r="F650" s="131">
        <v>4.4999999999999998E-2</v>
      </c>
      <c r="G650" s="126">
        <f t="shared" si="11"/>
        <v>5.88</v>
      </c>
      <c r="H650" s="126" t="s">
        <v>73</v>
      </c>
      <c r="I650" s="127" t="s">
        <v>13</v>
      </c>
      <c r="J650" s="126">
        <v>18</v>
      </c>
      <c r="K650" s="126">
        <v>99.96</v>
      </c>
      <c r="L650" s="129">
        <f>INT(base[[#This Row],[Data de liquidação]])</f>
        <v>46052</v>
      </c>
      <c r="M650" s="126">
        <f>base[[#This Row],[L/P Bruto]]-base[[#This Row],[L/P Líquido]]</f>
        <v>0.26460000000000061</v>
      </c>
      <c r="N650" s="126">
        <f>base[[#This Row],[L/P Líquido]]/base[[#This Row],[Stake/Responsabilidade]]</f>
        <v>5.6176470588235293E-2</v>
      </c>
      <c r="O650" s="132">
        <f>IF(base[[#This Row],[L/P Líquido]]&gt;0,1,0)</f>
        <v>1</v>
      </c>
      <c r="P650" s="132"/>
      <c r="Q650" s="132" t="str">
        <f>LEFT(base[[#This Row],[Evento / Mercado]],FIND("vs",base[[#This Row],[Evento / Mercado]])-2)</f>
        <v>Al-Taawoun Buraidah</v>
      </c>
      <c r="R6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Al-Akhdoud</v>
      </c>
      <c r="S650" s="132" t="e">
        <f>LEFT(base[[#This Row],[Evento / Mercado]],FIND("/",base[[#This Row],[Evento / Mercado]])-2)</f>
        <v>#VALUE!</v>
      </c>
      <c r="T650" s="8">
        <v>5.88</v>
      </c>
      <c r="U650" s="9">
        <f>T650*0.955</f>
        <v>5.6153999999999993</v>
      </c>
    </row>
    <row r="651" spans="2:21" ht="15" customHeight="1">
      <c r="B651" s="128" t="s">
        <v>652</v>
      </c>
      <c r="C651" s="128" t="s">
        <v>2982</v>
      </c>
      <c r="D651" s="129">
        <v>46052.530925925923</v>
      </c>
      <c r="E651" s="130">
        <v>25.58</v>
      </c>
      <c r="F651" s="131">
        <v>4.4999999999999998E-2</v>
      </c>
      <c r="G651" s="126">
        <f t="shared" si="11"/>
        <v>26.785340314136125</v>
      </c>
      <c r="H651" s="126" t="s">
        <v>145</v>
      </c>
      <c r="I651" s="127" t="s">
        <v>301</v>
      </c>
      <c r="J651" s="126">
        <v>6.6</v>
      </c>
      <c r="K651" s="126">
        <v>150.02000000000001</v>
      </c>
      <c r="L651" s="129">
        <f>INT(base[[#This Row],[Data de liquidação]])</f>
        <v>46052</v>
      </c>
      <c r="M651" s="126">
        <f>base[[#This Row],[L/P Bruto]]-base[[#This Row],[L/P Líquido]]</f>
        <v>1.2053403141361265</v>
      </c>
      <c r="N651" s="126">
        <f>base[[#This Row],[L/P Líquido]]/base[[#This Row],[Stake/Responsabilidade]]</f>
        <v>0.17051059858685505</v>
      </c>
      <c r="O651" s="132">
        <f>IF(base[[#This Row],[L/P Líquido]]&gt;0,1,0)</f>
        <v>1</v>
      </c>
      <c r="P651" s="132" t="s">
        <v>973</v>
      </c>
      <c r="Q651" s="132" t="str">
        <f>LEFT(base[[#This Row],[Evento / Mercado]],FIND("vs",base[[#This Row],[Evento / Mercado]])-2)</f>
        <v>Al-Taawoun Buraidah</v>
      </c>
      <c r="R6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Al-Akhdoud</v>
      </c>
      <c r="S651" s="132" t="e">
        <f>LEFT(base[[#This Row],[Evento / Mercado]],FIND("/",base[[#This Row],[Evento / Mercado]])-2)</f>
        <v>#VALUE!</v>
      </c>
    </row>
    <row r="652" spans="2:21" ht="15" customHeight="1">
      <c r="B652" s="128" t="s">
        <v>651</v>
      </c>
      <c r="C652" s="128" t="s">
        <v>2982</v>
      </c>
      <c r="D652" s="129">
        <v>46052.572604166664</v>
      </c>
      <c r="E652" s="130">
        <v>7.96</v>
      </c>
      <c r="F652" s="131">
        <v>4.4999999999999998E-2</v>
      </c>
      <c r="G652" s="126">
        <f t="shared" si="11"/>
        <v>8.335078534031414</v>
      </c>
      <c r="H652" s="126" t="s">
        <v>73</v>
      </c>
      <c r="I652" s="127" t="s">
        <v>16</v>
      </c>
      <c r="J652" s="126">
        <v>13</v>
      </c>
      <c r="K652" s="126">
        <v>99.96</v>
      </c>
      <c r="L652" s="129">
        <f>INT(base[[#This Row],[Data de liquidação]])</f>
        <v>46052</v>
      </c>
      <c r="M652" s="126">
        <f>base[[#This Row],[L/P Bruto]]-base[[#This Row],[L/P Líquido]]</f>
        <v>0.375078534031414</v>
      </c>
      <c r="N652" s="126">
        <f>base[[#This Row],[L/P Líquido]]/base[[#This Row],[Stake/Responsabilidade]]</f>
        <v>7.9631852741096437E-2</v>
      </c>
      <c r="O652" s="132">
        <f>IF(base[[#This Row],[L/P Líquido]]&gt;0,1,0)</f>
        <v>1</v>
      </c>
      <c r="P652" s="132"/>
      <c r="Q652" s="132" t="str">
        <f>LEFT(base[[#This Row],[Evento / Mercado]],FIND("vs",base[[#This Row],[Evento / Mercado]])-2)</f>
        <v>Al-Shamal</v>
      </c>
      <c r="R6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Al-Sailiya</v>
      </c>
      <c r="S652" s="132" t="e">
        <f>LEFT(base[[#This Row],[Evento / Mercado]],FIND("/",base[[#This Row],[Evento / Mercado]])-2)</f>
        <v>#VALUE!</v>
      </c>
    </row>
    <row r="653" spans="2:21" ht="15" customHeight="1">
      <c r="B653" s="128" t="s">
        <v>650</v>
      </c>
      <c r="C653" s="128" t="s">
        <v>2982</v>
      </c>
      <c r="D653" s="129">
        <v>46052.653969907406</v>
      </c>
      <c r="E653" s="130">
        <v>5.97</v>
      </c>
      <c r="F653" s="131">
        <v>4.4999999999999998E-2</v>
      </c>
      <c r="G653" s="126">
        <f t="shared" si="11"/>
        <v>6.2513089005235605</v>
      </c>
      <c r="H653" s="126" t="s">
        <v>73</v>
      </c>
      <c r="I653" s="127" t="s">
        <v>13</v>
      </c>
      <c r="J653" s="126">
        <v>17</v>
      </c>
      <c r="K653" s="126">
        <v>100</v>
      </c>
      <c r="L653" s="129">
        <f>INT(base[[#This Row],[Data de liquidação]])</f>
        <v>46052</v>
      </c>
      <c r="M653" s="126">
        <f>base[[#This Row],[L/P Bruto]]-base[[#This Row],[L/P Líquido]]</f>
        <v>0.28130890052356072</v>
      </c>
      <c r="N653" s="126">
        <f>base[[#This Row],[L/P Líquido]]/base[[#This Row],[Stake/Responsabilidade]]</f>
        <v>5.9699999999999996E-2</v>
      </c>
      <c r="O653" s="132">
        <f>IF(base[[#This Row],[L/P Líquido]]&gt;0,1,0)</f>
        <v>1</v>
      </c>
      <c r="P653" s="132"/>
      <c r="Q653" s="132" t="str">
        <f>LEFT(base[[#This Row],[Evento / Mercado]],FIND("vs",base[[#This Row],[Evento / Mercado]])-2)</f>
        <v>Al-Duhail SC</v>
      </c>
      <c r="R6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Al-Rayyan</v>
      </c>
      <c r="S653" s="132" t="e">
        <f>LEFT(base[[#This Row],[Evento / Mercado]],FIND("/",base[[#This Row],[Evento / Mercado]])-2)</f>
        <v>#VALUE!</v>
      </c>
    </row>
    <row r="654" spans="2:21" ht="15" customHeight="1">
      <c r="B654" s="128" t="s">
        <v>646</v>
      </c>
      <c r="C654" s="128" t="s">
        <v>2982</v>
      </c>
      <c r="D654" s="129">
        <v>46052.662893518522</v>
      </c>
      <c r="E654" s="130">
        <v>38.96</v>
      </c>
      <c r="F654" s="131">
        <v>4.4999999999999998E-2</v>
      </c>
      <c r="G654" s="126">
        <f t="shared" si="11"/>
        <v>40.795811518324612</v>
      </c>
      <c r="H654" s="126" t="s">
        <v>231</v>
      </c>
      <c r="I654" s="127" t="s">
        <v>232</v>
      </c>
      <c r="J654" s="126">
        <v>1.68</v>
      </c>
      <c r="K654" s="126">
        <v>60</v>
      </c>
      <c r="L654" s="129">
        <f>INT(base[[#This Row],[Data de liquidação]])</f>
        <v>46052</v>
      </c>
      <c r="M654" s="126">
        <f>base[[#This Row],[L/P Bruto]]-base[[#This Row],[L/P Líquido]]</f>
        <v>1.8358115183246113</v>
      </c>
      <c r="N654" s="126">
        <f>base[[#This Row],[L/P Líquido]]/base[[#This Row],[Stake/Responsabilidade]]</f>
        <v>0.64933333333333332</v>
      </c>
      <c r="O654" s="132">
        <f>IF(base[[#This Row],[L/P Líquido]]&gt;0,1,0)</f>
        <v>1</v>
      </c>
      <c r="P654" s="132"/>
      <c r="Q654" s="132" t="str">
        <f>LEFT(base[[#This Row],[Evento / Mercado]],FIND("vs",base[[#This Row],[Evento / Mercado]])-2)</f>
        <v>1. FC Magdeburg</v>
      </c>
      <c r="R6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Hannover 96</v>
      </c>
      <c r="S654" s="132" t="e">
        <f>LEFT(base[[#This Row],[Evento / Mercado]],FIND("/",base[[#This Row],[Evento / Mercado]])-2)</f>
        <v>#VALUE!</v>
      </c>
    </row>
    <row r="655" spans="2:21" ht="15" customHeight="1">
      <c r="B655" s="128" t="s">
        <v>649</v>
      </c>
      <c r="C655" s="128" t="s">
        <v>2982</v>
      </c>
      <c r="D655" s="129">
        <v>46052.66337962963</v>
      </c>
      <c r="E655" s="130">
        <v>-60</v>
      </c>
      <c r="F655" s="131">
        <v>4.4999999999999998E-2</v>
      </c>
      <c r="G655" s="126">
        <f t="shared" si="11"/>
        <v>-60</v>
      </c>
      <c r="H655" s="126" t="s">
        <v>231</v>
      </c>
      <c r="I655" s="127" t="s">
        <v>266</v>
      </c>
      <c r="J655" s="126">
        <v>1.82</v>
      </c>
      <c r="K655" s="126">
        <v>60</v>
      </c>
      <c r="L655" s="129">
        <f>INT(base[[#This Row],[Data de liquidação]])</f>
        <v>46052</v>
      </c>
      <c r="M655" s="126">
        <f>base[[#This Row],[L/P Bruto]]-base[[#This Row],[L/P Líquido]]</f>
        <v>0</v>
      </c>
      <c r="N655" s="126">
        <f>base[[#This Row],[L/P Líquido]]/base[[#This Row],[Stake/Responsabilidade]]</f>
        <v>-1</v>
      </c>
      <c r="O655" s="132">
        <f>IF(base[[#This Row],[L/P Líquido]]&gt;0,1,0)</f>
        <v>0</v>
      </c>
      <c r="P655" s="132"/>
      <c r="Q655" s="132" t="str">
        <f>LEFT(base[[#This Row],[Evento / Mercado]],FIND("vs",base[[#This Row],[Evento / Mercado]])-2)</f>
        <v>Zaglebie Lubin</v>
      </c>
      <c r="R6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GKS Katowice</v>
      </c>
      <c r="S655" s="132" t="e">
        <f>LEFT(base[[#This Row],[Evento / Mercado]],FIND("/",base[[#This Row],[Evento / Mercado]])-2)</f>
        <v>#VALUE!</v>
      </c>
    </row>
    <row r="656" spans="2:21" ht="15" customHeight="1">
      <c r="B656" s="128" t="s">
        <v>648</v>
      </c>
      <c r="C656" s="128" t="s">
        <v>2982</v>
      </c>
      <c r="D656" s="129">
        <v>46052.666921296295</v>
      </c>
      <c r="E656" s="130">
        <v>8.9600000000000009</v>
      </c>
      <c r="F656" s="131">
        <v>4.4999999999999998E-2</v>
      </c>
      <c r="G656" s="126">
        <f t="shared" si="11"/>
        <v>9.3821989528795822</v>
      </c>
      <c r="H656" s="126" t="s">
        <v>74</v>
      </c>
      <c r="I656" s="127" t="s">
        <v>542</v>
      </c>
      <c r="J656" s="126">
        <v>17</v>
      </c>
      <c r="K656" s="126">
        <v>150.08000000000001</v>
      </c>
      <c r="L656" s="129">
        <f>INT(base[[#This Row],[Data de liquidação]])</f>
        <v>46052</v>
      </c>
      <c r="M656" s="126">
        <f>base[[#This Row],[L/P Bruto]]-base[[#This Row],[L/P Líquido]]</f>
        <v>0.42219895287958131</v>
      </c>
      <c r="N656" s="126">
        <f>base[[#This Row],[L/P Líquido]]/base[[#This Row],[Stake/Responsabilidade]]</f>
        <v>5.9701492537313432E-2</v>
      </c>
      <c r="O656" s="132">
        <f>IF(base[[#This Row],[L/P Líquido]]&gt;0,1,0)</f>
        <v>1</v>
      </c>
      <c r="P656" s="132" t="s">
        <v>966</v>
      </c>
      <c r="Q656" s="132" t="str">
        <f>LEFT(base[[#This Row],[Evento / Mercado]],FIND("vs",base[[#This Row],[Evento / Mercado]])-2)</f>
        <v>Antalyaspor</v>
      </c>
      <c r="R6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Trabzonspor</v>
      </c>
      <c r="S656" s="132" t="e">
        <f>LEFT(base[[#This Row],[Evento / Mercado]],FIND("/",base[[#This Row],[Evento / Mercado]])-2)</f>
        <v>#VALUE!</v>
      </c>
    </row>
    <row r="657" spans="2:21" ht="15" customHeight="1">
      <c r="B657" s="128" t="s">
        <v>647</v>
      </c>
      <c r="C657" s="128" t="s">
        <v>2982</v>
      </c>
      <c r="D657" s="129">
        <v>46052.686840277776</v>
      </c>
      <c r="E657" s="130">
        <v>13.53</v>
      </c>
      <c r="F657" s="131">
        <v>4.4999999999999998E-2</v>
      </c>
      <c r="G657" s="126">
        <f t="shared" si="11"/>
        <v>14.167539267015707</v>
      </c>
      <c r="H657" s="126" t="s">
        <v>145</v>
      </c>
      <c r="I657" s="127" t="s">
        <v>300</v>
      </c>
      <c r="J657" s="126">
        <v>13</v>
      </c>
      <c r="K657" s="126">
        <v>170.04</v>
      </c>
      <c r="L657" s="129">
        <f>INT(base[[#This Row],[Data de liquidação]])</f>
        <v>46052</v>
      </c>
      <c r="M657" s="126">
        <f>base[[#This Row],[L/P Bruto]]-base[[#This Row],[L/P Líquido]]</f>
        <v>0.63753926701570762</v>
      </c>
      <c r="N657" s="126">
        <f>base[[#This Row],[L/P Líquido]]/base[[#This Row],[Stake/Responsabilidade]]</f>
        <v>7.9569513055751592E-2</v>
      </c>
      <c r="O657" s="132">
        <f>IF(base[[#This Row],[L/P Líquido]]&gt;0,1,0)</f>
        <v>1</v>
      </c>
      <c r="P657" s="132" t="s">
        <v>973</v>
      </c>
      <c r="Q657" s="132" t="str">
        <f>LEFT(base[[#This Row],[Evento / Mercado]],FIND("vs",base[[#This Row],[Evento / Mercado]])-2)</f>
        <v>Al-Kholood Club</v>
      </c>
      <c r="R6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Al-Nassr Riyadh</v>
      </c>
      <c r="S657" s="132" t="e">
        <f>LEFT(base[[#This Row],[Evento / Mercado]],FIND("/",base[[#This Row],[Evento / Mercado]])-2)</f>
        <v>#VALUE!</v>
      </c>
    </row>
    <row r="658" spans="2:21" ht="15" customHeight="1">
      <c r="B658" s="128" t="s">
        <v>646</v>
      </c>
      <c r="C658" s="128" t="s">
        <v>2982</v>
      </c>
      <c r="D658" s="129">
        <v>46052.690937500003</v>
      </c>
      <c r="E658" s="130">
        <v>6.37</v>
      </c>
      <c r="F658" s="131">
        <v>4.4999999999999998E-2</v>
      </c>
      <c r="G658" s="126">
        <f t="shared" si="11"/>
        <v>6.6701570680628279</v>
      </c>
      <c r="H658" s="126" t="s">
        <v>73</v>
      </c>
      <c r="I658" s="127" t="s">
        <v>13</v>
      </c>
      <c r="J658" s="126">
        <v>16</v>
      </c>
      <c r="K658" s="126">
        <v>100.05</v>
      </c>
      <c r="L658" s="129">
        <f>INT(base[[#This Row],[Data de liquidação]])</f>
        <v>46052</v>
      </c>
      <c r="M658" s="126">
        <f>base[[#This Row],[L/P Bruto]]-base[[#This Row],[L/P Líquido]]</f>
        <v>0.30015706806282783</v>
      </c>
      <c r="N658" s="126">
        <f>base[[#This Row],[L/P Líquido]]/base[[#This Row],[Stake/Responsabilidade]]</f>
        <v>6.3668165917041483E-2</v>
      </c>
      <c r="O658" s="132">
        <f>IF(base[[#This Row],[L/P Líquido]]&gt;0,1,0)</f>
        <v>1</v>
      </c>
      <c r="P658" s="132"/>
      <c r="Q658" s="132" t="str">
        <f>LEFT(base[[#This Row],[Evento / Mercado]],FIND("vs",base[[#This Row],[Evento / Mercado]])-2)</f>
        <v>1. FC Magdeburg</v>
      </c>
      <c r="R6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Hannover 96</v>
      </c>
      <c r="S658" s="132" t="e">
        <f>LEFT(base[[#This Row],[Evento / Mercado]],FIND("/",base[[#This Row],[Evento / Mercado]])-2)</f>
        <v>#VALUE!</v>
      </c>
    </row>
    <row r="659" spans="2:21" ht="15" customHeight="1">
      <c r="B659" s="128" t="s">
        <v>645</v>
      </c>
      <c r="C659" s="128" t="s">
        <v>2982</v>
      </c>
      <c r="D659" s="129">
        <v>46052.691840277781</v>
      </c>
      <c r="E659" s="130">
        <v>5.79</v>
      </c>
      <c r="F659" s="131">
        <v>4.4999999999999998E-2</v>
      </c>
      <c r="G659" s="126">
        <f t="shared" si="11"/>
        <v>6.0628272251308903</v>
      </c>
      <c r="H659" s="126" t="s">
        <v>73</v>
      </c>
      <c r="I659" s="127" t="s">
        <v>13</v>
      </c>
      <c r="J659" s="126">
        <v>17.5</v>
      </c>
      <c r="K659" s="126">
        <v>99.99</v>
      </c>
      <c r="L659" s="129">
        <f>INT(base[[#This Row],[Data de liquidação]])</f>
        <v>46052</v>
      </c>
      <c r="M659" s="126">
        <f>base[[#This Row],[L/P Bruto]]-base[[#This Row],[L/P Líquido]]</f>
        <v>0.27282722513089031</v>
      </c>
      <c r="N659" s="126">
        <f>base[[#This Row],[L/P Líquido]]/base[[#This Row],[Stake/Responsabilidade]]</f>
        <v>5.7905790579057911E-2</v>
      </c>
      <c r="O659" s="132">
        <f>IF(base[[#This Row],[L/P Líquido]]&gt;0,1,0)</f>
        <v>1</v>
      </c>
      <c r="P659" s="132"/>
      <c r="Q659" s="132" t="str">
        <f>LEFT(base[[#This Row],[Evento / Mercado]],FIND("vs",base[[#This Row],[Evento / Mercado]])-2)</f>
        <v>LASK Linz</v>
      </c>
      <c r="R6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Blau-Weiss Linz</v>
      </c>
      <c r="S659" s="132" t="e">
        <f>LEFT(base[[#This Row],[Evento / Mercado]],FIND("/",base[[#This Row],[Evento / Mercado]])-2)</f>
        <v>#VALUE!</v>
      </c>
    </row>
    <row r="660" spans="2:21" ht="15" customHeight="1">
      <c r="B660" s="128" t="s">
        <v>644</v>
      </c>
      <c r="C660" s="128" t="s">
        <v>2982</v>
      </c>
      <c r="D660" s="129">
        <v>46052.694293981483</v>
      </c>
      <c r="E660" s="130">
        <v>45.27</v>
      </c>
      <c r="F660" s="131">
        <v>4.4999999999999998E-2</v>
      </c>
      <c r="G660" s="126">
        <f t="shared" si="11"/>
        <v>47.403141361256552</v>
      </c>
      <c r="H660" s="126" t="s">
        <v>231</v>
      </c>
      <c r="I660" s="127" t="s">
        <v>232</v>
      </c>
      <c r="J660" s="126">
        <v>1.79</v>
      </c>
      <c r="K660" s="126">
        <v>60</v>
      </c>
      <c r="L660" s="129">
        <f>INT(base[[#This Row],[Data de liquidação]])</f>
        <v>46052</v>
      </c>
      <c r="M660" s="126">
        <f>base[[#This Row],[L/P Bruto]]-base[[#This Row],[L/P Líquido]]</f>
        <v>2.1331413612565484</v>
      </c>
      <c r="N660" s="126">
        <f>base[[#This Row],[L/P Líquido]]/base[[#This Row],[Stake/Responsabilidade]]</f>
        <v>0.75450000000000006</v>
      </c>
      <c r="O660" s="132">
        <f>IF(base[[#This Row],[L/P Líquido]]&gt;0,1,0)</f>
        <v>1</v>
      </c>
      <c r="P660" s="132"/>
      <c r="Q660" s="132" t="str">
        <f>LEFT(base[[#This Row],[Evento / Mercado]],FIND("vs",base[[#This Row],[Evento / Mercado]])-2)</f>
        <v>TSV Havelse</v>
      </c>
      <c r="R6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Erzgebirge Aue</v>
      </c>
      <c r="S660" s="132" t="e">
        <f>LEFT(base[[#This Row],[Evento / Mercado]],FIND("/",base[[#This Row],[Evento / Mercado]])-2)</f>
        <v>#VALUE!</v>
      </c>
    </row>
    <row r="661" spans="2:21" ht="15" customHeight="1">
      <c r="B661" s="128" t="s">
        <v>638</v>
      </c>
      <c r="C661" s="128" t="s">
        <v>2982</v>
      </c>
      <c r="D661" s="129">
        <v>46052.697268518517</v>
      </c>
      <c r="E661" s="130">
        <v>51.57</v>
      </c>
      <c r="F661" s="131">
        <v>4.4999999999999998E-2</v>
      </c>
      <c r="G661" s="126">
        <f t="shared" si="11"/>
        <v>54</v>
      </c>
      <c r="H661" s="126" t="s">
        <v>231</v>
      </c>
      <c r="I661" s="127" t="s">
        <v>233</v>
      </c>
      <c r="J661" s="126">
        <v>1.9</v>
      </c>
      <c r="K661" s="126">
        <v>60</v>
      </c>
      <c r="L661" s="129">
        <f>INT(base[[#This Row],[Data de liquidação]])</f>
        <v>46052</v>
      </c>
      <c r="M661" s="126">
        <f>base[[#This Row],[L/P Bruto]]-base[[#This Row],[L/P Líquido]]</f>
        <v>2.4299999999999997</v>
      </c>
      <c r="N661" s="126">
        <f>base[[#This Row],[L/P Líquido]]/base[[#This Row],[Stake/Responsabilidade]]</f>
        <v>0.85950000000000004</v>
      </c>
      <c r="O661" s="132">
        <f>IF(base[[#This Row],[L/P Líquido]]&gt;0,1,0)</f>
        <v>1</v>
      </c>
      <c r="P661" s="132"/>
      <c r="Q661" s="132" t="str">
        <f>LEFT(base[[#This Row],[Evento / Mercado]],FIND("vs",base[[#This Row],[Evento / Mercado]])-2)</f>
        <v>ADO Den Haag</v>
      </c>
      <c r="R6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AZ Alkmaar</v>
      </c>
      <c r="S661" s="132" t="e">
        <f>LEFT(base[[#This Row],[Evento / Mercado]],FIND("/",base[[#This Row],[Evento / Mercado]])-2)</f>
        <v>#VALUE!</v>
      </c>
    </row>
    <row r="662" spans="2:21" ht="15" customHeight="1">
      <c r="B662" s="128" t="s">
        <v>643</v>
      </c>
      <c r="C662" s="128" t="s">
        <v>2982</v>
      </c>
      <c r="D662" s="129">
        <v>46052.703981481478</v>
      </c>
      <c r="E662" s="130">
        <v>5.62</v>
      </c>
      <c r="F662" s="131">
        <v>4.4999999999999998E-2</v>
      </c>
      <c r="G662" s="126">
        <f t="shared" si="11"/>
        <v>5.8848167539267022</v>
      </c>
      <c r="H662" s="126" t="s">
        <v>73</v>
      </c>
      <c r="I662" s="127" t="s">
        <v>13</v>
      </c>
      <c r="J662" s="126">
        <v>18</v>
      </c>
      <c r="K662" s="126">
        <v>99.96</v>
      </c>
      <c r="L662" s="129">
        <f>INT(base[[#This Row],[Data de liquidação]])</f>
        <v>46052</v>
      </c>
      <c r="M662" s="126">
        <f>base[[#This Row],[L/P Bruto]]-base[[#This Row],[L/P Líquido]]</f>
        <v>0.26481675392670212</v>
      </c>
      <c r="N662" s="126">
        <f>base[[#This Row],[L/P Líquido]]/base[[#This Row],[Stake/Responsabilidade]]</f>
        <v>5.6222488995598244E-2</v>
      </c>
      <c r="O662" s="132">
        <f>IF(base[[#This Row],[L/P Líquido]]&gt;0,1,0)</f>
        <v>1</v>
      </c>
      <c r="P662" s="132"/>
      <c r="Q662" s="132" t="str">
        <f>LEFT(base[[#This Row],[Evento / Mercado]],FIND("vs",base[[#This Row],[Evento / Mercado]])-2)</f>
        <v>Dinamo Bucuresti</v>
      </c>
      <c r="R6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Petrolul Ploiesti</v>
      </c>
      <c r="S662" s="132" t="e">
        <f>LEFT(base[[#This Row],[Evento / Mercado]],FIND("/",base[[#This Row],[Evento / Mercado]])-2)</f>
        <v>#VALUE!</v>
      </c>
    </row>
    <row r="663" spans="2:21" ht="15" customHeight="1">
      <c r="B663" s="128" t="s">
        <v>642</v>
      </c>
      <c r="C663" s="128" t="s">
        <v>2982</v>
      </c>
      <c r="D663" s="129">
        <v>46052.722719907404</v>
      </c>
      <c r="E663" s="130">
        <v>10.61</v>
      </c>
      <c r="F663" s="131">
        <v>4.4999999999999998E-2</v>
      </c>
      <c r="G663" s="126">
        <f t="shared" si="11"/>
        <v>11.109947643979057</v>
      </c>
      <c r="H663" s="126" t="s">
        <v>73</v>
      </c>
      <c r="I663" s="127" t="s">
        <v>16</v>
      </c>
      <c r="J663" s="126">
        <v>10</v>
      </c>
      <c r="K663" s="126">
        <v>99.99</v>
      </c>
      <c r="L663" s="129">
        <f>INT(base[[#This Row],[Data de liquidação]])</f>
        <v>46052</v>
      </c>
      <c r="M663" s="126">
        <f>base[[#This Row],[L/P Bruto]]-base[[#This Row],[L/P Líquido]]</f>
        <v>0.49994764397905733</v>
      </c>
      <c r="N663" s="126">
        <f>base[[#This Row],[L/P Líquido]]/base[[#This Row],[Stake/Responsabilidade]]</f>
        <v>0.10611061106110611</v>
      </c>
      <c r="O663" s="132">
        <f>IF(base[[#This Row],[L/P Líquido]]&gt;0,1,0)</f>
        <v>1</v>
      </c>
      <c r="P663" s="132"/>
      <c r="Q663" s="132" t="str">
        <f>LEFT(base[[#This Row],[Evento / Mercado]],FIND("vs",base[[#This Row],[Evento / Mercado]])-2)</f>
        <v>AC Bellinzona</v>
      </c>
      <c r="R6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Neuchâtel Xamax</v>
      </c>
      <c r="S663" s="132" t="e">
        <f>LEFT(base[[#This Row],[Evento / Mercado]],FIND("/",base[[#This Row],[Evento / Mercado]])-2)</f>
        <v>#VALUE!</v>
      </c>
    </row>
    <row r="664" spans="2:21" ht="15" customHeight="1">
      <c r="B664" s="128" t="s">
        <v>641</v>
      </c>
      <c r="C664" s="128" t="s">
        <v>2982</v>
      </c>
      <c r="D664" s="129">
        <v>46052.72583333333</v>
      </c>
      <c r="E664" s="130">
        <v>49.28</v>
      </c>
      <c r="F664" s="131">
        <v>4.4999999999999998E-2</v>
      </c>
      <c r="G664" s="126">
        <f t="shared" si="11"/>
        <v>51.602094240837701</v>
      </c>
      <c r="H664" s="126" t="s">
        <v>231</v>
      </c>
      <c r="I664" s="127" t="s">
        <v>266</v>
      </c>
      <c r="J664" s="126">
        <v>1.86</v>
      </c>
      <c r="K664" s="126">
        <v>60</v>
      </c>
      <c r="L664" s="129">
        <f>INT(base[[#This Row],[Data de liquidação]])</f>
        <v>46052</v>
      </c>
      <c r="M664" s="126">
        <f>base[[#This Row],[L/P Bruto]]-base[[#This Row],[L/P Líquido]]</f>
        <v>2.3220942408376999</v>
      </c>
      <c r="N664" s="126">
        <f>base[[#This Row],[L/P Líquido]]/base[[#This Row],[Stake/Responsabilidade]]</f>
        <v>0.82133333333333336</v>
      </c>
      <c r="O664" s="132">
        <f>IF(base[[#This Row],[L/P Líquido]]&gt;0,1,0)</f>
        <v>1</v>
      </c>
      <c r="P664" s="132"/>
      <c r="Q664" s="132" t="str">
        <f>LEFT(base[[#This Row],[Evento / Mercado]],FIND("vs",base[[#This Row],[Evento / Mercado]])-2)</f>
        <v>NAC Breda</v>
      </c>
      <c r="R6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664" s="132" t="e">
        <f>LEFT(base[[#This Row],[Evento / Mercado]],FIND("/",base[[#This Row],[Evento / Mercado]])-2)</f>
        <v>#VALUE!</v>
      </c>
    </row>
    <row r="665" spans="2:21" ht="15" customHeight="1">
      <c r="B665" s="128" t="s">
        <v>640</v>
      </c>
      <c r="C665" s="128" t="s">
        <v>2982</v>
      </c>
      <c r="D665" s="129">
        <v>46052.744710648149</v>
      </c>
      <c r="E665" s="130">
        <v>9.09</v>
      </c>
      <c r="F665" s="131">
        <v>4.4999999999999998E-2</v>
      </c>
      <c r="G665" s="126">
        <f t="shared" si="11"/>
        <v>9.5183246073298431</v>
      </c>
      <c r="H665" s="126" t="s">
        <v>73</v>
      </c>
      <c r="I665" s="127" t="s">
        <v>16</v>
      </c>
      <c r="J665" s="126">
        <v>11.5</v>
      </c>
      <c r="K665" s="126">
        <v>99.96</v>
      </c>
      <c r="L665" s="129">
        <f>INT(base[[#This Row],[Data de liquidação]])</f>
        <v>46052</v>
      </c>
      <c r="M665" s="126">
        <f>base[[#This Row],[L/P Bruto]]-base[[#This Row],[L/P Líquido]]</f>
        <v>0.42832460732984323</v>
      </c>
      <c r="N665" s="126">
        <f>base[[#This Row],[L/P Líquido]]/base[[#This Row],[Stake/Responsabilidade]]</f>
        <v>9.0936374549819926E-2</v>
      </c>
      <c r="O665" s="132">
        <f>IF(base[[#This Row],[L/P Líquido]]&gt;0,1,0)</f>
        <v>1</v>
      </c>
      <c r="P665" s="132"/>
      <c r="Q665" s="132" t="str">
        <f>LEFT(base[[#This Row],[Evento / Mercado]],FIND("vs",base[[#This Row],[Evento / Mercado]])-2)</f>
        <v>RKC Waalwijk</v>
      </c>
      <c r="R6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TOP Oss</v>
      </c>
      <c r="S665" s="132" t="e">
        <f>LEFT(base[[#This Row],[Evento / Mercado]],FIND("/",base[[#This Row],[Evento / Mercado]])-2)</f>
        <v>#VALUE!</v>
      </c>
    </row>
    <row r="666" spans="2:21" ht="15" customHeight="1">
      <c r="B666" s="128" t="s">
        <v>639</v>
      </c>
      <c r="C666" s="128" t="s">
        <v>2982</v>
      </c>
      <c r="D666" s="129">
        <v>46052.744814814818</v>
      </c>
      <c r="E666" s="130">
        <v>8.68</v>
      </c>
      <c r="F666" s="131">
        <v>4.4999999999999998E-2</v>
      </c>
      <c r="G666" s="126">
        <f t="shared" si="11"/>
        <v>9.0890052356020945</v>
      </c>
      <c r="H666" s="126" t="s">
        <v>73</v>
      </c>
      <c r="I666" s="127" t="s">
        <v>16</v>
      </c>
      <c r="J666" s="126">
        <v>12</v>
      </c>
      <c r="K666" s="126">
        <v>99.99</v>
      </c>
      <c r="L666" s="129">
        <f>INT(base[[#This Row],[Data de liquidação]])</f>
        <v>46052</v>
      </c>
      <c r="M666" s="126">
        <f>base[[#This Row],[L/P Bruto]]-base[[#This Row],[L/P Líquido]]</f>
        <v>0.40900523560209479</v>
      </c>
      <c r="N666" s="126">
        <f>base[[#This Row],[L/P Líquido]]/base[[#This Row],[Stake/Responsabilidade]]</f>
        <v>8.680868086808681E-2</v>
      </c>
      <c r="O666" s="132">
        <f>IF(base[[#This Row],[L/P Líquido]]&gt;0,1,0)</f>
        <v>1</v>
      </c>
      <c r="P666" s="132"/>
      <c r="Q666" s="132" t="str">
        <f>LEFT(base[[#This Row],[Evento / Mercado]],FIND("vs",base[[#This Row],[Evento / Mercado]])-2)</f>
        <v>FC Eindhoven</v>
      </c>
      <c r="R6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MVV Maastricht</v>
      </c>
      <c r="S666" s="132" t="e">
        <f>LEFT(base[[#This Row],[Evento / Mercado]],FIND("/",base[[#This Row],[Evento / Mercado]])-2)</f>
        <v>#VALUE!</v>
      </c>
    </row>
    <row r="667" spans="2:21" ht="15" customHeight="1">
      <c r="B667" s="128" t="s">
        <v>638</v>
      </c>
      <c r="C667" s="128" t="s">
        <v>2982</v>
      </c>
      <c r="D667" s="129">
        <v>46052.745648148149</v>
      </c>
      <c r="E667" s="130">
        <v>5.56</v>
      </c>
      <c r="F667" s="131">
        <v>4.4999999999999998E-2</v>
      </c>
      <c r="G667" s="126">
        <f t="shared" si="11"/>
        <v>5.821989528795811</v>
      </c>
      <c r="H667" s="126" t="s">
        <v>73</v>
      </c>
      <c r="I667" s="127" t="s">
        <v>13</v>
      </c>
      <c r="J667" s="126">
        <v>18</v>
      </c>
      <c r="K667" s="126">
        <v>98.89</v>
      </c>
      <c r="L667" s="129">
        <f>INT(base[[#This Row],[Data de liquidação]])</f>
        <v>46052</v>
      </c>
      <c r="M667" s="126">
        <f>base[[#This Row],[L/P Bruto]]-base[[#This Row],[L/P Líquido]]</f>
        <v>0.26198952879581139</v>
      </c>
      <c r="N667" s="126">
        <f>base[[#This Row],[L/P Líquido]]/base[[#This Row],[Stake/Responsabilidade]]</f>
        <v>5.6224087369804832E-2</v>
      </c>
      <c r="O667" s="132">
        <f>IF(base[[#This Row],[L/P Líquido]]&gt;0,1,0)</f>
        <v>1</v>
      </c>
      <c r="P667" s="132"/>
      <c r="Q667" s="132" t="str">
        <f>LEFT(base[[#This Row],[Evento / Mercado]],FIND("vs",base[[#This Row],[Evento / Mercado]])-2)</f>
        <v>ADO Den Haag</v>
      </c>
      <c r="R6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AZ Alkmaar</v>
      </c>
      <c r="S667" s="132" t="e">
        <f>LEFT(base[[#This Row],[Evento / Mercado]],FIND("/",base[[#This Row],[Evento / Mercado]])-2)</f>
        <v>#VALUE!</v>
      </c>
    </row>
    <row r="668" spans="2:21" ht="15" customHeight="1">
      <c r="B668" s="128" t="s">
        <v>637</v>
      </c>
      <c r="C668" s="128" t="s">
        <v>2982</v>
      </c>
      <c r="D668" s="129">
        <v>46052.748067129629</v>
      </c>
      <c r="E668" s="130">
        <v>7.64</v>
      </c>
      <c r="F668" s="131">
        <v>4.4999999999999998E-2</v>
      </c>
      <c r="G668" s="126">
        <f t="shared" si="11"/>
        <v>8</v>
      </c>
      <c r="H668" s="126" t="s">
        <v>73</v>
      </c>
      <c r="I668" s="127" t="s">
        <v>16</v>
      </c>
      <c r="J668" s="126">
        <v>13.5</v>
      </c>
      <c r="K668" s="126">
        <v>100</v>
      </c>
      <c r="L668" s="129">
        <f>INT(base[[#This Row],[Data de liquidação]])</f>
        <v>46052</v>
      </c>
      <c r="M668" s="126">
        <f>base[[#This Row],[L/P Bruto]]-base[[#This Row],[L/P Líquido]]</f>
        <v>0.36000000000000032</v>
      </c>
      <c r="N668" s="126">
        <f>base[[#This Row],[L/P Líquido]]/base[[#This Row],[Stake/Responsabilidade]]</f>
        <v>7.6399999999999996E-2</v>
      </c>
      <c r="O668" s="132">
        <f>IF(base[[#This Row],[L/P Líquido]]&gt;0,1,0)</f>
        <v>1</v>
      </c>
      <c r="P668" s="132"/>
      <c r="Q668" s="132" t="str">
        <f>LEFT(base[[#This Row],[Evento / Mercado]],FIND("vs",base[[#This Row],[Evento / Mercado]])-2)</f>
        <v>Almere City</v>
      </c>
      <c r="R6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Roda JC</v>
      </c>
      <c r="S668" s="132" t="e">
        <f>LEFT(base[[#This Row],[Evento / Mercado]],FIND("/",base[[#This Row],[Evento / Mercado]])-2)</f>
        <v>#VALUE!</v>
      </c>
      <c r="T668" s="8">
        <v>8</v>
      </c>
      <c r="U668" s="9">
        <f>T668*0.955</f>
        <v>7.64</v>
      </c>
    </row>
    <row r="669" spans="2:21" ht="15" customHeight="1">
      <c r="B669" s="128" t="s">
        <v>637</v>
      </c>
      <c r="C669" s="128" t="s">
        <v>2982</v>
      </c>
      <c r="D669" s="129">
        <v>46052.748067129629</v>
      </c>
      <c r="E669" s="130">
        <v>11.020699999999998</v>
      </c>
      <c r="F669" s="131">
        <v>4.4999999999999998E-2</v>
      </c>
      <c r="G669" s="126">
        <f t="shared" si="11"/>
        <v>11.54</v>
      </c>
      <c r="H669" s="126" t="s">
        <v>74</v>
      </c>
      <c r="I669" s="127" t="s">
        <v>477</v>
      </c>
      <c r="J669" s="126">
        <v>14</v>
      </c>
      <c r="K669" s="126">
        <v>150.02000000000001</v>
      </c>
      <c r="L669" s="129">
        <f>INT(base[[#This Row],[Data de liquidação]])</f>
        <v>46052</v>
      </c>
      <c r="M669" s="126">
        <f>base[[#This Row],[L/P Bruto]]-base[[#This Row],[L/P Líquido]]</f>
        <v>0.51930000000000121</v>
      </c>
      <c r="N669" s="126">
        <f>base[[#This Row],[L/P Líquido]]/base[[#This Row],[Stake/Responsabilidade]]</f>
        <v>7.3461538461538439E-2</v>
      </c>
      <c r="O669" s="132">
        <f>IF(base[[#This Row],[L/P Líquido]]&gt;0,1,0)</f>
        <v>1</v>
      </c>
      <c r="P669" s="132" t="s">
        <v>960</v>
      </c>
      <c r="Q669" s="132" t="str">
        <f>LEFT(base[[#This Row],[Evento / Mercado]],FIND("vs",base[[#This Row],[Evento / Mercado]])-2)</f>
        <v>Almere City</v>
      </c>
      <c r="R6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Roda JC</v>
      </c>
      <c r="S669" s="132" t="e">
        <f>LEFT(base[[#This Row],[Evento / Mercado]],FIND("/",base[[#This Row],[Evento / Mercado]])-2)</f>
        <v>#VALUE!</v>
      </c>
      <c r="T669" s="8">
        <v>11.54</v>
      </c>
      <c r="U669" s="9">
        <f>T669*0.955</f>
        <v>11.020699999999998</v>
      </c>
    </row>
    <row r="670" spans="2:21" ht="15" customHeight="1">
      <c r="B670" s="128" t="s">
        <v>636</v>
      </c>
      <c r="C670" s="128" t="s">
        <v>2982</v>
      </c>
      <c r="D670" s="129">
        <v>46052.766840277778</v>
      </c>
      <c r="E670" s="130">
        <v>-60</v>
      </c>
      <c r="F670" s="131">
        <v>4.4999999999999998E-2</v>
      </c>
      <c r="G670" s="126">
        <f t="shared" si="11"/>
        <v>-60</v>
      </c>
      <c r="H670" s="126" t="s">
        <v>231</v>
      </c>
      <c r="I670" s="127" t="s">
        <v>232</v>
      </c>
      <c r="J670" s="126">
        <v>1.63</v>
      </c>
      <c r="K670" s="126">
        <v>60</v>
      </c>
      <c r="L670" s="129">
        <f>INT(base[[#This Row],[Data de liquidação]])</f>
        <v>46052</v>
      </c>
      <c r="M670" s="126">
        <f>base[[#This Row],[L/P Bruto]]-base[[#This Row],[L/P Líquido]]</f>
        <v>0</v>
      </c>
      <c r="N670" s="126">
        <f>base[[#This Row],[L/P Líquido]]/base[[#This Row],[Stake/Responsabilidade]]</f>
        <v>-1</v>
      </c>
      <c r="O670" s="132">
        <f>IF(base[[#This Row],[L/P Líquido]]&gt;0,1,0)</f>
        <v>0</v>
      </c>
      <c r="P670" s="132"/>
      <c r="Q670" s="132" t="str">
        <f>LEFT(base[[#This Row],[Evento / Mercado]],FIND("vs",base[[#This Row],[Evento / Mercado]])-2)</f>
        <v>1. FC Köln</v>
      </c>
      <c r="R6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670" s="132" t="e">
        <f>LEFT(base[[#This Row],[Evento / Mercado]],FIND("/",base[[#This Row],[Evento / Mercado]])-2)</f>
        <v>#VALUE!</v>
      </c>
    </row>
    <row r="671" spans="2:21" ht="15" customHeight="1">
      <c r="B671" s="128" t="s">
        <v>635</v>
      </c>
      <c r="C671" s="128" t="s">
        <v>2982</v>
      </c>
      <c r="D671" s="129">
        <v>46052.768437500003</v>
      </c>
      <c r="E671" s="130">
        <v>6.77</v>
      </c>
      <c r="F671" s="131">
        <v>4.4999999999999998E-2</v>
      </c>
      <c r="G671" s="126">
        <f t="shared" si="11"/>
        <v>7.0890052356020945</v>
      </c>
      <c r="H671" s="126" t="s">
        <v>73</v>
      </c>
      <c r="I671" s="127" t="s">
        <v>13</v>
      </c>
      <c r="J671" s="126">
        <v>15</v>
      </c>
      <c r="K671" s="126">
        <v>99.24</v>
      </c>
      <c r="L671" s="129">
        <f>INT(base[[#This Row],[Data de liquidação]])</f>
        <v>46052</v>
      </c>
      <c r="M671" s="126">
        <f>base[[#This Row],[L/P Bruto]]-base[[#This Row],[L/P Líquido]]</f>
        <v>0.31900523560209493</v>
      </c>
      <c r="N671" s="126">
        <f>base[[#This Row],[L/P Líquido]]/base[[#This Row],[Stake/Responsabilidade]]</f>
        <v>6.8218460298266823E-2</v>
      </c>
      <c r="O671" s="132">
        <f>IF(base[[#This Row],[L/P Líquido]]&gt;0,1,0)</f>
        <v>1</v>
      </c>
      <c r="P671" s="132"/>
      <c r="Q671" s="132" t="str">
        <f>LEFT(base[[#This Row],[Evento / Mercado]],FIND("vs",base[[#This Row],[Evento / Mercado]])-2)</f>
        <v>Ascoli</v>
      </c>
      <c r="R6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Livorno</v>
      </c>
      <c r="S671" s="132" t="e">
        <f>LEFT(base[[#This Row],[Evento / Mercado]],FIND("/",base[[#This Row],[Evento / Mercado]])-2)</f>
        <v>#VALUE!</v>
      </c>
    </row>
    <row r="672" spans="2:21" ht="15" customHeight="1">
      <c r="B672" s="128" t="s">
        <v>634</v>
      </c>
      <c r="C672" s="128" t="s">
        <v>2982</v>
      </c>
      <c r="D672" s="129">
        <v>46052.7815625</v>
      </c>
      <c r="E672" s="130">
        <v>5.62</v>
      </c>
      <c r="F672" s="131">
        <v>4.4999999999999998E-2</v>
      </c>
      <c r="G672" s="126">
        <f t="shared" si="11"/>
        <v>5.8848167539267022</v>
      </c>
      <c r="H672" s="126" t="s">
        <v>73</v>
      </c>
      <c r="I672" s="127" t="s">
        <v>13</v>
      </c>
      <c r="J672" s="126">
        <v>18</v>
      </c>
      <c r="K672" s="126">
        <v>99.96</v>
      </c>
      <c r="L672" s="129">
        <f>INT(base[[#This Row],[Data de liquidação]])</f>
        <v>46052</v>
      </c>
      <c r="M672" s="126">
        <f>base[[#This Row],[L/P Bruto]]-base[[#This Row],[L/P Líquido]]</f>
        <v>0.26481675392670212</v>
      </c>
      <c r="N672" s="126">
        <f>base[[#This Row],[L/P Líquido]]/base[[#This Row],[Stake/Responsabilidade]]</f>
        <v>5.6222488995598244E-2</v>
      </c>
      <c r="O672" s="132">
        <f>IF(base[[#This Row],[L/P Líquido]]&gt;0,1,0)</f>
        <v>1</v>
      </c>
      <c r="P672" s="132"/>
      <c r="Q672" s="132" t="str">
        <f>LEFT(base[[#This Row],[Evento / Mercado]],FIND("vs",base[[#This Row],[Evento / Mercado]])-2)</f>
        <v>RC Lens</v>
      </c>
      <c r="R6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672" s="132" t="e">
        <f>LEFT(base[[#This Row],[Evento / Mercado]],FIND("/",base[[#This Row],[Evento / Mercado]])-2)</f>
        <v>#VALUE!</v>
      </c>
    </row>
    <row r="673" spans="2:19" ht="15" customHeight="1">
      <c r="B673" s="128" t="s">
        <v>634</v>
      </c>
      <c r="C673" s="128" t="s">
        <v>2982</v>
      </c>
      <c r="D673" s="129">
        <v>46052.781608796293</v>
      </c>
      <c r="E673" s="130">
        <v>21.07</v>
      </c>
      <c r="F673" s="131">
        <v>4.4999999999999998E-2</v>
      </c>
      <c r="G673" s="126">
        <f t="shared" si="11"/>
        <v>22.062827225130892</v>
      </c>
      <c r="H673" s="126" t="s">
        <v>145</v>
      </c>
      <c r="I673" s="127" t="s">
        <v>301</v>
      </c>
      <c r="J673" s="126">
        <v>7.8</v>
      </c>
      <c r="K673" s="126">
        <v>150.01</v>
      </c>
      <c r="L673" s="129">
        <f>INT(base[[#This Row],[Data de liquidação]])</f>
        <v>46052</v>
      </c>
      <c r="M673" s="126">
        <f>base[[#This Row],[L/P Bruto]]-base[[#This Row],[L/P Líquido]]</f>
        <v>0.99282722513089183</v>
      </c>
      <c r="N673" s="126">
        <f>base[[#This Row],[L/P Líquido]]/base[[#This Row],[Stake/Responsabilidade]]</f>
        <v>0.14045730284647692</v>
      </c>
      <c r="O673" s="132">
        <f>IF(base[[#This Row],[L/P Líquido]]&gt;0,1,0)</f>
        <v>1</v>
      </c>
      <c r="P673" s="132" t="s">
        <v>970</v>
      </c>
      <c r="Q673" s="132" t="str">
        <f>LEFT(base[[#This Row],[Evento / Mercado]],FIND("vs",base[[#This Row],[Evento / Mercado]])-2)</f>
        <v>RC Lens</v>
      </c>
      <c r="R6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673" s="132" t="e">
        <f>LEFT(base[[#This Row],[Evento / Mercado]],FIND("/",base[[#This Row],[Evento / Mercado]])-2)</f>
        <v>#VALUE!</v>
      </c>
    </row>
    <row r="674" spans="2:19" ht="15" customHeight="1">
      <c r="B674" s="128" t="s">
        <v>633</v>
      </c>
      <c r="C674" s="128" t="s">
        <v>2982</v>
      </c>
      <c r="D674" s="129">
        <v>46053.419259259259</v>
      </c>
      <c r="E674" s="130">
        <v>5.62</v>
      </c>
      <c r="F674" s="131">
        <v>4.4999999999999998E-2</v>
      </c>
      <c r="G674" s="126">
        <f t="shared" si="11"/>
        <v>5.8848167539267022</v>
      </c>
      <c r="H674" s="126" t="s">
        <v>73</v>
      </c>
      <c r="I674" s="127" t="s">
        <v>13</v>
      </c>
      <c r="J674" s="126">
        <v>18</v>
      </c>
      <c r="K674" s="126">
        <v>99.96</v>
      </c>
      <c r="L674" s="129">
        <f>INT(base[[#This Row],[Data de liquidação]])</f>
        <v>46053</v>
      </c>
      <c r="M674" s="126">
        <f>base[[#This Row],[L/P Bruto]]-base[[#This Row],[L/P Líquido]]</f>
        <v>0.26481675392670212</v>
      </c>
      <c r="N674" s="126">
        <f>base[[#This Row],[L/P Líquido]]/base[[#This Row],[Stake/Responsabilidade]]</f>
        <v>5.6222488995598244E-2</v>
      </c>
      <c r="O674" s="132">
        <f>IF(base[[#This Row],[L/P Líquido]]&gt;0,1,0)</f>
        <v>1</v>
      </c>
      <c r="P674" s="132"/>
      <c r="Q674" s="132" t="str">
        <f>LEFT(base[[#This Row],[Evento / Mercado]],FIND("vs",base[[#This Row],[Evento / Mercado]])-2)</f>
        <v>BG Pathumthani United</v>
      </c>
      <c r="R6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Chiangrai United</v>
      </c>
      <c r="S674" s="132" t="e">
        <f>LEFT(base[[#This Row],[Evento / Mercado]],FIND("/",base[[#This Row],[Evento / Mercado]])-2)</f>
        <v>#VALUE!</v>
      </c>
    </row>
    <row r="675" spans="2:19" ht="15" customHeight="1">
      <c r="B675" s="128" t="s">
        <v>631</v>
      </c>
      <c r="C675" s="128" t="s">
        <v>2982</v>
      </c>
      <c r="D675" s="129">
        <v>46053.44190972222</v>
      </c>
      <c r="E675" s="130">
        <v>42.4</v>
      </c>
      <c r="F675" s="131">
        <v>4.4999999999999998E-2</v>
      </c>
      <c r="G675" s="126">
        <f t="shared" si="11"/>
        <v>44.397905759162306</v>
      </c>
      <c r="H675" s="126" t="s">
        <v>231</v>
      </c>
      <c r="I675" s="127" t="s">
        <v>232</v>
      </c>
      <c r="J675" s="126">
        <v>1.74</v>
      </c>
      <c r="K675" s="126">
        <v>60</v>
      </c>
      <c r="L675" s="129">
        <f>INT(base[[#This Row],[Data de liquidação]])</f>
        <v>46053</v>
      </c>
      <c r="M675" s="126">
        <f>base[[#This Row],[L/P Bruto]]-base[[#This Row],[L/P Líquido]]</f>
        <v>1.9979057591623075</v>
      </c>
      <c r="N675" s="126">
        <f>base[[#This Row],[L/P Líquido]]/base[[#This Row],[Stake/Responsabilidade]]</f>
        <v>0.70666666666666667</v>
      </c>
      <c r="O675" s="132">
        <f>IF(base[[#This Row],[L/P Líquido]]&gt;0,1,0)</f>
        <v>1</v>
      </c>
      <c r="P675" s="132"/>
      <c r="Q675" s="132" t="str">
        <f>LEFT(base[[#This Row],[Evento / Mercado]],FIND("vs",base[[#This Row],[Evento / Mercado]])-2)</f>
        <v>Holstein Kiel</v>
      </c>
      <c r="R6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SpVgg Greuther Fürth</v>
      </c>
      <c r="S675" s="132" t="e">
        <f>LEFT(base[[#This Row],[Evento / Mercado]],FIND("/",base[[#This Row],[Evento / Mercado]])-2)</f>
        <v>#VALUE!</v>
      </c>
    </row>
    <row r="676" spans="2:19" ht="15" customHeight="1">
      <c r="B676" s="128" t="s">
        <v>632</v>
      </c>
      <c r="C676" s="128" t="s">
        <v>2982</v>
      </c>
      <c r="D676" s="129">
        <v>46053.455694444441</v>
      </c>
      <c r="E676" s="130">
        <v>6.73</v>
      </c>
      <c r="F676" s="131">
        <v>4.4999999999999998E-2</v>
      </c>
      <c r="G676" s="126">
        <f t="shared" si="11"/>
        <v>7.0471204188481682</v>
      </c>
      <c r="H676" s="126" t="s">
        <v>73</v>
      </c>
      <c r="I676" s="127" t="s">
        <v>16</v>
      </c>
      <c r="J676" s="126">
        <v>15</v>
      </c>
      <c r="K676" s="126">
        <v>98.69</v>
      </c>
      <c r="L676" s="129">
        <f>INT(base[[#This Row],[Data de liquidação]])</f>
        <v>46053</v>
      </c>
      <c r="M676" s="126">
        <f>base[[#This Row],[L/P Bruto]]-base[[#This Row],[L/P Líquido]]</f>
        <v>0.31712041884816777</v>
      </c>
      <c r="N676" s="126">
        <f>base[[#This Row],[L/P Líquido]]/base[[#This Row],[Stake/Responsabilidade]]</f>
        <v>6.8193332657817407E-2</v>
      </c>
      <c r="O676" s="132">
        <f>IF(base[[#This Row],[L/P Líquido]]&gt;0,1,0)</f>
        <v>1</v>
      </c>
      <c r="P676" s="132"/>
      <c r="Q676" s="132" t="str">
        <f>LEFT(base[[#This Row],[Evento / Mercado]],FIND("vs",base[[#This Row],[Evento / Mercado]])-2)</f>
        <v>FK Radnicki 1923</v>
      </c>
      <c r="R6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IMT Novi Beograd</v>
      </c>
      <c r="S676" s="132" t="e">
        <f>LEFT(base[[#This Row],[Evento / Mercado]],FIND("/",base[[#This Row],[Evento / Mercado]])-2)</f>
        <v>#VALUE!</v>
      </c>
    </row>
    <row r="677" spans="2:19" ht="15" customHeight="1">
      <c r="B677" s="128" t="s">
        <v>631</v>
      </c>
      <c r="C677" s="128" t="s">
        <v>2982</v>
      </c>
      <c r="D677" s="129">
        <v>46053.456805555557</v>
      </c>
      <c r="E677" s="130">
        <v>10.61</v>
      </c>
      <c r="F677" s="131">
        <v>4.4999999999999998E-2</v>
      </c>
      <c r="G677" s="126">
        <f t="shared" si="11"/>
        <v>11.109947643979057</v>
      </c>
      <c r="H677" s="126" t="s">
        <v>73</v>
      </c>
      <c r="I677" s="127" t="s">
        <v>16</v>
      </c>
      <c r="J677" s="126">
        <v>10</v>
      </c>
      <c r="K677" s="126">
        <v>99.99</v>
      </c>
      <c r="L677" s="129">
        <f>INT(base[[#This Row],[Data de liquidação]])</f>
        <v>46053</v>
      </c>
      <c r="M677" s="126">
        <f>base[[#This Row],[L/P Bruto]]-base[[#This Row],[L/P Líquido]]</f>
        <v>0.49994764397905733</v>
      </c>
      <c r="N677" s="126">
        <f>base[[#This Row],[L/P Líquido]]/base[[#This Row],[Stake/Responsabilidade]]</f>
        <v>0.10611061106110611</v>
      </c>
      <c r="O677" s="132">
        <f>IF(base[[#This Row],[L/P Líquido]]&gt;0,1,0)</f>
        <v>1</v>
      </c>
      <c r="P677" s="132"/>
      <c r="Q677" s="132" t="str">
        <f>LEFT(base[[#This Row],[Evento / Mercado]],FIND("vs",base[[#This Row],[Evento / Mercado]])-2)</f>
        <v>Holstein Kiel</v>
      </c>
      <c r="R6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SpVgg Greuther Fürth</v>
      </c>
      <c r="S677" s="132" t="e">
        <f>LEFT(base[[#This Row],[Evento / Mercado]],FIND("/",base[[#This Row],[Evento / Mercado]])-2)</f>
        <v>#VALUE!</v>
      </c>
    </row>
    <row r="678" spans="2:19" ht="15" customHeight="1">
      <c r="B678" s="128" t="s">
        <v>630</v>
      </c>
      <c r="C678" s="128" t="s">
        <v>2982</v>
      </c>
      <c r="D678" s="129">
        <v>46053.468402777777</v>
      </c>
      <c r="E678" s="130">
        <v>40.68</v>
      </c>
      <c r="F678" s="131">
        <v>4.4999999999999998E-2</v>
      </c>
      <c r="G678" s="126">
        <f t="shared" si="11"/>
        <v>42.596858638743456</v>
      </c>
      <c r="H678" s="126" t="s">
        <v>231</v>
      </c>
      <c r="I678" s="127" t="s">
        <v>266</v>
      </c>
      <c r="J678" s="126">
        <v>1.71</v>
      </c>
      <c r="K678" s="126">
        <v>60</v>
      </c>
      <c r="L678" s="129">
        <f>INT(base[[#This Row],[Data de liquidação]])</f>
        <v>46053</v>
      </c>
      <c r="M678" s="126">
        <f>base[[#This Row],[L/P Bruto]]-base[[#This Row],[L/P Líquido]]</f>
        <v>1.9168586387434559</v>
      </c>
      <c r="N678" s="126">
        <f>base[[#This Row],[L/P Líquido]]/base[[#This Row],[Stake/Responsabilidade]]</f>
        <v>0.67800000000000005</v>
      </c>
      <c r="O678" s="132">
        <f>IF(base[[#This Row],[L/P Líquido]]&gt;0,1,0)</f>
        <v>1</v>
      </c>
      <c r="P678" s="132"/>
      <c r="Q678" s="132" t="str">
        <f>LEFT(base[[#This Row],[Evento / Mercado]],FIND("vs",base[[#This Row],[Evento / Mercado]])-2)</f>
        <v>Viktoria Köln</v>
      </c>
      <c r="R6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Waldhof Mannheim</v>
      </c>
      <c r="S678" s="132" t="e">
        <f>LEFT(base[[#This Row],[Evento / Mercado]],FIND("/",base[[#This Row],[Evento / Mercado]])-2)</f>
        <v>#VALUE!</v>
      </c>
    </row>
    <row r="679" spans="2:19" ht="15" customHeight="1">
      <c r="B679" s="128" t="s">
        <v>629</v>
      </c>
      <c r="C679" s="128" t="s">
        <v>2982</v>
      </c>
      <c r="D679" s="129">
        <v>46053.469525462962</v>
      </c>
      <c r="E679" s="130">
        <v>44.69</v>
      </c>
      <c r="F679" s="131">
        <v>4.4999999999999998E-2</v>
      </c>
      <c r="G679" s="126">
        <f t="shared" si="11"/>
        <v>46.795811518324605</v>
      </c>
      <c r="H679" s="126" t="s">
        <v>231</v>
      </c>
      <c r="I679" s="127" t="s">
        <v>232</v>
      </c>
      <c r="J679" s="126">
        <v>1.78</v>
      </c>
      <c r="K679" s="126">
        <v>60</v>
      </c>
      <c r="L679" s="129">
        <f>INT(base[[#This Row],[Data de liquidação]])</f>
        <v>46053</v>
      </c>
      <c r="M679" s="126">
        <f>base[[#This Row],[L/P Bruto]]-base[[#This Row],[L/P Líquido]]</f>
        <v>2.1058115183246073</v>
      </c>
      <c r="N679" s="126">
        <f>base[[#This Row],[L/P Líquido]]/base[[#This Row],[Stake/Responsabilidade]]</f>
        <v>0.74483333333333335</v>
      </c>
      <c r="O679" s="132">
        <f>IF(base[[#This Row],[L/P Líquido]]&gt;0,1,0)</f>
        <v>1</v>
      </c>
      <c r="P679" s="132"/>
      <c r="Q679" s="132" t="str">
        <f>LEFT(base[[#This Row],[Evento / Mercado]],FIND("vs",base[[#This Row],[Evento / Mercado]])-2)</f>
        <v>TSV 1860 München</v>
      </c>
      <c r="R6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Alemannia Aachen</v>
      </c>
      <c r="S679" s="132" t="e">
        <f>LEFT(base[[#This Row],[Evento / Mercado]],FIND("/",base[[#This Row],[Evento / Mercado]])-2)</f>
        <v>#VALUE!</v>
      </c>
    </row>
    <row r="680" spans="2:19" ht="15" customHeight="1">
      <c r="B680" s="128" t="s">
        <v>628</v>
      </c>
      <c r="C680" s="128" t="s">
        <v>2982</v>
      </c>
      <c r="D680" s="129">
        <v>46053.476284722223</v>
      </c>
      <c r="E680" s="130">
        <v>8.68</v>
      </c>
      <c r="F680" s="131">
        <v>4.4999999999999998E-2</v>
      </c>
      <c r="G680" s="126">
        <f t="shared" si="11"/>
        <v>9.0890052356020945</v>
      </c>
      <c r="H680" s="126" t="s">
        <v>73</v>
      </c>
      <c r="I680" s="127" t="s">
        <v>16</v>
      </c>
      <c r="J680" s="126">
        <v>12</v>
      </c>
      <c r="K680" s="126">
        <v>99.99</v>
      </c>
      <c r="L680" s="129">
        <f>INT(base[[#This Row],[Data de liquidação]])</f>
        <v>46053</v>
      </c>
      <c r="M680" s="126">
        <f>base[[#This Row],[L/P Bruto]]-base[[#This Row],[L/P Líquido]]</f>
        <v>0.40900523560209479</v>
      </c>
      <c r="N680" s="126">
        <f>base[[#This Row],[L/P Líquido]]/base[[#This Row],[Stake/Responsabilidade]]</f>
        <v>8.680868086808681E-2</v>
      </c>
      <c r="O680" s="132">
        <f>IF(base[[#This Row],[L/P Líquido]]&gt;0,1,0)</f>
        <v>1</v>
      </c>
      <c r="P680" s="132"/>
      <c r="Q680" s="132" t="str">
        <f>LEFT(base[[#This Row],[Evento / Mercado]],FIND("vs",base[[#This Row],[Evento / Mercado]])-2)</f>
        <v>MTK Budapest</v>
      </c>
      <c r="R6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Kazincbarcika SC</v>
      </c>
      <c r="S680" s="132" t="e">
        <f>LEFT(base[[#This Row],[Evento / Mercado]],FIND("/",base[[#This Row],[Evento / Mercado]])-2)</f>
        <v>#VALUE!</v>
      </c>
    </row>
    <row r="681" spans="2:19" ht="15" customHeight="1">
      <c r="B681" s="128" t="s">
        <v>627</v>
      </c>
      <c r="C681" s="128" t="s">
        <v>2982</v>
      </c>
      <c r="D681" s="129">
        <v>46053.477129629631</v>
      </c>
      <c r="E681" s="130">
        <v>11.88</v>
      </c>
      <c r="F681" s="131">
        <v>4.4999999999999998E-2</v>
      </c>
      <c r="G681" s="126">
        <f t="shared" si="11"/>
        <v>12.439790575916232</v>
      </c>
      <c r="H681" s="126" t="s">
        <v>73</v>
      </c>
      <c r="I681" s="127" t="s">
        <v>16</v>
      </c>
      <c r="J681" s="126">
        <v>9</v>
      </c>
      <c r="K681" s="126">
        <v>99.52</v>
      </c>
      <c r="L681" s="129">
        <f>INT(base[[#This Row],[Data de liquidação]])</f>
        <v>46053</v>
      </c>
      <c r="M681" s="126">
        <f>base[[#This Row],[L/P Bruto]]-base[[#This Row],[L/P Líquido]]</f>
        <v>0.5597905759162316</v>
      </c>
      <c r="N681" s="126">
        <f>base[[#This Row],[L/P Líquido]]/base[[#This Row],[Stake/Responsabilidade]]</f>
        <v>0.11937299035369776</v>
      </c>
      <c r="O681" s="132">
        <f>IF(base[[#This Row],[L/P Líquido]]&gt;0,1,0)</f>
        <v>1</v>
      </c>
      <c r="P681" s="132"/>
      <c r="Q681" s="132" t="str">
        <f>LEFT(base[[#This Row],[Evento / Mercado]],FIND("vs",base[[#This Row],[Evento / Mercado]])-2)</f>
        <v>Bristol Rovers</v>
      </c>
      <c r="R6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Newport County</v>
      </c>
      <c r="S681" s="132" t="e">
        <f>LEFT(base[[#This Row],[Evento / Mercado]],FIND("/",base[[#This Row],[Evento / Mercado]])-2)</f>
        <v>#VALUE!</v>
      </c>
    </row>
    <row r="682" spans="2:19" ht="15" customHeight="1">
      <c r="B682" s="128" t="s">
        <v>626</v>
      </c>
      <c r="C682" s="128" t="s">
        <v>2982</v>
      </c>
      <c r="D682" s="129">
        <v>46053.497511574074</v>
      </c>
      <c r="E682" s="130">
        <v>8.68</v>
      </c>
      <c r="F682" s="131">
        <v>4.4999999999999998E-2</v>
      </c>
      <c r="G682" s="126">
        <f t="shared" si="11"/>
        <v>9.0890052356020945</v>
      </c>
      <c r="H682" s="126" t="s">
        <v>73</v>
      </c>
      <c r="I682" s="127" t="s">
        <v>16</v>
      </c>
      <c r="J682" s="126">
        <v>12</v>
      </c>
      <c r="K682" s="126">
        <v>99.99</v>
      </c>
      <c r="L682" s="129">
        <f>INT(base[[#This Row],[Data de liquidação]])</f>
        <v>46053</v>
      </c>
      <c r="M682" s="126">
        <f>base[[#This Row],[L/P Bruto]]-base[[#This Row],[L/P Líquido]]</f>
        <v>0.40900523560209479</v>
      </c>
      <c r="N682" s="126">
        <f>base[[#This Row],[L/P Líquido]]/base[[#This Row],[Stake/Responsabilidade]]</f>
        <v>8.680868086808681E-2</v>
      </c>
      <c r="O682" s="132">
        <f>IF(base[[#This Row],[L/P Líquido]]&gt;0,1,0)</f>
        <v>1</v>
      </c>
      <c r="P682" s="132"/>
      <c r="Q682" s="132" t="str">
        <f>LEFT(base[[#This Row],[Evento / Mercado]],FIND("vs",base[[#This Row],[Evento / Mercado]])-2)</f>
        <v>Hansa Rostock</v>
      </c>
      <c r="R6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Ingolstadt 04</v>
      </c>
      <c r="S682" s="132" t="e">
        <f>LEFT(base[[#This Row],[Evento / Mercado]],FIND("/",base[[#This Row],[Evento / Mercado]])-2)</f>
        <v>#VALUE!</v>
      </c>
    </row>
    <row r="683" spans="2:19" ht="15" customHeight="1">
      <c r="B683" s="128" t="s">
        <v>623</v>
      </c>
      <c r="C683" s="128" t="s">
        <v>2982</v>
      </c>
      <c r="D683" s="129">
        <v>46053.508472222224</v>
      </c>
      <c r="E683" s="130">
        <v>55.01</v>
      </c>
      <c r="F683" s="131">
        <v>4.4999999999999998E-2</v>
      </c>
      <c r="G683" s="126">
        <f t="shared" si="11"/>
        <v>57.602094240837694</v>
      </c>
      <c r="H683" s="126" t="s">
        <v>231</v>
      </c>
      <c r="I683" s="127" t="s">
        <v>266</v>
      </c>
      <c r="J683" s="126">
        <v>1.96</v>
      </c>
      <c r="K683" s="126">
        <v>60</v>
      </c>
      <c r="L683" s="129">
        <f>INT(base[[#This Row],[Data de liquidação]])</f>
        <v>46053</v>
      </c>
      <c r="M683" s="126">
        <f>base[[#This Row],[L/P Bruto]]-base[[#This Row],[L/P Líquido]]</f>
        <v>2.5920942408376959</v>
      </c>
      <c r="N683" s="126">
        <f>base[[#This Row],[L/P Líquido]]/base[[#This Row],[Stake/Responsabilidade]]</f>
        <v>0.91683333333333328</v>
      </c>
      <c r="O683" s="132">
        <f>IF(base[[#This Row],[L/P Líquido]]&gt;0,1,0)</f>
        <v>1</v>
      </c>
      <c r="P683" s="132"/>
      <c r="Q683" s="132" t="str">
        <f>LEFT(base[[#This Row],[Evento / Mercado]],FIND("vs",base[[#This Row],[Evento / Mercado]])-2)</f>
        <v>Venezia</v>
      </c>
      <c r="R6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Carrarese</v>
      </c>
      <c r="S683" s="132" t="e">
        <f>LEFT(base[[#This Row],[Evento / Mercado]],FIND("/",base[[#This Row],[Evento / Mercado]])-2)</f>
        <v>#VALUE!</v>
      </c>
    </row>
    <row r="684" spans="2:19" ht="15" customHeight="1">
      <c r="B684" s="128" t="s">
        <v>618</v>
      </c>
      <c r="C684" s="128" t="s">
        <v>2982</v>
      </c>
      <c r="D684" s="129">
        <v>46053.515231481484</v>
      </c>
      <c r="E684" s="130">
        <v>41.26</v>
      </c>
      <c r="F684" s="131">
        <v>4.4999999999999998E-2</v>
      </c>
      <c r="G684" s="126">
        <f t="shared" si="11"/>
        <v>43.204188481675395</v>
      </c>
      <c r="H684" s="126" t="s">
        <v>231</v>
      </c>
      <c r="I684" s="127" t="s">
        <v>266</v>
      </c>
      <c r="J684" s="126">
        <v>1.72</v>
      </c>
      <c r="K684" s="126">
        <v>60</v>
      </c>
      <c r="L684" s="129">
        <f>INT(base[[#This Row],[Data de liquidação]])</f>
        <v>46053</v>
      </c>
      <c r="M684" s="126">
        <f>base[[#This Row],[L/P Bruto]]-base[[#This Row],[L/P Líquido]]</f>
        <v>1.9441884816753969</v>
      </c>
      <c r="N684" s="126">
        <f>base[[#This Row],[L/P Líquido]]/base[[#This Row],[Stake/Responsabilidade]]</f>
        <v>0.68766666666666665</v>
      </c>
      <c r="O684" s="132">
        <f>IF(base[[#This Row],[L/P Líquido]]&gt;0,1,0)</f>
        <v>1</v>
      </c>
      <c r="P684" s="132"/>
      <c r="Q684" s="132" t="str">
        <f>LEFT(base[[#This Row],[Evento / Mercado]],FIND("vs",base[[#This Row],[Evento / Mercado]])-2)</f>
        <v>RB Leipzig</v>
      </c>
      <c r="R6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684" s="132" t="e">
        <f>LEFT(base[[#This Row],[Evento / Mercado]],FIND("/",base[[#This Row],[Evento / Mercado]])-2)</f>
        <v>#VALUE!</v>
      </c>
    </row>
    <row r="685" spans="2:19" ht="15" customHeight="1">
      <c r="B685" s="128" t="s">
        <v>625</v>
      </c>
      <c r="C685" s="128" t="s">
        <v>2982</v>
      </c>
      <c r="D685" s="129">
        <v>46053.526238425926</v>
      </c>
      <c r="E685" s="130">
        <v>55.01</v>
      </c>
      <c r="F685" s="131">
        <v>4.4999999999999998E-2</v>
      </c>
      <c r="G685" s="126">
        <f t="shared" si="11"/>
        <v>57.602094240837694</v>
      </c>
      <c r="H685" s="126" t="s">
        <v>231</v>
      </c>
      <c r="I685" s="127" t="s">
        <v>232</v>
      </c>
      <c r="J685" s="126">
        <v>1.96</v>
      </c>
      <c r="K685" s="126">
        <v>60</v>
      </c>
      <c r="L685" s="129">
        <f>INT(base[[#This Row],[Data de liquidação]])</f>
        <v>46053</v>
      </c>
      <c r="M685" s="126">
        <f>base[[#This Row],[L/P Bruto]]-base[[#This Row],[L/P Líquido]]</f>
        <v>2.5920942408376959</v>
      </c>
      <c r="N685" s="126">
        <f>base[[#This Row],[L/P Líquido]]/base[[#This Row],[Stake/Responsabilidade]]</f>
        <v>0.91683333333333328</v>
      </c>
      <c r="O685" s="132">
        <f>IF(base[[#This Row],[L/P Líquido]]&gt;0,1,0)</f>
        <v>1</v>
      </c>
      <c r="P685" s="132"/>
      <c r="Q685" s="132" t="str">
        <f>LEFT(base[[#This Row],[Evento / Mercado]],FIND("vs",base[[#This Row],[Evento / Mercado]])-2)</f>
        <v>1899 Hoffenheim</v>
      </c>
      <c r="R6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685" s="132" t="e">
        <f>LEFT(base[[#This Row],[Evento / Mercado]],FIND("/",base[[#This Row],[Evento / Mercado]])-2)</f>
        <v>#VALUE!</v>
      </c>
    </row>
    <row r="686" spans="2:19" ht="15" customHeight="1">
      <c r="B686" s="128" t="s">
        <v>624</v>
      </c>
      <c r="C686" s="128" t="s">
        <v>2982</v>
      </c>
      <c r="D686" s="129">
        <v>46053.526365740741</v>
      </c>
      <c r="E686" s="130">
        <v>42.98</v>
      </c>
      <c r="F686" s="131">
        <v>4.4999999999999998E-2</v>
      </c>
      <c r="G686" s="126">
        <f t="shared" si="11"/>
        <v>45.005235602094238</v>
      </c>
      <c r="H686" s="126" t="s">
        <v>231</v>
      </c>
      <c r="I686" s="127" t="s">
        <v>266</v>
      </c>
      <c r="J686" s="126">
        <v>1.75</v>
      </c>
      <c r="K686" s="126">
        <v>60</v>
      </c>
      <c r="L686" s="129">
        <f>INT(base[[#This Row],[Data de liquidação]])</f>
        <v>46053</v>
      </c>
      <c r="M686" s="126">
        <f>base[[#This Row],[L/P Bruto]]-base[[#This Row],[L/P Líquido]]</f>
        <v>2.0252356020942415</v>
      </c>
      <c r="N686" s="126">
        <f>base[[#This Row],[L/P Líquido]]/base[[#This Row],[Stake/Responsabilidade]]</f>
        <v>0.71633333333333327</v>
      </c>
      <c r="O686" s="132">
        <f>IF(base[[#This Row],[L/P Líquido]]&gt;0,1,0)</f>
        <v>1</v>
      </c>
      <c r="P686" s="132"/>
      <c r="Q686" s="132" t="str">
        <f>LEFT(base[[#This Row],[Evento / Mercado]],FIND("vs",base[[#This Row],[Evento / Mercado]])-2)</f>
        <v>Osasuna</v>
      </c>
      <c r="R6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686" s="132" t="e">
        <f>LEFT(base[[#This Row],[Evento / Mercado]],FIND("/",base[[#This Row],[Evento / Mercado]])-2)</f>
        <v>#VALUE!</v>
      </c>
    </row>
    <row r="687" spans="2:19" ht="15" customHeight="1">
      <c r="B687" s="128" t="s">
        <v>623</v>
      </c>
      <c r="C687" s="128" t="s">
        <v>2982</v>
      </c>
      <c r="D687" s="129">
        <v>46053.538518518515</v>
      </c>
      <c r="E687" s="130">
        <v>16.28</v>
      </c>
      <c r="F687" s="131">
        <v>4.4999999999999998E-2</v>
      </c>
      <c r="G687" s="126">
        <f t="shared" si="11"/>
        <v>17.04712041884817</v>
      </c>
      <c r="H687" s="126" t="s">
        <v>145</v>
      </c>
      <c r="I687" s="127" t="s">
        <v>301</v>
      </c>
      <c r="J687" s="126">
        <v>9.8000000000000007</v>
      </c>
      <c r="K687" s="126">
        <v>150.04</v>
      </c>
      <c r="L687" s="129">
        <f>INT(base[[#This Row],[Data de liquidação]])</f>
        <v>46053</v>
      </c>
      <c r="M687" s="126">
        <f>base[[#This Row],[L/P Bruto]]-base[[#This Row],[L/P Líquido]]</f>
        <v>0.76712041884816884</v>
      </c>
      <c r="N687" s="126">
        <f>base[[#This Row],[L/P Líquido]]/base[[#This Row],[Stake/Responsabilidade]]</f>
        <v>0.10850439882697949</v>
      </c>
      <c r="O687" s="132">
        <f>IF(base[[#This Row],[L/P Líquido]]&gt;0,1,0)</f>
        <v>1</v>
      </c>
      <c r="P687" s="132" t="s">
        <v>971</v>
      </c>
      <c r="Q687" s="132" t="str">
        <f>LEFT(base[[#This Row],[Evento / Mercado]],FIND("vs",base[[#This Row],[Evento / Mercado]])-2)</f>
        <v>Venezia</v>
      </c>
      <c r="R6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Carrarese</v>
      </c>
      <c r="S687" s="132" t="e">
        <f>LEFT(base[[#This Row],[Evento / Mercado]],FIND("/",base[[#This Row],[Evento / Mercado]])-2)</f>
        <v>#VALUE!</v>
      </c>
    </row>
    <row r="688" spans="2:19" ht="15" customHeight="1">
      <c r="B688" s="128" t="s">
        <v>622</v>
      </c>
      <c r="C688" s="128" t="s">
        <v>2982</v>
      </c>
      <c r="D688" s="129">
        <v>46053.540775462963</v>
      </c>
      <c r="E688" s="130">
        <v>6.59</v>
      </c>
      <c r="F688" s="131">
        <v>4.4999999999999998E-2</v>
      </c>
      <c r="G688" s="126">
        <f t="shared" si="11"/>
        <v>6.9005235602094244</v>
      </c>
      <c r="H688" s="126" t="s">
        <v>73</v>
      </c>
      <c r="I688" s="127" t="s">
        <v>13</v>
      </c>
      <c r="J688" s="126">
        <v>15.5</v>
      </c>
      <c r="K688" s="126">
        <v>100.05</v>
      </c>
      <c r="L688" s="129">
        <f>INT(base[[#This Row],[Data de liquidação]])</f>
        <v>46053</v>
      </c>
      <c r="M688" s="126">
        <f>base[[#This Row],[L/P Bruto]]-base[[#This Row],[L/P Líquido]]</f>
        <v>0.31052356020942451</v>
      </c>
      <c r="N688" s="126">
        <f>base[[#This Row],[L/P Líquido]]/base[[#This Row],[Stake/Responsabilidade]]</f>
        <v>6.5867066466766613E-2</v>
      </c>
      <c r="O688" s="132">
        <f>IF(base[[#This Row],[L/P Líquido]]&gt;0,1,0)</f>
        <v>1</v>
      </c>
      <c r="P688" s="132"/>
      <c r="Q688" s="132" t="str">
        <f>LEFT(base[[#This Row],[Evento / Mercado]],FIND("vs",base[[#This Row],[Evento / Mercado]])-2)</f>
        <v>FK Jablonec</v>
      </c>
      <c r="R6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Teplice</v>
      </c>
      <c r="S688" s="132" t="e">
        <f>LEFT(base[[#This Row],[Evento / Mercado]],FIND("/",base[[#This Row],[Evento / Mercado]])-2)</f>
        <v>#VALUE!</v>
      </c>
    </row>
    <row r="689" spans="2:21" ht="15" customHeight="1">
      <c r="B689" s="128" t="s">
        <v>621</v>
      </c>
      <c r="C689" s="128" t="s">
        <v>2982</v>
      </c>
      <c r="D689" s="129">
        <v>46053.54283564815</v>
      </c>
      <c r="E689" s="130">
        <v>5.62</v>
      </c>
      <c r="F689" s="131">
        <v>4.4999999999999998E-2</v>
      </c>
      <c r="G689" s="126">
        <f t="shared" si="11"/>
        <v>5.8848167539267022</v>
      </c>
      <c r="H689" s="126" t="s">
        <v>73</v>
      </c>
      <c r="I689" s="127" t="s">
        <v>13</v>
      </c>
      <c r="J689" s="126">
        <v>18</v>
      </c>
      <c r="K689" s="126">
        <v>99.96</v>
      </c>
      <c r="L689" s="129">
        <f>INT(base[[#This Row],[Data de liquidação]])</f>
        <v>46053</v>
      </c>
      <c r="M689" s="126">
        <f>base[[#This Row],[L/P Bruto]]-base[[#This Row],[L/P Líquido]]</f>
        <v>0.26481675392670212</v>
      </c>
      <c r="N689" s="126">
        <f>base[[#This Row],[L/P Líquido]]/base[[#This Row],[Stake/Responsabilidade]]</f>
        <v>5.6222488995598244E-2</v>
      </c>
      <c r="O689" s="132">
        <f>IF(base[[#This Row],[L/P Líquido]]&gt;0,1,0)</f>
        <v>1</v>
      </c>
      <c r="P689" s="132"/>
      <c r="Q689" s="132" t="str">
        <f>LEFT(base[[#This Row],[Evento / Mercado]],FIND("vs",base[[#This Row],[Evento / Mercado]])-2)</f>
        <v>FK Partizan</v>
      </c>
      <c r="R6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Radnicki Niš</v>
      </c>
      <c r="S689" s="132" t="e">
        <f>LEFT(base[[#This Row],[Evento / Mercado]],FIND("/",base[[#This Row],[Evento / Mercado]])-2)</f>
        <v>#VALUE!</v>
      </c>
    </row>
    <row r="690" spans="2:21" ht="15" customHeight="1">
      <c r="B690" s="128" t="s">
        <v>620</v>
      </c>
      <c r="C690" s="128" t="s">
        <v>2982</v>
      </c>
      <c r="D690" s="129">
        <v>46053.55945601852</v>
      </c>
      <c r="E690" s="130">
        <v>11.46</v>
      </c>
      <c r="F690" s="131">
        <v>4.4999999999999998E-2</v>
      </c>
      <c r="G690" s="126">
        <f t="shared" si="11"/>
        <v>12.000000000000002</v>
      </c>
      <c r="H690" s="126" t="s">
        <v>74</v>
      </c>
      <c r="I690" s="127" t="s">
        <v>541</v>
      </c>
      <c r="J690" s="126">
        <v>13.5</v>
      </c>
      <c r="K690" s="126">
        <v>150</v>
      </c>
      <c r="L690" s="129">
        <f>INT(base[[#This Row],[Data de liquidação]])</f>
        <v>46053</v>
      </c>
      <c r="M690" s="126">
        <f>base[[#This Row],[L/P Bruto]]-base[[#This Row],[L/P Líquido]]</f>
        <v>0.54000000000000092</v>
      </c>
      <c r="N690" s="126">
        <f>base[[#This Row],[L/P Líquido]]/base[[#This Row],[Stake/Responsabilidade]]</f>
        <v>7.640000000000001E-2</v>
      </c>
      <c r="O690" s="132">
        <f>IF(base[[#This Row],[L/P Líquido]]&gt;0,1,0)</f>
        <v>1</v>
      </c>
      <c r="P690" s="132" t="s">
        <v>962</v>
      </c>
      <c r="Q690" s="132" t="str">
        <f>LEFT(base[[#This Row],[Evento / Mercado]],FIND("vs",base[[#This Row],[Evento / Mercado]])-2)</f>
        <v>Eintracht Frankfurt</v>
      </c>
      <c r="R6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Bayer 04 Leverkusen</v>
      </c>
      <c r="S690" s="132" t="e">
        <f>LEFT(base[[#This Row],[Evento / Mercado]],FIND("/",base[[#This Row],[Evento / Mercado]])-2)</f>
        <v>#VALUE!</v>
      </c>
    </row>
    <row r="691" spans="2:21" ht="15" customHeight="1">
      <c r="B691" s="128" t="s">
        <v>619</v>
      </c>
      <c r="C691" s="128" t="s">
        <v>2982</v>
      </c>
      <c r="D691" s="129">
        <v>46053.561956018515</v>
      </c>
      <c r="E691" s="130">
        <v>56.15</v>
      </c>
      <c r="F691" s="131">
        <v>4.4999999999999998E-2</v>
      </c>
      <c r="G691" s="126">
        <f t="shared" si="11"/>
        <v>58.795811518324605</v>
      </c>
      <c r="H691" s="126" t="s">
        <v>231</v>
      </c>
      <c r="I691" s="127" t="s">
        <v>232</v>
      </c>
      <c r="J691" s="126">
        <v>1.98</v>
      </c>
      <c r="K691" s="126">
        <v>60</v>
      </c>
      <c r="L691" s="129">
        <f>INT(base[[#This Row],[Data de liquidação]])</f>
        <v>46053</v>
      </c>
      <c r="M691" s="126">
        <f>base[[#This Row],[L/P Bruto]]-base[[#This Row],[L/P Líquido]]</f>
        <v>2.6458115183246065</v>
      </c>
      <c r="N691" s="126">
        <f>base[[#This Row],[L/P Líquido]]/base[[#This Row],[Stake/Responsabilidade]]</f>
        <v>0.93583333333333329</v>
      </c>
      <c r="O691" s="132">
        <f>IF(base[[#This Row],[L/P Líquido]]&gt;0,1,0)</f>
        <v>1</v>
      </c>
      <c r="P691" s="132"/>
      <c r="Q691" s="132" t="str">
        <f>LEFT(base[[#This Row],[Evento / Mercado]],FIND("vs",base[[#This Row],[Evento / Mercado]])-2)</f>
        <v>Leeds United</v>
      </c>
      <c r="R6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691" s="132" t="e">
        <f>LEFT(base[[#This Row],[Evento / Mercado]],FIND("/",base[[#This Row],[Evento / Mercado]])-2)</f>
        <v>#VALUE!</v>
      </c>
    </row>
    <row r="692" spans="2:21" ht="15" customHeight="1">
      <c r="B692" s="128" t="s">
        <v>618</v>
      </c>
      <c r="C692" s="128" t="s">
        <v>2982</v>
      </c>
      <c r="D692" s="129">
        <v>46053.562222222223</v>
      </c>
      <c r="E692" s="130">
        <v>9.09</v>
      </c>
      <c r="F692" s="131">
        <v>4.4999999999999998E-2</v>
      </c>
      <c r="G692" s="126">
        <f t="shared" si="11"/>
        <v>9.5183246073298431</v>
      </c>
      <c r="H692" s="126" t="s">
        <v>73</v>
      </c>
      <c r="I692" s="127" t="s">
        <v>16</v>
      </c>
      <c r="J692" s="126">
        <v>11.5</v>
      </c>
      <c r="K692" s="126">
        <v>99.96</v>
      </c>
      <c r="L692" s="129">
        <f>INT(base[[#This Row],[Data de liquidação]])</f>
        <v>46053</v>
      </c>
      <c r="M692" s="126">
        <f>base[[#This Row],[L/P Bruto]]-base[[#This Row],[L/P Líquido]]</f>
        <v>0.42832460732984323</v>
      </c>
      <c r="N692" s="126">
        <f>base[[#This Row],[L/P Líquido]]/base[[#This Row],[Stake/Responsabilidade]]</f>
        <v>9.0936374549819926E-2</v>
      </c>
      <c r="O692" s="132">
        <f>IF(base[[#This Row],[L/P Líquido]]&gt;0,1,0)</f>
        <v>1</v>
      </c>
      <c r="P692" s="132"/>
      <c r="Q692" s="132" t="str">
        <f>LEFT(base[[#This Row],[Evento / Mercado]],FIND("vs",base[[#This Row],[Evento / Mercado]])-2)</f>
        <v>RB Leipzig</v>
      </c>
      <c r="R6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692" s="132" t="e">
        <f>LEFT(base[[#This Row],[Evento / Mercado]],FIND("/",base[[#This Row],[Evento / Mercado]])-2)</f>
        <v>#VALUE!</v>
      </c>
    </row>
    <row r="693" spans="2:21" ht="15" customHeight="1">
      <c r="B693" s="128" t="s">
        <v>618</v>
      </c>
      <c r="C693" s="128" t="s">
        <v>2982</v>
      </c>
      <c r="D693" s="129">
        <v>46053.562268518515</v>
      </c>
      <c r="E693" s="130">
        <v>-150.02000000000001</v>
      </c>
      <c r="F693" s="131">
        <v>4.4999999999999998E-2</v>
      </c>
      <c r="G693" s="126">
        <f t="shared" si="11"/>
        <v>-150.02000000000001</v>
      </c>
      <c r="H693" s="126" t="s">
        <v>145</v>
      </c>
      <c r="I693" s="127" t="s">
        <v>301</v>
      </c>
      <c r="J693" s="126">
        <v>6.2</v>
      </c>
      <c r="K693" s="126">
        <v>150.02000000000001</v>
      </c>
      <c r="L693" s="129">
        <f>INT(base[[#This Row],[Data de liquidação]])</f>
        <v>46053</v>
      </c>
      <c r="M693" s="126">
        <f>base[[#This Row],[L/P Bruto]]-base[[#This Row],[L/P Líquido]]</f>
        <v>0</v>
      </c>
      <c r="N693" s="126">
        <f>base[[#This Row],[L/P Líquido]]/base[[#This Row],[Stake/Responsabilidade]]</f>
        <v>-1</v>
      </c>
      <c r="O693" s="132">
        <f>IF(base[[#This Row],[L/P Líquido]]&gt;0,1,0)</f>
        <v>0</v>
      </c>
      <c r="P693" s="132" t="s">
        <v>962</v>
      </c>
      <c r="Q693" s="132" t="str">
        <f>LEFT(base[[#This Row],[Evento / Mercado]],FIND("vs",base[[#This Row],[Evento / Mercado]])-2)</f>
        <v>RB Leipzig</v>
      </c>
      <c r="R6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693" s="132" t="e">
        <f>LEFT(base[[#This Row],[Evento / Mercado]],FIND("/",base[[#This Row],[Evento / Mercado]])-2)</f>
        <v>#VALUE!</v>
      </c>
    </row>
    <row r="694" spans="2:21" ht="15" customHeight="1">
      <c r="B694" s="128" t="s">
        <v>617</v>
      </c>
      <c r="C694" s="128" t="s">
        <v>2982</v>
      </c>
      <c r="D694" s="129">
        <v>46053.577511574076</v>
      </c>
      <c r="E694" s="130">
        <v>8.18</v>
      </c>
      <c r="F694" s="131">
        <v>4.4999999999999998E-2</v>
      </c>
      <c r="G694" s="126">
        <f t="shared" si="11"/>
        <v>8.5654450261780113</v>
      </c>
      <c r="H694" s="126" t="s">
        <v>74</v>
      </c>
      <c r="I694" s="127" t="s">
        <v>476</v>
      </c>
      <c r="J694" s="126">
        <v>18.5</v>
      </c>
      <c r="K694" s="126">
        <v>149.97999999999999</v>
      </c>
      <c r="L694" s="129">
        <f>INT(base[[#This Row],[Data de liquidação]])</f>
        <v>46053</v>
      </c>
      <c r="M694" s="126">
        <f>base[[#This Row],[L/P Bruto]]-base[[#This Row],[L/P Líquido]]</f>
        <v>0.38544502617801157</v>
      </c>
      <c r="N694" s="126">
        <f>base[[#This Row],[L/P Líquido]]/base[[#This Row],[Stake/Responsabilidade]]</f>
        <v>5.4540605414055206E-2</v>
      </c>
      <c r="O694" s="132">
        <f>IF(base[[#This Row],[L/P Líquido]]&gt;0,1,0)</f>
        <v>1</v>
      </c>
      <c r="P694" s="132" t="s">
        <v>968</v>
      </c>
      <c r="Q694" s="132" t="str">
        <f>LEFT(base[[#This Row],[Evento / Mercado]],FIND("vs",base[[#This Row],[Evento / Mercado]])-2)</f>
        <v>Middlesbrough</v>
      </c>
      <c r="R6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694" s="132" t="e">
        <f>LEFT(base[[#This Row],[Evento / Mercado]],FIND("/",base[[#This Row],[Evento / Mercado]])-2)</f>
        <v>#VALUE!</v>
      </c>
    </row>
    <row r="695" spans="2:21" ht="15" customHeight="1">
      <c r="B695" s="128" t="s">
        <v>617</v>
      </c>
      <c r="C695" s="128" t="s">
        <v>2982</v>
      </c>
      <c r="D695" s="129">
        <v>46053.577604166669</v>
      </c>
      <c r="E695" s="130">
        <v>-60</v>
      </c>
      <c r="F695" s="131">
        <v>4.4999999999999998E-2</v>
      </c>
      <c r="G695" s="126">
        <f t="shared" si="11"/>
        <v>-60</v>
      </c>
      <c r="H695" s="126" t="s">
        <v>231</v>
      </c>
      <c r="I695" s="127" t="s">
        <v>232</v>
      </c>
      <c r="J695" s="126">
        <v>1.78</v>
      </c>
      <c r="K695" s="126">
        <v>60</v>
      </c>
      <c r="L695" s="129">
        <f>INT(base[[#This Row],[Data de liquidação]])</f>
        <v>46053</v>
      </c>
      <c r="M695" s="126">
        <f>base[[#This Row],[L/P Bruto]]-base[[#This Row],[L/P Líquido]]</f>
        <v>0</v>
      </c>
      <c r="N695" s="126">
        <f>base[[#This Row],[L/P Líquido]]/base[[#This Row],[Stake/Responsabilidade]]</f>
        <v>-1</v>
      </c>
      <c r="O695" s="132">
        <f>IF(base[[#This Row],[L/P Líquido]]&gt;0,1,0)</f>
        <v>0</v>
      </c>
      <c r="P695" s="132"/>
      <c r="Q695" s="132" t="str">
        <f>LEFT(base[[#This Row],[Evento / Mercado]],FIND("vs",base[[#This Row],[Evento / Mercado]])-2)</f>
        <v>Middlesbrough</v>
      </c>
      <c r="R6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695" s="132" t="e">
        <f>LEFT(base[[#This Row],[Evento / Mercado]],FIND("/",base[[#This Row],[Evento / Mercado]])-2)</f>
        <v>#VALUE!</v>
      </c>
    </row>
    <row r="696" spans="2:21" ht="15" customHeight="1">
      <c r="B696" s="128" t="s">
        <v>616</v>
      </c>
      <c r="C696" s="128" t="s">
        <v>2982</v>
      </c>
      <c r="D696" s="129">
        <v>46053.578969907408</v>
      </c>
      <c r="E696" s="130">
        <v>5.97</v>
      </c>
      <c r="F696" s="131">
        <v>4.4999999999999998E-2</v>
      </c>
      <c r="G696" s="126">
        <f t="shared" si="11"/>
        <v>6.2513089005235605</v>
      </c>
      <c r="H696" s="126" t="s">
        <v>73</v>
      </c>
      <c r="I696" s="127" t="s">
        <v>13</v>
      </c>
      <c r="J696" s="126">
        <v>17</v>
      </c>
      <c r="K696" s="126">
        <v>100</v>
      </c>
      <c r="L696" s="129">
        <f>INT(base[[#This Row],[Data de liquidação]])</f>
        <v>46053</v>
      </c>
      <c r="M696" s="126">
        <f>base[[#This Row],[L/P Bruto]]-base[[#This Row],[L/P Líquido]]</f>
        <v>0.28130890052356072</v>
      </c>
      <c r="N696" s="126">
        <f>base[[#This Row],[L/P Líquido]]/base[[#This Row],[Stake/Responsabilidade]]</f>
        <v>5.9699999999999996E-2</v>
      </c>
      <c r="O696" s="132">
        <f>IF(base[[#This Row],[L/P Líquido]]&gt;0,1,0)</f>
        <v>1</v>
      </c>
      <c r="P696" s="132"/>
      <c r="Q696" s="132" t="str">
        <f>LEFT(base[[#This Row],[Evento / Mercado]],FIND("vs",base[[#This Row],[Evento / Mercado]])-2)</f>
        <v>Stockport County</v>
      </c>
      <c r="R6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Plymouth Argyle</v>
      </c>
      <c r="S696" s="132" t="e">
        <f>LEFT(base[[#This Row],[Evento / Mercado]],FIND("/",base[[#This Row],[Evento / Mercado]])-2)</f>
        <v>#VALUE!</v>
      </c>
    </row>
    <row r="697" spans="2:21" ht="15" customHeight="1">
      <c r="B697" s="128" t="s">
        <v>615</v>
      </c>
      <c r="C697" s="128" t="s">
        <v>2982</v>
      </c>
      <c r="D697" s="129">
        <v>46053.580555555556</v>
      </c>
      <c r="E697" s="130">
        <v>6.82</v>
      </c>
      <c r="F697" s="131">
        <v>4.4999999999999998E-2</v>
      </c>
      <c r="G697" s="126">
        <f t="shared" si="11"/>
        <v>7.1413612565445028</v>
      </c>
      <c r="H697" s="126" t="s">
        <v>73</v>
      </c>
      <c r="I697" s="127" t="s">
        <v>13</v>
      </c>
      <c r="J697" s="126">
        <v>15</v>
      </c>
      <c r="K697" s="126">
        <v>99.96</v>
      </c>
      <c r="L697" s="129">
        <f>INT(base[[#This Row],[Data de liquidação]])</f>
        <v>46053</v>
      </c>
      <c r="M697" s="126">
        <f>base[[#This Row],[L/P Bruto]]-base[[#This Row],[L/P Líquido]]</f>
        <v>0.32136125654450254</v>
      </c>
      <c r="N697" s="126">
        <f>base[[#This Row],[L/P Líquido]]/base[[#This Row],[Stake/Responsabilidade]]</f>
        <v>6.8227290916366548E-2</v>
      </c>
      <c r="O697" s="132">
        <f>IF(base[[#This Row],[L/P Líquido]]&gt;0,1,0)</f>
        <v>1</v>
      </c>
      <c r="P697" s="132"/>
      <c r="Q697" s="132" t="str">
        <f>LEFT(base[[#This Row],[Evento / Mercado]],FIND("vs",base[[#This Row],[Evento / Mercado]])-2)</f>
        <v>St Mirren</v>
      </c>
      <c r="R6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Dundee</v>
      </c>
      <c r="S697" s="132" t="e">
        <f>LEFT(base[[#This Row],[Evento / Mercado]],FIND("/",base[[#This Row],[Evento / Mercado]])-2)</f>
        <v>#VALUE!</v>
      </c>
    </row>
    <row r="698" spans="2:21" ht="15" customHeight="1">
      <c r="B698" s="128" t="s">
        <v>614</v>
      </c>
      <c r="C698" s="128" t="s">
        <v>2982</v>
      </c>
      <c r="D698" s="129">
        <v>46053.582037037035</v>
      </c>
      <c r="E698" s="130">
        <v>5.62</v>
      </c>
      <c r="F698" s="131">
        <v>4.4999999999999998E-2</v>
      </c>
      <c r="G698" s="126">
        <f t="shared" si="11"/>
        <v>5.8848167539267022</v>
      </c>
      <c r="H698" s="126" t="s">
        <v>73</v>
      </c>
      <c r="I698" s="127" t="s">
        <v>13</v>
      </c>
      <c r="J698" s="126">
        <v>18</v>
      </c>
      <c r="K698" s="126">
        <v>99.96</v>
      </c>
      <c r="L698" s="129">
        <f>INT(base[[#This Row],[Data de liquidação]])</f>
        <v>46053</v>
      </c>
      <c r="M698" s="126">
        <f>base[[#This Row],[L/P Bruto]]-base[[#This Row],[L/P Líquido]]</f>
        <v>0.26481675392670212</v>
      </c>
      <c r="N698" s="126">
        <f>base[[#This Row],[L/P Líquido]]/base[[#This Row],[Stake/Responsabilidade]]</f>
        <v>5.6222488995598244E-2</v>
      </c>
      <c r="O698" s="132">
        <f>IF(base[[#This Row],[L/P Líquido]]&gt;0,1,0)</f>
        <v>1</v>
      </c>
      <c r="P698" s="132"/>
      <c r="Q698" s="132" t="str">
        <f>LEFT(base[[#This Row],[Evento / Mercado]],FIND("vs",base[[#This Row],[Evento / Mercado]])-2)</f>
        <v>Ipswich Town</v>
      </c>
      <c r="R6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Preston North End</v>
      </c>
      <c r="S698" s="132" t="e">
        <f>LEFT(base[[#This Row],[Evento / Mercado]],FIND("/",base[[#This Row],[Evento / Mercado]])-2)</f>
        <v>#VALUE!</v>
      </c>
    </row>
    <row r="699" spans="2:21" ht="15" customHeight="1">
      <c r="B699" s="128" t="s">
        <v>613</v>
      </c>
      <c r="C699" s="128" t="s">
        <v>2982</v>
      </c>
      <c r="D699" s="129">
        <v>46053.599259259259</v>
      </c>
      <c r="E699" s="130">
        <v>5.62</v>
      </c>
      <c r="F699" s="131">
        <v>4.4999999999999998E-2</v>
      </c>
      <c r="G699" s="126">
        <f t="shared" si="11"/>
        <v>5.8848167539267022</v>
      </c>
      <c r="H699" s="126" t="s">
        <v>73</v>
      </c>
      <c r="I699" s="127" t="s">
        <v>13</v>
      </c>
      <c r="J699" s="126">
        <v>18</v>
      </c>
      <c r="K699" s="126">
        <v>99.96</v>
      </c>
      <c r="L699" s="129">
        <f>INT(base[[#This Row],[Data de liquidação]])</f>
        <v>46053</v>
      </c>
      <c r="M699" s="126">
        <f>base[[#This Row],[L/P Bruto]]-base[[#This Row],[L/P Líquido]]</f>
        <v>0.26481675392670212</v>
      </c>
      <c r="N699" s="126">
        <f>base[[#This Row],[L/P Líquido]]/base[[#This Row],[Stake/Responsabilidade]]</f>
        <v>5.6222488995598244E-2</v>
      </c>
      <c r="O699" s="132">
        <f>IF(base[[#This Row],[L/P Líquido]]&gt;0,1,0)</f>
        <v>1</v>
      </c>
      <c r="P699" s="132"/>
      <c r="Q699" s="132" t="str">
        <f>LEFT(base[[#This Row],[Evento / Mercado]],FIND("vs",base[[#This Row],[Evento / Mercado]])-2)</f>
        <v>Helmond Sport</v>
      </c>
      <c r="R6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 Graafschap</v>
      </c>
      <c r="S699" s="132" t="e">
        <f>LEFT(base[[#This Row],[Evento / Mercado]],FIND("/",base[[#This Row],[Evento / Mercado]])-2)</f>
        <v>#VALUE!</v>
      </c>
    </row>
    <row r="700" spans="2:21" ht="15" customHeight="1">
      <c r="B700" s="128" t="s">
        <v>612</v>
      </c>
      <c r="C700" s="128" t="s">
        <v>2982</v>
      </c>
      <c r="D700" s="129">
        <v>46053.637476851851</v>
      </c>
      <c r="E700" s="130">
        <v>42.4</v>
      </c>
      <c r="F700" s="131">
        <v>4.4999999999999998E-2</v>
      </c>
      <c r="G700" s="126">
        <f t="shared" si="11"/>
        <v>44.397905759162306</v>
      </c>
      <c r="H700" s="126" t="s">
        <v>231</v>
      </c>
      <c r="I700" s="127" t="s">
        <v>266</v>
      </c>
      <c r="J700" s="126">
        <v>1.74</v>
      </c>
      <c r="K700" s="126">
        <v>60</v>
      </c>
      <c r="L700" s="129">
        <f>INT(base[[#This Row],[Data de liquidação]])</f>
        <v>46053</v>
      </c>
      <c r="M700" s="126">
        <f>base[[#This Row],[L/P Bruto]]-base[[#This Row],[L/P Líquido]]</f>
        <v>1.9979057591623075</v>
      </c>
      <c r="N700" s="126">
        <f>base[[#This Row],[L/P Líquido]]/base[[#This Row],[Stake/Responsabilidade]]</f>
        <v>0.70666666666666667</v>
      </c>
      <c r="O700" s="132">
        <f>IF(base[[#This Row],[L/P Líquido]]&gt;0,1,0)</f>
        <v>1</v>
      </c>
      <c r="P700" s="132"/>
      <c r="Q700" s="132" t="str">
        <f>LEFT(base[[#This Row],[Evento / Mercado]],FIND("vs",base[[#This Row],[Evento / Mercado]])-2)</f>
        <v>Widzew Lódz</v>
      </c>
      <c r="R7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Jagiellonia Bialystok</v>
      </c>
      <c r="S700" s="132" t="e">
        <f>LEFT(base[[#This Row],[Evento / Mercado]],FIND("/",base[[#This Row],[Evento / Mercado]])-2)</f>
        <v>#VALUE!</v>
      </c>
    </row>
    <row r="701" spans="2:21" ht="15" customHeight="1">
      <c r="B701" s="128" t="s">
        <v>611</v>
      </c>
      <c r="C701" s="128" t="s">
        <v>2982</v>
      </c>
      <c r="D701" s="129">
        <v>46053.663587962961</v>
      </c>
      <c r="E701" s="130">
        <v>11.02</v>
      </c>
      <c r="F701" s="131">
        <v>4.4999999999999998E-2</v>
      </c>
      <c r="G701" s="126">
        <f t="shared" si="11"/>
        <v>11.539267015706807</v>
      </c>
      <c r="H701" s="126" t="s">
        <v>74</v>
      </c>
      <c r="I701" s="127" t="s">
        <v>476</v>
      </c>
      <c r="J701" s="126">
        <v>14</v>
      </c>
      <c r="K701" s="126">
        <v>150.02000000000001</v>
      </c>
      <c r="L701" s="129">
        <f>INT(base[[#This Row],[Data de liquidação]])</f>
        <v>46053</v>
      </c>
      <c r="M701" s="126">
        <f>base[[#This Row],[L/P Bruto]]-base[[#This Row],[L/P Líquido]]</f>
        <v>0.51926701570680756</v>
      </c>
      <c r="N701" s="126">
        <f>base[[#This Row],[L/P Líquido]]/base[[#This Row],[Stake/Responsabilidade]]</f>
        <v>7.3456872417011057E-2</v>
      </c>
      <c r="O701" s="132">
        <f>IF(base[[#This Row],[L/P Líquido]]&gt;0,1,0)</f>
        <v>1</v>
      </c>
      <c r="P701" s="132" t="s">
        <v>969</v>
      </c>
      <c r="Q701" s="132" t="str">
        <f>LEFT(base[[#This Row],[Evento / Mercado]],FIND("vs",base[[#This Row],[Evento / Mercado]])-2)</f>
        <v>Napoli</v>
      </c>
      <c r="R7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Fiorentina</v>
      </c>
      <c r="S701" s="132" t="e">
        <f>LEFT(base[[#This Row],[Evento / Mercado]],FIND("/",base[[#This Row],[Evento / Mercado]])-2)</f>
        <v>#VALUE!</v>
      </c>
    </row>
    <row r="702" spans="2:21" ht="15" customHeight="1">
      <c r="B702" s="128" t="s">
        <v>610</v>
      </c>
      <c r="C702" s="128" t="s">
        <v>2982</v>
      </c>
      <c r="D702" s="129">
        <v>46053.665960648148</v>
      </c>
      <c r="E702" s="130">
        <v>8.68</v>
      </c>
      <c r="F702" s="131">
        <v>4.4999999999999998E-2</v>
      </c>
      <c r="G702" s="126">
        <f t="shared" si="11"/>
        <v>9.0890052356020945</v>
      </c>
      <c r="H702" s="126" t="s">
        <v>73</v>
      </c>
      <c r="I702" s="127" t="s">
        <v>16</v>
      </c>
      <c r="J702" s="126">
        <v>12</v>
      </c>
      <c r="K702" s="126">
        <v>99.99</v>
      </c>
      <c r="L702" s="129">
        <f>INT(base[[#This Row],[Data de liquidação]])</f>
        <v>46053</v>
      </c>
      <c r="M702" s="126">
        <f>base[[#This Row],[L/P Bruto]]-base[[#This Row],[L/P Líquido]]</f>
        <v>0.40900523560209479</v>
      </c>
      <c r="N702" s="126">
        <f>base[[#This Row],[L/P Líquido]]/base[[#This Row],[Stake/Responsabilidade]]</f>
        <v>8.680868086808681E-2</v>
      </c>
      <c r="O702" s="132">
        <f>IF(base[[#This Row],[L/P Líquido]]&gt;0,1,0)</f>
        <v>1</v>
      </c>
      <c r="P702" s="132"/>
      <c r="Q702" s="132" t="str">
        <f>LEFT(base[[#This Row],[Evento / Mercado]],FIND("vs",base[[#This Row],[Evento / Mercado]])-2)</f>
        <v>Besiktas JK</v>
      </c>
      <c r="R7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Konyaspor</v>
      </c>
      <c r="S702" s="132" t="e">
        <f>LEFT(base[[#This Row],[Evento / Mercado]],FIND("/",base[[#This Row],[Evento / Mercado]])-2)</f>
        <v>#VALUE!</v>
      </c>
    </row>
    <row r="703" spans="2:21" ht="15" customHeight="1">
      <c r="B703" s="128" t="s">
        <v>609</v>
      </c>
      <c r="C703" s="128" t="s">
        <v>2982</v>
      </c>
      <c r="D703" s="129">
        <v>46053.676319444443</v>
      </c>
      <c r="E703" s="130">
        <v>8.68</v>
      </c>
      <c r="F703" s="131">
        <v>4.4999999999999998E-2</v>
      </c>
      <c r="G703" s="126">
        <f t="shared" si="11"/>
        <v>9.0890052356020945</v>
      </c>
      <c r="H703" s="126" t="s">
        <v>73</v>
      </c>
      <c r="I703" s="127" t="s">
        <v>16</v>
      </c>
      <c r="J703" s="126">
        <v>12</v>
      </c>
      <c r="K703" s="126">
        <v>99.99</v>
      </c>
      <c r="L703" s="129">
        <f>INT(base[[#This Row],[Data de liquidação]])</f>
        <v>46053</v>
      </c>
      <c r="M703" s="126">
        <f>base[[#This Row],[L/P Bruto]]-base[[#This Row],[L/P Líquido]]</f>
        <v>0.40900523560209479</v>
      </c>
      <c r="N703" s="126">
        <f>base[[#This Row],[L/P Líquido]]/base[[#This Row],[Stake/Responsabilidade]]</f>
        <v>8.680868086808681E-2</v>
      </c>
      <c r="O703" s="132">
        <f>IF(base[[#This Row],[L/P Líquido]]&gt;0,1,0)</f>
        <v>1</v>
      </c>
      <c r="P703" s="132"/>
      <c r="Q703" s="132" t="str">
        <f>LEFT(base[[#This Row],[Evento / Mercado]],FIND("vs",base[[#This Row],[Evento / Mercado]])-2)</f>
        <v>Beitar Jerusalem</v>
      </c>
      <c r="R7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Hapoel Haifa</v>
      </c>
      <c r="S703" s="132" t="e">
        <f>LEFT(base[[#This Row],[Evento / Mercado]],FIND("/",base[[#This Row],[Evento / Mercado]])-2)</f>
        <v>#VALUE!</v>
      </c>
    </row>
    <row r="704" spans="2:21" ht="15" customHeight="1">
      <c r="B704" s="128" t="s">
        <v>608</v>
      </c>
      <c r="C704" s="128" t="s">
        <v>2982</v>
      </c>
      <c r="D704" s="129">
        <v>46053.689421296294</v>
      </c>
      <c r="E704" s="130">
        <v>8.3084999999999987</v>
      </c>
      <c r="F704" s="131">
        <v>4.4999999999999998E-2</v>
      </c>
      <c r="G704" s="126">
        <f t="shared" si="11"/>
        <v>8.6999999999999993</v>
      </c>
      <c r="H704" s="126" t="s">
        <v>73</v>
      </c>
      <c r="I704" s="127" t="s">
        <v>16</v>
      </c>
      <c r="J704" s="126">
        <v>12.5</v>
      </c>
      <c r="K704" s="126">
        <v>100.05</v>
      </c>
      <c r="L704" s="129">
        <f>INT(base[[#This Row],[Data de liquidação]])</f>
        <v>46053</v>
      </c>
      <c r="M704" s="126">
        <f>base[[#This Row],[L/P Bruto]]-base[[#This Row],[L/P Líquido]]</f>
        <v>0.39150000000000063</v>
      </c>
      <c r="N704" s="126">
        <f>base[[#This Row],[L/P Líquido]]/base[[#This Row],[Stake/Responsabilidade]]</f>
        <v>8.3043478260869552E-2</v>
      </c>
      <c r="O704" s="132">
        <f>IF(base[[#This Row],[L/P Líquido]]&gt;0,1,0)</f>
        <v>1</v>
      </c>
      <c r="P704" s="132"/>
      <c r="Q704" s="132" t="str">
        <f>LEFT(base[[#This Row],[Evento / Mercado]],FIND("vs",base[[#This Row],[Evento / Mercado]])-2)</f>
        <v>Chelsea</v>
      </c>
      <c r="R7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704" s="132" t="e">
        <f>LEFT(base[[#This Row],[Evento / Mercado]],FIND("/",base[[#This Row],[Evento / Mercado]])-2)</f>
        <v>#VALUE!</v>
      </c>
      <c r="T704" s="8">
        <v>8.6999999999999993</v>
      </c>
      <c r="U704" s="9">
        <f>T704*0.955</f>
        <v>8.3084999999999987</v>
      </c>
    </row>
    <row r="705" spans="2:21" ht="15" customHeight="1">
      <c r="B705" s="128" t="s">
        <v>608</v>
      </c>
      <c r="C705" s="128" t="s">
        <v>2982</v>
      </c>
      <c r="D705" s="129">
        <v>46053.689421296294</v>
      </c>
      <c r="E705" s="130">
        <v>3.9536999999999995</v>
      </c>
      <c r="F705" s="131">
        <v>4.4999999999999998E-2</v>
      </c>
      <c r="G705" s="126">
        <f t="shared" si="11"/>
        <v>4.1399999999999997</v>
      </c>
      <c r="H705" s="126" t="s">
        <v>73</v>
      </c>
      <c r="I705" s="127" t="s">
        <v>13</v>
      </c>
      <c r="J705" s="126">
        <v>25</v>
      </c>
      <c r="K705" s="126">
        <v>99.36</v>
      </c>
      <c r="L705" s="129">
        <f>INT(base[[#This Row],[Data de liquidação]])</f>
        <v>46053</v>
      </c>
      <c r="M705" s="126">
        <f>base[[#This Row],[L/P Bruto]]-base[[#This Row],[L/P Líquido]]</f>
        <v>0.18630000000000013</v>
      </c>
      <c r="N705" s="126">
        <f>base[[#This Row],[L/P Líquido]]/base[[#This Row],[Stake/Responsabilidade]]</f>
        <v>3.9791666666666663E-2</v>
      </c>
      <c r="O705" s="132">
        <f>IF(base[[#This Row],[L/P Líquido]]&gt;0,1,0)</f>
        <v>1</v>
      </c>
      <c r="P705" s="132"/>
      <c r="Q705" s="132" t="str">
        <f>LEFT(base[[#This Row],[Evento / Mercado]],FIND("vs",base[[#This Row],[Evento / Mercado]])-2)</f>
        <v>Chelsea</v>
      </c>
      <c r="R7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705" s="132" t="e">
        <f>LEFT(base[[#This Row],[Evento / Mercado]],FIND("/",base[[#This Row],[Evento / Mercado]])-2)</f>
        <v>#VALUE!</v>
      </c>
      <c r="T705" s="8">
        <v>4.1399999999999997</v>
      </c>
      <c r="U705" s="9">
        <f>T705*0.955</f>
        <v>3.9536999999999995</v>
      </c>
    </row>
    <row r="706" spans="2:21" ht="15" customHeight="1">
      <c r="B706" s="128" t="s">
        <v>608</v>
      </c>
      <c r="C706" s="128" t="s">
        <v>2982</v>
      </c>
      <c r="D706" s="129">
        <v>46053.689421296294</v>
      </c>
      <c r="E706" s="130">
        <v>5.7299999999999995</v>
      </c>
      <c r="F706" s="131">
        <v>4.4999999999999998E-2</v>
      </c>
      <c r="G706" s="126">
        <f t="shared" si="11"/>
        <v>6</v>
      </c>
      <c r="H706" s="126" t="s">
        <v>122</v>
      </c>
      <c r="I706" s="127" t="s">
        <v>476</v>
      </c>
      <c r="J706" s="126">
        <v>26</v>
      </c>
      <c r="K706" s="126">
        <v>150</v>
      </c>
      <c r="L706" s="129">
        <f>INT(base[[#This Row],[Data de liquidação]])</f>
        <v>46053</v>
      </c>
      <c r="M706" s="126">
        <f>base[[#This Row],[L/P Bruto]]-base[[#This Row],[L/P Líquido]]</f>
        <v>0.27000000000000046</v>
      </c>
      <c r="N706" s="126">
        <f>base[[#This Row],[L/P Líquido]]/base[[#This Row],[Stake/Responsabilidade]]</f>
        <v>3.8199999999999998E-2</v>
      </c>
      <c r="O706" s="132">
        <f>IF(base[[#This Row],[L/P Líquido]]&gt;0,1,0)</f>
        <v>1</v>
      </c>
      <c r="P706" s="132" t="s">
        <v>963</v>
      </c>
      <c r="Q706" s="132" t="str">
        <f>LEFT(base[[#This Row],[Evento / Mercado]],FIND("vs",base[[#This Row],[Evento / Mercado]])-2)</f>
        <v>Chelsea</v>
      </c>
      <c r="R7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706" s="132" t="e">
        <f>LEFT(base[[#This Row],[Evento / Mercado]],FIND("/",base[[#This Row],[Evento / Mercado]])-2)</f>
        <v>#VALUE!</v>
      </c>
      <c r="T706" s="8">
        <v>6</v>
      </c>
      <c r="U706" s="9">
        <f>T706*0.955</f>
        <v>5.7299999999999995</v>
      </c>
    </row>
    <row r="707" spans="2:21" ht="15" customHeight="1">
      <c r="B707" s="128" t="s">
        <v>608</v>
      </c>
      <c r="C707" s="128" t="s">
        <v>2982</v>
      </c>
      <c r="D707" s="129">
        <v>46053.689606481479</v>
      </c>
      <c r="E707" s="130">
        <v>29.23</v>
      </c>
      <c r="F707" s="131">
        <v>4.4999999999999998E-2</v>
      </c>
      <c r="G707" s="126">
        <f t="shared" ref="G707:G770" si="12">IF(E707&gt;0,E707/(1-F707),E707)</f>
        <v>30.607329842931939</v>
      </c>
      <c r="H707" s="126" t="s">
        <v>145</v>
      </c>
      <c r="I707" s="127" t="s">
        <v>301</v>
      </c>
      <c r="J707" s="126">
        <v>5.9</v>
      </c>
      <c r="K707" s="126">
        <v>149.99</v>
      </c>
      <c r="L707" s="129">
        <f>INT(base[[#This Row],[Data de liquidação]])</f>
        <v>46053</v>
      </c>
      <c r="M707" s="126">
        <f>base[[#This Row],[L/P Bruto]]-base[[#This Row],[L/P Líquido]]</f>
        <v>1.3773298429319389</v>
      </c>
      <c r="N707" s="126">
        <f>base[[#This Row],[L/P Líquido]]/base[[#This Row],[Stake/Responsabilidade]]</f>
        <v>0.19487965864390958</v>
      </c>
      <c r="O707" s="132">
        <f>IF(base[[#This Row],[L/P Líquido]]&gt;0,1,0)</f>
        <v>1</v>
      </c>
      <c r="P707" s="132" t="s">
        <v>963</v>
      </c>
      <c r="Q707" s="132" t="str">
        <f>LEFT(base[[#This Row],[Evento / Mercado]],FIND("vs",base[[#This Row],[Evento / Mercado]])-2)</f>
        <v>Chelsea</v>
      </c>
      <c r="R7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707" s="132" t="e">
        <f>LEFT(base[[#This Row],[Evento / Mercado]],FIND("/",base[[#This Row],[Evento / Mercado]])-2)</f>
        <v>#VALUE!</v>
      </c>
    </row>
    <row r="708" spans="2:21" ht="15" customHeight="1">
      <c r="B708" s="128" t="s">
        <v>607</v>
      </c>
      <c r="C708" s="128" t="s">
        <v>2982</v>
      </c>
      <c r="D708" s="129">
        <v>46053.690393518518</v>
      </c>
      <c r="E708" s="130">
        <v>11.02</v>
      </c>
      <c r="F708" s="131">
        <v>4.4999999999999998E-2</v>
      </c>
      <c r="G708" s="126">
        <f t="shared" si="12"/>
        <v>11.539267015706807</v>
      </c>
      <c r="H708" s="126" t="s">
        <v>122</v>
      </c>
      <c r="I708" s="127" t="s">
        <v>541</v>
      </c>
      <c r="J708" s="126">
        <v>14</v>
      </c>
      <c r="K708" s="126">
        <v>150.02000000000001</v>
      </c>
      <c r="L708" s="129">
        <f>INT(base[[#This Row],[Data de liquidação]])</f>
        <v>46053</v>
      </c>
      <c r="M708" s="126">
        <f>base[[#This Row],[L/P Bruto]]-base[[#This Row],[L/P Líquido]]</f>
        <v>0.51926701570680756</v>
      </c>
      <c r="N708" s="126">
        <f>base[[#This Row],[L/P Líquido]]/base[[#This Row],[Stake/Responsabilidade]]</f>
        <v>7.3456872417011057E-2</v>
      </c>
      <c r="O708" s="132">
        <f>IF(base[[#This Row],[L/P Líquido]]&gt;0,1,0)</f>
        <v>1</v>
      </c>
      <c r="P708" s="132" t="s">
        <v>962</v>
      </c>
      <c r="Q708" s="132" t="str">
        <f>LEFT(base[[#This Row],[Evento / Mercado]],FIND("vs",base[[#This Row],[Evento / Mercado]])-2)</f>
        <v>Hamburger SV</v>
      </c>
      <c r="R7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708" s="132" t="e">
        <f>LEFT(base[[#This Row],[Evento / Mercado]],FIND("/",base[[#This Row],[Evento / Mercado]])-2)</f>
        <v>#VALUE!</v>
      </c>
    </row>
    <row r="709" spans="2:21" ht="15" customHeight="1">
      <c r="B709" s="128" t="s">
        <v>606</v>
      </c>
      <c r="C709" s="128" t="s">
        <v>2982</v>
      </c>
      <c r="D709" s="129">
        <v>46053.790543981479</v>
      </c>
      <c r="E709" s="130">
        <v>10.23</v>
      </c>
      <c r="F709" s="131">
        <v>4.4999999999999998E-2</v>
      </c>
      <c r="G709" s="126">
        <f t="shared" si="12"/>
        <v>10.712041884816754</v>
      </c>
      <c r="H709" s="126" t="s">
        <v>122</v>
      </c>
      <c r="I709" s="127" t="s">
        <v>541</v>
      </c>
      <c r="J709" s="126">
        <v>15</v>
      </c>
      <c r="K709" s="126">
        <v>149.94</v>
      </c>
      <c r="L709" s="129">
        <f>INT(base[[#This Row],[Data de liquidação]])</f>
        <v>46053</v>
      </c>
      <c r="M709" s="126">
        <f>base[[#This Row],[L/P Bruto]]-base[[#This Row],[L/P Líquido]]</f>
        <v>0.48204188481675381</v>
      </c>
      <c r="N709" s="126">
        <f>base[[#This Row],[L/P Líquido]]/base[[#This Row],[Stake/Responsabilidade]]</f>
        <v>6.8227290916366548E-2</v>
      </c>
      <c r="O709" s="132">
        <f>IF(base[[#This Row],[L/P Líquido]]&gt;0,1,0)</f>
        <v>1</v>
      </c>
      <c r="P709" s="132" t="s">
        <v>964</v>
      </c>
      <c r="Q709" s="132" t="str">
        <f>LEFT(base[[#This Row],[Evento / Mercado]],FIND("vs",base[[#This Row],[Evento / Mercado]])-2)</f>
        <v>Elche CF</v>
      </c>
      <c r="R7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709" s="132" t="e">
        <f>LEFT(base[[#This Row],[Evento / Mercado]],FIND("/",base[[#This Row],[Evento / Mercado]])-2)</f>
        <v>#VALUE!</v>
      </c>
    </row>
    <row r="710" spans="2:21" ht="15" customHeight="1">
      <c r="B710" s="128" t="s">
        <v>605</v>
      </c>
      <c r="C710" s="128" t="s">
        <v>2982</v>
      </c>
      <c r="D710" s="129">
        <v>46054.42083333333</v>
      </c>
      <c r="E710" s="130">
        <v>13.16</v>
      </c>
      <c r="F710" s="131">
        <v>4.4999999999999998E-2</v>
      </c>
      <c r="G710" s="126">
        <f t="shared" si="12"/>
        <v>13.780104712041885</v>
      </c>
      <c r="H710" s="126" t="s">
        <v>74</v>
      </c>
      <c r="I710" s="127" t="s">
        <v>542</v>
      </c>
      <c r="J710" s="126">
        <v>19</v>
      </c>
      <c r="K710" s="126">
        <v>248.09</v>
      </c>
      <c r="L710" s="129">
        <f>INT(base[[#This Row],[Data de liquidação]])</f>
        <v>46054</v>
      </c>
      <c r="M710" s="126">
        <f>base[[#This Row],[L/P Bruto]]-base[[#This Row],[L/P Líquido]]</f>
        <v>0.62010471204188455</v>
      </c>
      <c r="N710" s="126">
        <f>base[[#This Row],[L/P Líquido]]/base[[#This Row],[Stake/Responsabilidade]]</f>
        <v>5.3045265830948443E-2</v>
      </c>
      <c r="O710" s="132">
        <f>IF(base[[#This Row],[L/P Líquido]]&gt;0,1,0)</f>
        <v>1</v>
      </c>
      <c r="P710" s="132" t="s">
        <v>967</v>
      </c>
      <c r="Q710" s="132" t="str">
        <f>LEFT(base[[#This Row],[Evento / Mercado]],FIND("vs",base[[#This Row],[Evento / Mercado]])-2)</f>
        <v>Excelsior Rotterdam</v>
      </c>
      <c r="R7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710" s="132" t="e">
        <f>LEFT(base[[#This Row],[Evento / Mercado]],FIND("/",base[[#This Row],[Evento / Mercado]])-2)</f>
        <v>#VALUE!</v>
      </c>
    </row>
    <row r="711" spans="2:21" ht="15" customHeight="1">
      <c r="B711" s="128" t="s">
        <v>604</v>
      </c>
      <c r="C711" s="128" t="s">
        <v>2982</v>
      </c>
      <c r="D711" s="129">
        <v>46054.424143518518</v>
      </c>
      <c r="E711" s="130">
        <v>49.66</v>
      </c>
      <c r="F711" s="131">
        <v>4.4999999999999998E-2</v>
      </c>
      <c r="G711" s="126">
        <f t="shared" si="12"/>
        <v>52</v>
      </c>
      <c r="H711" s="126" t="s">
        <v>231</v>
      </c>
      <c r="I711" s="127" t="s">
        <v>266</v>
      </c>
      <c r="J711" s="126">
        <v>1.65</v>
      </c>
      <c r="K711" s="126">
        <v>80</v>
      </c>
      <c r="L711" s="129">
        <f>INT(base[[#This Row],[Data de liquidação]])</f>
        <v>46054</v>
      </c>
      <c r="M711" s="126">
        <f>base[[#This Row],[L/P Bruto]]-base[[#This Row],[L/P Líquido]]</f>
        <v>2.3400000000000034</v>
      </c>
      <c r="N711" s="126">
        <f>base[[#This Row],[L/P Líquido]]/base[[#This Row],[Stake/Responsabilidade]]</f>
        <v>0.62074999999999991</v>
      </c>
      <c r="O711" s="132">
        <f>IF(base[[#This Row],[L/P Líquido]]&gt;0,1,0)</f>
        <v>1</v>
      </c>
      <c r="P711" s="132"/>
      <c r="Q711" s="132" t="str">
        <f>LEFT(base[[#This Row],[Evento / Mercado]],FIND("vs",base[[#This Row],[Evento / Mercado]])-2)</f>
        <v>Hertha BSC</v>
      </c>
      <c r="R7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711" s="132" t="e">
        <f>LEFT(base[[#This Row],[Evento / Mercado]],FIND("/",base[[#This Row],[Evento / Mercado]])-2)</f>
        <v>#VALUE!</v>
      </c>
    </row>
    <row r="712" spans="2:21" ht="15" customHeight="1">
      <c r="B712" s="128" t="s">
        <v>603</v>
      </c>
      <c r="C712" s="128" t="s">
        <v>2982</v>
      </c>
      <c r="D712" s="129">
        <v>46054.438506944447</v>
      </c>
      <c r="E712" s="130">
        <v>14.86</v>
      </c>
      <c r="F712" s="131">
        <v>4.4999999999999998E-2</v>
      </c>
      <c r="G712" s="126">
        <f t="shared" si="12"/>
        <v>15.560209424083769</v>
      </c>
      <c r="H712" s="126" t="s">
        <v>73</v>
      </c>
      <c r="I712" s="127" t="s">
        <v>16</v>
      </c>
      <c r="J712" s="126">
        <v>10</v>
      </c>
      <c r="K712" s="126">
        <v>140.04</v>
      </c>
      <c r="L712" s="129">
        <f>INT(base[[#This Row],[Data de liquidação]])</f>
        <v>46054</v>
      </c>
      <c r="M712" s="126">
        <f>base[[#This Row],[L/P Bruto]]-base[[#This Row],[L/P Líquido]]</f>
        <v>0.70020942408376996</v>
      </c>
      <c r="N712" s="126">
        <f>base[[#This Row],[L/P Líquido]]/base[[#This Row],[Stake/Responsabilidade]]</f>
        <v>0.106112539274493</v>
      </c>
      <c r="O712" s="132">
        <f>IF(base[[#This Row],[L/P Líquido]]&gt;0,1,0)</f>
        <v>1</v>
      </c>
      <c r="P712" s="132"/>
      <c r="Q712" s="132" t="str">
        <f>LEFT(base[[#This Row],[Evento / Mercado]],FIND("vs",base[[#This Row],[Evento / Mercado]])-2)</f>
        <v>Ratchaburi</v>
      </c>
      <c r="R7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Muangthong United</v>
      </c>
      <c r="S712" s="132" t="e">
        <f>LEFT(base[[#This Row],[Evento / Mercado]],FIND("/",base[[#This Row],[Evento / Mercado]])-2)</f>
        <v>#VALUE!</v>
      </c>
    </row>
    <row r="713" spans="2:21" ht="15" customHeight="1">
      <c r="B713" s="128" t="s">
        <v>599</v>
      </c>
      <c r="C713" s="128" t="s">
        <v>2982</v>
      </c>
      <c r="D713" s="129">
        <v>46054.449756944443</v>
      </c>
      <c r="E713" s="130">
        <v>59.59</v>
      </c>
      <c r="F713" s="131">
        <v>4.4999999999999998E-2</v>
      </c>
      <c r="G713" s="126">
        <f t="shared" si="12"/>
        <v>62.397905759162313</v>
      </c>
      <c r="H713" s="126" t="s">
        <v>231</v>
      </c>
      <c r="I713" s="127" t="s">
        <v>266</v>
      </c>
      <c r="J713" s="126">
        <v>1.78</v>
      </c>
      <c r="K713" s="126">
        <v>80</v>
      </c>
      <c r="L713" s="129">
        <f>INT(base[[#This Row],[Data de liquidação]])</f>
        <v>46054</v>
      </c>
      <c r="M713" s="126">
        <f>base[[#This Row],[L/P Bruto]]-base[[#This Row],[L/P Líquido]]</f>
        <v>2.8079057591623098</v>
      </c>
      <c r="N713" s="126">
        <f>base[[#This Row],[L/P Líquido]]/base[[#This Row],[Stake/Responsabilidade]]</f>
        <v>0.74487500000000006</v>
      </c>
      <c r="O713" s="132">
        <f>IF(base[[#This Row],[L/P Líquido]]&gt;0,1,0)</f>
        <v>1</v>
      </c>
      <c r="P713" s="132"/>
      <c r="Q713" s="132" t="str">
        <f>LEFT(base[[#This Row],[Evento / Mercado]],FIND("vs",base[[#This Row],[Evento / Mercado]])-2)</f>
        <v>UD Almería</v>
      </c>
      <c r="R7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 Ceuta FC</v>
      </c>
      <c r="S713" s="132" t="e">
        <f>LEFT(base[[#This Row],[Evento / Mercado]],FIND("/",base[[#This Row],[Evento / Mercado]])-2)</f>
        <v>#VALUE!</v>
      </c>
    </row>
    <row r="714" spans="2:21" ht="15" customHeight="1">
      <c r="B714" s="128" t="s">
        <v>602</v>
      </c>
      <c r="C714" s="128" t="s">
        <v>2982</v>
      </c>
      <c r="D714" s="129">
        <v>46054.479074074072</v>
      </c>
      <c r="E714" s="130">
        <v>14.67</v>
      </c>
      <c r="F714" s="131">
        <v>4.4999999999999998E-2</v>
      </c>
      <c r="G714" s="126">
        <f t="shared" si="12"/>
        <v>15.361256544502618</v>
      </c>
      <c r="H714" s="126" t="s">
        <v>73</v>
      </c>
      <c r="I714" s="127" t="s">
        <v>16</v>
      </c>
      <c r="J714" s="126">
        <v>10</v>
      </c>
      <c r="K714" s="126">
        <v>138.29</v>
      </c>
      <c r="L714" s="129">
        <f>INT(base[[#This Row],[Data de liquidação]])</f>
        <v>46054</v>
      </c>
      <c r="M714" s="126">
        <f>base[[#This Row],[L/P Bruto]]-base[[#This Row],[L/P Líquido]]</f>
        <v>0.6912565445026182</v>
      </c>
      <c r="N714" s="126">
        <f>base[[#This Row],[L/P Líquido]]/base[[#This Row],[Stake/Responsabilidade]]</f>
        <v>0.10608142309639165</v>
      </c>
      <c r="O714" s="132">
        <f>IF(base[[#This Row],[L/P Líquido]]&gt;0,1,0)</f>
        <v>1</v>
      </c>
      <c r="P714" s="132"/>
      <c r="Q714" s="132" t="str">
        <f>LEFT(base[[#This Row],[Evento / Mercado]],FIND("vs",base[[#This Row],[Evento / Mercado]])-2)</f>
        <v>Buriram United</v>
      </c>
      <c r="R7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Bangkok United</v>
      </c>
      <c r="S714" s="132" t="e">
        <f>LEFT(base[[#This Row],[Evento / Mercado]],FIND("/",base[[#This Row],[Evento / Mercado]])-2)</f>
        <v>#VALUE!</v>
      </c>
    </row>
    <row r="715" spans="2:21" ht="15" customHeight="1">
      <c r="B715" s="128" t="s">
        <v>601</v>
      </c>
      <c r="C715" s="128" t="s">
        <v>2982</v>
      </c>
      <c r="D715" s="129">
        <v>46054.495787037034</v>
      </c>
      <c r="E715" s="130">
        <v>9.23</v>
      </c>
      <c r="F715" s="131">
        <v>4.4999999999999998E-2</v>
      </c>
      <c r="G715" s="126">
        <f t="shared" si="12"/>
        <v>9.6649214659685878</v>
      </c>
      <c r="H715" s="126" t="s">
        <v>73</v>
      </c>
      <c r="I715" s="127" t="s">
        <v>13</v>
      </c>
      <c r="J715" s="126">
        <v>15.5</v>
      </c>
      <c r="K715" s="126">
        <v>140.07</v>
      </c>
      <c r="L715" s="129">
        <f>INT(base[[#This Row],[Data de liquidação]])</f>
        <v>46054</v>
      </c>
      <c r="M715" s="126">
        <f>base[[#This Row],[L/P Bruto]]-base[[#This Row],[L/P Líquido]]</f>
        <v>0.43492146596858738</v>
      </c>
      <c r="N715" s="126">
        <f>base[[#This Row],[L/P Líquido]]/base[[#This Row],[Stake/Responsabilidade]]</f>
        <v>6.5895623616763058E-2</v>
      </c>
      <c r="O715" s="132">
        <f>IF(base[[#This Row],[L/P Líquido]]&gt;0,1,0)</f>
        <v>1</v>
      </c>
      <c r="P715" s="132"/>
      <c r="Q715" s="132" t="str">
        <f>LEFT(base[[#This Row],[Evento / Mercado]],FIND("vs",base[[#This Row],[Evento / Mercado]])-2)</f>
        <v>FC Luzern</v>
      </c>
      <c r="R7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Gallen</v>
      </c>
      <c r="S715" s="132" t="e">
        <f>LEFT(base[[#This Row],[Evento / Mercado]],FIND("/",base[[#This Row],[Evento / Mercado]])-2)</f>
        <v>#VALUE!</v>
      </c>
    </row>
    <row r="716" spans="2:21" ht="15" customHeight="1">
      <c r="B716" s="128" t="s">
        <v>600</v>
      </c>
      <c r="C716" s="128" t="s">
        <v>2982</v>
      </c>
      <c r="D716" s="129">
        <v>46054.496493055558</v>
      </c>
      <c r="E716" s="130">
        <v>18.07</v>
      </c>
      <c r="F716" s="131">
        <v>4.4999999999999998E-2</v>
      </c>
      <c r="G716" s="126">
        <f t="shared" si="12"/>
        <v>18.921465968586389</v>
      </c>
      <c r="H716" s="126" t="s">
        <v>73</v>
      </c>
      <c r="I716" s="127" t="s">
        <v>16</v>
      </c>
      <c r="J716" s="126">
        <v>8.4</v>
      </c>
      <c r="K716" s="126">
        <v>140.01</v>
      </c>
      <c r="L716" s="129">
        <f>INT(base[[#This Row],[Data de liquidação]])</f>
        <v>46054</v>
      </c>
      <c r="M716" s="126">
        <f>base[[#This Row],[L/P Bruto]]-base[[#This Row],[L/P Líquido]]</f>
        <v>0.85146596858638901</v>
      </c>
      <c r="N716" s="126">
        <f>base[[#This Row],[L/P Líquido]]/base[[#This Row],[Stake/Responsabilidade]]</f>
        <v>0.12906220984215414</v>
      </c>
      <c r="O716" s="132">
        <f>IF(base[[#This Row],[L/P Líquido]]&gt;0,1,0)</f>
        <v>1</v>
      </c>
      <c r="P716" s="132"/>
      <c r="Q716" s="132" t="str">
        <f>LEFT(base[[#This Row],[Evento / Mercado]],FIND("vs",base[[#This Row],[Evento / Mercado]])-2)</f>
        <v>FC Wil 1900</v>
      </c>
      <c r="R7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Nyonnais</v>
      </c>
      <c r="S716" s="132" t="e">
        <f>LEFT(base[[#This Row],[Evento / Mercado]],FIND("/",base[[#This Row],[Evento / Mercado]])-2)</f>
        <v>#VALUE!</v>
      </c>
    </row>
    <row r="717" spans="2:21" ht="15" customHeight="1">
      <c r="B717" s="128" t="s">
        <v>599</v>
      </c>
      <c r="C717" s="128" t="s">
        <v>2982</v>
      </c>
      <c r="D717" s="129">
        <v>46054.499108796299</v>
      </c>
      <c r="E717" s="130">
        <v>15.55</v>
      </c>
      <c r="F717" s="131">
        <v>4.4999999999999998E-2</v>
      </c>
      <c r="G717" s="126">
        <f t="shared" si="12"/>
        <v>16.282722513089006</v>
      </c>
      <c r="H717" s="126" t="s">
        <v>73</v>
      </c>
      <c r="I717" s="127" t="s">
        <v>16</v>
      </c>
      <c r="J717" s="126">
        <v>9.6</v>
      </c>
      <c r="K717" s="126">
        <v>140.01</v>
      </c>
      <c r="L717" s="129">
        <f>INT(base[[#This Row],[Data de liquidação]])</f>
        <v>46054</v>
      </c>
      <c r="M717" s="126">
        <f>base[[#This Row],[L/P Bruto]]-base[[#This Row],[L/P Líquido]]</f>
        <v>0.73272251308900493</v>
      </c>
      <c r="N717" s="126">
        <f>base[[#This Row],[L/P Líquido]]/base[[#This Row],[Stake/Responsabilidade]]</f>
        <v>0.11106349546460968</v>
      </c>
      <c r="O717" s="132">
        <f>IF(base[[#This Row],[L/P Líquido]]&gt;0,1,0)</f>
        <v>1</v>
      </c>
      <c r="P717" s="132"/>
      <c r="Q717" s="132" t="str">
        <f>LEFT(base[[#This Row],[Evento / Mercado]],FIND("vs",base[[#This Row],[Evento / Mercado]])-2)</f>
        <v>UD Almería</v>
      </c>
      <c r="R7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 Ceuta FC</v>
      </c>
      <c r="S717" s="132" t="e">
        <f>LEFT(base[[#This Row],[Evento / Mercado]],FIND("/",base[[#This Row],[Evento / Mercado]])-2)</f>
        <v>#VALUE!</v>
      </c>
    </row>
    <row r="718" spans="2:21" ht="15" customHeight="1">
      <c r="B718" s="128" t="s">
        <v>598</v>
      </c>
      <c r="C718" s="128" t="s">
        <v>2982</v>
      </c>
      <c r="D718" s="129">
        <v>46054.506249999999</v>
      </c>
      <c r="E718" s="130">
        <v>19.89</v>
      </c>
      <c r="F718" s="131">
        <v>4.4999999999999998E-2</v>
      </c>
      <c r="G718" s="126">
        <f t="shared" si="12"/>
        <v>20.827225130890053</v>
      </c>
      <c r="H718" s="126" t="s">
        <v>145</v>
      </c>
      <c r="I718" s="127" t="s">
        <v>301</v>
      </c>
      <c r="J718" s="126">
        <v>13</v>
      </c>
      <c r="K718" s="126">
        <v>249.96</v>
      </c>
      <c r="L718" s="129">
        <f>INT(base[[#This Row],[Data de liquidação]])</f>
        <v>46054</v>
      </c>
      <c r="M718" s="126">
        <f>base[[#This Row],[L/P Bruto]]-base[[#This Row],[L/P Líquido]]</f>
        <v>0.93722513089005233</v>
      </c>
      <c r="N718" s="126">
        <f>base[[#This Row],[L/P Líquido]]/base[[#This Row],[Stake/Responsabilidade]]</f>
        <v>7.9572731637061925E-2</v>
      </c>
      <c r="O718" s="132">
        <f>IF(base[[#This Row],[L/P Líquido]]&gt;0,1,0)</f>
        <v>1</v>
      </c>
      <c r="P718" s="132" t="s">
        <v>964</v>
      </c>
      <c r="Q718" s="132" t="str">
        <f>LEFT(base[[#This Row],[Evento / Mercado]],FIND("vs",base[[#This Row],[Evento / Mercado]])-2)</f>
        <v>Real Madrid</v>
      </c>
      <c r="R7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Rayo Vallecano</v>
      </c>
      <c r="S718" s="132" t="e">
        <f>LEFT(base[[#This Row],[Evento / Mercado]],FIND("/",base[[#This Row],[Evento / Mercado]])-2)</f>
        <v>#VALUE!</v>
      </c>
    </row>
    <row r="719" spans="2:21" ht="15" customHeight="1">
      <c r="B719" s="128" t="s">
        <v>597</v>
      </c>
      <c r="C719" s="128" t="s">
        <v>2982</v>
      </c>
      <c r="D719" s="129">
        <v>46054.513935185183</v>
      </c>
      <c r="E719" s="130">
        <v>7.92</v>
      </c>
      <c r="F719" s="131">
        <v>4.4999999999999998E-2</v>
      </c>
      <c r="G719" s="126">
        <f t="shared" si="12"/>
        <v>8.2931937172774877</v>
      </c>
      <c r="H719" s="126" t="s">
        <v>73</v>
      </c>
      <c r="I719" s="127" t="s">
        <v>16</v>
      </c>
      <c r="J719" s="126">
        <v>17.5</v>
      </c>
      <c r="K719" s="126">
        <v>136.9</v>
      </c>
      <c r="L719" s="129">
        <f>INT(base[[#This Row],[Data de liquidação]])</f>
        <v>46054</v>
      </c>
      <c r="M719" s="126">
        <f>base[[#This Row],[L/P Bruto]]-base[[#This Row],[L/P Líquido]]</f>
        <v>0.37319371727748774</v>
      </c>
      <c r="N719" s="126">
        <f>base[[#This Row],[L/P Líquido]]/base[[#This Row],[Stake/Responsabilidade]]</f>
        <v>5.785244704163623E-2</v>
      </c>
      <c r="O719" s="132">
        <f>IF(base[[#This Row],[L/P Líquido]]&gt;0,1,0)</f>
        <v>1</v>
      </c>
      <c r="P719" s="132"/>
      <c r="Q719" s="132" t="str">
        <f>LEFT(base[[#This Row],[Evento / Mercado]],FIND("vs",base[[#This Row],[Evento / Mercado]])-2)</f>
        <v>PSV Eindhoven</v>
      </c>
      <c r="R7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719" s="132" t="e">
        <f>LEFT(base[[#This Row],[Evento / Mercado]],FIND("/",base[[#This Row],[Evento / Mercado]])-2)</f>
        <v>#VALUE!</v>
      </c>
    </row>
    <row r="720" spans="2:21" ht="15" customHeight="1">
      <c r="B720" s="128" t="s">
        <v>596</v>
      </c>
      <c r="C720" s="128" t="s">
        <v>2982</v>
      </c>
      <c r="D720" s="129">
        <v>46054.519201388888</v>
      </c>
      <c r="E720" s="130">
        <v>7.93</v>
      </c>
      <c r="F720" s="131">
        <v>4.4999999999999998E-2</v>
      </c>
      <c r="G720" s="126">
        <f t="shared" si="12"/>
        <v>8.3036649214659679</v>
      </c>
      <c r="H720" s="126" t="s">
        <v>73</v>
      </c>
      <c r="I720" s="127" t="s">
        <v>13</v>
      </c>
      <c r="J720" s="126">
        <v>16</v>
      </c>
      <c r="K720" s="126">
        <v>124.58</v>
      </c>
      <c r="L720" s="129">
        <f>INT(base[[#This Row],[Data de liquidação]])</f>
        <v>46054</v>
      </c>
      <c r="M720" s="126">
        <f>base[[#This Row],[L/P Bruto]]-base[[#This Row],[L/P Líquido]]</f>
        <v>0.37366492146596819</v>
      </c>
      <c r="N720" s="126">
        <f>base[[#This Row],[L/P Líquido]]/base[[#This Row],[Stake/Responsabilidade]]</f>
        <v>6.365387702681008E-2</v>
      </c>
      <c r="O720" s="132">
        <f>IF(base[[#This Row],[L/P Líquido]]&gt;0,1,0)</f>
        <v>1</v>
      </c>
      <c r="P720" s="132"/>
      <c r="Q720" s="132" t="str">
        <f>LEFT(base[[#This Row],[Evento / Mercado]],FIND("vs",base[[#This Row],[Evento / Mercado]])-2)</f>
        <v>FK Novi Pazar</v>
      </c>
      <c r="R7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Spartak Subotica</v>
      </c>
      <c r="S720" s="132" t="e">
        <f>LEFT(base[[#This Row],[Evento / Mercado]],FIND("/",base[[#This Row],[Evento / Mercado]])-2)</f>
        <v>#VALUE!</v>
      </c>
    </row>
    <row r="721" spans="2:21" ht="15" customHeight="1">
      <c r="B721" s="128" t="s">
        <v>595</v>
      </c>
      <c r="C721" s="128" t="s">
        <v>2982</v>
      </c>
      <c r="D721" s="129">
        <v>46054.536365740743</v>
      </c>
      <c r="E721" s="130">
        <v>20.255549999999999</v>
      </c>
      <c r="F721" s="131">
        <v>4.4999999999999998E-2</v>
      </c>
      <c r="G721" s="126">
        <f t="shared" si="12"/>
        <v>21.21</v>
      </c>
      <c r="H721" s="126" t="s">
        <v>73</v>
      </c>
      <c r="I721" s="127" t="s">
        <v>16</v>
      </c>
      <c r="J721" s="126">
        <v>7.6</v>
      </c>
      <c r="K721" s="126">
        <v>139.99</v>
      </c>
      <c r="L721" s="129">
        <f>INT(base[[#This Row],[Data de liquidação]])</f>
        <v>46054</v>
      </c>
      <c r="M721" s="126">
        <f>base[[#This Row],[L/P Bruto]]-base[[#This Row],[L/P Líquido]]</f>
        <v>0.95445000000000135</v>
      </c>
      <c r="N721" s="126">
        <f>base[[#This Row],[L/P Líquido]]/base[[#This Row],[Stake/Responsabilidade]]</f>
        <v>0.14469283520251444</v>
      </c>
      <c r="O721" s="132">
        <f>IF(base[[#This Row],[L/P Líquido]]&gt;0,1,0)</f>
        <v>1</v>
      </c>
      <c r="P721" s="132"/>
      <c r="Q721" s="132" t="str">
        <f>LEFT(base[[#This Row],[Evento / Mercado]],FIND("vs",base[[#This Row],[Evento / Mercado]])-2)</f>
        <v>Levadiakos</v>
      </c>
      <c r="R7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Asteras Tripolis</v>
      </c>
      <c r="S721" s="132" t="e">
        <f>LEFT(base[[#This Row],[Evento / Mercado]],FIND("/",base[[#This Row],[Evento / Mercado]])-2)</f>
        <v>#VALUE!</v>
      </c>
      <c r="T721" s="8">
        <v>21.21</v>
      </c>
      <c r="U721" s="9">
        <f>T721*0.955</f>
        <v>20.255549999999999</v>
      </c>
    </row>
    <row r="722" spans="2:21" ht="15" customHeight="1">
      <c r="B722" s="128" t="s">
        <v>595</v>
      </c>
      <c r="C722" s="128" t="s">
        <v>2982</v>
      </c>
      <c r="D722" s="129">
        <v>46054.536365740743</v>
      </c>
      <c r="E722" s="130">
        <v>8.6236499999999996</v>
      </c>
      <c r="F722" s="131">
        <v>4.4999999999999998E-2</v>
      </c>
      <c r="G722" s="126">
        <f t="shared" si="12"/>
        <v>9.0299999999999994</v>
      </c>
      <c r="H722" s="126" t="s">
        <v>73</v>
      </c>
      <c r="I722" s="127" t="s">
        <v>13</v>
      </c>
      <c r="J722" s="126">
        <v>16.5</v>
      </c>
      <c r="K722" s="126">
        <v>139.97</v>
      </c>
      <c r="L722" s="129">
        <f>INT(base[[#This Row],[Data de liquidação]])</f>
        <v>46054</v>
      </c>
      <c r="M722" s="126">
        <f>base[[#This Row],[L/P Bruto]]-base[[#This Row],[L/P Líquido]]</f>
        <v>0.40634999999999977</v>
      </c>
      <c r="N722" s="126">
        <f>base[[#This Row],[L/P Líquido]]/base[[#This Row],[Stake/Responsabilidade]]</f>
        <v>6.1610702293348571E-2</v>
      </c>
      <c r="O722" s="132">
        <f>IF(base[[#This Row],[L/P Líquido]]&gt;0,1,0)</f>
        <v>1</v>
      </c>
      <c r="P722" s="132"/>
      <c r="Q722" s="132" t="str">
        <f>LEFT(base[[#This Row],[Evento / Mercado]],FIND("vs",base[[#This Row],[Evento / Mercado]])-2)</f>
        <v>Levadiakos</v>
      </c>
      <c r="R7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Asteras Tripolis</v>
      </c>
      <c r="S722" s="132" t="e">
        <f>LEFT(base[[#This Row],[Evento / Mercado]],FIND("/",base[[#This Row],[Evento / Mercado]])-2)</f>
        <v>#VALUE!</v>
      </c>
      <c r="T722" s="8">
        <v>9.0299999999999994</v>
      </c>
      <c r="U722" s="9">
        <f>T722*0.955</f>
        <v>8.6236499999999996</v>
      </c>
    </row>
    <row r="723" spans="2:21" ht="15" customHeight="1">
      <c r="B723" s="128" t="s">
        <v>594</v>
      </c>
      <c r="C723" s="128" t="s">
        <v>2982</v>
      </c>
      <c r="D723" s="129">
        <v>46054.538958333331</v>
      </c>
      <c r="E723" s="130">
        <v>18.36</v>
      </c>
      <c r="F723" s="131">
        <v>4.4999999999999998E-2</v>
      </c>
      <c r="G723" s="126">
        <f t="shared" si="12"/>
        <v>19.225130890052355</v>
      </c>
      <c r="H723" s="126" t="s">
        <v>74</v>
      </c>
      <c r="I723" s="127" t="s">
        <v>476</v>
      </c>
      <c r="J723" s="126">
        <v>14</v>
      </c>
      <c r="K723" s="126">
        <v>249.99</v>
      </c>
      <c r="L723" s="129">
        <f>INT(base[[#This Row],[Data de liquidação]])</f>
        <v>46054</v>
      </c>
      <c r="M723" s="126">
        <f>base[[#This Row],[L/P Bruto]]-base[[#This Row],[L/P Líquido]]</f>
        <v>0.86513089005235599</v>
      </c>
      <c r="N723" s="126">
        <f>base[[#This Row],[L/P Líquido]]/base[[#This Row],[Stake/Responsabilidade]]</f>
        <v>7.3442937717508691E-2</v>
      </c>
      <c r="O723" s="132">
        <f>IF(base[[#This Row],[L/P Líquido]]&gt;0,1,0)</f>
        <v>1</v>
      </c>
      <c r="P723" s="132" t="s">
        <v>970</v>
      </c>
      <c r="Q723" s="132" t="str">
        <f>LEFT(base[[#This Row],[Evento / Mercado]],FIND("vs",base[[#This Row],[Evento / Mercado]])-2)</f>
        <v>Olympique Lyonnais</v>
      </c>
      <c r="R7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Lille OSC</v>
      </c>
      <c r="S723" s="132" t="e">
        <f>LEFT(base[[#This Row],[Evento / Mercado]],FIND("/",base[[#This Row],[Evento / Mercado]])-2)</f>
        <v>#VALUE!</v>
      </c>
    </row>
    <row r="724" spans="2:21" ht="15" customHeight="1">
      <c r="B724" s="128" t="s">
        <v>594</v>
      </c>
      <c r="C724" s="128" t="s">
        <v>2982</v>
      </c>
      <c r="D724" s="129">
        <v>46054.539027777777</v>
      </c>
      <c r="E724" s="130">
        <v>-80</v>
      </c>
      <c r="F724" s="131">
        <v>4.4999999999999998E-2</v>
      </c>
      <c r="G724" s="126">
        <f t="shared" si="12"/>
        <v>-80</v>
      </c>
      <c r="H724" s="126" t="s">
        <v>231</v>
      </c>
      <c r="I724" s="127" t="s">
        <v>232</v>
      </c>
      <c r="J724" s="126">
        <v>1.86</v>
      </c>
      <c r="K724" s="126">
        <v>80</v>
      </c>
      <c r="L724" s="129">
        <f>INT(base[[#This Row],[Data de liquidação]])</f>
        <v>46054</v>
      </c>
      <c r="M724" s="126">
        <f>base[[#This Row],[L/P Bruto]]-base[[#This Row],[L/P Líquido]]</f>
        <v>0</v>
      </c>
      <c r="N724" s="126">
        <f>base[[#This Row],[L/P Líquido]]/base[[#This Row],[Stake/Responsabilidade]]</f>
        <v>-1</v>
      </c>
      <c r="O724" s="132">
        <f>IF(base[[#This Row],[L/P Líquido]]&gt;0,1,0)</f>
        <v>0</v>
      </c>
      <c r="P724" s="132"/>
      <c r="Q724" s="132" t="str">
        <f>LEFT(base[[#This Row],[Evento / Mercado]],FIND("vs",base[[#This Row],[Evento / Mercado]])-2)</f>
        <v>Olympique Lyonnais</v>
      </c>
      <c r="R7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Lille OSC</v>
      </c>
      <c r="S724" s="132" t="e">
        <f>LEFT(base[[#This Row],[Evento / Mercado]],FIND("/",base[[#This Row],[Evento / Mercado]])-2)</f>
        <v>#VALUE!</v>
      </c>
    </row>
    <row r="725" spans="2:21" ht="15" customHeight="1">
      <c r="B725" s="128" t="s">
        <v>593</v>
      </c>
      <c r="C725" s="128" t="s">
        <v>2982</v>
      </c>
      <c r="D725" s="129">
        <v>46054.542858796296</v>
      </c>
      <c r="E725" s="130">
        <v>14.08</v>
      </c>
      <c r="F725" s="131">
        <v>4.4999999999999998E-2</v>
      </c>
      <c r="G725" s="126">
        <f t="shared" si="12"/>
        <v>14.7434554973822</v>
      </c>
      <c r="H725" s="126" t="s">
        <v>73</v>
      </c>
      <c r="I725" s="127" t="s">
        <v>16</v>
      </c>
      <c r="J725" s="126">
        <v>10.5</v>
      </c>
      <c r="K725" s="126">
        <v>140.03</v>
      </c>
      <c r="L725" s="129">
        <f>INT(base[[#This Row],[Data de liquidação]])</f>
        <v>46054</v>
      </c>
      <c r="M725" s="126">
        <f>base[[#This Row],[L/P Bruto]]-base[[#This Row],[L/P Líquido]]</f>
        <v>0.66345549738220022</v>
      </c>
      <c r="N725" s="126">
        <f>base[[#This Row],[L/P Líquido]]/base[[#This Row],[Stake/Responsabilidade]]</f>
        <v>0.10054988216810683</v>
      </c>
      <c r="O725" s="132">
        <f>IF(base[[#This Row],[L/P Líquido]]&gt;0,1,0)</f>
        <v>1</v>
      </c>
      <c r="P725" s="132"/>
      <c r="Q725" s="132" t="str">
        <f>LEFT(base[[#This Row],[Evento / Mercado]],FIND("vs",base[[#This Row],[Evento / Mercado]])-2)</f>
        <v>Manchester United</v>
      </c>
      <c r="R7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725" s="132" t="e">
        <f>LEFT(base[[#This Row],[Evento / Mercado]],FIND("/",base[[#This Row],[Evento / Mercado]])-2)</f>
        <v>#VALUE!</v>
      </c>
    </row>
    <row r="726" spans="2:21" ht="15" customHeight="1">
      <c r="B726" s="128" t="s">
        <v>592</v>
      </c>
      <c r="C726" s="128" t="s">
        <v>2982</v>
      </c>
      <c r="D726" s="129">
        <v>46054.544456018521</v>
      </c>
      <c r="E726" s="130">
        <v>-250</v>
      </c>
      <c r="F726" s="131">
        <v>4.4999999999999998E-2</v>
      </c>
      <c r="G726" s="126">
        <f t="shared" si="12"/>
        <v>-250</v>
      </c>
      <c r="H726" s="126" t="s">
        <v>74</v>
      </c>
      <c r="I726" s="127" t="s">
        <v>476</v>
      </c>
      <c r="J726" s="126">
        <v>13.5</v>
      </c>
      <c r="K726" s="126">
        <v>250</v>
      </c>
      <c r="L726" s="129">
        <f>INT(base[[#This Row],[Data de liquidação]])</f>
        <v>46054</v>
      </c>
      <c r="M726" s="126">
        <f>base[[#This Row],[L/P Bruto]]-base[[#This Row],[L/P Líquido]]</f>
        <v>0</v>
      </c>
      <c r="N726" s="126">
        <f>base[[#This Row],[L/P Líquido]]/base[[#This Row],[Stake/Responsabilidade]]</f>
        <v>-1</v>
      </c>
      <c r="O726" s="132">
        <f>IF(base[[#This Row],[L/P Líquido]]&gt;0,1,0)</f>
        <v>0</v>
      </c>
      <c r="P726" s="132" t="s">
        <v>963</v>
      </c>
      <c r="Q726" s="132" t="str">
        <f>LEFT(base[[#This Row],[Evento / Mercado]],FIND("vs",base[[#This Row],[Evento / Mercado]])-2)</f>
        <v>Aston Villa</v>
      </c>
      <c r="R7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726" s="132" t="e">
        <f>LEFT(base[[#This Row],[Evento / Mercado]],FIND("/",base[[#This Row],[Evento / Mercado]])-2)</f>
        <v>#VALUE!</v>
      </c>
    </row>
    <row r="727" spans="2:21" ht="15" customHeight="1">
      <c r="B727" s="128" t="s">
        <v>592</v>
      </c>
      <c r="C727" s="128" t="s">
        <v>2982</v>
      </c>
      <c r="D727" s="129">
        <v>46054.544710648152</v>
      </c>
      <c r="E727" s="130">
        <v>-80</v>
      </c>
      <c r="F727" s="131">
        <v>4.4999999999999998E-2</v>
      </c>
      <c r="G727" s="126">
        <f t="shared" si="12"/>
        <v>-80</v>
      </c>
      <c r="H727" s="126" t="s">
        <v>231</v>
      </c>
      <c r="I727" s="127" t="s">
        <v>266</v>
      </c>
      <c r="J727" s="126">
        <v>1.71</v>
      </c>
      <c r="K727" s="126">
        <v>80</v>
      </c>
      <c r="L727" s="129">
        <f>INT(base[[#This Row],[Data de liquidação]])</f>
        <v>46054</v>
      </c>
      <c r="M727" s="126">
        <f>base[[#This Row],[L/P Bruto]]-base[[#This Row],[L/P Líquido]]</f>
        <v>0</v>
      </c>
      <c r="N727" s="126">
        <f>base[[#This Row],[L/P Líquido]]/base[[#This Row],[Stake/Responsabilidade]]</f>
        <v>-1</v>
      </c>
      <c r="O727" s="132">
        <f>IF(base[[#This Row],[L/P Líquido]]&gt;0,1,0)</f>
        <v>0</v>
      </c>
      <c r="P727" s="132"/>
      <c r="Q727" s="132" t="str">
        <f>LEFT(base[[#This Row],[Evento / Mercado]],FIND("vs",base[[#This Row],[Evento / Mercado]])-2)</f>
        <v>Aston Villa</v>
      </c>
      <c r="R7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727" s="132" t="e">
        <f>LEFT(base[[#This Row],[Evento / Mercado]],FIND("/",base[[#This Row],[Evento / Mercado]])-2)</f>
        <v>#VALUE!</v>
      </c>
    </row>
    <row r="728" spans="2:21" ht="15" customHeight="1">
      <c r="B728" s="128" t="s">
        <v>591</v>
      </c>
      <c r="C728" s="128" t="s">
        <v>2982</v>
      </c>
      <c r="D728" s="129">
        <v>46054.55878472222</v>
      </c>
      <c r="E728" s="130">
        <v>-140</v>
      </c>
      <c r="F728" s="131">
        <v>4.4999999999999998E-2</v>
      </c>
      <c r="G728" s="126">
        <f t="shared" si="12"/>
        <v>-140</v>
      </c>
      <c r="H728" s="126" t="s">
        <v>73</v>
      </c>
      <c r="I728" s="127" t="s">
        <v>16</v>
      </c>
      <c r="J728" s="126">
        <v>11</v>
      </c>
      <c r="K728" s="126">
        <v>140</v>
      </c>
      <c r="L728" s="129">
        <f>INT(base[[#This Row],[Data de liquidação]])</f>
        <v>46054</v>
      </c>
      <c r="M728" s="126">
        <f>base[[#This Row],[L/P Bruto]]-base[[#This Row],[L/P Líquido]]</f>
        <v>0</v>
      </c>
      <c r="N728" s="126">
        <f>base[[#This Row],[L/P Líquido]]/base[[#This Row],[Stake/Responsabilidade]]</f>
        <v>-1</v>
      </c>
      <c r="O728" s="132">
        <f>IF(base[[#This Row],[L/P Líquido]]&gt;0,1,0)</f>
        <v>0</v>
      </c>
      <c r="P728" s="132"/>
      <c r="Q728" s="132" t="str">
        <f>LEFT(base[[#This Row],[Evento / Mercado]],FIND("vs",base[[#This Row],[Evento / Mercado]])-2)</f>
        <v>VfB Stuttgart</v>
      </c>
      <c r="R7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728" s="132" t="e">
        <f>LEFT(base[[#This Row],[Evento / Mercado]],FIND("/",base[[#This Row],[Evento / Mercado]])-2)</f>
        <v>#VALUE!</v>
      </c>
    </row>
    <row r="729" spans="2:21" ht="15" customHeight="1">
      <c r="B729" s="128" t="s">
        <v>591</v>
      </c>
      <c r="C729" s="128" t="s">
        <v>2982</v>
      </c>
      <c r="D729" s="129">
        <v>46054.558923611112</v>
      </c>
      <c r="E729" s="130">
        <v>-80</v>
      </c>
      <c r="F729" s="131">
        <v>4.4999999999999998E-2</v>
      </c>
      <c r="G729" s="126">
        <f t="shared" si="12"/>
        <v>-80</v>
      </c>
      <c r="H729" s="126" t="s">
        <v>231</v>
      </c>
      <c r="I729" s="127" t="s">
        <v>266</v>
      </c>
      <c r="J729" s="126">
        <v>1.7</v>
      </c>
      <c r="K729" s="126">
        <v>80</v>
      </c>
      <c r="L729" s="129">
        <f>INT(base[[#This Row],[Data de liquidação]])</f>
        <v>46054</v>
      </c>
      <c r="M729" s="126">
        <f>base[[#This Row],[L/P Bruto]]-base[[#This Row],[L/P Líquido]]</f>
        <v>0</v>
      </c>
      <c r="N729" s="126">
        <f>base[[#This Row],[L/P Líquido]]/base[[#This Row],[Stake/Responsabilidade]]</f>
        <v>-1</v>
      </c>
      <c r="O729" s="132">
        <f>IF(base[[#This Row],[L/P Líquido]]&gt;0,1,0)</f>
        <v>0</v>
      </c>
      <c r="P729" s="132"/>
      <c r="Q729" s="132" t="str">
        <f>LEFT(base[[#This Row],[Evento / Mercado]],FIND("vs",base[[#This Row],[Evento / Mercado]])-2)</f>
        <v>VfB Stuttgart</v>
      </c>
      <c r="R7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729" s="132" t="e">
        <f>LEFT(base[[#This Row],[Evento / Mercado]],FIND("/",base[[#This Row],[Evento / Mercado]])-2)</f>
        <v>#VALUE!</v>
      </c>
    </row>
    <row r="730" spans="2:21" ht="15" customHeight="1">
      <c r="B730" s="128" t="s">
        <v>590</v>
      </c>
      <c r="C730" s="128" t="s">
        <v>2982</v>
      </c>
      <c r="D730" s="129">
        <v>46054.559548611112</v>
      </c>
      <c r="E730" s="130">
        <v>9.9033499999999997</v>
      </c>
      <c r="F730" s="131">
        <v>4.4999999999999998E-2</v>
      </c>
      <c r="G730" s="126">
        <f t="shared" si="12"/>
        <v>10.37</v>
      </c>
      <c r="H730" s="126" t="s">
        <v>73</v>
      </c>
      <c r="I730" s="127" t="s">
        <v>13</v>
      </c>
      <c r="J730" s="126">
        <v>14.5</v>
      </c>
      <c r="K730" s="126">
        <v>139.99</v>
      </c>
      <c r="L730" s="129">
        <f>INT(base[[#This Row],[Data de liquidação]])</f>
        <v>46054</v>
      </c>
      <c r="M730" s="126">
        <f>base[[#This Row],[L/P Bruto]]-base[[#This Row],[L/P Líquido]]</f>
        <v>0.46664999999999957</v>
      </c>
      <c r="N730" s="126">
        <f>base[[#This Row],[L/P Líquido]]/base[[#This Row],[Stake/Responsabilidade]]</f>
        <v>7.0743267376241148E-2</v>
      </c>
      <c r="O730" s="132">
        <f>IF(base[[#This Row],[L/P Líquido]]&gt;0,1,0)</f>
        <v>1</v>
      </c>
      <c r="P730" s="132"/>
      <c r="Q730" s="132" t="str">
        <f>LEFT(base[[#This Row],[Evento / Mercado]],FIND("vs",base[[#This Row],[Evento / Mercado]])-2)</f>
        <v>FC Slovan Liberec</v>
      </c>
      <c r="R7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Zlín</v>
      </c>
      <c r="S730" s="132" t="e">
        <f>LEFT(base[[#This Row],[Evento / Mercado]],FIND("/",base[[#This Row],[Evento / Mercado]])-2)</f>
        <v>#VALUE!</v>
      </c>
      <c r="T730" s="8">
        <v>10.37</v>
      </c>
      <c r="U730" s="9">
        <f>T730*0.955</f>
        <v>9.9033499999999997</v>
      </c>
    </row>
    <row r="731" spans="2:21" ht="15" customHeight="1">
      <c r="B731" s="128" t="s">
        <v>590</v>
      </c>
      <c r="C731" s="128" t="s">
        <v>2982</v>
      </c>
      <c r="D731" s="129">
        <v>46054.559548611112</v>
      </c>
      <c r="E731" s="130">
        <v>20.255549999999999</v>
      </c>
      <c r="F731" s="131">
        <v>4.4999999999999998E-2</v>
      </c>
      <c r="G731" s="126">
        <f t="shared" si="12"/>
        <v>21.21</v>
      </c>
      <c r="H731" s="126" t="s">
        <v>73</v>
      </c>
      <c r="I731" s="127" t="s">
        <v>16</v>
      </c>
      <c r="J731" s="126">
        <v>7.6</v>
      </c>
      <c r="K731" s="126">
        <v>139.99</v>
      </c>
      <c r="L731" s="129">
        <f>INT(base[[#This Row],[Data de liquidação]])</f>
        <v>46054</v>
      </c>
      <c r="M731" s="126">
        <f>base[[#This Row],[L/P Bruto]]-base[[#This Row],[L/P Líquido]]</f>
        <v>0.95445000000000135</v>
      </c>
      <c r="N731" s="126">
        <f>base[[#This Row],[L/P Líquido]]/base[[#This Row],[Stake/Responsabilidade]]</f>
        <v>0.14469283520251444</v>
      </c>
      <c r="O731" s="132">
        <f>IF(base[[#This Row],[L/P Líquido]]&gt;0,1,0)</f>
        <v>1</v>
      </c>
      <c r="P731" s="132"/>
      <c r="Q731" s="132" t="str">
        <f>LEFT(base[[#This Row],[Evento / Mercado]],FIND("vs",base[[#This Row],[Evento / Mercado]])-2)</f>
        <v>FC Slovan Liberec</v>
      </c>
      <c r="R7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Zlín</v>
      </c>
      <c r="S731" s="132" t="e">
        <f>LEFT(base[[#This Row],[Evento / Mercado]],FIND("/",base[[#This Row],[Evento / Mercado]])-2)</f>
        <v>#VALUE!</v>
      </c>
      <c r="T731" s="8">
        <v>21.21</v>
      </c>
      <c r="U731" s="9">
        <f>T731*0.955</f>
        <v>20.255549999999999</v>
      </c>
    </row>
    <row r="732" spans="2:21" ht="15" customHeight="1">
      <c r="B732" s="128" t="s">
        <v>589</v>
      </c>
      <c r="C732" s="128" t="s">
        <v>2982</v>
      </c>
      <c r="D732" s="129">
        <v>46054.559884259259</v>
      </c>
      <c r="E732" s="130">
        <v>7.87</v>
      </c>
      <c r="F732" s="131">
        <v>4.4999999999999998E-2</v>
      </c>
      <c r="G732" s="126">
        <f t="shared" si="12"/>
        <v>8.2408376963350793</v>
      </c>
      <c r="H732" s="126" t="s">
        <v>73</v>
      </c>
      <c r="I732" s="127" t="s">
        <v>13</v>
      </c>
      <c r="J732" s="126">
        <v>18</v>
      </c>
      <c r="K732" s="126">
        <v>140.08000000000001</v>
      </c>
      <c r="L732" s="129">
        <f>INT(base[[#This Row],[Data de liquidação]])</f>
        <v>46054</v>
      </c>
      <c r="M732" s="126">
        <f>base[[#This Row],[L/P Bruto]]-base[[#This Row],[L/P Líquido]]</f>
        <v>0.37083769633507924</v>
      </c>
      <c r="N732" s="126">
        <f>base[[#This Row],[L/P Líquido]]/base[[#This Row],[Stake/Responsabilidade]]</f>
        <v>5.6182181610508274E-2</v>
      </c>
      <c r="O732" s="132">
        <f>IF(base[[#This Row],[L/P Líquido]]&gt;0,1,0)</f>
        <v>1</v>
      </c>
      <c r="P732" s="132"/>
      <c r="Q732" s="132" t="str">
        <f>LEFT(base[[#This Row],[Evento / Mercado]],FIND("vs",base[[#This Row],[Evento / Mercado]])-2)</f>
        <v>FK Qarabag</v>
      </c>
      <c r="R7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PFK Turan Tovuz</v>
      </c>
      <c r="S732" s="132" t="e">
        <f>LEFT(base[[#This Row],[Evento / Mercado]],FIND("/",base[[#This Row],[Evento / Mercado]])-2)</f>
        <v>#VALUE!</v>
      </c>
    </row>
    <row r="733" spans="2:21" ht="15" customHeight="1">
      <c r="B733" s="128" t="s">
        <v>588</v>
      </c>
      <c r="C733" s="128" t="s">
        <v>2982</v>
      </c>
      <c r="D733" s="129">
        <v>46054.577939814815</v>
      </c>
      <c r="E733" s="130">
        <v>28.42</v>
      </c>
      <c r="F733" s="131">
        <v>4.4999999999999998E-2</v>
      </c>
      <c r="G733" s="126">
        <f t="shared" si="12"/>
        <v>29.759162303664926</v>
      </c>
      <c r="H733" s="126" t="s">
        <v>145</v>
      </c>
      <c r="I733" s="127" t="s">
        <v>301</v>
      </c>
      <c r="J733" s="126">
        <v>9.4</v>
      </c>
      <c r="K733" s="126">
        <v>249.98</v>
      </c>
      <c r="L733" s="129">
        <f>INT(base[[#This Row],[Data de liquidação]])</f>
        <v>46054</v>
      </c>
      <c r="M733" s="126">
        <f>base[[#This Row],[L/P Bruto]]-base[[#This Row],[L/P Líquido]]</f>
        <v>1.3391623036649243</v>
      </c>
      <c r="N733" s="126">
        <f>base[[#This Row],[L/P Líquido]]/base[[#This Row],[Stake/Responsabilidade]]</f>
        <v>0.11368909512761022</v>
      </c>
      <c r="O733" s="132">
        <f>IF(base[[#This Row],[L/P Líquido]]&gt;0,1,0)</f>
        <v>1</v>
      </c>
      <c r="P733" s="132" t="s">
        <v>981</v>
      </c>
      <c r="Q733" s="132" t="str">
        <f>LEFT(base[[#This Row],[Evento / Mercado]],FIND("vs",base[[#This Row],[Evento / Mercado]])-2)</f>
        <v>Celtic</v>
      </c>
      <c r="R7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Falkirk</v>
      </c>
      <c r="S733" s="132" t="e">
        <f>LEFT(base[[#This Row],[Evento / Mercado]],FIND("/",base[[#This Row],[Evento / Mercado]])-2)</f>
        <v>#VALUE!</v>
      </c>
    </row>
    <row r="734" spans="2:21" ht="15" customHeight="1">
      <c r="B734" s="128" t="s">
        <v>587</v>
      </c>
      <c r="C734" s="128" t="s">
        <v>2982</v>
      </c>
      <c r="D734" s="129">
        <v>46054.594537037039</v>
      </c>
      <c r="E734" s="130">
        <v>8.91</v>
      </c>
      <c r="F734" s="131">
        <v>4.4999999999999998E-2</v>
      </c>
      <c r="G734" s="126">
        <f t="shared" si="12"/>
        <v>9.3298429319371738</v>
      </c>
      <c r="H734" s="126" t="s">
        <v>73</v>
      </c>
      <c r="I734" s="127" t="s">
        <v>13</v>
      </c>
      <c r="J734" s="126">
        <v>16</v>
      </c>
      <c r="K734" s="126">
        <v>139.94999999999999</v>
      </c>
      <c r="L734" s="129">
        <f>INT(base[[#This Row],[Data de liquidação]])</f>
        <v>46054</v>
      </c>
      <c r="M734" s="126">
        <f>base[[#This Row],[L/P Bruto]]-base[[#This Row],[L/P Líquido]]</f>
        <v>0.4198429319371737</v>
      </c>
      <c r="N734" s="126">
        <f>base[[#This Row],[L/P Líquido]]/base[[#This Row],[Stake/Responsabilidade]]</f>
        <v>6.3665594855305471E-2</v>
      </c>
      <c r="O734" s="132">
        <f>IF(base[[#This Row],[L/P Líquido]]&gt;0,1,0)</f>
        <v>1</v>
      </c>
      <c r="P734" s="132"/>
      <c r="Q734" s="132" t="str">
        <f>LEFT(base[[#This Row],[Evento / Mercado]],FIND("vs",base[[#This Row],[Evento / Mercado]])-2)</f>
        <v>Real Betis</v>
      </c>
      <c r="R7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Valencia</v>
      </c>
      <c r="S734" s="132" t="e">
        <f>LEFT(base[[#This Row],[Evento / Mercado]],FIND("/",base[[#This Row],[Evento / Mercado]])-2)</f>
        <v>#VALUE!</v>
      </c>
    </row>
    <row r="735" spans="2:21" ht="15" customHeight="1">
      <c r="B735" s="128" t="s">
        <v>586</v>
      </c>
      <c r="C735" s="128" t="s">
        <v>2982</v>
      </c>
      <c r="D735" s="129">
        <v>46054.598113425927</v>
      </c>
      <c r="E735" s="130">
        <v>10.29</v>
      </c>
      <c r="F735" s="131">
        <v>4.4999999999999998E-2</v>
      </c>
      <c r="G735" s="126">
        <f t="shared" si="12"/>
        <v>10.774869109947643</v>
      </c>
      <c r="H735" s="126" t="s">
        <v>73</v>
      </c>
      <c r="I735" s="127" t="s">
        <v>16</v>
      </c>
      <c r="J735" s="126">
        <v>14</v>
      </c>
      <c r="K735" s="126">
        <v>140.01</v>
      </c>
      <c r="L735" s="129">
        <f>INT(base[[#This Row],[Data de liquidação]])</f>
        <v>46054</v>
      </c>
      <c r="M735" s="126">
        <f>base[[#This Row],[L/P Bruto]]-base[[#This Row],[L/P Líquido]]</f>
        <v>0.48486910994764365</v>
      </c>
      <c r="N735" s="126">
        <f>base[[#This Row],[L/P Líquido]]/base[[#This Row],[Stake/Responsabilidade]]</f>
        <v>7.3494750374973217E-2</v>
      </c>
      <c r="O735" s="132">
        <f>IF(base[[#This Row],[L/P Líquido]]&gt;0,1,0)</f>
        <v>1</v>
      </c>
      <c r="P735" s="132"/>
      <c r="Q735" s="132" t="str">
        <f>LEFT(base[[#This Row],[Evento / Mercado]],FIND("vs",base[[#This Row],[Evento / Mercado]])-2)</f>
        <v>BSC Young Boys</v>
      </c>
      <c r="R7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Zürich</v>
      </c>
      <c r="S735" s="132" t="e">
        <f>LEFT(base[[#This Row],[Evento / Mercado]],FIND("/",base[[#This Row],[Evento / Mercado]])-2)</f>
        <v>#VALUE!</v>
      </c>
    </row>
    <row r="736" spans="2:21" ht="15" customHeight="1">
      <c r="B736" s="128" t="s">
        <v>585</v>
      </c>
      <c r="C736" s="128" t="s">
        <v>2982</v>
      </c>
      <c r="D736" s="129">
        <v>46054.601400462961</v>
      </c>
      <c r="E736" s="130">
        <v>7.87</v>
      </c>
      <c r="F736" s="131">
        <v>4.4999999999999998E-2</v>
      </c>
      <c r="G736" s="126">
        <f t="shared" si="12"/>
        <v>8.2408376963350793</v>
      </c>
      <c r="H736" s="126" t="s">
        <v>73</v>
      </c>
      <c r="I736" s="127" t="s">
        <v>13</v>
      </c>
      <c r="J736" s="126">
        <v>18</v>
      </c>
      <c r="K736" s="126">
        <v>140.08000000000001</v>
      </c>
      <c r="L736" s="129">
        <f>INT(base[[#This Row],[Data de liquidação]])</f>
        <v>46054</v>
      </c>
      <c r="M736" s="126">
        <f>base[[#This Row],[L/P Bruto]]-base[[#This Row],[L/P Líquido]]</f>
        <v>0.37083769633507924</v>
      </c>
      <c r="N736" s="126">
        <f>base[[#This Row],[L/P Líquido]]/base[[#This Row],[Stake/Responsabilidade]]</f>
        <v>5.6182181610508274E-2</v>
      </c>
      <c r="O736" s="132">
        <f>IF(base[[#This Row],[L/P Líquido]]&gt;0,1,0)</f>
        <v>1</v>
      </c>
      <c r="P736" s="132"/>
      <c r="Q736" s="132" t="str">
        <f>LEFT(base[[#This Row],[Evento / Mercado]],FIND("vs",base[[#This Row],[Evento / Mercado]])-2)</f>
        <v>Panathinaikos</v>
      </c>
      <c r="R7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Kifisia FC</v>
      </c>
      <c r="S736" s="132" t="e">
        <f>LEFT(base[[#This Row],[Evento / Mercado]],FIND("/",base[[#This Row],[Evento / Mercado]])-2)</f>
        <v>#VALUE!</v>
      </c>
    </row>
    <row r="737" spans="2:21" ht="15" customHeight="1">
      <c r="B737" s="128" t="s">
        <v>584</v>
      </c>
      <c r="C737" s="128" t="s">
        <v>2982</v>
      </c>
      <c r="D737" s="129">
        <v>46054.612835648149</v>
      </c>
      <c r="E737" s="130">
        <v>-80</v>
      </c>
      <c r="F737" s="131">
        <v>4.4999999999999998E-2</v>
      </c>
      <c r="G737" s="126">
        <f t="shared" si="12"/>
        <v>-80</v>
      </c>
      <c r="H737" s="126" t="s">
        <v>231</v>
      </c>
      <c r="I737" s="127" t="s">
        <v>232</v>
      </c>
      <c r="J737" s="126">
        <v>1.94</v>
      </c>
      <c r="K737" s="126">
        <v>80</v>
      </c>
      <c r="L737" s="129">
        <f>INT(base[[#This Row],[Data de liquidação]])</f>
        <v>46054</v>
      </c>
      <c r="M737" s="126">
        <f>base[[#This Row],[L/P Bruto]]-base[[#This Row],[L/P Líquido]]</f>
        <v>0</v>
      </c>
      <c r="N737" s="126">
        <f>base[[#This Row],[L/P Líquido]]/base[[#This Row],[Stake/Responsabilidade]]</f>
        <v>-1</v>
      </c>
      <c r="O737" s="132">
        <f>IF(base[[#This Row],[L/P Líquido]]&gt;0,1,0)</f>
        <v>0</v>
      </c>
      <c r="P737" s="132"/>
      <c r="Q737" s="132" t="str">
        <f>LEFT(base[[#This Row],[Evento / Mercado]],FIND("vs",base[[#This Row],[Evento / Mercado]])-2)</f>
        <v>Heerenveen</v>
      </c>
      <c r="R7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Utrecht</v>
      </c>
      <c r="S737" s="132" t="e">
        <f>LEFT(base[[#This Row],[Evento / Mercado]],FIND("/",base[[#This Row],[Evento / Mercado]])-2)</f>
        <v>#VALUE!</v>
      </c>
    </row>
    <row r="738" spans="2:21" ht="15" customHeight="1">
      <c r="B738" s="128" t="s">
        <v>583</v>
      </c>
      <c r="C738" s="128" t="s">
        <v>2982</v>
      </c>
      <c r="D738" s="129">
        <v>46054.629062499997</v>
      </c>
      <c r="E738" s="130">
        <v>9.5500000000000007</v>
      </c>
      <c r="F738" s="131">
        <v>4.4999999999999998E-2</v>
      </c>
      <c r="G738" s="126">
        <f t="shared" si="12"/>
        <v>10.000000000000002</v>
      </c>
      <c r="H738" s="126" t="s">
        <v>73</v>
      </c>
      <c r="I738" s="127" t="s">
        <v>13</v>
      </c>
      <c r="J738" s="126">
        <v>15</v>
      </c>
      <c r="K738" s="126">
        <v>140</v>
      </c>
      <c r="L738" s="129">
        <f>INT(base[[#This Row],[Data de liquidação]])</f>
        <v>46054</v>
      </c>
      <c r="M738" s="126">
        <f>base[[#This Row],[L/P Bruto]]-base[[#This Row],[L/P Líquido]]</f>
        <v>0.45000000000000107</v>
      </c>
      <c r="N738" s="126">
        <f>base[[#This Row],[L/P Líquido]]/base[[#This Row],[Stake/Responsabilidade]]</f>
        <v>6.8214285714285713E-2</v>
      </c>
      <c r="O738" s="132">
        <f>IF(base[[#This Row],[L/P Líquido]]&gt;0,1,0)</f>
        <v>1</v>
      </c>
      <c r="P738" s="132"/>
      <c r="Q738" s="132" t="str">
        <f>LEFT(base[[#This Row],[Evento / Mercado]],FIND("vs",base[[#This Row],[Evento / Mercado]])-2)</f>
        <v>Toulouse FC</v>
      </c>
      <c r="R7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738" s="132" t="e">
        <f>LEFT(base[[#This Row],[Evento / Mercado]],FIND("/",base[[#This Row],[Evento / Mercado]])-2)</f>
        <v>#VALUE!</v>
      </c>
    </row>
    <row r="739" spans="2:21" ht="15" customHeight="1">
      <c r="B739" s="128" t="s">
        <v>582</v>
      </c>
      <c r="C739" s="128" t="s">
        <v>2982</v>
      </c>
      <c r="D739" s="129">
        <v>46054.641226851854</v>
      </c>
      <c r="E739" s="130">
        <v>9.51</v>
      </c>
      <c r="F739" s="131">
        <v>4.4999999999999998E-2</v>
      </c>
      <c r="G739" s="126">
        <f t="shared" si="12"/>
        <v>9.9581151832460737</v>
      </c>
      <c r="H739" s="126" t="s">
        <v>73</v>
      </c>
      <c r="I739" s="127" t="s">
        <v>13</v>
      </c>
      <c r="J739" s="126">
        <v>15</v>
      </c>
      <c r="K739" s="126">
        <v>139.38</v>
      </c>
      <c r="L739" s="129">
        <f>INT(base[[#This Row],[Data de liquidação]])</f>
        <v>46054</v>
      </c>
      <c r="M739" s="126">
        <f>base[[#This Row],[L/P Bruto]]-base[[#This Row],[L/P Líquido]]</f>
        <v>0.44811518324607391</v>
      </c>
      <c r="N739" s="126">
        <f>base[[#This Row],[L/P Líquido]]/base[[#This Row],[Stake/Responsabilidade]]</f>
        <v>6.8230736117089977E-2</v>
      </c>
      <c r="O739" s="132">
        <f>IF(base[[#This Row],[L/P Líquido]]&gt;0,1,0)</f>
        <v>1</v>
      </c>
      <c r="P739" s="132"/>
      <c r="Q739" s="132" t="str">
        <f>LEFT(base[[#This Row],[Evento / Mercado]],FIND("vs",base[[#This Row],[Evento / Mercado]])-2)</f>
        <v>Legia Warszawa</v>
      </c>
      <c r="R7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Korona Kielce</v>
      </c>
      <c r="S739" s="132" t="e">
        <f>LEFT(base[[#This Row],[Evento / Mercado]],FIND("/",base[[#This Row],[Evento / Mercado]])-2)</f>
        <v>#VALUE!</v>
      </c>
    </row>
    <row r="740" spans="2:21" ht="15" customHeight="1">
      <c r="B740" s="128" t="s">
        <v>581</v>
      </c>
      <c r="C740" s="128" t="s">
        <v>2982</v>
      </c>
      <c r="D740" s="129">
        <v>46054.646874999999</v>
      </c>
      <c r="E740" s="130">
        <v>20.76</v>
      </c>
      <c r="F740" s="131">
        <v>4.4999999999999998E-2</v>
      </c>
      <c r="G740" s="126">
        <f t="shared" si="12"/>
        <v>21.738219895287962</v>
      </c>
      <c r="H740" s="126" t="s">
        <v>145</v>
      </c>
      <c r="I740" s="127" t="s">
        <v>301</v>
      </c>
      <c r="J740" s="126">
        <v>12.5</v>
      </c>
      <c r="K740" s="126">
        <v>250.01</v>
      </c>
      <c r="L740" s="129">
        <f>INT(base[[#This Row],[Data de liquidação]])</f>
        <v>46054</v>
      </c>
      <c r="M740" s="126">
        <f>base[[#This Row],[L/P Bruto]]-base[[#This Row],[L/P Líquido]]</f>
        <v>0.97821989528796038</v>
      </c>
      <c r="N740" s="126">
        <f>base[[#This Row],[L/P Líquido]]/base[[#This Row],[Stake/Responsabilidade]]</f>
        <v>8.303667853285869E-2</v>
      </c>
      <c r="O740" s="132">
        <f>IF(base[[#This Row],[L/P Líquido]]&gt;0,1,0)</f>
        <v>1</v>
      </c>
      <c r="P740" s="132" t="s">
        <v>962</v>
      </c>
      <c r="Q740" s="132" t="str">
        <f>LEFT(base[[#This Row],[Evento / Mercado]],FIND("vs",base[[#This Row],[Evento / Mercado]])-2)</f>
        <v>Borussia Dortmund</v>
      </c>
      <c r="R7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Heidenheim</v>
      </c>
      <c r="S740" s="132" t="e">
        <f>LEFT(base[[#This Row],[Evento / Mercado]],FIND("/",base[[#This Row],[Evento / Mercado]])-2)</f>
        <v>#VALUE!</v>
      </c>
    </row>
    <row r="741" spans="2:21" ht="15" customHeight="1">
      <c r="B741" s="128" t="s">
        <v>580</v>
      </c>
      <c r="C741" s="128" t="s">
        <v>2982</v>
      </c>
      <c r="D741" s="129">
        <v>46054.664687500001</v>
      </c>
      <c r="E741" s="130">
        <v>16.46</v>
      </c>
      <c r="F741" s="131">
        <v>4.4999999999999998E-2</v>
      </c>
      <c r="G741" s="126">
        <f t="shared" si="12"/>
        <v>17.235602094240839</v>
      </c>
      <c r="H741" s="126" t="s">
        <v>145</v>
      </c>
      <c r="I741" s="127" t="s">
        <v>301</v>
      </c>
      <c r="J741" s="126">
        <v>15.5</v>
      </c>
      <c r="K741" s="126">
        <v>249.98</v>
      </c>
      <c r="L741" s="129">
        <f>INT(base[[#This Row],[Data de liquidação]])</f>
        <v>46054</v>
      </c>
      <c r="M741" s="126">
        <f>base[[#This Row],[L/P Bruto]]-base[[#This Row],[L/P Líquido]]</f>
        <v>0.77560209424083837</v>
      </c>
      <c r="N741" s="126">
        <f>base[[#This Row],[L/P Líquido]]/base[[#This Row],[Stake/Responsabilidade]]</f>
        <v>6.5845267621409714E-2</v>
      </c>
      <c r="O741" s="132">
        <f>IF(base[[#This Row],[L/P Líquido]]&gt;0,1,0)</f>
        <v>1</v>
      </c>
      <c r="P741" s="132" t="s">
        <v>966</v>
      </c>
      <c r="Q741" s="132" t="str">
        <f>LEFT(base[[#This Row],[Evento / Mercado]],FIND("vs",base[[#This Row],[Evento / Mercado]])-2)</f>
        <v>Galatasaray SK</v>
      </c>
      <c r="R7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Kayserispor</v>
      </c>
      <c r="S741" s="132" t="e">
        <f>LEFT(base[[#This Row],[Evento / Mercado]],FIND("/",base[[#This Row],[Evento / Mercado]])-2)</f>
        <v>#VALUE!</v>
      </c>
    </row>
    <row r="742" spans="2:21" ht="15" customHeight="1">
      <c r="B742" s="128" t="s">
        <v>579</v>
      </c>
      <c r="C742" s="128" t="s">
        <v>2982</v>
      </c>
      <c r="D742" s="129">
        <v>46054.686747685184</v>
      </c>
      <c r="E742" s="130">
        <v>7.8692000000000002</v>
      </c>
      <c r="F742" s="131">
        <v>4.4999999999999998E-2</v>
      </c>
      <c r="G742" s="126">
        <f t="shared" si="12"/>
        <v>8.24</v>
      </c>
      <c r="H742" s="126" t="s">
        <v>73</v>
      </c>
      <c r="I742" s="127" t="s">
        <v>13</v>
      </c>
      <c r="J742" s="126">
        <v>18</v>
      </c>
      <c r="K742" s="126">
        <v>140.08000000000001</v>
      </c>
      <c r="L742" s="129">
        <f>INT(base[[#This Row],[Data de liquidação]])</f>
        <v>46054</v>
      </c>
      <c r="M742" s="126">
        <f>base[[#This Row],[L/P Bruto]]-base[[#This Row],[L/P Líquido]]</f>
        <v>0.37080000000000002</v>
      </c>
      <c r="N742" s="126">
        <f>base[[#This Row],[L/P Líquido]]/base[[#This Row],[Stake/Responsabilidade]]</f>
        <v>5.6176470588235293E-2</v>
      </c>
      <c r="O742" s="132">
        <f>IF(base[[#This Row],[L/P Líquido]]&gt;0,1,0)</f>
        <v>1</v>
      </c>
      <c r="P742" s="132"/>
      <c r="Q742" s="132" t="str">
        <f>LEFT(base[[#This Row],[Evento / Mercado]],FIND("vs",base[[#This Row],[Evento / Mercado]])-2)</f>
        <v>CD Castellon</v>
      </c>
      <c r="R7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Andorra FC</v>
      </c>
      <c r="S742" s="132" t="e">
        <f>LEFT(base[[#This Row],[Evento / Mercado]],FIND("/",base[[#This Row],[Evento / Mercado]])-2)</f>
        <v>#VALUE!</v>
      </c>
      <c r="T742" s="8">
        <v>8.24</v>
      </c>
      <c r="U742" s="9">
        <f>T742*0.955</f>
        <v>7.8692000000000002</v>
      </c>
    </row>
    <row r="743" spans="2:21" ht="15" customHeight="1">
      <c r="B743" s="128" t="s">
        <v>579</v>
      </c>
      <c r="C743" s="128" t="s">
        <v>2982</v>
      </c>
      <c r="D743" s="129">
        <v>46054.686747685184</v>
      </c>
      <c r="E743" s="130">
        <v>14.076699999999999</v>
      </c>
      <c r="F743" s="131">
        <v>4.4999999999999998E-2</v>
      </c>
      <c r="G743" s="126">
        <f t="shared" si="12"/>
        <v>14.74</v>
      </c>
      <c r="H743" s="126" t="s">
        <v>73</v>
      </c>
      <c r="I743" s="127" t="s">
        <v>16</v>
      </c>
      <c r="J743" s="126">
        <v>10.5</v>
      </c>
      <c r="K743" s="126">
        <v>140.03</v>
      </c>
      <c r="L743" s="129">
        <f>INT(base[[#This Row],[Data de liquidação]])</f>
        <v>46054</v>
      </c>
      <c r="M743" s="126">
        <f>base[[#This Row],[L/P Bruto]]-base[[#This Row],[L/P Líquido]]</f>
        <v>0.66330000000000133</v>
      </c>
      <c r="N743" s="126">
        <f>base[[#This Row],[L/P Líquido]]/base[[#This Row],[Stake/Responsabilidade]]</f>
        <v>0.10052631578947367</v>
      </c>
      <c r="O743" s="132">
        <f>IF(base[[#This Row],[L/P Líquido]]&gt;0,1,0)</f>
        <v>1</v>
      </c>
      <c r="P743" s="132"/>
      <c r="Q743" s="132" t="str">
        <f>LEFT(base[[#This Row],[Evento / Mercado]],FIND("vs",base[[#This Row],[Evento / Mercado]])-2)</f>
        <v>CD Castellon</v>
      </c>
      <c r="R7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Andorra FC</v>
      </c>
      <c r="S743" s="132" t="e">
        <f>LEFT(base[[#This Row],[Evento / Mercado]],FIND("/",base[[#This Row],[Evento / Mercado]])-2)</f>
        <v>#VALUE!</v>
      </c>
      <c r="T743" s="8">
        <v>14.74</v>
      </c>
      <c r="U743" s="9">
        <f>T743*0.955</f>
        <v>14.076699999999999</v>
      </c>
    </row>
    <row r="744" spans="2:21" ht="15" customHeight="1">
      <c r="B744" s="128" t="s">
        <v>578</v>
      </c>
      <c r="C744" s="128" t="s">
        <v>2982</v>
      </c>
      <c r="D744" s="129">
        <v>46054.726666666669</v>
      </c>
      <c r="E744" s="130">
        <v>-80</v>
      </c>
      <c r="F744" s="131">
        <v>4.4999999999999998E-2</v>
      </c>
      <c r="G744" s="126">
        <f t="shared" si="12"/>
        <v>-80</v>
      </c>
      <c r="H744" s="126" t="s">
        <v>231</v>
      </c>
      <c r="I744" s="127" t="s">
        <v>232</v>
      </c>
      <c r="J744" s="126">
        <v>1.7</v>
      </c>
      <c r="K744" s="126">
        <v>80</v>
      </c>
      <c r="L744" s="129">
        <f>INT(base[[#This Row],[Data de liquidação]])</f>
        <v>46054</v>
      </c>
      <c r="M744" s="126">
        <f>base[[#This Row],[L/P Bruto]]-base[[#This Row],[L/P Líquido]]</f>
        <v>0</v>
      </c>
      <c r="N744" s="126">
        <f>base[[#This Row],[L/P Líquido]]/base[[#This Row],[Stake/Responsabilidade]]</f>
        <v>-1</v>
      </c>
      <c r="O744" s="132">
        <f>IF(base[[#This Row],[L/P Líquido]]&gt;0,1,0)</f>
        <v>0</v>
      </c>
      <c r="P744" s="132"/>
      <c r="Q744" s="132" t="str">
        <f>LEFT(base[[#This Row],[Evento / Mercado]],FIND("vs",base[[#This Row],[Evento / Mercado]])-2)</f>
        <v>Rot-Weiss Essen</v>
      </c>
      <c r="R7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Wehen Wiesbaden</v>
      </c>
      <c r="S744" s="132" t="e">
        <f>LEFT(base[[#This Row],[Evento / Mercado]],FIND("/",base[[#This Row],[Evento / Mercado]])-2)</f>
        <v>#VALUE!</v>
      </c>
    </row>
    <row r="745" spans="2:21" ht="15" customHeight="1">
      <c r="B745" s="128" t="s">
        <v>577</v>
      </c>
      <c r="C745" s="128" t="s">
        <v>2982</v>
      </c>
      <c r="D745" s="129">
        <v>46054.745821759258</v>
      </c>
      <c r="E745" s="130">
        <v>9.11</v>
      </c>
      <c r="F745" s="131">
        <v>4.4999999999999998E-2</v>
      </c>
      <c r="G745" s="126">
        <f t="shared" si="12"/>
        <v>9.5392670157068054</v>
      </c>
      <c r="H745" s="126" t="s">
        <v>73</v>
      </c>
      <c r="I745" s="127" t="s">
        <v>13</v>
      </c>
      <c r="J745" s="126">
        <v>15.5</v>
      </c>
      <c r="K745" s="126">
        <v>138.33000000000001</v>
      </c>
      <c r="L745" s="129">
        <f>INT(base[[#This Row],[Data de liquidação]])</f>
        <v>46054</v>
      </c>
      <c r="M745" s="126">
        <f>base[[#This Row],[L/P Bruto]]-base[[#This Row],[L/P Líquido]]</f>
        <v>0.42926701570680592</v>
      </c>
      <c r="N745" s="126">
        <f>base[[#This Row],[L/P Líquido]]/base[[#This Row],[Stake/Responsabilidade]]</f>
        <v>6.5857008602616923E-2</v>
      </c>
      <c r="O745" s="132">
        <f>IF(base[[#This Row],[L/P Líquido]]&gt;0,1,0)</f>
        <v>1</v>
      </c>
      <c r="P745" s="132"/>
      <c r="Q745" s="132" t="str">
        <f>LEFT(base[[#This Row],[Evento / Mercado]],FIND("vs",base[[#This Row],[Evento / Mercado]])-2)</f>
        <v>Atlético Bucaramanga</v>
      </c>
      <c r="R7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Alianza FC Valledupar</v>
      </c>
      <c r="S745" s="132" t="e">
        <f>LEFT(base[[#This Row],[Evento / Mercado]],FIND("/",base[[#This Row],[Evento / Mercado]])-2)</f>
        <v>#VALUE!</v>
      </c>
    </row>
    <row r="746" spans="2:21" ht="15" customHeight="1">
      <c r="B746" s="128" t="s">
        <v>576</v>
      </c>
      <c r="C746" s="128" t="s">
        <v>2982</v>
      </c>
      <c r="D746" s="129">
        <v>46054.747152777774</v>
      </c>
      <c r="E746" s="130">
        <v>-80</v>
      </c>
      <c r="F746" s="131">
        <v>4.4999999999999998E-2</v>
      </c>
      <c r="G746" s="126">
        <f t="shared" si="12"/>
        <v>-80</v>
      </c>
      <c r="H746" s="126" t="s">
        <v>231</v>
      </c>
      <c r="I746" s="127" t="s">
        <v>232</v>
      </c>
      <c r="J746" s="126">
        <v>1.81</v>
      </c>
      <c r="K746" s="126">
        <v>80</v>
      </c>
      <c r="L746" s="129">
        <f>INT(base[[#This Row],[Data de liquidação]])</f>
        <v>46054</v>
      </c>
      <c r="M746" s="126">
        <f>base[[#This Row],[L/P Bruto]]-base[[#This Row],[L/P Líquido]]</f>
        <v>0</v>
      </c>
      <c r="N746" s="126">
        <f>base[[#This Row],[L/P Líquido]]/base[[#This Row],[Stake/Responsabilidade]]</f>
        <v>-1</v>
      </c>
      <c r="O746" s="132">
        <f>IF(base[[#This Row],[L/P Líquido]]&gt;0,1,0)</f>
        <v>0</v>
      </c>
      <c r="P746" s="132"/>
      <c r="Q746" s="132" t="str">
        <f>LEFT(base[[#This Row],[Evento / Mercado]],FIND("vs",base[[#This Row],[Evento / Mercado]])-2)</f>
        <v>FC Volendam</v>
      </c>
      <c r="R7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 Ahead Eagles</v>
      </c>
      <c r="S746" s="132" t="e">
        <f>LEFT(base[[#This Row],[Evento / Mercado]],FIND("/",base[[#This Row],[Evento / Mercado]])-2)</f>
        <v>#VALUE!</v>
      </c>
    </row>
    <row r="747" spans="2:21" ht="15" customHeight="1">
      <c r="B747" s="128" t="s">
        <v>657</v>
      </c>
      <c r="C747" s="128" t="s">
        <v>2982</v>
      </c>
      <c r="D747" s="129">
        <v>46055.592881944445</v>
      </c>
      <c r="E747" s="130">
        <v>18.36</v>
      </c>
      <c r="F747" s="131">
        <v>4.4999999999999998E-2</v>
      </c>
      <c r="G747" s="126">
        <f t="shared" si="12"/>
        <v>19.225130890052355</v>
      </c>
      <c r="H747" s="126" t="s">
        <v>145</v>
      </c>
      <c r="I747" s="127" t="s">
        <v>300</v>
      </c>
      <c r="J747" s="126">
        <v>14</v>
      </c>
      <c r="K747" s="126">
        <v>249.99</v>
      </c>
      <c r="L747" s="129">
        <f>INT(base[[#This Row],[Data de liquidação]])</f>
        <v>46055</v>
      </c>
      <c r="M747" s="126">
        <f>base[[#This Row],[L/P Bruto]]-base[[#This Row],[L/P Líquido]]</f>
        <v>0.86513089005235599</v>
      </c>
      <c r="N747" s="126">
        <f>base[[#This Row],[L/P Líquido]]/base[[#This Row],[Stake/Responsabilidade]]</f>
        <v>7.3442937717508691E-2</v>
      </c>
      <c r="O747" s="132">
        <f>IF(base[[#This Row],[L/P Líquido]]&gt;0,1,0)</f>
        <v>1</v>
      </c>
      <c r="P747" s="132" t="s">
        <v>973</v>
      </c>
      <c r="Q747" s="132" t="str">
        <f>LEFT(base[[#This Row],[Evento / Mercado]],FIND("vs",base[[#This Row],[Evento / Mercado]])-2)</f>
        <v>Al-Riyadh</v>
      </c>
      <c r="R7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Al-Nassr Riyadh</v>
      </c>
      <c r="S747" s="132" t="e">
        <f>LEFT(base[[#This Row],[Evento / Mercado]],FIND("/",base[[#This Row],[Evento / Mercado]])-2)</f>
        <v>#VALUE!</v>
      </c>
    </row>
    <row r="748" spans="2:21" ht="15" customHeight="1">
      <c r="B748" s="128" t="s">
        <v>656</v>
      </c>
      <c r="C748" s="128" t="s">
        <v>2982</v>
      </c>
      <c r="D748" s="129">
        <v>46055.682118055556</v>
      </c>
      <c r="E748" s="130">
        <v>66.150000000000006</v>
      </c>
      <c r="F748" s="131">
        <v>4.4999999999999998E-2</v>
      </c>
      <c r="G748" s="126">
        <f t="shared" si="12"/>
        <v>69.267015706806291</v>
      </c>
      <c r="H748" s="126" t="s">
        <v>231</v>
      </c>
      <c r="I748" s="127" t="s">
        <v>233</v>
      </c>
      <c r="J748" s="126">
        <f>(1.87*46.11+1.86*33.89)/base[[#This Row],[Stake/Responsabilidade]]</f>
        <v>1.8657637499999999</v>
      </c>
      <c r="K748" s="126">
        <f>46.11+33.89</f>
        <v>80</v>
      </c>
      <c r="L748" s="129">
        <f>INT(base[[#This Row],[Data de liquidação]])</f>
        <v>46055</v>
      </c>
      <c r="M748" s="126">
        <f>base[[#This Row],[L/P Bruto]]-base[[#This Row],[L/P Líquido]]</f>
        <v>3.1170157068062849</v>
      </c>
      <c r="N748" s="126">
        <f>base[[#This Row],[L/P Líquido]]/base[[#This Row],[Stake/Responsabilidade]]</f>
        <v>0.82687500000000003</v>
      </c>
      <c r="O748" s="132">
        <f>IF(base[[#This Row],[L/P Líquido]]&gt;0,1,0)</f>
        <v>1</v>
      </c>
      <c r="P748" s="132"/>
      <c r="Q748" s="132" t="str">
        <f>LEFT(base[[#This Row],[Evento / Mercado]],FIND("vs",base[[#This Row],[Evento / Mercado]])-2)</f>
        <v>Jong PSV Eindhoven</v>
      </c>
      <c r="R7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Cambuur Leeuwarden</v>
      </c>
      <c r="S748" s="132" t="e">
        <f>LEFT(base[[#This Row],[Evento / Mercado]],FIND("/",base[[#This Row],[Evento / Mercado]])-2)</f>
        <v>#VALUE!</v>
      </c>
    </row>
    <row r="749" spans="2:21" ht="15" customHeight="1">
      <c r="B749" s="128" t="s">
        <v>655</v>
      </c>
      <c r="C749" s="128" t="s">
        <v>2982</v>
      </c>
      <c r="D749" s="129">
        <v>46055.687916666669</v>
      </c>
      <c r="E749" s="130">
        <v>-80</v>
      </c>
      <c r="F749" s="131">
        <v>4.4999999999999998E-2</v>
      </c>
      <c r="G749" s="126">
        <f t="shared" si="12"/>
        <v>-80</v>
      </c>
      <c r="H749" s="126" t="s">
        <v>231</v>
      </c>
      <c r="I749" s="127" t="s">
        <v>266</v>
      </c>
      <c r="J749" s="126">
        <v>1.66</v>
      </c>
      <c r="K749" s="126">
        <v>80</v>
      </c>
      <c r="L749" s="129">
        <f>INT(base[[#This Row],[Data de liquidação]])</f>
        <v>46055</v>
      </c>
      <c r="M749" s="126">
        <f>base[[#This Row],[L/P Bruto]]-base[[#This Row],[L/P Líquido]]</f>
        <v>0</v>
      </c>
      <c r="N749" s="126">
        <f>base[[#This Row],[L/P Líquido]]/base[[#This Row],[Stake/Responsabilidade]]</f>
        <v>-1</v>
      </c>
      <c r="O749" s="132">
        <f>IF(base[[#This Row],[L/P Líquido]]&gt;0,1,0)</f>
        <v>0</v>
      </c>
      <c r="P749" s="132"/>
      <c r="Q749" s="132" t="str">
        <f>LEFT(base[[#This Row],[Evento / Mercado]],FIND("vs",base[[#This Row],[Evento / Mercado]])-2)</f>
        <v>Al-Hilal Riyadh</v>
      </c>
      <c r="R7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Ahli Jeddah</v>
      </c>
      <c r="S749" s="132" t="e">
        <f>LEFT(base[[#This Row],[Evento / Mercado]],FIND("/",base[[#This Row],[Evento / Mercado]])-2)</f>
        <v>#VALUE!</v>
      </c>
    </row>
    <row r="750" spans="2:21" ht="15" customHeight="1">
      <c r="B750" s="128" t="s">
        <v>654</v>
      </c>
      <c r="C750" s="128" t="s">
        <v>2982</v>
      </c>
      <c r="D750" s="129">
        <v>46055.735636574071</v>
      </c>
      <c r="E750" s="130">
        <v>19.72</v>
      </c>
      <c r="F750" s="131">
        <v>4.4999999999999998E-2</v>
      </c>
      <c r="G750" s="126">
        <f t="shared" si="12"/>
        <v>20.649214659685864</v>
      </c>
      <c r="H750" s="126" t="s">
        <v>145</v>
      </c>
      <c r="I750" s="127" t="s">
        <v>300</v>
      </c>
      <c r="J750" s="126">
        <v>12.5</v>
      </c>
      <c r="K750" s="126">
        <v>250.01</v>
      </c>
      <c r="L750" s="129">
        <f>INT(base[[#This Row],[Data de liquidação]])</f>
        <v>46055</v>
      </c>
      <c r="M750" s="126">
        <f>base[[#This Row],[L/P Bruto]]-base[[#This Row],[L/P Líquido]]</f>
        <v>0.92921465968586503</v>
      </c>
      <c r="N750" s="126">
        <f>base[[#This Row],[L/P Líquido]]/base[[#This Row],[Stake/Responsabilidade]]</f>
        <v>7.8876844926202949E-2</v>
      </c>
      <c r="O750" s="132">
        <f>IF(base[[#This Row],[L/P Líquido]]&gt;0,1,0)</f>
        <v>1</v>
      </c>
      <c r="P750" s="132" t="s">
        <v>965</v>
      </c>
      <c r="Q750" s="132" t="str">
        <f>LEFT(base[[#This Row],[Evento / Mercado]],FIND("vs",base[[#This Row],[Evento / Mercado]])-2)</f>
        <v>AVS Futebol SAD</v>
      </c>
      <c r="R7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Braga</v>
      </c>
      <c r="S750" s="132" t="e">
        <f>LEFT(base[[#This Row],[Evento / Mercado]],FIND("/",base[[#This Row],[Evento / Mercado]])-2)</f>
        <v>#VALUE!</v>
      </c>
    </row>
    <row r="751" spans="2:21" ht="15" customHeight="1">
      <c r="B751" s="128" t="s">
        <v>653</v>
      </c>
      <c r="C751" s="128" t="s">
        <v>2982</v>
      </c>
      <c r="D751" s="129">
        <v>46055.746400462966</v>
      </c>
      <c r="E751" s="130">
        <v>-80</v>
      </c>
      <c r="F751" s="131">
        <v>4.4999999999999998E-2</v>
      </c>
      <c r="G751" s="126">
        <f t="shared" si="12"/>
        <v>-80</v>
      </c>
      <c r="H751" s="126" t="s">
        <v>231</v>
      </c>
      <c r="I751" s="127" t="s">
        <v>232</v>
      </c>
      <c r="J751" s="126">
        <v>1.75</v>
      </c>
      <c r="K751" s="126">
        <v>80</v>
      </c>
      <c r="L751" s="129">
        <f>INT(base[[#This Row],[Data de liquidação]])</f>
        <v>46055</v>
      </c>
      <c r="M751" s="126">
        <f>base[[#This Row],[L/P Bruto]]-base[[#This Row],[L/P Líquido]]</f>
        <v>0</v>
      </c>
      <c r="N751" s="126">
        <f>base[[#This Row],[L/P Líquido]]/base[[#This Row],[Stake/Responsabilidade]]</f>
        <v>-1</v>
      </c>
      <c r="O751" s="132">
        <f>IF(base[[#This Row],[L/P Líquido]]&gt;0,1,0)</f>
        <v>0</v>
      </c>
      <c r="P751" s="132"/>
      <c r="Q751" s="132" t="str">
        <f>LEFT(base[[#This Row],[Evento / Mercado]],FIND("vs",base[[#This Row],[Evento / Mercado]])-2)</f>
        <v>Vitesse</v>
      </c>
      <c r="R7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751" s="132" t="e">
        <f>LEFT(base[[#This Row],[Evento / Mercado]],FIND("/",base[[#This Row],[Evento / Mercado]])-2)</f>
        <v>#VALUE!</v>
      </c>
    </row>
    <row r="752" spans="2:21" ht="15" customHeight="1">
      <c r="B752" s="128" t="s">
        <v>749</v>
      </c>
      <c r="C752" s="128" t="s">
        <v>2982</v>
      </c>
      <c r="D752" s="129">
        <v>46056.682106481479</v>
      </c>
      <c r="E752" s="130">
        <v>-250.01</v>
      </c>
      <c r="F752" s="131">
        <v>4.4999999999999998E-2</v>
      </c>
      <c r="G752" s="126">
        <f t="shared" si="12"/>
        <v>-250.01</v>
      </c>
      <c r="H752" s="126" t="s">
        <v>73</v>
      </c>
      <c r="I752" s="127" t="s">
        <v>13</v>
      </c>
      <c r="J752" s="126">
        <v>12.5</v>
      </c>
      <c r="K752" s="126">
        <v>250.01</v>
      </c>
      <c r="L752" s="129">
        <f>INT(base[[#This Row],[Data de liquidação]])</f>
        <v>46056</v>
      </c>
      <c r="M752" s="126">
        <f>base[[#This Row],[L/P Bruto]]-base[[#This Row],[L/P Líquido]]</f>
        <v>0</v>
      </c>
      <c r="N752" s="126">
        <f>base[[#This Row],[L/P Líquido]]/base[[#This Row],[Stake/Responsabilidade]]</f>
        <v>-1</v>
      </c>
      <c r="O752" s="132">
        <f>IF(base[[#This Row],[L/P Líquido]]&gt;0,1,0)</f>
        <v>0</v>
      </c>
      <c r="P752" s="132"/>
      <c r="Q752" s="132" t="str">
        <f>LEFT(base[[#This Row],[Evento / Mercado]],FIND("vs",base[[#This Row],[Evento / Mercado]])-2)</f>
        <v>Al-Khaleej Saihat</v>
      </c>
      <c r="R7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Al-Qadisiyah</v>
      </c>
      <c r="S752" s="132" t="e">
        <f>LEFT(base[[#This Row],[Evento / Mercado]],FIND("/",base[[#This Row],[Evento / Mercado]])-2)</f>
        <v>#VALUE!</v>
      </c>
    </row>
    <row r="753" spans="2:21" ht="15" customHeight="1">
      <c r="B753" s="128" t="s">
        <v>748</v>
      </c>
      <c r="C753" s="128" t="s">
        <v>2982</v>
      </c>
      <c r="D753" s="129">
        <v>46057.776099537034</v>
      </c>
      <c r="E753" s="130">
        <v>16.73</v>
      </c>
      <c r="F753" s="131">
        <v>4.4999999999999998E-2</v>
      </c>
      <c r="G753" s="126">
        <f t="shared" si="12"/>
        <v>17.518324607329845</v>
      </c>
      <c r="H753" s="126" t="s">
        <v>145</v>
      </c>
      <c r="I753" s="127" t="s">
        <v>301</v>
      </c>
      <c r="J753" s="126">
        <v>14.5</v>
      </c>
      <c r="K753" s="126">
        <v>250.02</v>
      </c>
      <c r="L753" s="129">
        <f>INT(base[[#This Row],[Data de liquidação]])</f>
        <v>46057</v>
      </c>
      <c r="M753" s="126">
        <f>base[[#This Row],[L/P Bruto]]-base[[#This Row],[L/P Líquido]]</f>
        <v>0.78832460732984444</v>
      </c>
      <c r="N753" s="126">
        <f>base[[#This Row],[L/P Líquido]]/base[[#This Row],[Stake/Responsabilidade]]</f>
        <v>6.6914646828253738E-2</v>
      </c>
      <c r="O753" s="132">
        <f>IF(base[[#This Row],[L/P Líquido]]&gt;0,1,0)</f>
        <v>1</v>
      </c>
      <c r="P753" s="132" t="s">
        <v>981</v>
      </c>
      <c r="Q753" s="132" t="str">
        <f>LEFT(base[[#This Row],[Evento / Mercado]],FIND("vs",base[[#This Row],[Evento / Mercado]])-2)</f>
        <v>Rangers</v>
      </c>
      <c r="R7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Kilmarnock</v>
      </c>
      <c r="S753" s="132" t="e">
        <f>LEFT(base[[#This Row],[Evento / Mercado]],FIND("/",base[[#This Row],[Evento / Mercado]])-2)</f>
        <v>#VALUE!</v>
      </c>
    </row>
    <row r="754" spans="2:21" ht="15" customHeight="1">
      <c r="B754" s="128" t="s">
        <v>747</v>
      </c>
      <c r="C754" s="128" t="s">
        <v>2982</v>
      </c>
      <c r="D754" s="129">
        <v>46057.915416666663</v>
      </c>
      <c r="E754" s="130">
        <v>69.52</v>
      </c>
      <c r="F754" s="131">
        <v>4.4999999999999998E-2</v>
      </c>
      <c r="G754" s="126">
        <f t="shared" si="12"/>
        <v>72.795811518324612</v>
      </c>
      <c r="H754" s="126" t="s">
        <v>231</v>
      </c>
      <c r="I754" s="127" t="s">
        <v>266</v>
      </c>
      <c r="J754" s="126">
        <v>1.91</v>
      </c>
      <c r="K754" s="126">
        <v>80</v>
      </c>
      <c r="L754" s="129">
        <f>INT(base[[#This Row],[Data de liquidação]])</f>
        <v>46057</v>
      </c>
      <c r="M754" s="126">
        <f>base[[#This Row],[L/P Bruto]]-base[[#This Row],[L/P Líquido]]</f>
        <v>3.2758115183246161</v>
      </c>
      <c r="N754" s="126">
        <f>base[[#This Row],[L/P Líquido]]/base[[#This Row],[Stake/Responsabilidade]]</f>
        <v>0.86899999999999999</v>
      </c>
      <c r="O754" s="132">
        <f>IF(base[[#This Row],[L/P Líquido]]&gt;0,1,0)</f>
        <v>1</v>
      </c>
      <c r="P754" s="132"/>
      <c r="Q754" s="132" t="str">
        <f>LEFT(base[[#This Row],[Evento / Mercado]],FIND("vs",base[[#This Row],[Evento / Mercado]])-2)</f>
        <v>Grêmio FBPA</v>
      </c>
      <c r="R7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754" s="132" t="e">
        <f>LEFT(base[[#This Row],[Evento / Mercado]],FIND("/",base[[#This Row],[Evento / Mercado]])-2)</f>
        <v>#VALUE!</v>
      </c>
    </row>
    <row r="755" spans="2:21" ht="15" customHeight="1">
      <c r="B755" s="128" t="s">
        <v>746</v>
      </c>
      <c r="C755" s="128" t="s">
        <v>2982</v>
      </c>
      <c r="D755" s="129">
        <v>46058.592488425929</v>
      </c>
      <c r="E755" s="130">
        <v>70.290000000000006</v>
      </c>
      <c r="F755" s="131">
        <v>4.4999999999999998E-2</v>
      </c>
      <c r="G755" s="126">
        <f t="shared" si="12"/>
        <v>73.602094240837701</v>
      </c>
      <c r="H755" s="126" t="s">
        <v>231</v>
      </c>
      <c r="I755" s="127" t="s">
        <v>232</v>
      </c>
      <c r="J755" s="126">
        <v>1.92</v>
      </c>
      <c r="K755" s="126">
        <v>80</v>
      </c>
      <c r="L755" s="129">
        <f>INT(base[[#This Row],[Data de liquidação]])</f>
        <v>46058</v>
      </c>
      <c r="M755" s="126">
        <f>base[[#This Row],[L/P Bruto]]-base[[#This Row],[L/P Líquido]]</f>
        <v>3.3120942408376948</v>
      </c>
      <c r="N755" s="126">
        <f>base[[#This Row],[L/P Líquido]]/base[[#This Row],[Stake/Responsabilidade]]</f>
        <v>0.8786250000000001</v>
      </c>
      <c r="O755" s="132">
        <f>IF(base[[#This Row],[L/P Líquido]]&gt;0,1,0)</f>
        <v>1</v>
      </c>
      <c r="P755" s="132"/>
      <c r="Q755" s="132" t="str">
        <f>LEFT(base[[#This Row],[Evento / Mercado]],FIND("vs",base[[#This Row],[Evento / Mercado]])-2)</f>
        <v>Al-Sharjah</v>
      </c>
      <c r="R7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Shabab Al-Ahli Dubai FC</v>
      </c>
      <c r="S755" s="132" t="e">
        <f>LEFT(base[[#This Row],[Evento / Mercado]],FIND("/",base[[#This Row],[Evento / Mercado]])-2)</f>
        <v>#VALUE!</v>
      </c>
    </row>
    <row r="756" spans="2:21" ht="15" customHeight="1">
      <c r="B756" s="128" t="s">
        <v>745</v>
      </c>
      <c r="C756" s="128" t="s">
        <v>2982</v>
      </c>
      <c r="D756" s="129">
        <v>46058.592685185184</v>
      </c>
      <c r="E756" s="130">
        <v>18.47925</v>
      </c>
      <c r="F756" s="131">
        <v>4.4999999999999998E-2</v>
      </c>
      <c r="G756" s="126">
        <f t="shared" si="12"/>
        <v>19.350000000000001</v>
      </c>
      <c r="H756" s="126" t="s">
        <v>73</v>
      </c>
      <c r="I756" s="127" t="s">
        <v>16</v>
      </c>
      <c r="J756" s="126">
        <v>8.1999999999999993</v>
      </c>
      <c r="K756" s="126">
        <v>139.32</v>
      </c>
      <c r="L756" s="129">
        <f>INT(base[[#This Row],[Data de liquidação]])</f>
        <v>46058</v>
      </c>
      <c r="M756" s="126">
        <f>base[[#This Row],[L/P Bruto]]-base[[#This Row],[L/P Líquido]]</f>
        <v>0.87075000000000102</v>
      </c>
      <c r="N756" s="126">
        <f>base[[#This Row],[L/P Líquido]]/base[[#This Row],[Stake/Responsabilidade]]</f>
        <v>0.13263888888888889</v>
      </c>
      <c r="O756" s="132">
        <f>IF(base[[#This Row],[L/P Líquido]]&gt;0,1,0)</f>
        <v>1</v>
      </c>
      <c r="P756" s="132"/>
      <c r="Q756" s="132" t="str">
        <f>LEFT(base[[#This Row],[Evento / Mercado]],FIND("vs",base[[#This Row],[Evento / Mercado]])-2)</f>
        <v>Al-Fayha FC</v>
      </c>
      <c r="R7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Najma Club</v>
      </c>
      <c r="S756" s="132" t="e">
        <f>LEFT(base[[#This Row],[Evento / Mercado]],FIND("/",base[[#This Row],[Evento / Mercado]])-2)</f>
        <v>#VALUE!</v>
      </c>
      <c r="T756" s="8">
        <v>19.350000000000001</v>
      </c>
      <c r="U756" s="9">
        <f>T756*0.955</f>
        <v>18.47925</v>
      </c>
    </row>
    <row r="757" spans="2:21" ht="15" customHeight="1">
      <c r="B757" s="128" t="s">
        <v>745</v>
      </c>
      <c r="C757" s="128" t="s">
        <v>2982</v>
      </c>
      <c r="D757" s="129">
        <v>46058.592685185184</v>
      </c>
      <c r="E757" s="130">
        <v>8.3562499999999993</v>
      </c>
      <c r="F757" s="131">
        <v>4.4999999999999998E-2</v>
      </c>
      <c r="G757" s="126">
        <f t="shared" si="12"/>
        <v>8.75</v>
      </c>
      <c r="H757" s="126" t="s">
        <v>73</v>
      </c>
      <c r="I757" s="127" t="s">
        <v>13</v>
      </c>
      <c r="J757" s="126">
        <v>17</v>
      </c>
      <c r="K757" s="126">
        <v>140</v>
      </c>
      <c r="L757" s="129">
        <f>INT(base[[#This Row],[Data de liquidação]])</f>
        <v>46058</v>
      </c>
      <c r="M757" s="126">
        <f>base[[#This Row],[L/P Bruto]]-base[[#This Row],[L/P Líquido]]</f>
        <v>0.39375000000000071</v>
      </c>
      <c r="N757" s="126">
        <f>base[[#This Row],[L/P Líquido]]/base[[#This Row],[Stake/Responsabilidade]]</f>
        <v>5.9687499999999998E-2</v>
      </c>
      <c r="O757" s="132">
        <f>IF(base[[#This Row],[L/P Líquido]]&gt;0,1,0)</f>
        <v>1</v>
      </c>
      <c r="P757" s="132"/>
      <c r="Q757" s="132" t="str">
        <f>LEFT(base[[#This Row],[Evento / Mercado]],FIND("vs",base[[#This Row],[Evento / Mercado]])-2)</f>
        <v>Al-Fayha FC</v>
      </c>
      <c r="R7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Najma Club</v>
      </c>
      <c r="S757" s="132" t="e">
        <f>LEFT(base[[#This Row],[Evento / Mercado]],FIND("/",base[[#This Row],[Evento / Mercado]])-2)</f>
        <v>#VALUE!</v>
      </c>
      <c r="T757" s="8">
        <v>8.75</v>
      </c>
      <c r="U757" s="9">
        <f>T757*0.955</f>
        <v>8.3562499999999993</v>
      </c>
    </row>
    <row r="758" spans="2:21" ht="15" customHeight="1">
      <c r="B758" s="128" t="s">
        <v>744</v>
      </c>
      <c r="C758" s="128" t="s">
        <v>2982</v>
      </c>
      <c r="D758" s="129">
        <v>46058.6246875</v>
      </c>
      <c r="E758" s="130">
        <v>7.71</v>
      </c>
      <c r="F758" s="131">
        <v>4.4999999999999998E-2</v>
      </c>
      <c r="G758" s="126">
        <f t="shared" si="12"/>
        <v>8.0732984293193724</v>
      </c>
      <c r="H758" s="126" t="s">
        <v>73</v>
      </c>
      <c r="I758" s="127" t="s">
        <v>13</v>
      </c>
      <c r="J758" s="126">
        <v>18</v>
      </c>
      <c r="K758" s="126">
        <v>137.28</v>
      </c>
      <c r="L758" s="129">
        <f>INT(base[[#This Row],[Data de liquidação]])</f>
        <v>46058</v>
      </c>
      <c r="M758" s="126">
        <f>base[[#This Row],[L/P Bruto]]-base[[#This Row],[L/P Líquido]]</f>
        <v>0.3632984293193724</v>
      </c>
      <c r="N758" s="126">
        <f>base[[#This Row],[L/P Líquido]]/base[[#This Row],[Stake/Responsabilidade]]</f>
        <v>5.6162587412587409E-2</v>
      </c>
      <c r="O758" s="132">
        <f>IF(base[[#This Row],[L/P Líquido]]&gt;0,1,0)</f>
        <v>1</v>
      </c>
      <c r="P758" s="132"/>
      <c r="Q758" s="132" t="str">
        <f>LEFT(base[[#This Row],[Evento / Mercado]],FIND("vs",base[[#This Row],[Evento / Mercado]])-2)</f>
        <v>CS Universitatea Craiova</v>
      </c>
      <c r="R7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Otelul Galati</v>
      </c>
      <c r="S758" s="132" t="e">
        <f>LEFT(base[[#This Row],[Evento / Mercado]],FIND("/",base[[#This Row],[Evento / Mercado]])-2)</f>
        <v>#VALUE!</v>
      </c>
    </row>
    <row r="759" spans="2:21" ht="15" customHeight="1">
      <c r="B759" s="128" t="s">
        <v>743</v>
      </c>
      <c r="C759" s="128" t="s">
        <v>2982</v>
      </c>
      <c r="D759" s="129">
        <v>46058.687534722223</v>
      </c>
      <c r="E759" s="130">
        <v>17.059999999999999</v>
      </c>
      <c r="F759" s="131">
        <v>4.4999999999999998E-2</v>
      </c>
      <c r="G759" s="126">
        <f t="shared" si="12"/>
        <v>17.863874345549739</v>
      </c>
      <c r="H759" s="126" t="s">
        <v>145</v>
      </c>
      <c r="I759" s="127" t="s">
        <v>301</v>
      </c>
      <c r="J759" s="126">
        <v>15</v>
      </c>
      <c r="K759" s="126">
        <v>250.04</v>
      </c>
      <c r="L759" s="129">
        <f>INT(base[[#This Row],[Data de liquidação]])</f>
        <v>46058</v>
      </c>
      <c r="M759" s="126">
        <f>base[[#This Row],[L/P Bruto]]-base[[#This Row],[L/P Líquido]]</f>
        <v>0.80387434554974035</v>
      </c>
      <c r="N759" s="126">
        <f>base[[#This Row],[L/P Líquido]]/base[[#This Row],[Stake/Responsabilidade]]</f>
        <v>6.8229083346664526E-2</v>
      </c>
      <c r="O759" s="132">
        <f>IF(base[[#This Row],[L/P Líquido]]&gt;0,1,0)</f>
        <v>1</v>
      </c>
      <c r="P759" s="132" t="s">
        <v>973</v>
      </c>
      <c r="Q759" s="132" t="str">
        <f>LEFT(base[[#This Row],[Evento / Mercado]],FIND("vs",base[[#This Row],[Evento / Mercado]])-2)</f>
        <v>Al Ahli Jeddah</v>
      </c>
      <c r="R7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Hazm</v>
      </c>
      <c r="S759" s="132" t="e">
        <f>LEFT(base[[#This Row],[Evento / Mercado]],FIND("/",base[[#This Row],[Evento / Mercado]])-2)</f>
        <v>#VALUE!</v>
      </c>
    </row>
    <row r="760" spans="2:21" ht="15" customHeight="1">
      <c r="B760" s="128" t="s">
        <v>742</v>
      </c>
      <c r="C760" s="128" t="s">
        <v>2982</v>
      </c>
      <c r="D760" s="129">
        <v>46058.7262962963</v>
      </c>
      <c r="E760" s="130">
        <v>3.01</v>
      </c>
      <c r="F760" s="131">
        <v>4.4999999999999998E-2</v>
      </c>
      <c r="G760" s="126">
        <f t="shared" si="12"/>
        <v>3.1518324607329844</v>
      </c>
      <c r="H760" s="126" t="s">
        <v>73</v>
      </c>
      <c r="I760" s="127" t="s">
        <v>13</v>
      </c>
      <c r="J760" s="126">
        <v>18</v>
      </c>
      <c r="K760" s="126">
        <v>53.55</v>
      </c>
      <c r="L760" s="129">
        <f>INT(base[[#This Row],[Data de liquidação]])</f>
        <v>46058</v>
      </c>
      <c r="M760" s="126">
        <f>base[[#This Row],[L/P Bruto]]-base[[#This Row],[L/P Líquido]]</f>
        <v>0.14183246073298461</v>
      </c>
      <c r="N760" s="126">
        <f>base[[#This Row],[L/P Líquido]]/base[[#This Row],[Stake/Responsabilidade]]</f>
        <v>5.6209150326797387E-2</v>
      </c>
      <c r="O760" s="132">
        <f>IF(base[[#This Row],[L/P Líquido]]&gt;0,1,0)</f>
        <v>1</v>
      </c>
      <c r="P760" s="132"/>
      <c r="Q760" s="132" t="str">
        <f>LEFT(base[[#This Row],[Evento / Mercado]],FIND("vs",base[[#This Row],[Evento / Mercado]])-2)</f>
        <v>FC FCSB</v>
      </c>
      <c r="R7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Botosani</v>
      </c>
      <c r="S760" s="132" t="e">
        <f>LEFT(base[[#This Row],[Evento / Mercado]],FIND("/",base[[#This Row],[Evento / Mercado]])-2)</f>
        <v>#VALUE!</v>
      </c>
    </row>
    <row r="761" spans="2:21" ht="15" customHeight="1">
      <c r="B761" s="128" t="s">
        <v>741</v>
      </c>
      <c r="C761" s="128" t="s">
        <v>2982</v>
      </c>
      <c r="D761" s="129">
        <v>46058.864641203705</v>
      </c>
      <c r="E761" s="130">
        <v>73.34</v>
      </c>
      <c r="F761" s="131">
        <v>4.4999999999999998E-2</v>
      </c>
      <c r="G761" s="126">
        <f t="shared" si="12"/>
        <v>76.795811518324612</v>
      </c>
      <c r="H761" s="126" t="s">
        <v>231</v>
      </c>
      <c r="I761" s="127" t="s">
        <v>266</v>
      </c>
      <c r="J761" s="126">
        <v>1.96</v>
      </c>
      <c r="K761" s="126">
        <v>80</v>
      </c>
      <c r="L761" s="129">
        <f>INT(base[[#This Row],[Data de liquidação]])</f>
        <v>46058</v>
      </c>
      <c r="M761" s="126">
        <f>base[[#This Row],[L/P Bruto]]-base[[#This Row],[L/P Líquido]]</f>
        <v>3.4558115183246088</v>
      </c>
      <c r="N761" s="126">
        <f>base[[#This Row],[L/P Líquido]]/base[[#This Row],[Stake/Responsabilidade]]</f>
        <v>0.91675000000000006</v>
      </c>
      <c r="O761" s="132">
        <f>IF(base[[#This Row],[L/P Líquido]]&gt;0,1,0)</f>
        <v>1</v>
      </c>
      <c r="P761" s="132"/>
      <c r="Q761" s="132" t="str">
        <f>LEFT(base[[#This Row],[Evento / Mercado]],FIND("vs",base[[#This Row],[Evento / Mercado]])-2)</f>
        <v>Esporte Clube Bahia</v>
      </c>
      <c r="R7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761" s="132" t="e">
        <f>LEFT(base[[#This Row],[Evento / Mercado]],FIND("/",base[[#This Row],[Evento / Mercado]])-2)</f>
        <v>#VALUE!</v>
      </c>
    </row>
    <row r="762" spans="2:21" ht="15" customHeight="1">
      <c r="B762" s="128" t="s">
        <v>740</v>
      </c>
      <c r="C762" s="128" t="s">
        <v>2982</v>
      </c>
      <c r="D762" s="129">
        <v>46059.649780092594</v>
      </c>
      <c r="E762" s="130">
        <v>7.87</v>
      </c>
      <c r="F762" s="131">
        <v>4.4999999999999998E-2</v>
      </c>
      <c r="G762" s="126">
        <f t="shared" si="12"/>
        <v>8.2408376963350793</v>
      </c>
      <c r="H762" s="126" t="s">
        <v>73</v>
      </c>
      <c r="I762" s="127" t="s">
        <v>13</v>
      </c>
      <c r="J762" s="126">
        <v>18</v>
      </c>
      <c r="K762" s="126">
        <v>140.08000000000001</v>
      </c>
      <c r="L762" s="129">
        <f>INT(base[[#This Row],[Data de liquidação]])</f>
        <v>46059</v>
      </c>
      <c r="M762" s="126">
        <f>base[[#This Row],[L/P Bruto]]-base[[#This Row],[L/P Líquido]]</f>
        <v>0.37083769633507924</v>
      </c>
      <c r="N762" s="126">
        <f>base[[#This Row],[L/P Líquido]]/base[[#This Row],[Stake/Responsabilidade]]</f>
        <v>5.6182181610508274E-2</v>
      </c>
      <c r="O762" s="132">
        <f>IF(base[[#This Row],[L/P Líquido]]&gt;0,1,0)</f>
        <v>1</v>
      </c>
      <c r="P762" s="132"/>
      <c r="Q762" s="132" t="str">
        <f>LEFT(base[[#This Row],[Evento / Mercado]],FIND("vs",base[[#This Row],[Evento / Mercado]])-2)</f>
        <v>Kisvárda</v>
      </c>
      <c r="R7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Kazincbarcika SC</v>
      </c>
      <c r="S762" s="132" t="e">
        <f>LEFT(base[[#This Row],[Evento / Mercado]],FIND("/",base[[#This Row],[Evento / Mercado]])-2)</f>
        <v>#VALUE!</v>
      </c>
    </row>
    <row r="763" spans="2:21" ht="15" customHeight="1">
      <c r="B763" s="128" t="s">
        <v>739</v>
      </c>
      <c r="C763" s="128" t="s">
        <v>2982</v>
      </c>
      <c r="D763" s="129">
        <v>46059.659097222226</v>
      </c>
      <c r="E763" s="130">
        <v>58.06</v>
      </c>
      <c r="F763" s="131">
        <v>4.4999999999999998E-2</v>
      </c>
      <c r="G763" s="126">
        <f t="shared" si="12"/>
        <v>60.795811518324612</v>
      </c>
      <c r="H763" s="126" t="s">
        <v>231</v>
      </c>
      <c r="I763" s="127" t="s">
        <v>266</v>
      </c>
      <c r="J763" s="126">
        <v>1.76</v>
      </c>
      <c r="K763" s="126">
        <v>80</v>
      </c>
      <c r="L763" s="129">
        <f>INT(base[[#This Row],[Data de liquidação]])</f>
        <v>46059</v>
      </c>
      <c r="M763" s="126">
        <f>base[[#This Row],[L/P Bruto]]-base[[#This Row],[L/P Líquido]]</f>
        <v>2.7358115183246099</v>
      </c>
      <c r="N763" s="126">
        <f>base[[#This Row],[L/P Líquido]]/base[[#This Row],[Stake/Responsabilidade]]</f>
        <v>0.72575000000000001</v>
      </c>
      <c r="O763" s="132">
        <f>IF(base[[#This Row],[L/P Líquido]]&gt;0,1,0)</f>
        <v>1</v>
      </c>
      <c r="P763" s="132"/>
      <c r="Q763" s="132" t="str">
        <f>LEFT(base[[#This Row],[Evento / Mercado]],FIND("vs",base[[#This Row],[Evento / Mercado]])-2)</f>
        <v>Preußen Münster</v>
      </c>
      <c r="R7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Bochum</v>
      </c>
      <c r="S763" s="132" t="e">
        <f>LEFT(base[[#This Row],[Evento / Mercado]],FIND("/",base[[#This Row],[Evento / Mercado]])-2)</f>
        <v>#VALUE!</v>
      </c>
    </row>
    <row r="764" spans="2:21" ht="15" customHeight="1">
      <c r="B764" s="128" t="s">
        <v>738</v>
      </c>
      <c r="C764" s="128" t="s">
        <v>2982</v>
      </c>
      <c r="D764" s="129">
        <v>46059.662418981483</v>
      </c>
      <c r="E764" s="130">
        <v>9.5500000000000007</v>
      </c>
      <c r="F764" s="131">
        <v>4.4999999999999998E-2</v>
      </c>
      <c r="G764" s="126">
        <f t="shared" si="12"/>
        <v>10.000000000000002</v>
      </c>
      <c r="H764" s="126" t="s">
        <v>73</v>
      </c>
      <c r="I764" s="127" t="s">
        <v>13</v>
      </c>
      <c r="J764" s="126">
        <v>15</v>
      </c>
      <c r="K764" s="126">
        <v>140</v>
      </c>
      <c r="L764" s="129">
        <f>INT(base[[#This Row],[Data de liquidação]])</f>
        <v>46059</v>
      </c>
      <c r="M764" s="126">
        <f>base[[#This Row],[L/P Bruto]]-base[[#This Row],[L/P Líquido]]</f>
        <v>0.45000000000000107</v>
      </c>
      <c r="N764" s="126">
        <f>base[[#This Row],[L/P Líquido]]/base[[#This Row],[Stake/Responsabilidade]]</f>
        <v>6.8214285714285713E-2</v>
      </c>
      <c r="O764" s="132">
        <f>IF(base[[#This Row],[L/P Líquido]]&gt;0,1,0)</f>
        <v>1</v>
      </c>
      <c r="P764" s="132"/>
      <c r="Q764" s="132" t="str">
        <f>LEFT(base[[#This Row],[Evento / Mercado]],FIND("vs",base[[#This Row],[Evento / Mercado]])-2)</f>
        <v>Korona Kielce</v>
      </c>
      <c r="R7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Zaglebie Lubin</v>
      </c>
      <c r="S764" s="132" t="e">
        <f>LEFT(base[[#This Row],[Evento / Mercado]],FIND("/",base[[#This Row],[Evento / Mercado]])-2)</f>
        <v>#VALUE!</v>
      </c>
    </row>
    <row r="765" spans="2:21" ht="15" customHeight="1">
      <c r="B765" s="128" t="s">
        <v>737</v>
      </c>
      <c r="C765" s="128" t="s">
        <v>2982</v>
      </c>
      <c r="D765" s="129">
        <v>46059.679849537039</v>
      </c>
      <c r="E765" s="130">
        <v>74.87</v>
      </c>
      <c r="F765" s="131">
        <v>4.4999999999999998E-2</v>
      </c>
      <c r="G765" s="126">
        <f t="shared" si="12"/>
        <v>78.397905759162313</v>
      </c>
      <c r="H765" s="126" t="s">
        <v>231</v>
      </c>
      <c r="I765" s="127" t="s">
        <v>233</v>
      </c>
      <c r="J765" s="126">
        <v>1.98</v>
      </c>
      <c r="K765" s="126">
        <v>80</v>
      </c>
      <c r="L765" s="129">
        <f>INT(base[[#This Row],[Data de liquidação]])</f>
        <v>46059</v>
      </c>
      <c r="M765" s="126">
        <f>base[[#This Row],[L/P Bruto]]-base[[#This Row],[L/P Líquido]]</f>
        <v>3.5279057591623086</v>
      </c>
      <c r="N765" s="126">
        <f>base[[#This Row],[L/P Líquido]]/base[[#This Row],[Stake/Responsabilidade]]</f>
        <v>0.93587500000000001</v>
      </c>
      <c r="O765" s="132">
        <f>IF(base[[#This Row],[L/P Líquido]]&gt;0,1,0)</f>
        <v>1</v>
      </c>
      <c r="P765" s="132"/>
      <c r="Q765" s="132" t="str">
        <f>LEFT(base[[#This Row],[Evento / Mercado]],FIND("vs",base[[#This Row],[Evento / Mercado]])-2)</f>
        <v>MVV Maastricht</v>
      </c>
      <c r="R7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PSV Eindhoven</v>
      </c>
      <c r="S765" s="132" t="e">
        <f>LEFT(base[[#This Row],[Evento / Mercado]],FIND("/",base[[#This Row],[Evento / Mercado]])-2)</f>
        <v>#VALUE!</v>
      </c>
    </row>
    <row r="766" spans="2:21" ht="15" customHeight="1">
      <c r="B766" s="128" t="s">
        <v>736</v>
      </c>
      <c r="C766" s="128" t="s">
        <v>2982</v>
      </c>
      <c r="D766" s="129">
        <v>46059.686423611114</v>
      </c>
      <c r="E766" s="130">
        <v>55.77</v>
      </c>
      <c r="F766" s="131">
        <v>4.4999999999999998E-2</v>
      </c>
      <c r="G766" s="126">
        <f t="shared" si="12"/>
        <v>58.397905759162306</v>
      </c>
      <c r="H766" s="126" t="s">
        <v>231</v>
      </c>
      <c r="I766" s="127" t="s">
        <v>232</v>
      </c>
      <c r="J766" s="126">
        <v>1.73</v>
      </c>
      <c r="K766" s="126">
        <v>80</v>
      </c>
      <c r="L766" s="129">
        <f>INT(base[[#This Row],[Data de liquidação]])</f>
        <v>46059</v>
      </c>
      <c r="M766" s="126">
        <f>base[[#This Row],[L/P Bruto]]-base[[#This Row],[L/P Líquido]]</f>
        <v>2.627905759162303</v>
      </c>
      <c r="N766" s="126">
        <f>base[[#This Row],[L/P Líquido]]/base[[#This Row],[Stake/Responsabilidade]]</f>
        <v>0.69712499999999999</v>
      </c>
      <c r="O766" s="132">
        <f>IF(base[[#This Row],[L/P Líquido]]&gt;0,1,0)</f>
        <v>1</v>
      </c>
      <c r="P766" s="132"/>
      <c r="Q766" s="132" t="str">
        <f>LEFT(base[[#This Row],[Evento / Mercado]],FIND("vs",base[[#This Row],[Evento / Mercado]])-2)</f>
        <v>Waldhof Mannheim</v>
      </c>
      <c r="R7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SSV Ulm 1846</v>
      </c>
      <c r="S766" s="132" t="e">
        <f>LEFT(base[[#This Row],[Evento / Mercado]],FIND("/",base[[#This Row],[Evento / Mercado]])-2)</f>
        <v>#VALUE!</v>
      </c>
    </row>
    <row r="767" spans="2:21" ht="15" customHeight="1">
      <c r="B767" s="128" t="s">
        <v>735</v>
      </c>
      <c r="C767" s="128" t="s">
        <v>2982</v>
      </c>
      <c r="D767" s="129">
        <v>46059.68650462963</v>
      </c>
      <c r="E767" s="130">
        <v>10.64</v>
      </c>
      <c r="F767" s="131">
        <v>4.4999999999999998E-2</v>
      </c>
      <c r="G767" s="126">
        <f t="shared" si="12"/>
        <v>11.141361256544503</v>
      </c>
      <c r="H767" s="126" t="s">
        <v>73</v>
      </c>
      <c r="I767" s="127" t="s">
        <v>16</v>
      </c>
      <c r="J767" s="126">
        <v>13.5</v>
      </c>
      <c r="K767" s="126">
        <v>139.24</v>
      </c>
      <c r="L767" s="129">
        <f>INT(base[[#This Row],[Data de liquidação]])</f>
        <v>46059</v>
      </c>
      <c r="M767" s="126">
        <f>base[[#This Row],[L/P Bruto]]-base[[#This Row],[L/P Líquido]]</f>
        <v>0.50136125654450225</v>
      </c>
      <c r="N767" s="126">
        <f>base[[#This Row],[L/P Líquido]]/base[[#This Row],[Stake/Responsabilidade]]</f>
        <v>7.6414823326630271E-2</v>
      </c>
      <c r="O767" s="132">
        <f>IF(base[[#This Row],[L/P Líquido]]&gt;0,1,0)</f>
        <v>1</v>
      </c>
      <c r="P767" s="132"/>
      <c r="Q767" s="132" t="str">
        <f>LEFT(base[[#This Row],[Evento / Mercado]],FIND("vs",base[[#This Row],[Evento / Mercado]])-2)</f>
        <v>Al-Nassr Riyadh</v>
      </c>
      <c r="R7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Jeddah</v>
      </c>
      <c r="S767" s="132" t="e">
        <f>LEFT(base[[#This Row],[Evento / Mercado]],FIND("/",base[[#This Row],[Evento / Mercado]])-2)</f>
        <v>#VALUE!</v>
      </c>
    </row>
    <row r="768" spans="2:21" ht="15" customHeight="1">
      <c r="B768" s="128" t="s">
        <v>734</v>
      </c>
      <c r="C768" s="128" t="s">
        <v>2982</v>
      </c>
      <c r="D768" s="129">
        <v>46059.707083333335</v>
      </c>
      <c r="E768" s="130">
        <v>8.91</v>
      </c>
      <c r="F768" s="131">
        <v>4.4999999999999998E-2</v>
      </c>
      <c r="G768" s="126">
        <f t="shared" si="12"/>
        <v>9.3298429319371738</v>
      </c>
      <c r="H768" s="126" t="s">
        <v>73</v>
      </c>
      <c r="I768" s="127" t="s">
        <v>13</v>
      </c>
      <c r="J768" s="126">
        <v>16</v>
      </c>
      <c r="K768" s="126">
        <v>139.94999999999999</v>
      </c>
      <c r="L768" s="129">
        <f>INT(base[[#This Row],[Data de liquidação]])</f>
        <v>46059</v>
      </c>
      <c r="M768" s="126">
        <f>base[[#This Row],[L/P Bruto]]-base[[#This Row],[L/P Líquido]]</f>
        <v>0.4198429319371737</v>
      </c>
      <c r="N768" s="126">
        <f>base[[#This Row],[L/P Líquido]]/base[[#This Row],[Stake/Responsabilidade]]</f>
        <v>6.3665594855305471E-2</v>
      </c>
      <c r="O768" s="132">
        <f>IF(base[[#This Row],[L/P Líquido]]&gt;0,1,0)</f>
        <v>1</v>
      </c>
      <c r="P768" s="132"/>
      <c r="Q768" s="132" t="str">
        <f>LEFT(base[[#This Row],[Evento / Mercado]],FIND("vs",base[[#This Row],[Evento / Mercado]])-2)</f>
        <v>Rapid Bucuresti</v>
      </c>
      <c r="R7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Petrolul Ploiesti</v>
      </c>
      <c r="S768" s="132" t="e">
        <f>LEFT(base[[#This Row],[Evento / Mercado]],FIND("/",base[[#This Row],[Evento / Mercado]])-2)</f>
        <v>#VALUE!</v>
      </c>
    </row>
    <row r="769" spans="2:21" ht="15" customHeight="1">
      <c r="B769" s="128" t="s">
        <v>733</v>
      </c>
      <c r="C769" s="128" t="s">
        <v>2982</v>
      </c>
      <c r="D769" s="129">
        <v>46059.743854166663</v>
      </c>
      <c r="E769" s="130">
        <v>7.87</v>
      </c>
      <c r="F769" s="131">
        <v>4.4999999999999998E-2</v>
      </c>
      <c r="G769" s="126">
        <f t="shared" si="12"/>
        <v>8.2408376963350793</v>
      </c>
      <c r="H769" s="126" t="s">
        <v>73</v>
      </c>
      <c r="I769" s="127" t="s">
        <v>16</v>
      </c>
      <c r="J769" s="126">
        <v>18</v>
      </c>
      <c r="K769" s="126">
        <v>140.08000000000001</v>
      </c>
      <c r="L769" s="129">
        <f>INT(base[[#This Row],[Data de liquidação]])</f>
        <v>46059</v>
      </c>
      <c r="M769" s="126">
        <f>base[[#This Row],[L/P Bruto]]-base[[#This Row],[L/P Líquido]]</f>
        <v>0.37083769633507924</v>
      </c>
      <c r="N769" s="126">
        <f>base[[#This Row],[L/P Líquido]]/base[[#This Row],[Stake/Responsabilidade]]</f>
        <v>5.6182181610508274E-2</v>
      </c>
      <c r="O769" s="132">
        <f>IF(base[[#This Row],[L/P Líquido]]&gt;0,1,0)</f>
        <v>1</v>
      </c>
      <c r="P769" s="132"/>
      <c r="Q769" s="132" t="str">
        <f>LEFT(base[[#This Row],[Evento / Mercado]],FIND("vs",base[[#This Row],[Evento / Mercado]])-2)</f>
        <v>De Graafschap</v>
      </c>
      <c r="R7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Ajax</v>
      </c>
      <c r="S769" s="132" t="e">
        <f>LEFT(base[[#This Row],[Evento / Mercado]],FIND("/",base[[#This Row],[Evento / Mercado]])-2)</f>
        <v>#VALUE!</v>
      </c>
    </row>
    <row r="770" spans="2:21" ht="15" customHeight="1">
      <c r="B770" s="128" t="s">
        <v>732</v>
      </c>
      <c r="C770" s="128" t="s">
        <v>2982</v>
      </c>
      <c r="D770" s="129">
        <v>46059.744305555556</v>
      </c>
      <c r="E770" s="130">
        <v>8.91</v>
      </c>
      <c r="F770" s="131">
        <v>4.4999999999999998E-2</v>
      </c>
      <c r="G770" s="126">
        <f t="shared" si="12"/>
        <v>9.3298429319371738</v>
      </c>
      <c r="H770" s="126" t="s">
        <v>73</v>
      </c>
      <c r="I770" s="127" t="s">
        <v>13</v>
      </c>
      <c r="J770" s="126">
        <v>16</v>
      </c>
      <c r="K770" s="126">
        <v>139.94999999999999</v>
      </c>
      <c r="L770" s="129">
        <f>INT(base[[#This Row],[Data de liquidação]])</f>
        <v>46059</v>
      </c>
      <c r="M770" s="126">
        <f>base[[#This Row],[L/P Bruto]]-base[[#This Row],[L/P Líquido]]</f>
        <v>0.4198429319371737</v>
      </c>
      <c r="N770" s="126">
        <f>base[[#This Row],[L/P Líquido]]/base[[#This Row],[Stake/Responsabilidade]]</f>
        <v>6.3665594855305471E-2</v>
      </c>
      <c r="O770" s="132">
        <f>IF(base[[#This Row],[L/P Líquido]]&gt;0,1,0)</f>
        <v>1</v>
      </c>
      <c r="P770" s="132"/>
      <c r="Q770" s="132" t="str">
        <f>LEFT(base[[#This Row],[Evento / Mercado]],FIND("vs",base[[#This Row],[Evento / Mercado]])-2)</f>
        <v>Stade Reims</v>
      </c>
      <c r="R7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Bastia</v>
      </c>
      <c r="S770" s="132" t="e">
        <f>LEFT(base[[#This Row],[Evento / Mercado]],FIND("/",base[[#This Row],[Evento / Mercado]])-2)</f>
        <v>#VALUE!</v>
      </c>
    </row>
    <row r="771" spans="2:21" ht="15" customHeight="1">
      <c r="B771" s="128" t="s">
        <v>731</v>
      </c>
      <c r="C771" s="128" t="s">
        <v>2982</v>
      </c>
      <c r="D771" s="129">
        <v>46059.757592592592</v>
      </c>
      <c r="E771" s="130">
        <v>14.08</v>
      </c>
      <c r="F771" s="131">
        <v>4.4999999999999998E-2</v>
      </c>
      <c r="G771" s="126">
        <f t="shared" ref="G771:G834" si="13">IF(E771&gt;0,E771/(1-F771),E771)</f>
        <v>14.7434554973822</v>
      </c>
      <c r="H771" s="126" t="s">
        <v>73</v>
      </c>
      <c r="I771" s="127" t="s">
        <v>16</v>
      </c>
      <c r="J771" s="126">
        <v>10.5</v>
      </c>
      <c r="K771" s="126">
        <v>140.03</v>
      </c>
      <c r="L771" s="129">
        <f>INT(base[[#This Row],[Data de liquidação]])</f>
        <v>46059</v>
      </c>
      <c r="M771" s="126">
        <f>base[[#This Row],[L/P Bruto]]-base[[#This Row],[L/P Líquido]]</f>
        <v>0.66345549738220022</v>
      </c>
      <c r="N771" s="126">
        <f>base[[#This Row],[L/P Líquido]]/base[[#This Row],[Stake/Responsabilidade]]</f>
        <v>0.10054988216810683</v>
      </c>
      <c r="O771" s="132">
        <f>IF(base[[#This Row],[L/P Líquido]]&gt;0,1,0)</f>
        <v>1</v>
      </c>
      <c r="P771" s="132"/>
      <c r="Q771" s="132" t="str">
        <f>LEFT(base[[#This Row],[Evento / Mercado]],FIND("vs",base[[#This Row],[Evento / Mercado]])-2)</f>
        <v>FC Vaduz</v>
      </c>
      <c r="R7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Etoile-Carouge FC</v>
      </c>
      <c r="S771" s="132" t="e">
        <f>LEFT(base[[#This Row],[Evento / Mercado]],FIND("/",base[[#This Row],[Evento / Mercado]])-2)</f>
        <v>#VALUE!</v>
      </c>
    </row>
    <row r="772" spans="2:21" ht="15" customHeight="1">
      <c r="B772" s="128" t="s">
        <v>730</v>
      </c>
      <c r="C772" s="128" t="s">
        <v>2982</v>
      </c>
      <c r="D772" s="129">
        <v>46059.759386574071</v>
      </c>
      <c r="E772" s="130">
        <v>71.099999999999994</v>
      </c>
      <c r="F772" s="131">
        <v>4.4999999999999998E-2</v>
      </c>
      <c r="G772" s="126">
        <f t="shared" si="13"/>
        <v>74.450261780104711</v>
      </c>
      <c r="H772" s="126" t="s">
        <v>231</v>
      </c>
      <c r="I772" s="127" t="s">
        <v>266</v>
      </c>
      <c r="J772" s="126">
        <v>1.95</v>
      </c>
      <c r="K772" s="126">
        <v>80</v>
      </c>
      <c r="L772" s="129">
        <f>INT(base[[#This Row],[Data de liquidação]])</f>
        <v>46059</v>
      </c>
      <c r="M772" s="126">
        <f>base[[#This Row],[L/P Bruto]]-base[[#This Row],[L/P Líquido]]</f>
        <v>3.3502617801047165</v>
      </c>
      <c r="N772" s="126">
        <f>base[[#This Row],[L/P Líquido]]/base[[#This Row],[Stake/Responsabilidade]]</f>
        <v>0.88874999999999993</v>
      </c>
      <c r="O772" s="132">
        <f>IF(base[[#This Row],[L/P Líquido]]&gt;0,1,0)</f>
        <v>1</v>
      </c>
      <c r="P772" s="132"/>
      <c r="Q772" s="132" t="str">
        <f>LEFT(base[[#This Row],[Evento / Mercado]],FIND("vs",base[[#This Row],[Evento / Mercado]])-2)</f>
        <v>Celta de Vigo</v>
      </c>
      <c r="R7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772" s="132" t="e">
        <f>LEFT(base[[#This Row],[Evento / Mercado]],FIND("/",base[[#This Row],[Evento / Mercado]])-2)</f>
        <v>#VALUE!</v>
      </c>
    </row>
    <row r="773" spans="2:21" ht="15" customHeight="1">
      <c r="B773" s="128" t="s">
        <v>729</v>
      </c>
      <c r="C773" s="128" t="s">
        <v>2982</v>
      </c>
      <c r="D773" s="129">
        <v>46059.764872685184</v>
      </c>
      <c r="E773" s="130">
        <v>56.54</v>
      </c>
      <c r="F773" s="131">
        <v>4.4999999999999998E-2</v>
      </c>
      <c r="G773" s="126">
        <f t="shared" si="13"/>
        <v>59.204188481675395</v>
      </c>
      <c r="H773" s="126" t="s">
        <v>231</v>
      </c>
      <c r="I773" s="127" t="s">
        <v>266</v>
      </c>
      <c r="J773" s="126">
        <v>1.74</v>
      </c>
      <c r="K773" s="126">
        <v>80</v>
      </c>
      <c r="L773" s="129">
        <f>INT(base[[#This Row],[Data de liquidação]])</f>
        <v>46059</v>
      </c>
      <c r="M773" s="126">
        <f>base[[#This Row],[L/P Bruto]]-base[[#This Row],[L/P Líquido]]</f>
        <v>2.6641884816753958</v>
      </c>
      <c r="N773" s="126">
        <f>base[[#This Row],[L/P Líquido]]/base[[#This Row],[Stake/Responsabilidade]]</f>
        <v>0.70674999999999999</v>
      </c>
      <c r="O773" s="132">
        <f>IF(base[[#This Row],[L/P Líquido]]&gt;0,1,0)</f>
        <v>1</v>
      </c>
      <c r="P773" s="132"/>
      <c r="Q773" s="132" t="str">
        <f>LEFT(base[[#This Row],[Evento / Mercado]],FIND("vs",base[[#This Row],[Evento / Mercado]])-2)</f>
        <v>1. FC Union Berlin</v>
      </c>
      <c r="R7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773" s="132" t="e">
        <f>LEFT(base[[#This Row],[Evento / Mercado]],FIND("/",base[[#This Row],[Evento / Mercado]])-2)</f>
        <v>#VALUE!</v>
      </c>
    </row>
    <row r="774" spans="2:21" ht="15" customHeight="1">
      <c r="B774" s="128" t="s">
        <v>728</v>
      </c>
      <c r="C774" s="128" t="s">
        <v>2982</v>
      </c>
      <c r="D774" s="129">
        <v>46059.765787037039</v>
      </c>
      <c r="E774" s="130">
        <v>14.08</v>
      </c>
      <c r="F774" s="131">
        <v>4.4999999999999998E-2</v>
      </c>
      <c r="G774" s="126">
        <f t="shared" si="13"/>
        <v>14.7434554973822</v>
      </c>
      <c r="H774" s="126" t="s">
        <v>73</v>
      </c>
      <c r="I774" s="127" t="s">
        <v>16</v>
      </c>
      <c r="J774" s="126">
        <v>10.5</v>
      </c>
      <c r="K774" s="126">
        <v>140.03</v>
      </c>
      <c r="L774" s="129">
        <f>INT(base[[#This Row],[Data de liquidação]])</f>
        <v>46059</v>
      </c>
      <c r="M774" s="126">
        <f>base[[#This Row],[L/P Bruto]]-base[[#This Row],[L/P Líquido]]</f>
        <v>0.66345549738220022</v>
      </c>
      <c r="N774" s="126">
        <f>base[[#This Row],[L/P Líquido]]/base[[#This Row],[Stake/Responsabilidade]]</f>
        <v>0.10054988216810683</v>
      </c>
      <c r="O774" s="132">
        <f>IF(base[[#This Row],[L/P Líquido]]&gt;0,1,0)</f>
        <v>1</v>
      </c>
      <c r="P774" s="132"/>
      <c r="Q774" s="132" t="str">
        <f>LEFT(base[[#This Row],[Evento / Mercado]],FIND("vs",base[[#This Row],[Evento / Mercado]])-2)</f>
        <v>FC Red Bull Salzburg</v>
      </c>
      <c r="R7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Austria Wien</v>
      </c>
      <c r="S774" s="132" t="e">
        <f>LEFT(base[[#This Row],[Evento / Mercado]],FIND("/",base[[#This Row],[Evento / Mercado]])-2)</f>
        <v>#VALUE!</v>
      </c>
      <c r="T774" s="8">
        <v>18.920000000000002</v>
      </c>
      <c r="U774" s="9">
        <f>T774*0.955</f>
        <v>18.0686</v>
      </c>
    </row>
    <row r="775" spans="2:21" ht="15" customHeight="1">
      <c r="B775" s="128" t="s">
        <v>727</v>
      </c>
      <c r="C775" s="128" t="s">
        <v>2982</v>
      </c>
      <c r="D775" s="129">
        <v>46059.766736111109</v>
      </c>
      <c r="E775" s="130">
        <v>18.0686</v>
      </c>
      <c r="F775" s="131">
        <v>4.4999999999999998E-2</v>
      </c>
      <c r="G775" s="126">
        <f t="shared" si="13"/>
        <v>18.920000000000002</v>
      </c>
      <c r="H775" s="126" t="s">
        <v>73</v>
      </c>
      <c r="I775" s="127" t="s">
        <v>16</v>
      </c>
      <c r="J775" s="126">
        <v>8.4</v>
      </c>
      <c r="K775" s="126">
        <v>140.01</v>
      </c>
      <c r="L775" s="129">
        <f>INT(base[[#This Row],[Data de liquidação]])</f>
        <v>46059</v>
      </c>
      <c r="M775" s="126">
        <f>base[[#This Row],[L/P Bruto]]-base[[#This Row],[L/P Líquido]]</f>
        <v>0.85140000000000171</v>
      </c>
      <c r="N775" s="126">
        <f>base[[#This Row],[L/P Líquido]]/base[[#This Row],[Stake/Responsabilidade]]</f>
        <v>0.12905221055638882</v>
      </c>
      <c r="O775" s="132">
        <f>IF(base[[#This Row],[L/P Líquido]]&gt;0,1,0)</f>
        <v>1</v>
      </c>
      <c r="P775" s="132"/>
      <c r="Q775" s="132" t="str">
        <f>LEFT(base[[#This Row],[Evento / Mercado]],FIND("vs",base[[#This Row],[Evento / Mercado]])-2)</f>
        <v>Cesena</v>
      </c>
      <c r="R7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Pescara</v>
      </c>
      <c r="S775" s="132" t="e">
        <f>LEFT(base[[#This Row],[Evento / Mercado]],FIND("/",base[[#This Row],[Evento / Mercado]])-2)</f>
        <v>#VALUE!</v>
      </c>
      <c r="T775" s="8">
        <v>8.24</v>
      </c>
      <c r="U775" s="9">
        <f>T775*0.955</f>
        <v>7.8692000000000002</v>
      </c>
    </row>
    <row r="776" spans="2:21" ht="15" customHeight="1">
      <c r="B776" s="128" t="s">
        <v>727</v>
      </c>
      <c r="C776" s="128" t="s">
        <v>2982</v>
      </c>
      <c r="D776" s="129">
        <v>46059.766736111109</v>
      </c>
      <c r="E776" s="130">
        <v>7.8692000000000002</v>
      </c>
      <c r="F776" s="131">
        <v>4.4999999999999998E-2</v>
      </c>
      <c r="G776" s="126">
        <f t="shared" si="13"/>
        <v>8.24</v>
      </c>
      <c r="H776" s="126" t="s">
        <v>73</v>
      </c>
      <c r="I776" s="127" t="s">
        <v>13</v>
      </c>
      <c r="J776" s="126">
        <v>18</v>
      </c>
      <c r="K776" s="126">
        <v>140.08000000000001</v>
      </c>
      <c r="L776" s="129">
        <f>INT(base[[#This Row],[Data de liquidação]])</f>
        <v>46059</v>
      </c>
      <c r="M776" s="126">
        <f>base[[#This Row],[L/P Bruto]]-base[[#This Row],[L/P Líquido]]</f>
        <v>0.37080000000000002</v>
      </c>
      <c r="N776" s="126">
        <f>base[[#This Row],[L/P Líquido]]/base[[#This Row],[Stake/Responsabilidade]]</f>
        <v>5.6176470588235293E-2</v>
      </c>
      <c r="O776" s="132">
        <f>IF(base[[#This Row],[L/P Líquido]]&gt;0,1,0)</f>
        <v>1</v>
      </c>
      <c r="P776" s="132"/>
      <c r="Q776" s="132" t="str">
        <f>LEFT(base[[#This Row],[Evento / Mercado]],FIND("vs",base[[#This Row],[Evento / Mercado]])-2)</f>
        <v>Cesena</v>
      </c>
      <c r="R7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Pescara</v>
      </c>
      <c r="S776" s="132" t="e">
        <f>LEFT(base[[#This Row],[Evento / Mercado]],FIND("/",base[[#This Row],[Evento / Mercado]])-2)</f>
        <v>#VALUE!</v>
      </c>
    </row>
    <row r="777" spans="2:21" ht="15" customHeight="1">
      <c r="B777" s="128" t="s">
        <v>726</v>
      </c>
      <c r="C777" s="128" t="s">
        <v>2982</v>
      </c>
      <c r="D777" s="129">
        <v>46059.768460648149</v>
      </c>
      <c r="E777" s="130">
        <v>-80</v>
      </c>
      <c r="F777" s="131">
        <v>4.4999999999999998E-2</v>
      </c>
      <c r="G777" s="126">
        <f t="shared" si="13"/>
        <v>-80</v>
      </c>
      <c r="H777" s="126" t="s">
        <v>231</v>
      </c>
      <c r="I777" s="127" t="s">
        <v>232</v>
      </c>
      <c r="J777" s="126">
        <v>2</v>
      </c>
      <c r="K777" s="126">
        <v>80</v>
      </c>
      <c r="L777" s="129">
        <f>INT(base[[#This Row],[Data de liquidação]])</f>
        <v>46059</v>
      </c>
      <c r="M777" s="126">
        <f>base[[#This Row],[L/P Bruto]]-base[[#This Row],[L/P Líquido]]</f>
        <v>0</v>
      </c>
      <c r="N777" s="126">
        <f>base[[#This Row],[L/P Líquido]]/base[[#This Row],[Stake/Responsabilidade]]</f>
        <v>-1</v>
      </c>
      <c r="O777" s="132">
        <f>IF(base[[#This Row],[L/P Líquido]]&gt;0,1,0)</f>
        <v>0</v>
      </c>
      <c r="P777" s="132"/>
      <c r="Q777" s="132" t="str">
        <f>LEFT(base[[#This Row],[Evento / Mercado]],FIND("vs",base[[#This Row],[Evento / Mercado]])-2)</f>
        <v>Lechia Gdansk</v>
      </c>
      <c r="R7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Cracovia Kraków</v>
      </c>
      <c r="S777" s="132" t="e">
        <f>LEFT(base[[#This Row],[Evento / Mercado]],FIND("/",base[[#This Row],[Evento / Mercado]])-2)</f>
        <v>#VALUE!</v>
      </c>
    </row>
    <row r="778" spans="2:21" ht="15" customHeight="1">
      <c r="B778" s="128" t="s">
        <v>725</v>
      </c>
      <c r="C778" s="128" t="s">
        <v>2982</v>
      </c>
      <c r="D778" s="129">
        <v>46059.777037037034</v>
      </c>
      <c r="E778" s="130">
        <v>8.91</v>
      </c>
      <c r="F778" s="131">
        <v>4.4999999999999998E-2</v>
      </c>
      <c r="G778" s="126">
        <f t="shared" si="13"/>
        <v>9.3298429319371738</v>
      </c>
      <c r="H778" s="126" t="s">
        <v>73</v>
      </c>
      <c r="I778" s="127" t="s">
        <v>13</v>
      </c>
      <c r="J778" s="126">
        <v>16</v>
      </c>
      <c r="K778" s="126">
        <v>139.94999999999999</v>
      </c>
      <c r="L778" s="129">
        <f>INT(base[[#This Row],[Data de liquidação]])</f>
        <v>46059</v>
      </c>
      <c r="M778" s="126">
        <f>base[[#This Row],[L/P Bruto]]-base[[#This Row],[L/P Líquido]]</f>
        <v>0.4198429319371737</v>
      </c>
      <c r="N778" s="126">
        <f>base[[#This Row],[L/P Líquido]]/base[[#This Row],[Stake/Responsabilidade]]</f>
        <v>6.3665594855305471E-2</v>
      </c>
      <c r="O778" s="132">
        <f>IF(base[[#This Row],[L/P Líquido]]&gt;0,1,0)</f>
        <v>1</v>
      </c>
      <c r="P778" s="132"/>
      <c r="Q778" s="132" t="str">
        <f>LEFT(base[[#This Row],[Evento / Mercado]],FIND("vs",base[[#This Row],[Evento / Mercado]])-2)</f>
        <v>Westerlo</v>
      </c>
      <c r="R7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Sint-Truidense VV</v>
      </c>
      <c r="S778" s="132" t="e">
        <f>LEFT(base[[#This Row],[Evento / Mercado]],FIND("/",base[[#This Row],[Evento / Mercado]])-2)</f>
        <v>#VALUE!</v>
      </c>
    </row>
    <row r="779" spans="2:21" ht="15" customHeight="1">
      <c r="B779" s="128" t="s">
        <v>724</v>
      </c>
      <c r="C779" s="128" t="s">
        <v>2982</v>
      </c>
      <c r="D779" s="129">
        <v>46059.790196759262</v>
      </c>
      <c r="E779" s="130">
        <v>7.87</v>
      </c>
      <c r="F779" s="131">
        <v>4.4999999999999998E-2</v>
      </c>
      <c r="G779" s="126">
        <f t="shared" si="13"/>
        <v>8.2408376963350793</v>
      </c>
      <c r="H779" s="126" t="s">
        <v>73</v>
      </c>
      <c r="I779" s="127" t="s">
        <v>13</v>
      </c>
      <c r="J779" s="126">
        <v>18</v>
      </c>
      <c r="K779" s="126">
        <v>140.08000000000001</v>
      </c>
      <c r="L779" s="129">
        <f>INT(base[[#This Row],[Data de liquidação]])</f>
        <v>46059</v>
      </c>
      <c r="M779" s="126">
        <f>base[[#This Row],[L/P Bruto]]-base[[#This Row],[L/P Líquido]]</f>
        <v>0.37083769633507924</v>
      </c>
      <c r="N779" s="126">
        <f>base[[#This Row],[L/P Líquido]]/base[[#This Row],[Stake/Responsabilidade]]</f>
        <v>5.6182181610508274E-2</v>
      </c>
      <c r="O779" s="132">
        <f>IF(base[[#This Row],[L/P Líquido]]&gt;0,1,0)</f>
        <v>1</v>
      </c>
      <c r="P779" s="132"/>
      <c r="Q779" s="132" t="str">
        <f>LEFT(base[[#This Row],[Evento / Mercado]],FIND("vs",base[[#This Row],[Evento / Mercado]])-2)</f>
        <v>Derry City</v>
      </c>
      <c r="R7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Sligo Rovers</v>
      </c>
      <c r="S779" s="132" t="e">
        <f>LEFT(base[[#This Row],[Evento / Mercado]],FIND("/",base[[#This Row],[Evento / Mercado]])-2)</f>
        <v>#VALUE!</v>
      </c>
    </row>
    <row r="780" spans="2:21" ht="15" customHeight="1">
      <c r="B780" s="128" t="s">
        <v>723</v>
      </c>
      <c r="C780" s="128" t="s">
        <v>2982</v>
      </c>
      <c r="D780" s="129">
        <v>46059.80091435185</v>
      </c>
      <c r="E780" s="130">
        <v>-139.94999999999999</v>
      </c>
      <c r="F780" s="131">
        <v>4.4999999999999998E-2</v>
      </c>
      <c r="G780" s="126">
        <f t="shared" si="13"/>
        <v>-139.94999999999999</v>
      </c>
      <c r="H780" s="126" t="s">
        <v>73</v>
      </c>
      <c r="I780" s="127" t="s">
        <v>13</v>
      </c>
      <c r="J780" s="126">
        <v>16</v>
      </c>
      <c r="K780" s="126">
        <v>139.94999999999999</v>
      </c>
      <c r="L780" s="129">
        <f>INT(base[[#This Row],[Data de liquidação]])</f>
        <v>46059</v>
      </c>
      <c r="M780" s="126">
        <f>base[[#This Row],[L/P Bruto]]-base[[#This Row],[L/P Líquido]]</f>
        <v>0</v>
      </c>
      <c r="N780" s="126">
        <f>base[[#This Row],[L/P Líquido]]/base[[#This Row],[Stake/Responsabilidade]]</f>
        <v>-1</v>
      </c>
      <c r="O780" s="132">
        <f>IF(base[[#This Row],[L/P Líquido]]&gt;0,1,0)</f>
        <v>0</v>
      </c>
      <c r="P780" s="132"/>
      <c r="Q780" s="132" t="str">
        <f>LEFT(base[[#This Row],[Evento / Mercado]],FIND("vs",base[[#This Row],[Evento / Mercado]])-2)</f>
        <v>GD Chaves</v>
      </c>
      <c r="R7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Penafiel</v>
      </c>
      <c r="S780" s="132" t="e">
        <f>LEFT(base[[#This Row],[Evento / Mercado]],FIND("/",base[[#This Row],[Evento / Mercado]])-2)</f>
        <v>#VALUE!</v>
      </c>
    </row>
    <row r="781" spans="2:21" ht="15" customHeight="1">
      <c r="B781" s="128" t="s">
        <v>722</v>
      </c>
      <c r="C781" s="128" t="s">
        <v>2982</v>
      </c>
      <c r="D781" s="129">
        <v>46060.458055555559</v>
      </c>
      <c r="E781" s="130">
        <v>17.591100000000001</v>
      </c>
      <c r="F781" s="131">
        <v>4.4999999999999998E-2</v>
      </c>
      <c r="G781" s="126">
        <f t="shared" si="13"/>
        <v>18.420000000000002</v>
      </c>
      <c r="H781" s="126" t="s">
        <v>73</v>
      </c>
      <c r="I781" s="127" t="s">
        <v>13</v>
      </c>
      <c r="J781" s="126">
        <v>17</v>
      </c>
      <c r="K781" s="126">
        <v>140</v>
      </c>
      <c r="L781" s="129">
        <f>INT(base[[#This Row],[Data de liquidação]])</f>
        <v>46060</v>
      </c>
      <c r="M781" s="126">
        <f>base[[#This Row],[L/P Bruto]]-base[[#This Row],[L/P Líquido]]</f>
        <v>0.82890000000000086</v>
      </c>
      <c r="N781" s="126">
        <f>base[[#This Row],[L/P Líquido]]/base[[#This Row],[Stake/Responsabilidade]]</f>
        <v>0.12565071428571428</v>
      </c>
      <c r="O781" s="132">
        <f>IF(base[[#This Row],[L/P Líquido]]&gt;0,1,0)</f>
        <v>1</v>
      </c>
      <c r="P781" s="132"/>
      <c r="Q781" s="132" t="str">
        <f>LEFT(base[[#This Row],[Evento / Mercado]],FIND("vs",base[[#This Row],[Evento / Mercado]])-2)</f>
        <v>FC Schalke 04</v>
      </c>
      <c r="R7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781" s="132" t="e">
        <f>LEFT(base[[#This Row],[Evento / Mercado]],FIND("/",base[[#This Row],[Evento / Mercado]])-2)</f>
        <v>#VALUE!</v>
      </c>
      <c r="T781" s="8">
        <v>18.420000000000002</v>
      </c>
      <c r="U781" s="9">
        <f>T781*0.955</f>
        <v>17.591100000000001</v>
      </c>
    </row>
    <row r="782" spans="2:21" ht="15" customHeight="1">
      <c r="B782" s="128" t="s">
        <v>722</v>
      </c>
      <c r="C782" s="128" t="s">
        <v>2982</v>
      </c>
      <c r="D782" s="129">
        <v>46060.458055555559</v>
      </c>
      <c r="E782" s="130">
        <v>8.3562499999999993</v>
      </c>
      <c r="F782" s="131">
        <v>4.4999999999999998E-2</v>
      </c>
      <c r="G782" s="126">
        <f t="shared" si="13"/>
        <v>8.75</v>
      </c>
      <c r="H782" s="126" t="s">
        <v>73</v>
      </c>
      <c r="I782" s="127" t="s">
        <v>16</v>
      </c>
      <c r="J782" s="126">
        <v>12</v>
      </c>
      <c r="K782" s="126">
        <v>140.03</v>
      </c>
      <c r="L782" s="129">
        <f>INT(base[[#This Row],[Data de liquidação]])</f>
        <v>46060</v>
      </c>
      <c r="M782" s="126">
        <f>base[[#This Row],[L/P Bruto]]-base[[#This Row],[L/P Líquido]]</f>
        <v>0.39375000000000071</v>
      </c>
      <c r="N782" s="126">
        <f>base[[#This Row],[L/P Líquido]]/base[[#This Row],[Stake/Responsabilidade]]</f>
        <v>5.9674712561593936E-2</v>
      </c>
      <c r="O782" s="132">
        <f>IF(base[[#This Row],[L/P Líquido]]&gt;0,1,0)</f>
        <v>1</v>
      </c>
      <c r="P782" s="132"/>
      <c r="Q782" s="132" t="str">
        <f>LEFT(base[[#This Row],[Evento / Mercado]],FIND("vs",base[[#This Row],[Evento / Mercado]])-2)</f>
        <v>FC Schalke 04</v>
      </c>
      <c r="R7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782" s="132" t="e">
        <f>LEFT(base[[#This Row],[Evento / Mercado]],FIND("/",base[[#This Row],[Evento / Mercado]])-2)</f>
        <v>#VALUE!</v>
      </c>
      <c r="T782" s="8">
        <v>8.75</v>
      </c>
      <c r="U782" s="9">
        <f>T782*0.955</f>
        <v>8.3562499999999993</v>
      </c>
    </row>
    <row r="783" spans="2:21" ht="15" customHeight="1">
      <c r="B783" s="128" t="s">
        <v>721</v>
      </c>
      <c r="C783" s="128" t="s">
        <v>2982</v>
      </c>
      <c r="D783" s="129">
        <v>46060.476435185185</v>
      </c>
      <c r="E783" s="130">
        <v>12.16</v>
      </c>
      <c r="F783" s="131">
        <v>4.4999999999999998E-2</v>
      </c>
      <c r="G783" s="126">
        <f t="shared" si="13"/>
        <v>12.732984293193718</v>
      </c>
      <c r="H783" s="126" t="s">
        <v>73</v>
      </c>
      <c r="I783" s="127" t="s">
        <v>16</v>
      </c>
      <c r="J783" s="126">
        <v>12</v>
      </c>
      <c r="K783" s="126">
        <v>140.03</v>
      </c>
      <c r="L783" s="129">
        <f>INT(base[[#This Row],[Data de liquidação]])</f>
        <v>46060</v>
      </c>
      <c r="M783" s="126">
        <f>base[[#This Row],[L/P Bruto]]-base[[#This Row],[L/P Líquido]]</f>
        <v>0.57298429319371813</v>
      </c>
      <c r="N783" s="126">
        <f>base[[#This Row],[L/P Líquido]]/base[[#This Row],[Stake/Responsabilidade]]</f>
        <v>8.6838534599728637E-2</v>
      </c>
      <c r="O783" s="132">
        <f>IF(base[[#This Row],[L/P Líquido]]&gt;0,1,0)</f>
        <v>1</v>
      </c>
      <c r="P783" s="132"/>
      <c r="Q783" s="132" t="str">
        <f>LEFT(base[[#This Row],[Evento / Mercado]],FIND("vs",base[[#This Row],[Evento / Mercado]])-2)</f>
        <v>Manchester United</v>
      </c>
      <c r="R7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783" s="132" t="e">
        <f>LEFT(base[[#This Row],[Evento / Mercado]],FIND("/",base[[#This Row],[Evento / Mercado]])-2)</f>
        <v>#VALUE!</v>
      </c>
    </row>
    <row r="784" spans="2:21" ht="15" customHeight="1">
      <c r="B784" s="128" t="s">
        <v>720</v>
      </c>
      <c r="C784" s="128" t="s">
        <v>2982</v>
      </c>
      <c r="D784" s="129">
        <v>46060.495300925926</v>
      </c>
      <c r="E784" s="130">
        <v>7.87</v>
      </c>
      <c r="F784" s="131">
        <v>4.4999999999999998E-2</v>
      </c>
      <c r="G784" s="126">
        <f t="shared" si="13"/>
        <v>8.2408376963350793</v>
      </c>
      <c r="H784" s="126" t="s">
        <v>73</v>
      </c>
      <c r="I784" s="127" t="s">
        <v>13</v>
      </c>
      <c r="J784" s="126">
        <v>18</v>
      </c>
      <c r="K784" s="126">
        <v>140.08000000000001</v>
      </c>
      <c r="L784" s="129">
        <f>INT(base[[#This Row],[Data de liquidação]])</f>
        <v>46060</v>
      </c>
      <c r="M784" s="126">
        <f>base[[#This Row],[L/P Bruto]]-base[[#This Row],[L/P Líquido]]</f>
        <v>0.37083769633507924</v>
      </c>
      <c r="N784" s="126">
        <f>base[[#This Row],[L/P Líquido]]/base[[#This Row],[Stake/Responsabilidade]]</f>
        <v>5.6182181610508274E-2</v>
      </c>
      <c r="O784" s="132">
        <f>IF(base[[#This Row],[L/P Líquido]]&gt;0,1,0)</f>
        <v>1</v>
      </c>
      <c r="P784" s="132"/>
      <c r="Q784" s="132" t="str">
        <f>LEFT(base[[#This Row],[Evento / Mercado]],FIND("vs",base[[#This Row],[Evento / Mercado]])-2)</f>
        <v>FC Ingolstadt 04</v>
      </c>
      <c r="R7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Energie Cottbus</v>
      </c>
      <c r="S784" s="132" t="e">
        <f>LEFT(base[[#This Row],[Evento / Mercado]],FIND("/",base[[#This Row],[Evento / Mercado]])-2)</f>
        <v>#VALUE!</v>
      </c>
    </row>
    <row r="785" spans="2:21" ht="15" customHeight="1">
      <c r="B785" s="128" t="s">
        <v>719</v>
      </c>
      <c r="C785" s="128" t="s">
        <v>2982</v>
      </c>
      <c r="D785" s="129">
        <v>46060.496111111112</v>
      </c>
      <c r="E785" s="130">
        <v>14.08</v>
      </c>
      <c r="F785" s="131">
        <v>4.4999999999999998E-2</v>
      </c>
      <c r="G785" s="126">
        <f t="shared" si="13"/>
        <v>14.7434554973822</v>
      </c>
      <c r="H785" s="126" t="s">
        <v>73</v>
      </c>
      <c r="I785" s="127" t="s">
        <v>16</v>
      </c>
      <c r="J785" s="126">
        <v>10.5</v>
      </c>
      <c r="K785" s="126">
        <v>140.03</v>
      </c>
      <c r="L785" s="129">
        <f>INT(base[[#This Row],[Data de liquidação]])</f>
        <v>46060</v>
      </c>
      <c r="M785" s="126">
        <f>base[[#This Row],[L/P Bruto]]-base[[#This Row],[L/P Líquido]]</f>
        <v>0.66345549738220022</v>
      </c>
      <c r="N785" s="126">
        <f>base[[#This Row],[L/P Líquido]]/base[[#This Row],[Stake/Responsabilidade]]</f>
        <v>0.10054988216810683</v>
      </c>
      <c r="O785" s="132">
        <f>IF(base[[#This Row],[L/P Líquido]]&gt;0,1,0)</f>
        <v>1</v>
      </c>
      <c r="P785" s="132"/>
      <c r="Q785" s="132" t="str">
        <f>LEFT(base[[#This Row],[Evento / Mercado]],FIND("vs",base[[#This Row],[Evento / Mercado]])-2)</f>
        <v>SV Wehen Wiesbaden</v>
      </c>
      <c r="R7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Schweinfurt 05</v>
      </c>
      <c r="S785" s="132" t="e">
        <f>LEFT(base[[#This Row],[Evento / Mercado]],FIND("/",base[[#This Row],[Evento / Mercado]])-2)</f>
        <v>#VALUE!</v>
      </c>
    </row>
    <row r="786" spans="2:21" ht="15" customHeight="1">
      <c r="B786" s="128" t="s">
        <v>718</v>
      </c>
      <c r="C786" s="128" t="s">
        <v>2982</v>
      </c>
      <c r="D786" s="129">
        <v>46060.496562499997</v>
      </c>
      <c r="E786" s="130">
        <v>17.59</v>
      </c>
      <c r="F786" s="131">
        <v>4.4999999999999998E-2</v>
      </c>
      <c r="G786" s="126">
        <f t="shared" si="13"/>
        <v>18.418848167539267</v>
      </c>
      <c r="H786" s="126" t="s">
        <v>73</v>
      </c>
      <c r="I786" s="127" t="s">
        <v>16</v>
      </c>
      <c r="J786" s="126">
        <v>8.6</v>
      </c>
      <c r="K786" s="126">
        <v>139.99</v>
      </c>
      <c r="L786" s="129">
        <f>INT(base[[#This Row],[Data de liquidação]])</f>
        <v>46060</v>
      </c>
      <c r="M786" s="126">
        <f>base[[#This Row],[L/P Bruto]]-base[[#This Row],[L/P Líquido]]</f>
        <v>0.82884816753926671</v>
      </c>
      <c r="N786" s="126">
        <f>base[[#This Row],[L/P Líquido]]/base[[#This Row],[Stake/Responsabilidade]]</f>
        <v>0.12565183227373383</v>
      </c>
      <c r="O786" s="132">
        <f>IF(base[[#This Row],[L/P Líquido]]&gt;0,1,0)</f>
        <v>1</v>
      </c>
      <c r="P786" s="132"/>
      <c r="Q786" s="132" t="str">
        <f>LEFT(base[[#This Row],[Evento / Mercado]],FIND("vs",base[[#This Row],[Evento / Mercado]])-2)</f>
        <v>Andorra FC</v>
      </c>
      <c r="R7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 B</v>
      </c>
      <c r="S786" s="132" t="e">
        <f>LEFT(base[[#This Row],[Evento / Mercado]],FIND("/",base[[#This Row],[Evento / Mercado]])-2)</f>
        <v>#VALUE!</v>
      </c>
    </row>
    <row r="787" spans="2:21" ht="15" customHeight="1">
      <c r="B787" s="128" t="s">
        <v>717</v>
      </c>
      <c r="C787" s="128" t="s">
        <v>2982</v>
      </c>
      <c r="D787" s="129">
        <v>46060.498506944445</v>
      </c>
      <c r="E787" s="130">
        <v>14.8598</v>
      </c>
      <c r="F787" s="131">
        <v>4.4999999999999998E-2</v>
      </c>
      <c r="G787" s="126">
        <f t="shared" si="13"/>
        <v>15.56</v>
      </c>
      <c r="H787" s="126" t="s">
        <v>73</v>
      </c>
      <c r="I787" s="127" t="s">
        <v>16</v>
      </c>
      <c r="J787" s="126">
        <v>10</v>
      </c>
      <c r="K787" s="126">
        <v>140.04</v>
      </c>
      <c r="L787" s="129">
        <f>INT(base[[#This Row],[Data de liquidação]])</f>
        <v>46060</v>
      </c>
      <c r="M787" s="126">
        <f>base[[#This Row],[L/P Bruto]]-base[[#This Row],[L/P Líquido]]</f>
        <v>0.7002000000000006</v>
      </c>
      <c r="N787" s="126">
        <f>base[[#This Row],[L/P Líquido]]/base[[#This Row],[Stake/Responsabilidade]]</f>
        <v>0.10611111111111111</v>
      </c>
      <c r="O787" s="132">
        <f>IF(base[[#This Row],[L/P Líquido]]&gt;0,1,0)</f>
        <v>1</v>
      </c>
      <c r="P787" s="132"/>
      <c r="Q787" s="132" t="str">
        <f>LEFT(base[[#This Row],[Evento / Mercado]],FIND("vs",base[[#This Row],[Evento / Mercado]])-2)</f>
        <v>VfL Osnabrück</v>
      </c>
      <c r="R7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787" s="132" t="e">
        <f>LEFT(base[[#This Row],[Evento / Mercado]],FIND("/",base[[#This Row],[Evento / Mercado]])-2)</f>
        <v>#VALUE!</v>
      </c>
      <c r="T787" s="8">
        <v>15.56</v>
      </c>
      <c r="U787" s="9">
        <f>T787*0.955</f>
        <v>14.8598</v>
      </c>
    </row>
    <row r="788" spans="2:21" ht="15" customHeight="1">
      <c r="B788" s="128" t="s">
        <v>717</v>
      </c>
      <c r="C788" s="128" t="s">
        <v>2982</v>
      </c>
      <c r="D788" s="129">
        <v>46060.498506944445</v>
      </c>
      <c r="E788" s="130">
        <v>7.8692000000000002</v>
      </c>
      <c r="F788" s="131">
        <v>4.4999999999999998E-2</v>
      </c>
      <c r="G788" s="126">
        <f t="shared" si="13"/>
        <v>8.24</v>
      </c>
      <c r="H788" s="126" t="s">
        <v>73</v>
      </c>
      <c r="I788" s="127" t="s">
        <v>13</v>
      </c>
      <c r="J788" s="126">
        <v>18</v>
      </c>
      <c r="K788" s="126">
        <v>140.08000000000001</v>
      </c>
      <c r="L788" s="129">
        <f>INT(base[[#This Row],[Data de liquidação]])</f>
        <v>46060</v>
      </c>
      <c r="M788" s="126">
        <f>base[[#This Row],[L/P Bruto]]-base[[#This Row],[L/P Líquido]]</f>
        <v>0.37080000000000002</v>
      </c>
      <c r="N788" s="126">
        <f>base[[#This Row],[L/P Líquido]]/base[[#This Row],[Stake/Responsabilidade]]</f>
        <v>5.6176470588235293E-2</v>
      </c>
      <c r="O788" s="132">
        <f>IF(base[[#This Row],[L/P Líquido]]&gt;0,1,0)</f>
        <v>1</v>
      </c>
      <c r="P788" s="132"/>
      <c r="Q788" s="132" t="str">
        <f>LEFT(base[[#This Row],[Evento / Mercado]],FIND("vs",base[[#This Row],[Evento / Mercado]])-2)</f>
        <v>VfL Osnabrück</v>
      </c>
      <c r="R7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788" s="132" t="e">
        <f>LEFT(base[[#This Row],[Evento / Mercado]],FIND("/",base[[#This Row],[Evento / Mercado]])-2)</f>
        <v>#VALUE!</v>
      </c>
      <c r="T788" s="8">
        <v>8.24</v>
      </c>
      <c r="U788" s="9">
        <f>T788*0.955</f>
        <v>7.8692000000000002</v>
      </c>
    </row>
    <row r="789" spans="2:21" ht="15" customHeight="1">
      <c r="B789" s="128" t="s">
        <v>717</v>
      </c>
      <c r="C789" s="128" t="s">
        <v>2982</v>
      </c>
      <c r="D789" s="129">
        <v>46060.498541666668</v>
      </c>
      <c r="E789" s="130">
        <v>-80</v>
      </c>
      <c r="F789" s="131">
        <v>4.4999999999999998E-2</v>
      </c>
      <c r="G789" s="126">
        <f t="shared" si="13"/>
        <v>-80</v>
      </c>
      <c r="H789" s="126" t="s">
        <v>231</v>
      </c>
      <c r="I789" s="127" t="s">
        <v>232</v>
      </c>
      <c r="J789" s="126">
        <v>1.67</v>
      </c>
      <c r="K789" s="126">
        <v>80</v>
      </c>
      <c r="L789" s="129">
        <f>INT(base[[#This Row],[Data de liquidação]])</f>
        <v>46060</v>
      </c>
      <c r="M789" s="126">
        <f>base[[#This Row],[L/P Bruto]]-base[[#This Row],[L/P Líquido]]</f>
        <v>0</v>
      </c>
      <c r="N789" s="126">
        <f>base[[#This Row],[L/P Líquido]]/base[[#This Row],[Stake/Responsabilidade]]</f>
        <v>-1</v>
      </c>
      <c r="O789" s="132">
        <f>IF(base[[#This Row],[L/P Líquido]]&gt;0,1,0)</f>
        <v>0</v>
      </c>
      <c r="P789" s="132"/>
      <c r="Q789" s="132" t="str">
        <f>LEFT(base[[#This Row],[Evento / Mercado]],FIND("vs",base[[#This Row],[Evento / Mercado]])-2)</f>
        <v>VfL Osnabrück</v>
      </c>
      <c r="R7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789" s="132" t="e">
        <f>LEFT(base[[#This Row],[Evento / Mercado]],FIND("/",base[[#This Row],[Evento / Mercado]])-2)</f>
        <v>#VALUE!</v>
      </c>
    </row>
    <row r="790" spans="2:21" ht="15" customHeight="1">
      <c r="B790" s="128" t="s">
        <v>709</v>
      </c>
      <c r="C790" s="128" t="s">
        <v>2982</v>
      </c>
      <c r="D790" s="129">
        <v>46060.515532407408</v>
      </c>
      <c r="E790" s="130">
        <v>65.7</v>
      </c>
      <c r="F790" s="131">
        <v>4.4999999999999998E-2</v>
      </c>
      <c r="G790" s="126">
        <f t="shared" si="13"/>
        <v>68.795811518324612</v>
      </c>
      <c r="H790" s="126" t="s">
        <v>231</v>
      </c>
      <c r="I790" s="127" t="s">
        <v>266</v>
      </c>
      <c r="J790" s="126">
        <v>1.86</v>
      </c>
      <c r="K790" s="126">
        <v>80</v>
      </c>
      <c r="L790" s="129">
        <f>INT(base[[#This Row],[Data de liquidação]])</f>
        <v>46060</v>
      </c>
      <c r="M790" s="126">
        <f>base[[#This Row],[L/P Bruto]]-base[[#This Row],[L/P Líquido]]</f>
        <v>3.0958115183246093</v>
      </c>
      <c r="N790" s="126">
        <f>base[[#This Row],[L/P Líquido]]/base[[#This Row],[Stake/Responsabilidade]]</f>
        <v>0.82125000000000004</v>
      </c>
      <c r="O790" s="132">
        <f>IF(base[[#This Row],[L/P Líquido]]&gt;0,1,0)</f>
        <v>1</v>
      </c>
      <c r="P790" s="132"/>
      <c r="Q790" s="132" t="str">
        <f>LEFT(base[[#This Row],[Evento / Mercado]],FIND("vs",base[[#This Row],[Evento / Mercado]])-2)</f>
        <v>Birmingham City</v>
      </c>
      <c r="R7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Leicester City</v>
      </c>
      <c r="S790" s="132" t="e">
        <f>LEFT(base[[#This Row],[Evento / Mercado]],FIND("/",base[[#This Row],[Evento / Mercado]])-2)</f>
        <v>#VALUE!</v>
      </c>
    </row>
    <row r="791" spans="2:21" ht="15" customHeight="1">
      <c r="B791" s="128" t="s">
        <v>716</v>
      </c>
      <c r="C791" s="128" t="s">
        <v>2982</v>
      </c>
      <c r="D791" s="129">
        <v>46060.522997685184</v>
      </c>
      <c r="E791" s="130">
        <v>7.87</v>
      </c>
      <c r="F791" s="131">
        <v>4.4999999999999998E-2</v>
      </c>
      <c r="G791" s="126">
        <f t="shared" si="13"/>
        <v>8.2408376963350793</v>
      </c>
      <c r="H791" s="126" t="s">
        <v>73</v>
      </c>
      <c r="I791" s="127" t="s">
        <v>13</v>
      </c>
      <c r="J791" s="126">
        <v>18</v>
      </c>
      <c r="K791" s="126">
        <v>140.08000000000001</v>
      </c>
      <c r="L791" s="129">
        <f>INT(base[[#This Row],[Data de liquidação]])</f>
        <v>46060</v>
      </c>
      <c r="M791" s="126">
        <f>base[[#This Row],[L/P Bruto]]-base[[#This Row],[L/P Líquido]]</f>
        <v>0.37083769633507924</v>
      </c>
      <c r="N791" s="126">
        <f>base[[#This Row],[L/P Líquido]]/base[[#This Row],[Stake/Responsabilidade]]</f>
        <v>5.6182181610508274E-2</v>
      </c>
      <c r="O791" s="132">
        <f>IF(base[[#This Row],[L/P Líquido]]&gt;0,1,0)</f>
        <v>1</v>
      </c>
      <c r="P791" s="132"/>
      <c r="Q791" s="132" t="str">
        <f>LEFT(base[[#This Row],[Evento / Mercado]],FIND("vs",base[[#This Row],[Evento / Mercado]])-2)</f>
        <v>Casertana</v>
      </c>
      <c r="R7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Foggia</v>
      </c>
      <c r="S791" s="132" t="e">
        <f>LEFT(base[[#This Row],[Evento / Mercado]],FIND("/",base[[#This Row],[Evento / Mercado]])-2)</f>
        <v>#VALUE!</v>
      </c>
    </row>
    <row r="792" spans="2:21" ht="15" customHeight="1">
      <c r="B792" s="128" t="s">
        <v>715</v>
      </c>
      <c r="C792" s="128" t="s">
        <v>2982</v>
      </c>
      <c r="D792" s="129">
        <v>46060.533263888887</v>
      </c>
      <c r="E792" s="130">
        <v>17.59</v>
      </c>
      <c r="F792" s="131">
        <v>4.4999999999999998E-2</v>
      </c>
      <c r="G792" s="126">
        <f t="shared" si="13"/>
        <v>18.418848167539267</v>
      </c>
      <c r="H792" s="126" t="s">
        <v>73</v>
      </c>
      <c r="I792" s="127" t="s">
        <v>13</v>
      </c>
      <c r="J792" s="126">
        <v>8.6</v>
      </c>
      <c r="K792" s="126">
        <v>139.99</v>
      </c>
      <c r="L792" s="129">
        <f>INT(base[[#This Row],[Data de liquidação]])</f>
        <v>46060</v>
      </c>
      <c r="M792" s="126">
        <f>base[[#This Row],[L/P Bruto]]-base[[#This Row],[L/P Líquido]]</f>
        <v>0.82884816753926671</v>
      </c>
      <c r="N792" s="126">
        <f>base[[#This Row],[L/P Líquido]]/base[[#This Row],[Stake/Responsabilidade]]</f>
        <v>0.12565183227373383</v>
      </c>
      <c r="O792" s="132">
        <f>IF(base[[#This Row],[L/P Líquido]]&gt;0,1,0)</f>
        <v>1</v>
      </c>
      <c r="P792" s="132"/>
      <c r="Q792" s="132" t="str">
        <f>LEFT(base[[#This Row],[Evento / Mercado]],FIND("vs",base[[#This Row],[Evento / Mercado]])-2)</f>
        <v>Al-Riffa</v>
      </c>
      <c r="R7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Hidd</v>
      </c>
      <c r="S792" s="132" t="e">
        <f>LEFT(base[[#This Row],[Evento / Mercado]],FIND("/",base[[#This Row],[Evento / Mercado]])-2)</f>
        <v>#VALUE!</v>
      </c>
    </row>
    <row r="793" spans="2:21" ht="15" customHeight="1">
      <c r="B793" s="128" t="s">
        <v>714</v>
      </c>
      <c r="C793" s="128" t="s">
        <v>2982</v>
      </c>
      <c r="D793" s="129">
        <v>46060.538993055554</v>
      </c>
      <c r="E793" s="130">
        <v>13.97</v>
      </c>
      <c r="F793" s="131">
        <v>4.4999999999999998E-2</v>
      </c>
      <c r="G793" s="126">
        <f t="shared" si="13"/>
        <v>14.628272251308902</v>
      </c>
      <c r="H793" s="126" t="s">
        <v>73</v>
      </c>
      <c r="I793" s="127" t="s">
        <v>13</v>
      </c>
      <c r="J793" s="126">
        <v>10.5</v>
      </c>
      <c r="K793" s="126">
        <v>138.99</v>
      </c>
      <c r="L793" s="129">
        <f>INT(base[[#This Row],[Data de liquidação]])</f>
        <v>46060</v>
      </c>
      <c r="M793" s="126">
        <f>base[[#This Row],[L/P Bruto]]-base[[#This Row],[L/P Líquido]]</f>
        <v>0.65827225130890099</v>
      </c>
      <c r="N793" s="126">
        <f>base[[#This Row],[L/P Líquido]]/base[[#This Row],[Stake/Responsabilidade]]</f>
        <v>0.10051082811713073</v>
      </c>
      <c r="O793" s="132">
        <f>IF(base[[#This Row],[L/P Líquido]]&gt;0,1,0)</f>
        <v>1</v>
      </c>
      <c r="P793" s="132"/>
      <c r="Q793" s="132" t="str">
        <f>LEFT(base[[#This Row],[Evento / Mercado]],FIND("vs",base[[#This Row],[Evento / Mercado]])-2)</f>
        <v>FK Jablonec</v>
      </c>
      <c r="R7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1.FC Slovácko</v>
      </c>
      <c r="S793" s="132" t="e">
        <f>LEFT(base[[#This Row],[Evento / Mercado]],FIND("/",base[[#This Row],[Evento / Mercado]])-2)</f>
        <v>#VALUE!</v>
      </c>
    </row>
    <row r="794" spans="2:21" ht="15" customHeight="1">
      <c r="B794" s="128" t="s">
        <v>713</v>
      </c>
      <c r="C794" s="128" t="s">
        <v>2982</v>
      </c>
      <c r="D794" s="129">
        <v>46060.540833333333</v>
      </c>
      <c r="E794" s="130">
        <v>-139.96</v>
      </c>
      <c r="F794" s="131">
        <v>4.4999999999999998E-2</v>
      </c>
      <c r="G794" s="126">
        <f t="shared" si="13"/>
        <v>-139.96</v>
      </c>
      <c r="H794" s="126" t="s">
        <v>73</v>
      </c>
      <c r="I794" s="127" t="s">
        <v>13</v>
      </c>
      <c r="J794" s="126">
        <v>12.5</v>
      </c>
      <c r="K794" s="126">
        <v>139.96</v>
      </c>
      <c r="L794" s="129">
        <f>INT(base[[#This Row],[Data de liquidação]])</f>
        <v>46060</v>
      </c>
      <c r="M794" s="126">
        <f>base[[#This Row],[L/P Bruto]]-base[[#This Row],[L/P Líquido]]</f>
        <v>0</v>
      </c>
      <c r="N794" s="126">
        <f>base[[#This Row],[L/P Líquido]]/base[[#This Row],[Stake/Responsabilidade]]</f>
        <v>-1</v>
      </c>
      <c r="O794" s="132">
        <f>IF(base[[#This Row],[L/P Líquido]]&gt;0,1,0)</f>
        <v>0</v>
      </c>
      <c r="P794" s="132"/>
      <c r="Q794" s="132" t="str">
        <f>LEFT(base[[#This Row],[Evento / Mercado]],FIND("vs",base[[#This Row],[Evento / Mercado]])-2)</f>
        <v>Marítimo</v>
      </c>
      <c r="R7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Farense</v>
      </c>
      <c r="S794" s="132" t="e">
        <f>LEFT(base[[#This Row],[Evento / Mercado]],FIND("/",base[[#This Row],[Evento / Mercado]])-2)</f>
        <v>#VALUE!</v>
      </c>
    </row>
    <row r="795" spans="2:21" ht="15" customHeight="1">
      <c r="B795" s="128" t="s">
        <v>712</v>
      </c>
      <c r="C795" s="128" t="s">
        <v>2982</v>
      </c>
      <c r="D795" s="129">
        <v>46060.542939814812</v>
      </c>
      <c r="E795" s="130">
        <v>8.91</v>
      </c>
      <c r="F795" s="131">
        <v>4.4999999999999998E-2</v>
      </c>
      <c r="G795" s="126">
        <f t="shared" si="13"/>
        <v>9.3298429319371738</v>
      </c>
      <c r="H795" s="126" t="s">
        <v>73</v>
      </c>
      <c r="I795" s="127" t="s">
        <v>13</v>
      </c>
      <c r="J795" s="126">
        <v>16</v>
      </c>
      <c r="K795" s="126">
        <v>139.94999999999999</v>
      </c>
      <c r="L795" s="129">
        <f>INT(base[[#This Row],[Data de liquidação]])</f>
        <v>46060</v>
      </c>
      <c r="M795" s="126">
        <f>base[[#This Row],[L/P Bruto]]-base[[#This Row],[L/P Líquido]]</f>
        <v>0.4198429319371737</v>
      </c>
      <c r="N795" s="126">
        <f>base[[#This Row],[L/P Líquido]]/base[[#This Row],[Stake/Responsabilidade]]</f>
        <v>6.3665594855305471E-2</v>
      </c>
      <c r="O795" s="132">
        <f>IF(base[[#This Row],[L/P Líquido]]&gt;0,1,0)</f>
        <v>1</v>
      </c>
      <c r="P795" s="132"/>
      <c r="Q795" s="132" t="str">
        <f>LEFT(base[[#This Row],[Evento / Mercado]],FIND("vs",base[[#This Row],[Evento / Mercado]])-2)</f>
        <v>Catanzaro</v>
      </c>
      <c r="R7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Reggiana</v>
      </c>
      <c r="S795" s="132" t="e">
        <f>LEFT(base[[#This Row],[Evento / Mercado]],FIND("/",base[[#This Row],[Evento / Mercado]])-2)</f>
        <v>#VALUE!</v>
      </c>
    </row>
    <row r="796" spans="2:21" ht="15" customHeight="1">
      <c r="B796" s="128" t="s">
        <v>711</v>
      </c>
      <c r="C796" s="128" t="s">
        <v>2982</v>
      </c>
      <c r="D796" s="129">
        <v>46060.552164351851</v>
      </c>
      <c r="E796" s="130">
        <v>45.84</v>
      </c>
      <c r="F796" s="131">
        <v>4.4999999999999998E-2</v>
      </c>
      <c r="G796" s="126">
        <f t="shared" si="13"/>
        <v>48.000000000000007</v>
      </c>
      <c r="H796" s="126" t="s">
        <v>231</v>
      </c>
      <c r="I796" s="127" t="s">
        <v>266</v>
      </c>
      <c r="J796" s="126">
        <v>1.6</v>
      </c>
      <c r="K796" s="126">
        <v>80</v>
      </c>
      <c r="L796" s="129">
        <f>INT(base[[#This Row],[Data de liquidação]])</f>
        <v>46060</v>
      </c>
      <c r="M796" s="126">
        <f>base[[#This Row],[L/P Bruto]]-base[[#This Row],[L/P Líquido]]</f>
        <v>2.1600000000000037</v>
      </c>
      <c r="N796" s="126">
        <f>base[[#This Row],[L/P Líquido]]/base[[#This Row],[Stake/Responsabilidade]]</f>
        <v>0.57300000000000006</v>
      </c>
      <c r="O796" s="132">
        <f>IF(base[[#This Row],[L/P Líquido]]&gt;0,1,0)</f>
        <v>1</v>
      </c>
      <c r="P796" s="132"/>
      <c r="Q796" s="132" t="str">
        <f>LEFT(base[[#This Row],[Evento / Mercado]],FIND("vs",base[[#This Row],[Evento / Mercado]])-2)</f>
        <v>AFC Bournemouth</v>
      </c>
      <c r="R7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796" s="132" t="e">
        <f>LEFT(base[[#This Row],[Evento / Mercado]],FIND("/",base[[#This Row],[Evento / Mercado]])-2)</f>
        <v>#VALUE!</v>
      </c>
    </row>
    <row r="797" spans="2:21" ht="15" customHeight="1">
      <c r="B797" s="128" t="s">
        <v>710</v>
      </c>
      <c r="C797" s="128" t="s">
        <v>2982</v>
      </c>
      <c r="D797" s="129">
        <v>46060.558541666665</v>
      </c>
      <c r="E797" s="130">
        <v>19.89</v>
      </c>
      <c r="F797" s="131">
        <v>4.4999999999999998E-2</v>
      </c>
      <c r="G797" s="126">
        <f t="shared" si="13"/>
        <v>20.827225130890053</v>
      </c>
      <c r="H797" s="126" t="s">
        <v>74</v>
      </c>
      <c r="I797" s="127" t="s">
        <v>541</v>
      </c>
      <c r="J797" s="126">
        <v>13</v>
      </c>
      <c r="K797" s="126">
        <v>249.96</v>
      </c>
      <c r="L797" s="129">
        <f>INT(base[[#This Row],[Data de liquidação]])</f>
        <v>46060</v>
      </c>
      <c r="M797" s="126">
        <f>base[[#This Row],[L/P Bruto]]-base[[#This Row],[L/P Líquido]]</f>
        <v>0.93722513089005233</v>
      </c>
      <c r="N797" s="126">
        <f>base[[#This Row],[L/P Líquido]]/base[[#This Row],[Stake/Responsabilidade]]</f>
        <v>7.9572731637061925E-2</v>
      </c>
      <c r="O797" s="132">
        <f>IF(base[[#This Row],[L/P Líquido]]&gt;0,1,0)</f>
        <v>1</v>
      </c>
      <c r="P797" s="132" t="s">
        <v>962</v>
      </c>
      <c r="Q797" s="132" t="str">
        <f>LEFT(base[[#This Row],[Evento / Mercado]],FIND("vs",base[[#This Row],[Evento / Mercado]])-2)</f>
        <v>VfL Wolfsburg</v>
      </c>
      <c r="R7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797" s="132" t="e">
        <f>LEFT(base[[#This Row],[Evento / Mercado]],FIND("/",base[[#This Row],[Evento / Mercado]])-2)</f>
        <v>#VALUE!</v>
      </c>
    </row>
    <row r="798" spans="2:21" ht="15" customHeight="1">
      <c r="B798" s="128" t="s">
        <v>709</v>
      </c>
      <c r="C798" s="128" t="s">
        <v>2982</v>
      </c>
      <c r="D798" s="129">
        <v>46060.579409722224</v>
      </c>
      <c r="E798" s="130">
        <v>17.59</v>
      </c>
      <c r="F798" s="131">
        <v>4.4999999999999998E-2</v>
      </c>
      <c r="G798" s="126">
        <f t="shared" si="13"/>
        <v>18.418848167539267</v>
      </c>
      <c r="H798" s="126" t="s">
        <v>73</v>
      </c>
      <c r="I798" s="127" t="s">
        <v>16</v>
      </c>
      <c r="J798" s="126">
        <v>8.6</v>
      </c>
      <c r="K798" s="126">
        <v>139.99</v>
      </c>
      <c r="L798" s="129">
        <f>INT(base[[#This Row],[Data de liquidação]])</f>
        <v>46060</v>
      </c>
      <c r="M798" s="126">
        <f>base[[#This Row],[L/P Bruto]]-base[[#This Row],[L/P Líquido]]</f>
        <v>0.82884816753926671</v>
      </c>
      <c r="N798" s="126">
        <f>base[[#This Row],[L/P Líquido]]/base[[#This Row],[Stake/Responsabilidade]]</f>
        <v>0.12565183227373383</v>
      </c>
      <c r="O798" s="132">
        <f>IF(base[[#This Row],[L/P Líquido]]&gt;0,1,0)</f>
        <v>1</v>
      </c>
      <c r="P798" s="132"/>
      <c r="Q798" s="132" t="str">
        <f>LEFT(base[[#This Row],[Evento / Mercado]],FIND("vs",base[[#This Row],[Evento / Mercado]])-2)</f>
        <v>Birmingham City</v>
      </c>
      <c r="R7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Leicester City</v>
      </c>
      <c r="S798" s="132" t="e">
        <f>LEFT(base[[#This Row],[Evento / Mercado]],FIND("/",base[[#This Row],[Evento / Mercado]])-2)</f>
        <v>#VALUE!</v>
      </c>
    </row>
    <row r="799" spans="2:21" ht="15" customHeight="1">
      <c r="B799" s="128" t="s">
        <v>708</v>
      </c>
      <c r="C799" s="128" t="s">
        <v>2982</v>
      </c>
      <c r="D799" s="129">
        <v>46060.581354166665</v>
      </c>
      <c r="E799" s="130">
        <v>14.08</v>
      </c>
      <c r="F799" s="131">
        <v>4.4999999999999998E-2</v>
      </c>
      <c r="G799" s="126">
        <f t="shared" si="13"/>
        <v>14.7434554973822</v>
      </c>
      <c r="H799" s="126" t="s">
        <v>73</v>
      </c>
      <c r="I799" s="127" t="s">
        <v>16</v>
      </c>
      <c r="J799" s="126">
        <v>10.5</v>
      </c>
      <c r="K799" s="126">
        <v>140.03</v>
      </c>
      <c r="L799" s="129">
        <f>INT(base[[#This Row],[Data de liquidação]])</f>
        <v>46060</v>
      </c>
      <c r="M799" s="126">
        <f>base[[#This Row],[L/P Bruto]]-base[[#This Row],[L/P Líquido]]</f>
        <v>0.66345549738220022</v>
      </c>
      <c r="N799" s="126">
        <f>base[[#This Row],[L/P Líquido]]/base[[#This Row],[Stake/Responsabilidade]]</f>
        <v>0.10054988216810683</v>
      </c>
      <c r="O799" s="132">
        <f>IF(base[[#This Row],[L/P Líquido]]&gt;0,1,0)</f>
        <v>1</v>
      </c>
      <c r="P799" s="132"/>
      <c r="Q799" s="132" t="str">
        <f>LEFT(base[[#This Row],[Evento / Mercado]],FIND("vs",base[[#This Row],[Evento / Mercado]])-2)</f>
        <v>Bolton Wanderers</v>
      </c>
      <c r="R7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Barnsley</v>
      </c>
      <c r="S799" s="132" t="e">
        <f>LEFT(base[[#This Row],[Evento / Mercado]],FIND("/",base[[#This Row],[Evento / Mercado]])-2)</f>
        <v>#VALUE!</v>
      </c>
    </row>
    <row r="800" spans="2:21" ht="15" customHeight="1">
      <c r="B800" s="128" t="s">
        <v>707</v>
      </c>
      <c r="C800" s="128" t="s">
        <v>2982</v>
      </c>
      <c r="D800" s="129">
        <v>46060.581574074073</v>
      </c>
      <c r="E800" s="130">
        <v>17.690000000000001</v>
      </c>
      <c r="F800" s="131">
        <v>4.4999999999999998E-2</v>
      </c>
      <c r="G800" s="126">
        <f t="shared" si="13"/>
        <v>18.523560209424087</v>
      </c>
      <c r="H800" s="126" t="s">
        <v>145</v>
      </c>
      <c r="I800" s="127" t="s">
        <v>301</v>
      </c>
      <c r="J800" s="126">
        <v>14.5</v>
      </c>
      <c r="K800" s="126">
        <v>250.02</v>
      </c>
      <c r="L800" s="129">
        <f>INT(base[[#This Row],[Data de liquidação]])</f>
        <v>46060</v>
      </c>
      <c r="M800" s="126">
        <f>base[[#This Row],[L/P Bruto]]-base[[#This Row],[L/P Líquido]]</f>
        <v>0.83356020942408549</v>
      </c>
      <c r="N800" s="126">
        <f>base[[#This Row],[L/P Líquido]]/base[[#This Row],[Stake/Responsabilidade]]</f>
        <v>7.0754339652827777E-2</v>
      </c>
      <c r="O800" s="132">
        <f>IF(base[[#This Row],[L/P Líquido]]&gt;0,1,0)</f>
        <v>1</v>
      </c>
      <c r="P800" s="132" t="s">
        <v>963</v>
      </c>
      <c r="Q800" s="132" t="str">
        <f>LEFT(base[[#This Row],[Evento / Mercado]],FIND("vs",base[[#This Row],[Evento / Mercado]])-2)</f>
        <v>Arsenal</v>
      </c>
      <c r="R8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Sunderland</v>
      </c>
      <c r="S800" s="132" t="e">
        <f>LEFT(base[[#This Row],[Evento / Mercado]],FIND("/",base[[#This Row],[Evento / Mercado]])-2)</f>
        <v>#VALUE!</v>
      </c>
    </row>
    <row r="801" spans="2:19" ht="15" customHeight="1">
      <c r="B801" s="128" t="s">
        <v>706</v>
      </c>
      <c r="C801" s="128" t="s">
        <v>2982</v>
      </c>
      <c r="D801" s="129">
        <v>46060.581736111111</v>
      </c>
      <c r="E801" s="130">
        <v>7.87</v>
      </c>
      <c r="F801" s="131">
        <v>4.4999999999999998E-2</v>
      </c>
      <c r="G801" s="126">
        <f t="shared" si="13"/>
        <v>8.2408376963350793</v>
      </c>
      <c r="H801" s="126" t="s">
        <v>73</v>
      </c>
      <c r="I801" s="127" t="s">
        <v>13</v>
      </c>
      <c r="J801" s="126">
        <v>18</v>
      </c>
      <c r="K801" s="126">
        <v>140.08000000000001</v>
      </c>
      <c r="L801" s="129">
        <f>INT(base[[#This Row],[Data de liquidação]])</f>
        <v>46060</v>
      </c>
      <c r="M801" s="126">
        <f>base[[#This Row],[L/P Bruto]]-base[[#This Row],[L/P Líquido]]</f>
        <v>0.37083769633507924</v>
      </c>
      <c r="N801" s="126">
        <f>base[[#This Row],[L/P Líquido]]/base[[#This Row],[Stake/Responsabilidade]]</f>
        <v>5.6182181610508274E-2</v>
      </c>
      <c r="O801" s="132">
        <f>IF(base[[#This Row],[L/P Líquido]]&gt;0,1,0)</f>
        <v>1</v>
      </c>
      <c r="P801" s="132"/>
      <c r="Q801" s="132" t="str">
        <f>LEFT(base[[#This Row],[Evento / Mercado]],FIND("vs",base[[#This Row],[Evento / Mercado]])-2)</f>
        <v>Coventry City</v>
      </c>
      <c r="R8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801" s="132" t="e">
        <f>LEFT(base[[#This Row],[Evento / Mercado]],FIND("/",base[[#This Row],[Evento / Mercado]])-2)</f>
        <v>#VALUE!</v>
      </c>
    </row>
    <row r="802" spans="2:19" ht="15" customHeight="1">
      <c r="B802" s="128" t="s">
        <v>705</v>
      </c>
      <c r="C802" s="128" t="s">
        <v>2982</v>
      </c>
      <c r="D802" s="129">
        <v>46060.581979166665</v>
      </c>
      <c r="E802" s="130">
        <v>16.71</v>
      </c>
      <c r="F802" s="131">
        <v>4.4999999999999998E-2</v>
      </c>
      <c r="G802" s="126">
        <f t="shared" si="13"/>
        <v>17.497382198952881</v>
      </c>
      <c r="H802" s="126" t="s">
        <v>73</v>
      </c>
      <c r="I802" s="127" t="s">
        <v>16</v>
      </c>
      <c r="J802" s="126">
        <v>9</v>
      </c>
      <c r="K802" s="126">
        <v>140</v>
      </c>
      <c r="L802" s="129">
        <f>INT(base[[#This Row],[Data de liquidação]])</f>
        <v>46060</v>
      </c>
      <c r="M802" s="126">
        <f>base[[#This Row],[L/P Bruto]]-base[[#This Row],[L/P Líquido]]</f>
        <v>0.78738219895287997</v>
      </c>
      <c r="N802" s="126">
        <f>base[[#This Row],[L/P Líquido]]/base[[#This Row],[Stake/Responsabilidade]]</f>
        <v>0.11935714285714287</v>
      </c>
      <c r="O802" s="132">
        <f>IF(base[[#This Row],[L/P Líquido]]&gt;0,1,0)</f>
        <v>1</v>
      </c>
      <c r="P802" s="132"/>
      <c r="Q802" s="132" t="str">
        <f>LEFT(base[[#This Row],[Evento / Mercado]],FIND("vs",base[[#This Row],[Evento / Mercado]])-2)</f>
        <v>Notts County</v>
      </c>
      <c r="R8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Barrow</v>
      </c>
      <c r="S802" s="132" t="e">
        <f>LEFT(base[[#This Row],[Evento / Mercado]],FIND("/",base[[#This Row],[Evento / Mercado]])-2)</f>
        <v>#VALUE!</v>
      </c>
    </row>
    <row r="803" spans="2:19" ht="15" customHeight="1">
      <c r="B803" s="128" t="s">
        <v>704</v>
      </c>
      <c r="C803" s="128" t="s">
        <v>2982</v>
      </c>
      <c r="D803" s="129">
        <v>46060.582662037035</v>
      </c>
      <c r="E803" s="130">
        <v>20.9</v>
      </c>
      <c r="F803" s="131">
        <v>4.4999999999999998E-2</v>
      </c>
      <c r="G803" s="126">
        <f t="shared" si="13"/>
        <v>21.8848167539267</v>
      </c>
      <c r="H803" s="126" t="s">
        <v>73</v>
      </c>
      <c r="I803" s="127" t="s">
        <v>16</v>
      </c>
      <c r="J803" s="126">
        <v>7.4</v>
      </c>
      <c r="K803" s="126">
        <v>140.03</v>
      </c>
      <c r="L803" s="129">
        <f>INT(base[[#This Row],[Data de liquidação]])</f>
        <v>46060</v>
      </c>
      <c r="M803" s="126">
        <f>base[[#This Row],[L/P Bruto]]-base[[#This Row],[L/P Líquido]]</f>
        <v>0.98481675392670098</v>
      </c>
      <c r="N803" s="126">
        <f>base[[#This Row],[L/P Líquido]]/base[[#This Row],[Stake/Responsabilidade]]</f>
        <v>0.14925373134328357</v>
      </c>
      <c r="O803" s="132">
        <f>IF(base[[#This Row],[L/P Líquido]]&gt;0,1,0)</f>
        <v>1</v>
      </c>
      <c r="P803" s="132"/>
      <c r="Q803" s="132" t="str">
        <f>LEFT(base[[#This Row],[Evento / Mercado]],FIND("vs",base[[#This Row],[Evento / Mercado]])-2)</f>
        <v>Huddersfield Town</v>
      </c>
      <c r="R8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Blackpool</v>
      </c>
      <c r="S803" s="132" t="e">
        <f>LEFT(base[[#This Row],[Evento / Mercado]],FIND("/",base[[#This Row],[Evento / Mercado]])-2)</f>
        <v>#VALUE!</v>
      </c>
    </row>
    <row r="804" spans="2:19" ht="15" customHeight="1">
      <c r="B804" s="128" t="s">
        <v>703</v>
      </c>
      <c r="C804" s="128" t="s">
        <v>2982</v>
      </c>
      <c r="D804" s="129">
        <v>46060.583333333336</v>
      </c>
      <c r="E804" s="130">
        <v>23.05</v>
      </c>
      <c r="F804" s="131">
        <v>4.4999999999999998E-2</v>
      </c>
      <c r="G804" s="126">
        <f t="shared" si="13"/>
        <v>24.136125654450264</v>
      </c>
      <c r="H804" s="126" t="s">
        <v>73</v>
      </c>
      <c r="I804" s="127" t="s">
        <v>16</v>
      </c>
      <c r="J804" s="126">
        <v>6.8</v>
      </c>
      <c r="K804" s="126">
        <v>140.01</v>
      </c>
      <c r="L804" s="129">
        <f>INT(base[[#This Row],[Data de liquidação]])</f>
        <v>46060</v>
      </c>
      <c r="M804" s="126">
        <f>base[[#This Row],[L/P Bruto]]-base[[#This Row],[L/P Líquido]]</f>
        <v>1.0861256544502638</v>
      </c>
      <c r="N804" s="126">
        <f>base[[#This Row],[L/P Líquido]]/base[[#This Row],[Stake/Responsabilidade]]</f>
        <v>0.16463109777873011</v>
      </c>
      <c r="O804" s="132">
        <f>IF(base[[#This Row],[L/P Líquido]]&gt;0,1,0)</f>
        <v>1</v>
      </c>
      <c r="P804" s="132"/>
      <c r="Q804" s="132" t="str">
        <f>LEFT(base[[#This Row],[Evento / Mercado]],FIND("vs",base[[#This Row],[Evento / Mercado]])-2)</f>
        <v>Stockport County</v>
      </c>
      <c r="R8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Leyton Orient</v>
      </c>
      <c r="S804" s="132" t="e">
        <f>LEFT(base[[#This Row],[Evento / Mercado]],FIND("/",base[[#This Row],[Evento / Mercado]])-2)</f>
        <v>#VALUE!</v>
      </c>
    </row>
    <row r="805" spans="2:19" ht="15" customHeight="1">
      <c r="B805" s="128" t="s">
        <v>702</v>
      </c>
      <c r="C805" s="128" t="s">
        <v>2982</v>
      </c>
      <c r="D805" s="129">
        <v>46060.583854166667</v>
      </c>
      <c r="E805" s="130">
        <v>44.22</v>
      </c>
      <c r="F805" s="131">
        <v>4.4999999999999998E-2</v>
      </c>
      <c r="G805" s="126">
        <f t="shared" si="13"/>
        <v>46.303664921465966</v>
      </c>
      <c r="H805" s="126" t="s">
        <v>145</v>
      </c>
      <c r="I805" s="127" t="s">
        <v>300</v>
      </c>
      <c r="J805" s="126">
        <v>6.4</v>
      </c>
      <c r="K805" s="126">
        <v>250.02</v>
      </c>
      <c r="L805" s="129">
        <f>INT(base[[#This Row],[Data de liquidação]])</f>
        <v>46060</v>
      </c>
      <c r="M805" s="126">
        <f>base[[#This Row],[L/P Bruto]]-base[[#This Row],[L/P Líquido]]</f>
        <v>2.0836649214659673</v>
      </c>
      <c r="N805" s="126">
        <f>base[[#This Row],[L/P Líquido]]/base[[#This Row],[Stake/Responsabilidade]]</f>
        <v>0.17686585073194144</v>
      </c>
      <c r="O805" s="132">
        <f>IF(base[[#This Row],[L/P Líquido]]&gt;0,1,0)</f>
        <v>1</v>
      </c>
      <c r="P805" s="132" t="s">
        <v>963</v>
      </c>
      <c r="Q805" s="132" t="str">
        <f>LEFT(base[[#This Row],[Evento / Mercado]],FIND("vs",base[[#This Row],[Evento / Mercado]])-2)</f>
        <v>Wolverhampton Wanderers</v>
      </c>
      <c r="R8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805" s="132" t="e">
        <f>LEFT(base[[#This Row],[Evento / Mercado]],FIND("/",base[[#This Row],[Evento / Mercado]])-2)</f>
        <v>#VALUE!</v>
      </c>
    </row>
    <row r="806" spans="2:19" ht="15" customHeight="1">
      <c r="B806" s="128" t="s">
        <v>701</v>
      </c>
      <c r="C806" s="128" t="s">
        <v>2982</v>
      </c>
      <c r="D806" s="129">
        <v>46060.591736111113</v>
      </c>
      <c r="E806" s="130">
        <v>14.93</v>
      </c>
      <c r="F806" s="131">
        <v>4.4999999999999998E-2</v>
      </c>
      <c r="G806" s="126">
        <f t="shared" si="13"/>
        <v>15.633507853403142</v>
      </c>
      <c r="H806" s="126" t="s">
        <v>122</v>
      </c>
      <c r="I806" s="127" t="s">
        <v>477</v>
      </c>
      <c r="J806" s="126">
        <v>17</v>
      </c>
      <c r="K806" s="126">
        <v>250.08</v>
      </c>
      <c r="L806" s="129">
        <f>INT(base[[#This Row],[Data de liquidação]])</f>
        <v>46060</v>
      </c>
      <c r="M806" s="126">
        <f>base[[#This Row],[L/P Bruto]]-base[[#This Row],[L/P Líquido]]</f>
        <v>0.70350785340314204</v>
      </c>
      <c r="N806" s="126">
        <f>base[[#This Row],[L/P Líquido]]/base[[#This Row],[Stake/Responsabilidade]]</f>
        <v>5.970089571337172E-2</v>
      </c>
      <c r="O806" s="132">
        <f>IF(base[[#This Row],[L/P Líquido]]&gt;0,1,0)</f>
        <v>1</v>
      </c>
      <c r="P806" s="132" t="s">
        <v>964</v>
      </c>
      <c r="Q806" s="132" t="str">
        <f>LEFT(base[[#This Row],[Evento / Mercado]],FIND("vs",base[[#This Row],[Evento / Mercado]])-2)</f>
        <v>FC Barcelona</v>
      </c>
      <c r="R8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Mallorca</v>
      </c>
      <c r="S806" s="132" t="e">
        <f>LEFT(base[[#This Row],[Evento / Mercado]],FIND("/",base[[#This Row],[Evento / Mercado]])-2)</f>
        <v>#VALUE!</v>
      </c>
    </row>
    <row r="807" spans="2:19" ht="15" customHeight="1">
      <c r="B807" s="128" t="s">
        <v>700</v>
      </c>
      <c r="C807" s="128" t="s">
        <v>2982</v>
      </c>
      <c r="D807" s="129">
        <v>46060.592986111114</v>
      </c>
      <c r="E807" s="130">
        <v>50.42</v>
      </c>
      <c r="F807" s="131">
        <v>4.4999999999999998E-2</v>
      </c>
      <c r="G807" s="126">
        <f t="shared" si="13"/>
        <v>52.795811518324612</v>
      </c>
      <c r="H807" s="126" t="s">
        <v>231</v>
      </c>
      <c r="I807" s="127" t="s">
        <v>266</v>
      </c>
      <c r="J807" s="126">
        <v>1.66</v>
      </c>
      <c r="K807" s="126">
        <v>80</v>
      </c>
      <c r="L807" s="129">
        <f>INT(base[[#This Row],[Data de liquidação]])</f>
        <v>46060</v>
      </c>
      <c r="M807" s="126">
        <f>base[[#This Row],[L/P Bruto]]-base[[#This Row],[L/P Líquido]]</f>
        <v>2.3758115183246105</v>
      </c>
      <c r="N807" s="126">
        <f>base[[#This Row],[L/P Líquido]]/base[[#This Row],[Stake/Responsabilidade]]</f>
        <v>0.63024999999999998</v>
      </c>
      <c r="O807" s="132">
        <f>IF(base[[#This Row],[L/P Líquido]]&gt;0,1,0)</f>
        <v>1</v>
      </c>
      <c r="P807" s="132"/>
      <c r="Q807" s="132" t="str">
        <f>LEFT(base[[#This Row],[Evento / Mercado]],FIND("vs",base[[#This Row],[Evento / Mercado]])-2)</f>
        <v>VfB Stuttgart II</v>
      </c>
      <c r="R8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1860 München</v>
      </c>
      <c r="S807" s="132" t="e">
        <f>LEFT(base[[#This Row],[Evento / Mercado]],FIND("/",base[[#This Row],[Evento / Mercado]])-2)</f>
        <v>#VALUE!</v>
      </c>
    </row>
    <row r="808" spans="2:19" ht="15" customHeight="1">
      <c r="B808" s="128" t="s">
        <v>699</v>
      </c>
      <c r="C808" s="128" t="s">
        <v>2982</v>
      </c>
      <c r="D808" s="129">
        <v>46060.620833333334</v>
      </c>
      <c r="E808" s="130">
        <v>-140.01</v>
      </c>
      <c r="F808" s="131">
        <v>4.4999999999999998E-2</v>
      </c>
      <c r="G808" s="126">
        <f t="shared" si="13"/>
        <v>-140.01</v>
      </c>
      <c r="H808" s="126" t="s">
        <v>73</v>
      </c>
      <c r="I808" s="127" t="s">
        <v>16</v>
      </c>
      <c r="J808" s="126">
        <v>13</v>
      </c>
      <c r="K808" s="126">
        <v>140.04</v>
      </c>
      <c r="L808" s="129">
        <f>INT(base[[#This Row],[Data de liquidação]])</f>
        <v>46060</v>
      </c>
      <c r="M808" s="126">
        <f>base[[#This Row],[L/P Bruto]]-base[[#This Row],[L/P Líquido]]</f>
        <v>0</v>
      </c>
      <c r="N808" s="126">
        <f>base[[#This Row],[L/P Líquido]]/base[[#This Row],[Stake/Responsabilidade]]</f>
        <v>-0.99978577549271641</v>
      </c>
      <c r="O808" s="132">
        <f>IF(base[[#This Row],[L/P Líquido]]&gt;0,1,0)</f>
        <v>0</v>
      </c>
      <c r="P808" s="132"/>
      <c r="Q808" s="132" t="str">
        <f>LEFT(base[[#This Row],[Evento / Mercado]],FIND("vs",base[[#This Row],[Evento / Mercado]])-2)</f>
        <v>LASK Linz</v>
      </c>
      <c r="R8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WSG Tirol</v>
      </c>
      <c r="S808" s="132" t="e">
        <f>LEFT(base[[#This Row],[Evento / Mercado]],FIND("/",base[[#This Row],[Evento / Mercado]])-2)</f>
        <v>#VALUE!</v>
      </c>
    </row>
    <row r="809" spans="2:19" ht="15" customHeight="1">
      <c r="B809" s="128" t="s">
        <v>698</v>
      </c>
      <c r="C809" s="128" t="s">
        <v>2982</v>
      </c>
      <c r="D809" s="129">
        <v>46060.621296296296</v>
      </c>
      <c r="E809" s="130">
        <v>11.14</v>
      </c>
      <c r="F809" s="131">
        <v>4.4999999999999998E-2</v>
      </c>
      <c r="G809" s="126">
        <f t="shared" si="13"/>
        <v>11.664921465968588</v>
      </c>
      <c r="H809" s="126" t="s">
        <v>73</v>
      </c>
      <c r="I809" s="127" t="s">
        <v>16</v>
      </c>
      <c r="J809" s="126">
        <v>13</v>
      </c>
      <c r="K809" s="126">
        <v>140.04</v>
      </c>
      <c r="L809" s="129">
        <f>INT(base[[#This Row],[Data de liquidação]])</f>
        <v>46060</v>
      </c>
      <c r="M809" s="126">
        <f>base[[#This Row],[L/P Bruto]]-base[[#This Row],[L/P Líquido]]</f>
        <v>0.52492146596858724</v>
      </c>
      <c r="N809" s="126">
        <f>base[[#This Row],[L/P Líquido]]/base[[#This Row],[Stake/Responsabilidade]]</f>
        <v>7.9548700371322487E-2</v>
      </c>
      <c r="O809" s="132">
        <f>IF(base[[#This Row],[L/P Líquido]]&gt;0,1,0)</f>
        <v>1</v>
      </c>
      <c r="P809" s="132"/>
      <c r="Q809" s="132" t="str">
        <f>LEFT(base[[#This Row],[Evento / Mercado]],FIND("vs",base[[#This Row],[Evento / Mercado]])-2)</f>
        <v>RC Lens</v>
      </c>
      <c r="R8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809" s="132" t="e">
        <f>LEFT(base[[#This Row],[Evento / Mercado]],FIND("/",base[[#This Row],[Evento / Mercado]])-2)</f>
        <v>#VALUE!</v>
      </c>
    </row>
    <row r="810" spans="2:19" ht="15" customHeight="1">
      <c r="B810" s="128" t="s">
        <v>698</v>
      </c>
      <c r="C810" s="128" t="s">
        <v>2982</v>
      </c>
      <c r="D810" s="129">
        <v>46060.621400462966</v>
      </c>
      <c r="E810" s="130">
        <v>48.72</v>
      </c>
      <c r="F810" s="131">
        <v>4.4999999999999998E-2</v>
      </c>
      <c r="G810" s="126">
        <f t="shared" si="13"/>
        <v>51.015706806282722</v>
      </c>
      <c r="H810" s="126" t="s">
        <v>145</v>
      </c>
      <c r="I810" s="127" t="s">
        <v>301</v>
      </c>
      <c r="J810" s="126">
        <v>5.9</v>
      </c>
      <c r="K810" s="126">
        <v>250</v>
      </c>
      <c r="L810" s="129">
        <f>INT(base[[#This Row],[Data de liquidação]])</f>
        <v>46060</v>
      </c>
      <c r="M810" s="126">
        <f>base[[#This Row],[L/P Bruto]]-base[[#This Row],[L/P Líquido]]</f>
        <v>2.2957068062827233</v>
      </c>
      <c r="N810" s="126">
        <f>base[[#This Row],[L/P Líquido]]/base[[#This Row],[Stake/Responsabilidade]]</f>
        <v>0.19488</v>
      </c>
      <c r="O810" s="132">
        <f>IF(base[[#This Row],[L/P Líquido]]&gt;0,1,0)</f>
        <v>1</v>
      </c>
      <c r="P810" s="132" t="s">
        <v>970</v>
      </c>
      <c r="Q810" s="132" t="str">
        <f>LEFT(base[[#This Row],[Evento / Mercado]],FIND("vs",base[[#This Row],[Evento / Mercado]])-2)</f>
        <v>RC Lens</v>
      </c>
      <c r="R8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810" s="132" t="e">
        <f>LEFT(base[[#This Row],[Evento / Mercado]],FIND("/",base[[#This Row],[Evento / Mercado]])-2)</f>
        <v>#VALUE!</v>
      </c>
    </row>
    <row r="811" spans="2:19" ht="15" customHeight="1">
      <c r="B811" s="128" t="s">
        <v>697</v>
      </c>
      <c r="C811" s="128" t="s">
        <v>2982</v>
      </c>
      <c r="D811" s="129">
        <v>46060.625659722224</v>
      </c>
      <c r="E811" s="130">
        <v>9.5500000000000007</v>
      </c>
      <c r="F811" s="131">
        <v>4.4999999999999998E-2</v>
      </c>
      <c r="G811" s="126">
        <f t="shared" si="13"/>
        <v>10.000000000000002</v>
      </c>
      <c r="H811" s="126" t="s">
        <v>73</v>
      </c>
      <c r="I811" s="127" t="s">
        <v>13</v>
      </c>
      <c r="J811" s="126">
        <v>15</v>
      </c>
      <c r="K811" s="126">
        <v>140</v>
      </c>
      <c r="L811" s="129">
        <f>INT(base[[#This Row],[Data de liquidação]])</f>
        <v>46060</v>
      </c>
      <c r="M811" s="126">
        <f>base[[#This Row],[L/P Bruto]]-base[[#This Row],[L/P Líquido]]</f>
        <v>0.45000000000000107</v>
      </c>
      <c r="N811" s="126">
        <f>base[[#This Row],[L/P Líquido]]/base[[#This Row],[Stake/Responsabilidade]]</f>
        <v>6.8214285714285713E-2</v>
      </c>
      <c r="O811" s="132">
        <f>IF(base[[#This Row],[L/P Líquido]]&gt;0,1,0)</f>
        <v>1</v>
      </c>
      <c r="P811" s="132"/>
      <c r="Q811" s="132" t="str">
        <f>LEFT(base[[#This Row],[Evento / Mercado]],FIND("vs",base[[#This Row],[Evento / Mercado]])-2)</f>
        <v>Asteras Tripolis</v>
      </c>
      <c r="R8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NFC Volos</v>
      </c>
      <c r="S811" s="132" t="e">
        <f>LEFT(base[[#This Row],[Evento / Mercado]],FIND("/",base[[#This Row],[Evento / Mercado]])-2)</f>
        <v>#VALUE!</v>
      </c>
    </row>
    <row r="812" spans="2:19" ht="15" customHeight="1">
      <c r="B812" s="128" t="s">
        <v>696</v>
      </c>
      <c r="C812" s="128" t="s">
        <v>2982</v>
      </c>
      <c r="D812" s="129">
        <v>46060.626562500001</v>
      </c>
      <c r="E812" s="130">
        <v>-138.78</v>
      </c>
      <c r="F812" s="131">
        <v>4.4999999999999998E-2</v>
      </c>
      <c r="G812" s="126">
        <f t="shared" si="13"/>
        <v>-138.78</v>
      </c>
      <c r="H812" s="126" t="s">
        <v>73</v>
      </c>
      <c r="I812" s="127" t="s">
        <v>13</v>
      </c>
      <c r="J812" s="126">
        <v>9.4</v>
      </c>
      <c r="K812" s="126">
        <v>138.78</v>
      </c>
      <c r="L812" s="129">
        <f>INT(base[[#This Row],[Data de liquidação]])</f>
        <v>46060</v>
      </c>
      <c r="M812" s="126">
        <f>base[[#This Row],[L/P Bruto]]-base[[#This Row],[L/P Líquido]]</f>
        <v>0</v>
      </c>
      <c r="N812" s="126">
        <f>base[[#This Row],[L/P Líquido]]/base[[#This Row],[Stake/Responsabilidade]]</f>
        <v>-1</v>
      </c>
      <c r="O812" s="132">
        <f>IF(base[[#This Row],[L/P Líquido]]&gt;0,1,0)</f>
        <v>0</v>
      </c>
      <c r="P812" s="132"/>
      <c r="Q812" s="132" t="str">
        <f>LEFT(base[[#This Row],[Evento / Mercado]],FIND("vs",base[[#This Row],[Evento / Mercado]])-2)</f>
        <v>Al-Arabi Sports Club</v>
      </c>
      <c r="R8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Kazma Sporting Club</v>
      </c>
      <c r="S812" s="132" t="e">
        <f>LEFT(base[[#This Row],[Evento / Mercado]],FIND("/",base[[#This Row],[Evento / Mercado]])-2)</f>
        <v>#VALUE!</v>
      </c>
    </row>
    <row r="813" spans="2:19" ht="15" customHeight="1">
      <c r="B813" s="128" t="s">
        <v>695</v>
      </c>
      <c r="C813" s="128" t="s">
        <v>2982</v>
      </c>
      <c r="D813" s="129">
        <v>46060.626655092594</v>
      </c>
      <c r="E813" s="130">
        <v>58.49</v>
      </c>
      <c r="F813" s="131">
        <v>4.4999999999999998E-2</v>
      </c>
      <c r="G813" s="126">
        <f t="shared" si="13"/>
        <v>61.246073298429323</v>
      </c>
      <c r="H813" s="126" t="s">
        <v>145</v>
      </c>
      <c r="I813" s="127" t="s">
        <v>301</v>
      </c>
      <c r="J813" s="126">
        <v>3.85</v>
      </c>
      <c r="K813" s="126">
        <v>250</v>
      </c>
      <c r="L813" s="129">
        <f>INT(base[[#This Row],[Data de liquidação]])</f>
        <v>46060</v>
      </c>
      <c r="M813" s="126">
        <f>base[[#This Row],[L/P Bruto]]-base[[#This Row],[L/P Líquido]]</f>
        <v>2.756073298429321</v>
      </c>
      <c r="N813" s="126">
        <f>base[[#This Row],[L/P Líquido]]/base[[#This Row],[Stake/Responsabilidade]]</f>
        <v>0.23396</v>
      </c>
      <c r="O813" s="132">
        <f>IF(base[[#This Row],[L/P Líquido]]&gt;0,1,0)</f>
        <v>1</v>
      </c>
      <c r="P813" s="132" t="s">
        <v>962</v>
      </c>
      <c r="Q813" s="132" t="str">
        <f>LEFT(base[[#This Row],[Evento / Mercado]],FIND("vs",base[[#This Row],[Evento / Mercado]])-2)</f>
        <v>SC Freiburg</v>
      </c>
      <c r="R8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Werder Bremen</v>
      </c>
      <c r="S813" s="132" t="e">
        <f>LEFT(base[[#This Row],[Evento / Mercado]],FIND("/",base[[#This Row],[Evento / Mercado]])-2)</f>
        <v>#VALUE!</v>
      </c>
    </row>
    <row r="814" spans="2:19" ht="15" customHeight="1">
      <c r="B814" s="128" t="s">
        <v>694</v>
      </c>
      <c r="C814" s="128" t="s">
        <v>2982</v>
      </c>
      <c r="D814" s="129">
        <v>46060.634976851848</v>
      </c>
      <c r="E814" s="130">
        <v>10.24</v>
      </c>
      <c r="F814" s="131">
        <v>4.4999999999999998E-2</v>
      </c>
      <c r="G814" s="126">
        <f t="shared" si="13"/>
        <v>10.722513089005236</v>
      </c>
      <c r="H814" s="126" t="s">
        <v>73</v>
      </c>
      <c r="I814" s="127" t="s">
        <v>13</v>
      </c>
      <c r="J814" s="126">
        <v>14</v>
      </c>
      <c r="K814" s="126">
        <v>139.43</v>
      </c>
      <c r="L814" s="129">
        <f>INT(base[[#This Row],[Data de liquidação]])</f>
        <v>46060</v>
      </c>
      <c r="M814" s="126">
        <f>base[[#This Row],[L/P Bruto]]-base[[#This Row],[L/P Líquido]]</f>
        <v>0.48251308900523604</v>
      </c>
      <c r="N814" s="126">
        <f>base[[#This Row],[L/P Líquido]]/base[[#This Row],[Stake/Responsabilidade]]</f>
        <v>7.3441870472638601E-2</v>
      </c>
      <c r="O814" s="132">
        <f>IF(base[[#This Row],[L/P Líquido]]&gt;0,1,0)</f>
        <v>1</v>
      </c>
      <c r="P814" s="132"/>
      <c r="Q814" s="132" t="str">
        <f>LEFT(base[[#This Row],[Evento / Mercado]],FIND("vs",base[[#This Row],[Evento / Mercado]])-2)</f>
        <v>Palermo</v>
      </c>
      <c r="R8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814" s="132" t="e">
        <f>LEFT(base[[#This Row],[Evento / Mercado]],FIND("/",base[[#This Row],[Evento / Mercado]])-2)</f>
        <v>#VALUE!</v>
      </c>
    </row>
    <row r="815" spans="2:19" ht="15" customHeight="1">
      <c r="B815" s="128" t="s">
        <v>693</v>
      </c>
      <c r="C815" s="128" t="s">
        <v>2982</v>
      </c>
      <c r="D815" s="129">
        <v>46060.63722222222</v>
      </c>
      <c r="E815" s="130">
        <v>55.01</v>
      </c>
      <c r="F815" s="131">
        <v>4.4999999999999998E-2</v>
      </c>
      <c r="G815" s="126">
        <f t="shared" si="13"/>
        <v>57.602094240837694</v>
      </c>
      <c r="H815" s="126" t="s">
        <v>231</v>
      </c>
      <c r="I815" s="127" t="s">
        <v>232</v>
      </c>
      <c r="J815" s="126">
        <v>1.72</v>
      </c>
      <c r="K815" s="126">
        <v>80</v>
      </c>
      <c r="L815" s="129">
        <f>INT(base[[#This Row],[Data de liquidação]])</f>
        <v>46060</v>
      </c>
      <c r="M815" s="126">
        <f>base[[#This Row],[L/P Bruto]]-base[[#This Row],[L/P Líquido]]</f>
        <v>2.5920942408376959</v>
      </c>
      <c r="N815" s="126">
        <f>base[[#This Row],[L/P Líquido]]/base[[#This Row],[Stake/Responsabilidade]]</f>
        <v>0.68762499999999993</v>
      </c>
      <c r="O815" s="132">
        <f>IF(base[[#This Row],[L/P Líquido]]&gt;0,1,0)</f>
        <v>1</v>
      </c>
      <c r="P815" s="132"/>
      <c r="Q815" s="132" t="str">
        <f>LEFT(base[[#This Row],[Evento / Mercado]],FIND("vs",base[[#This Row],[Evento / Mercado]])-2)</f>
        <v>Newcastle United</v>
      </c>
      <c r="R8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815" s="132" t="e">
        <f>LEFT(base[[#This Row],[Evento / Mercado]],FIND("/",base[[#This Row],[Evento / Mercado]])-2)</f>
        <v>#VALUE!</v>
      </c>
    </row>
    <row r="816" spans="2:19" ht="15" customHeight="1">
      <c r="B816" s="128" t="s">
        <v>692</v>
      </c>
      <c r="C816" s="128" t="s">
        <v>2982</v>
      </c>
      <c r="D816" s="129">
        <v>46060.682476851849</v>
      </c>
      <c r="E816" s="130">
        <v>12.73</v>
      </c>
      <c r="F816" s="131">
        <v>4.4999999999999998E-2</v>
      </c>
      <c r="G816" s="126">
        <f t="shared" si="13"/>
        <v>13.329842931937174</v>
      </c>
      <c r="H816" s="126" t="s">
        <v>73</v>
      </c>
      <c r="I816" s="127" t="s">
        <v>16</v>
      </c>
      <c r="J816" s="126">
        <v>11.5</v>
      </c>
      <c r="K816" s="126">
        <v>139.97</v>
      </c>
      <c r="L816" s="129">
        <f>INT(base[[#This Row],[Data de liquidação]])</f>
        <v>46060</v>
      </c>
      <c r="M816" s="126">
        <f>base[[#This Row],[L/P Bruto]]-base[[#This Row],[L/P Líquido]]</f>
        <v>0.59984293193717342</v>
      </c>
      <c r="N816" s="126">
        <f>base[[#This Row],[L/P Líquido]]/base[[#This Row],[Stake/Responsabilidade]]</f>
        <v>9.0948060298635419E-2</v>
      </c>
      <c r="O816" s="132">
        <f>IF(base[[#This Row],[L/P Líquido]]&gt;0,1,0)</f>
        <v>1</v>
      </c>
      <c r="P816" s="132"/>
      <c r="Q816" s="132" t="str">
        <f>LEFT(base[[#This Row],[Evento / Mercado]],FIND("vs",base[[#This Row],[Evento / Mercado]])-2)</f>
        <v>Al-Qadisiyah</v>
      </c>
      <c r="R8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Al-Fateh Al-Hasa</v>
      </c>
      <c r="S816" s="132" t="e">
        <f>LEFT(base[[#This Row],[Evento / Mercado]],FIND("/",base[[#This Row],[Evento / Mercado]])-2)</f>
        <v>#VALUE!</v>
      </c>
    </row>
    <row r="817" spans="2:21" ht="15" customHeight="1">
      <c r="B817" s="128" t="s">
        <v>692</v>
      </c>
      <c r="C817" s="128" t="s">
        <v>2982</v>
      </c>
      <c r="D817" s="129">
        <v>46060.682523148149</v>
      </c>
      <c r="E817" s="130">
        <v>34.1</v>
      </c>
      <c r="F817" s="131">
        <v>4.4999999999999998E-2</v>
      </c>
      <c r="G817" s="126">
        <f t="shared" si="13"/>
        <v>35.706806282722518</v>
      </c>
      <c r="H817" s="126" t="s">
        <v>145</v>
      </c>
      <c r="I817" s="127" t="s">
        <v>301</v>
      </c>
      <c r="J817" s="126">
        <v>8</v>
      </c>
      <c r="K817" s="126">
        <v>249.97</v>
      </c>
      <c r="L817" s="129">
        <f>INT(base[[#This Row],[Data de liquidação]])</f>
        <v>46060</v>
      </c>
      <c r="M817" s="126">
        <f>base[[#This Row],[L/P Bruto]]-base[[#This Row],[L/P Líquido]]</f>
        <v>1.6068062827225162</v>
      </c>
      <c r="N817" s="126">
        <f>base[[#This Row],[L/P Líquido]]/base[[#This Row],[Stake/Responsabilidade]]</f>
        <v>0.13641636996439574</v>
      </c>
      <c r="O817" s="132">
        <f>IF(base[[#This Row],[L/P Líquido]]&gt;0,1,0)</f>
        <v>1</v>
      </c>
      <c r="P817" s="132" t="s">
        <v>973</v>
      </c>
      <c r="Q817" s="132" t="str">
        <f>LEFT(base[[#This Row],[Evento / Mercado]],FIND("vs",base[[#This Row],[Evento / Mercado]])-2)</f>
        <v>Al-Qadisiyah</v>
      </c>
      <c r="R8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Al-Fateh Al-Hasa</v>
      </c>
      <c r="S817" s="132" t="e">
        <f>LEFT(base[[#This Row],[Evento / Mercado]],FIND("/",base[[#This Row],[Evento / Mercado]])-2)</f>
        <v>#VALUE!</v>
      </c>
    </row>
    <row r="818" spans="2:21" ht="15" customHeight="1">
      <c r="B818" s="128" t="s">
        <v>691</v>
      </c>
      <c r="C818" s="128" t="s">
        <v>2982</v>
      </c>
      <c r="D818" s="129">
        <v>46060.693159722221</v>
      </c>
      <c r="E818" s="130">
        <v>13.37</v>
      </c>
      <c r="F818" s="131">
        <v>4.4999999999999998E-2</v>
      </c>
      <c r="G818" s="126">
        <f t="shared" si="13"/>
        <v>14</v>
      </c>
      <c r="H818" s="126" t="s">
        <v>73</v>
      </c>
      <c r="I818" s="127" t="s">
        <v>16</v>
      </c>
      <c r="J818" s="126">
        <v>11</v>
      </c>
      <c r="K818" s="126">
        <v>140</v>
      </c>
      <c r="L818" s="129">
        <f>INT(base[[#This Row],[Data de liquidação]])</f>
        <v>46060</v>
      </c>
      <c r="M818" s="126">
        <f>base[[#This Row],[L/P Bruto]]-base[[#This Row],[L/P Líquido]]</f>
        <v>0.63000000000000078</v>
      </c>
      <c r="N818" s="126">
        <f>base[[#This Row],[L/P Líquido]]/base[[#This Row],[Stake/Responsabilidade]]</f>
        <v>9.5499999999999988E-2</v>
      </c>
      <c r="O818" s="132">
        <f>IF(base[[#This Row],[L/P Líquido]]&gt;0,1,0)</f>
        <v>1</v>
      </c>
      <c r="P818" s="132"/>
      <c r="Q818" s="132" t="str">
        <f>LEFT(base[[#This Row],[Evento / Mercado]],FIND("vs",base[[#This Row],[Evento / Mercado]])-2)</f>
        <v>PEC Zwolle</v>
      </c>
      <c r="R8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Volendam</v>
      </c>
      <c r="S818" s="132" t="e">
        <f>LEFT(base[[#This Row],[Evento / Mercado]],FIND("/",base[[#This Row],[Evento / Mercado]])-2)</f>
        <v>#VALUE!</v>
      </c>
    </row>
    <row r="819" spans="2:21" ht="15" customHeight="1">
      <c r="B819" s="128" t="s">
        <v>690</v>
      </c>
      <c r="C819" s="128" t="s">
        <v>2982</v>
      </c>
      <c r="D819" s="129">
        <v>46060.701701388891</v>
      </c>
      <c r="E819" s="130">
        <v>16.3</v>
      </c>
      <c r="F819" s="131">
        <v>4.4999999999999998E-2</v>
      </c>
      <c r="G819" s="126">
        <f t="shared" si="13"/>
        <v>17.068062827225134</v>
      </c>
      <c r="H819" s="126" t="s">
        <v>73</v>
      </c>
      <c r="I819" s="127" t="s">
        <v>16</v>
      </c>
      <c r="J819" s="126">
        <v>9.1999999999999993</v>
      </c>
      <c r="K819" s="126">
        <v>139.97</v>
      </c>
      <c r="L819" s="129">
        <f>INT(base[[#This Row],[Data de liquidação]])</f>
        <v>46060</v>
      </c>
      <c r="M819" s="126">
        <f>base[[#This Row],[L/P Bruto]]-base[[#This Row],[L/P Líquido]]</f>
        <v>0.7680628272251333</v>
      </c>
      <c r="N819" s="126">
        <f>base[[#This Row],[L/P Líquido]]/base[[#This Row],[Stake/Responsabilidade]]</f>
        <v>0.11645352575551905</v>
      </c>
      <c r="O819" s="132">
        <f>IF(base[[#This Row],[L/P Líquido]]&gt;0,1,0)</f>
        <v>1</v>
      </c>
      <c r="P819" s="132"/>
      <c r="Q819" s="132" t="str">
        <f>LEFT(base[[#This Row],[Evento / Mercado]],FIND("vs",base[[#This Row],[Evento / Mercado]])-2)</f>
        <v>Estoril-Praia</v>
      </c>
      <c r="R8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Tondela</v>
      </c>
      <c r="S819" s="132" t="e">
        <f>LEFT(base[[#This Row],[Evento / Mercado]],FIND("/",base[[#This Row],[Evento / Mercado]])-2)</f>
        <v>#VALUE!</v>
      </c>
    </row>
    <row r="820" spans="2:21" ht="15" customHeight="1">
      <c r="B820" s="128" t="s">
        <v>689</v>
      </c>
      <c r="C820" s="128" t="s">
        <v>2982</v>
      </c>
      <c r="D820" s="129">
        <v>46060.744039351855</v>
      </c>
      <c r="E820" s="130">
        <v>13.37</v>
      </c>
      <c r="F820" s="131">
        <v>4.4999999999999998E-2</v>
      </c>
      <c r="G820" s="126">
        <f t="shared" si="13"/>
        <v>14</v>
      </c>
      <c r="H820" s="126" t="s">
        <v>73</v>
      </c>
      <c r="I820" s="127" t="s">
        <v>16</v>
      </c>
      <c r="J820" s="126">
        <v>11</v>
      </c>
      <c r="K820" s="126">
        <v>140</v>
      </c>
      <c r="L820" s="129">
        <f>INT(base[[#This Row],[Data de liquidação]])</f>
        <v>46060</v>
      </c>
      <c r="M820" s="126">
        <f>base[[#This Row],[L/P Bruto]]-base[[#This Row],[L/P Líquido]]</f>
        <v>0.63000000000000078</v>
      </c>
      <c r="N820" s="126">
        <f>base[[#This Row],[L/P Líquido]]/base[[#This Row],[Stake/Responsabilidade]]</f>
        <v>9.5499999999999988E-2</v>
      </c>
      <c r="O820" s="132">
        <f>IF(base[[#This Row],[L/P Líquido]]&gt;0,1,0)</f>
        <v>1</v>
      </c>
      <c r="P820" s="132"/>
      <c r="Q820" s="132" t="str">
        <f>LEFT(base[[#This Row],[Evento / Mercado]],FIND("vs",base[[#This Row],[Evento / Mercado]])-2)</f>
        <v>FC Twente</v>
      </c>
      <c r="R8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820" s="132" t="e">
        <f>LEFT(base[[#This Row],[Evento / Mercado]],FIND("/",base[[#This Row],[Evento / Mercado]])-2)</f>
        <v>#VALUE!</v>
      </c>
    </row>
    <row r="821" spans="2:21" ht="15" customHeight="1">
      <c r="B821" s="128" t="s">
        <v>688</v>
      </c>
      <c r="C821" s="128" t="s">
        <v>2982</v>
      </c>
      <c r="D821" s="129">
        <v>46060.744756944441</v>
      </c>
      <c r="E821" s="130">
        <v>13.37</v>
      </c>
      <c r="F821" s="131">
        <v>4.4999999999999998E-2</v>
      </c>
      <c r="G821" s="126">
        <f t="shared" si="13"/>
        <v>14</v>
      </c>
      <c r="H821" s="126" t="s">
        <v>73</v>
      </c>
      <c r="I821" s="127" t="s">
        <v>16</v>
      </c>
      <c r="J821" s="126">
        <v>11</v>
      </c>
      <c r="K821" s="126">
        <v>140</v>
      </c>
      <c r="L821" s="129">
        <f>INT(base[[#This Row],[Data de liquidação]])</f>
        <v>46060</v>
      </c>
      <c r="M821" s="126">
        <f>base[[#This Row],[L/P Bruto]]-base[[#This Row],[L/P Líquido]]</f>
        <v>0.63000000000000078</v>
      </c>
      <c r="N821" s="126">
        <f>base[[#This Row],[L/P Líquido]]/base[[#This Row],[Stake/Responsabilidade]]</f>
        <v>9.5499999999999988E-2</v>
      </c>
      <c r="O821" s="132">
        <f>IF(base[[#This Row],[L/P Líquido]]&gt;0,1,0)</f>
        <v>1</v>
      </c>
      <c r="P821" s="132"/>
      <c r="Q821" s="132" t="str">
        <f>LEFT(base[[#This Row],[Evento / Mercado]],FIND("vs",base[[#This Row],[Evento / Mercado]])-2)</f>
        <v>Beerschot VA</v>
      </c>
      <c r="R8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NXT</v>
      </c>
      <c r="S821" s="132" t="e">
        <f>LEFT(base[[#This Row],[Evento / Mercado]],FIND("/",base[[#This Row],[Evento / Mercado]])-2)</f>
        <v>#VALUE!</v>
      </c>
      <c r="T821" s="8">
        <v>14</v>
      </c>
      <c r="U821" s="9">
        <f>T821*0.955</f>
        <v>13.37</v>
      </c>
    </row>
    <row r="822" spans="2:21" ht="15" customHeight="1">
      <c r="B822" s="128" t="s">
        <v>688</v>
      </c>
      <c r="C822" s="128" t="s">
        <v>2982</v>
      </c>
      <c r="D822" s="129">
        <v>46060.744756944441</v>
      </c>
      <c r="E822" s="130">
        <v>7.8692000000000002</v>
      </c>
      <c r="F822" s="131">
        <v>4.4999999999999998E-2</v>
      </c>
      <c r="G822" s="126">
        <f t="shared" si="13"/>
        <v>8.24</v>
      </c>
      <c r="H822" s="126" t="s">
        <v>73</v>
      </c>
      <c r="I822" s="127" t="s">
        <v>13</v>
      </c>
      <c r="J822" s="126">
        <v>18</v>
      </c>
      <c r="K822" s="126">
        <v>140.08000000000001</v>
      </c>
      <c r="L822" s="129">
        <f>INT(base[[#This Row],[Data de liquidação]])</f>
        <v>46060</v>
      </c>
      <c r="M822" s="126">
        <f>base[[#This Row],[L/P Bruto]]-base[[#This Row],[L/P Líquido]]</f>
        <v>0.37080000000000002</v>
      </c>
      <c r="N822" s="126">
        <f>base[[#This Row],[L/P Líquido]]/base[[#This Row],[Stake/Responsabilidade]]</f>
        <v>5.6176470588235293E-2</v>
      </c>
      <c r="O822" s="132">
        <f>IF(base[[#This Row],[L/P Líquido]]&gt;0,1,0)</f>
        <v>1</v>
      </c>
      <c r="P822" s="132"/>
      <c r="Q822" s="132" t="str">
        <f>LEFT(base[[#This Row],[Evento / Mercado]],FIND("vs",base[[#This Row],[Evento / Mercado]])-2)</f>
        <v>Beerschot VA</v>
      </c>
      <c r="R8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NXT</v>
      </c>
      <c r="S822" s="132" t="e">
        <f>LEFT(base[[#This Row],[Evento / Mercado]],FIND("/",base[[#This Row],[Evento / Mercado]])-2)</f>
        <v>#VALUE!</v>
      </c>
      <c r="T822" s="8">
        <v>8.24</v>
      </c>
      <c r="U822" s="9">
        <f>T822*0.955</f>
        <v>7.8692000000000002</v>
      </c>
    </row>
    <row r="823" spans="2:21" ht="15" customHeight="1">
      <c r="B823" s="128" t="s">
        <v>687</v>
      </c>
      <c r="C823" s="128" t="s">
        <v>2982</v>
      </c>
      <c r="D823" s="129">
        <v>46060.745416666665</v>
      </c>
      <c r="E823" s="130">
        <v>8.91</v>
      </c>
      <c r="F823" s="131">
        <v>4.4999999999999998E-2</v>
      </c>
      <c r="G823" s="126">
        <f t="shared" si="13"/>
        <v>9.3298429319371738</v>
      </c>
      <c r="H823" s="126" t="s">
        <v>73</v>
      </c>
      <c r="I823" s="127" t="s">
        <v>13</v>
      </c>
      <c r="J823" s="126">
        <v>16</v>
      </c>
      <c r="K823" s="126">
        <v>139.94999999999999</v>
      </c>
      <c r="L823" s="129">
        <f>INT(base[[#This Row],[Data de liquidação]])</f>
        <v>46060</v>
      </c>
      <c r="M823" s="126">
        <f>base[[#This Row],[L/P Bruto]]-base[[#This Row],[L/P Líquido]]</f>
        <v>0.4198429319371737</v>
      </c>
      <c r="N823" s="126">
        <f>base[[#This Row],[L/P Líquido]]/base[[#This Row],[Stake/Responsabilidade]]</f>
        <v>6.3665594855305471E-2</v>
      </c>
      <c r="O823" s="132">
        <f>IF(base[[#This Row],[L/P Líquido]]&gt;0,1,0)</f>
        <v>1</v>
      </c>
      <c r="P823" s="132"/>
      <c r="Q823" s="132" t="str">
        <f>LEFT(base[[#This Row],[Evento / Mercado]],FIND("vs",base[[#This Row],[Evento / Mercado]])-2)</f>
        <v>Portuguesa</v>
      </c>
      <c r="R8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823" s="132" t="e">
        <f>LEFT(base[[#This Row],[Evento / Mercado]],FIND("/",base[[#This Row],[Evento / Mercado]])-2)</f>
        <v>#VALUE!</v>
      </c>
    </row>
    <row r="824" spans="2:21" ht="15" customHeight="1">
      <c r="B824" s="128" t="s">
        <v>686</v>
      </c>
      <c r="C824" s="128" t="s">
        <v>2982</v>
      </c>
      <c r="D824" s="129">
        <v>46060.750185185185</v>
      </c>
      <c r="E824" s="130">
        <v>11.03</v>
      </c>
      <c r="F824" s="131">
        <v>4.4999999999999998E-2</v>
      </c>
      <c r="G824" s="126">
        <f t="shared" si="13"/>
        <v>11.549738219895287</v>
      </c>
      <c r="H824" s="126" t="s">
        <v>73</v>
      </c>
      <c r="I824" s="127" t="s">
        <v>13</v>
      </c>
      <c r="J824" s="126">
        <v>13</v>
      </c>
      <c r="K824" s="126">
        <v>138.6</v>
      </c>
      <c r="L824" s="129">
        <f>INT(base[[#This Row],[Data de liquidação]])</f>
        <v>46060</v>
      </c>
      <c r="M824" s="126">
        <f>base[[#This Row],[L/P Bruto]]-base[[#This Row],[L/P Líquido]]</f>
        <v>0.51973821989528801</v>
      </c>
      <c r="N824" s="126">
        <f>base[[#This Row],[L/P Líquido]]/base[[#This Row],[Stake/Responsabilidade]]</f>
        <v>7.9581529581529586E-2</v>
      </c>
      <c r="O824" s="132">
        <f>IF(base[[#This Row],[L/P Líquido]]&gt;0,1,0)</f>
        <v>1</v>
      </c>
      <c r="P824" s="132"/>
      <c r="Q824" s="132" t="str">
        <f>LEFT(base[[#This Row],[Evento / Mercado]],FIND("vs",base[[#This Row],[Evento / Mercado]])-2)</f>
        <v>Águilas Doradas</v>
      </c>
      <c r="R8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Cúcuta Deportivo</v>
      </c>
      <c r="S824" s="132" t="e">
        <f>LEFT(base[[#This Row],[Evento / Mercado]],FIND("/",base[[#This Row],[Evento / Mercado]])-2)</f>
        <v>#VALUE!</v>
      </c>
    </row>
    <row r="825" spans="2:21" ht="15" customHeight="1">
      <c r="B825" s="128" t="s">
        <v>685</v>
      </c>
      <c r="C825" s="128" t="s">
        <v>2982</v>
      </c>
      <c r="D825" s="129">
        <v>46060.780034722222</v>
      </c>
      <c r="E825" s="130">
        <v>7.87</v>
      </c>
      <c r="F825" s="131">
        <v>4.4999999999999998E-2</v>
      </c>
      <c r="G825" s="126">
        <f t="shared" si="13"/>
        <v>8.2408376963350793</v>
      </c>
      <c r="H825" s="126" t="s">
        <v>73</v>
      </c>
      <c r="I825" s="127" t="s">
        <v>13</v>
      </c>
      <c r="J825" s="126">
        <v>18</v>
      </c>
      <c r="K825" s="126">
        <v>140.08000000000001</v>
      </c>
      <c r="L825" s="129">
        <f>INT(base[[#This Row],[Data de liquidação]])</f>
        <v>46060</v>
      </c>
      <c r="M825" s="126">
        <f>base[[#This Row],[L/P Bruto]]-base[[#This Row],[L/P Líquido]]</f>
        <v>0.37083769633507924</v>
      </c>
      <c r="N825" s="126">
        <f>base[[#This Row],[L/P Líquido]]/base[[#This Row],[Stake/Responsabilidade]]</f>
        <v>5.6182181610508274E-2</v>
      </c>
      <c r="O825" s="132">
        <f>IF(base[[#This Row],[L/P Líquido]]&gt;0,1,0)</f>
        <v>1</v>
      </c>
      <c r="P825" s="132"/>
      <c r="Q825" s="132" t="str">
        <f>LEFT(base[[#This Row],[Evento / Mercado]],FIND("vs",base[[#This Row],[Evento / Mercado]])-2)</f>
        <v>Fiorentina</v>
      </c>
      <c r="R8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Torino</v>
      </c>
      <c r="S825" s="132" t="e">
        <f>LEFT(base[[#This Row],[Evento / Mercado]],FIND("/",base[[#This Row],[Evento / Mercado]])-2)</f>
        <v>#VALUE!</v>
      </c>
    </row>
    <row r="826" spans="2:21" ht="15" customHeight="1">
      <c r="B826" s="128" t="s">
        <v>684</v>
      </c>
      <c r="C826" s="128" t="s">
        <v>2982</v>
      </c>
      <c r="D826" s="129">
        <v>46060.790138888886</v>
      </c>
      <c r="E826" s="130">
        <v>17.142249999999997</v>
      </c>
      <c r="F826" s="131">
        <v>4.4999999999999998E-2</v>
      </c>
      <c r="G826" s="126">
        <f t="shared" si="13"/>
        <v>17.95</v>
      </c>
      <c r="H826" s="126" t="s">
        <v>73</v>
      </c>
      <c r="I826" s="127" t="s">
        <v>16</v>
      </c>
      <c r="J826" s="126">
        <v>8.8000000000000007</v>
      </c>
      <c r="K826" s="126">
        <v>140.01</v>
      </c>
      <c r="L826" s="129">
        <f>INT(base[[#This Row],[Data de liquidação]])</f>
        <v>46060</v>
      </c>
      <c r="M826" s="126">
        <f>base[[#This Row],[L/P Bruto]]-base[[#This Row],[L/P Líquido]]</f>
        <v>0.80775000000000219</v>
      </c>
      <c r="N826" s="126">
        <f>base[[#This Row],[L/P Líquido]]/base[[#This Row],[Stake/Responsabilidade]]</f>
        <v>0.12243589743589742</v>
      </c>
      <c r="O826" s="132">
        <f>IF(base[[#This Row],[L/P Líquido]]&gt;0,1,0)</f>
        <v>1</v>
      </c>
      <c r="P826" s="132"/>
      <c r="Q826" s="132" t="str">
        <f>LEFT(base[[#This Row],[Evento / Mercado]],FIND("vs",base[[#This Row],[Evento / Mercado]])-2)</f>
        <v>Real Sociedad</v>
      </c>
      <c r="R8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826" s="132" t="e">
        <f>LEFT(base[[#This Row],[Evento / Mercado]],FIND("/",base[[#This Row],[Evento / Mercado]])-2)</f>
        <v>#VALUE!</v>
      </c>
      <c r="T826" s="8">
        <v>17.95</v>
      </c>
      <c r="U826" s="9">
        <f>T826*0.955</f>
        <v>17.142249999999997</v>
      </c>
    </row>
    <row r="827" spans="2:21" ht="15" customHeight="1">
      <c r="B827" s="128" t="s">
        <v>684</v>
      </c>
      <c r="C827" s="128" t="s">
        <v>2982</v>
      </c>
      <c r="D827" s="129">
        <v>46060.790138888886</v>
      </c>
      <c r="E827" s="130">
        <v>7.8692000000000002</v>
      </c>
      <c r="F827" s="131">
        <v>4.4999999999999998E-2</v>
      </c>
      <c r="G827" s="126">
        <f t="shared" si="13"/>
        <v>8.24</v>
      </c>
      <c r="H827" s="126" t="s">
        <v>73</v>
      </c>
      <c r="I827" s="127" t="s">
        <v>13</v>
      </c>
      <c r="J827" s="126">
        <v>18</v>
      </c>
      <c r="K827" s="126">
        <v>140.08000000000001</v>
      </c>
      <c r="L827" s="129">
        <f>INT(base[[#This Row],[Data de liquidação]])</f>
        <v>46060</v>
      </c>
      <c r="M827" s="126">
        <f>base[[#This Row],[L/P Bruto]]-base[[#This Row],[L/P Líquido]]</f>
        <v>0.37080000000000002</v>
      </c>
      <c r="N827" s="126">
        <f>base[[#This Row],[L/P Líquido]]/base[[#This Row],[Stake/Responsabilidade]]</f>
        <v>5.6176470588235293E-2</v>
      </c>
      <c r="O827" s="132">
        <f>IF(base[[#This Row],[L/P Líquido]]&gt;0,1,0)</f>
        <v>1</v>
      </c>
      <c r="P827" s="132"/>
      <c r="Q827" s="132" t="str">
        <f>LEFT(base[[#This Row],[Evento / Mercado]],FIND("vs",base[[#This Row],[Evento / Mercado]])-2)</f>
        <v>Real Sociedad</v>
      </c>
      <c r="R8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827" s="132" t="e">
        <f>LEFT(base[[#This Row],[Evento / Mercado]],FIND("/",base[[#This Row],[Evento / Mercado]])-2)</f>
        <v>#VALUE!</v>
      </c>
      <c r="T827" s="8">
        <v>8.24</v>
      </c>
      <c r="U827" s="9">
        <f>T827*0.955</f>
        <v>7.8692000000000002</v>
      </c>
    </row>
    <row r="828" spans="2:21" ht="15" customHeight="1">
      <c r="B828" s="128" t="s">
        <v>683</v>
      </c>
      <c r="C828" s="128" t="s">
        <v>2982</v>
      </c>
      <c r="D828" s="129">
        <v>46060.794525462959</v>
      </c>
      <c r="E828" s="130">
        <v>-80</v>
      </c>
      <c r="F828" s="131">
        <v>4.4999999999999998E-2</v>
      </c>
      <c r="G828" s="126">
        <f t="shared" si="13"/>
        <v>-80</v>
      </c>
      <c r="H828" s="126" t="s">
        <v>231</v>
      </c>
      <c r="I828" s="127" t="s">
        <v>232</v>
      </c>
      <c r="J828" s="126">
        <v>2.1800000000000002</v>
      </c>
      <c r="K828" s="126">
        <v>80</v>
      </c>
      <c r="L828" s="129">
        <f>INT(base[[#This Row],[Data de liquidação]])</f>
        <v>46060</v>
      </c>
      <c r="M828" s="126">
        <f>base[[#This Row],[L/P Bruto]]-base[[#This Row],[L/P Líquido]]</f>
        <v>0</v>
      </c>
      <c r="N828" s="126">
        <f>base[[#This Row],[L/P Líquido]]/base[[#This Row],[Stake/Responsabilidade]]</f>
        <v>-1</v>
      </c>
      <c r="O828" s="132">
        <f>IF(base[[#This Row],[L/P Líquido]]&gt;0,1,0)</f>
        <v>0</v>
      </c>
      <c r="P828" s="132"/>
      <c r="Q828" s="132" t="str">
        <f>LEFT(base[[#This Row],[Evento / Mercado]],FIND("vs",base[[#This Row],[Evento / Mercado]])-2)</f>
        <v>FC Nantes</v>
      </c>
      <c r="R8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Lyonnais</v>
      </c>
      <c r="S828" s="132" t="e">
        <f>LEFT(base[[#This Row],[Evento / Mercado]],FIND("/",base[[#This Row],[Evento / Mercado]])-2)</f>
        <v>#VALUE!</v>
      </c>
    </row>
    <row r="829" spans="2:21" ht="15" customHeight="1">
      <c r="B829" s="128" t="s">
        <v>682</v>
      </c>
      <c r="C829" s="128" t="s">
        <v>2982</v>
      </c>
      <c r="D829" s="129">
        <v>46060.841956018521</v>
      </c>
      <c r="E829" s="130">
        <v>-140.08000000000001</v>
      </c>
      <c r="F829" s="131">
        <v>4.4999999999999998E-2</v>
      </c>
      <c r="G829" s="126">
        <f t="shared" si="13"/>
        <v>-140.08000000000001</v>
      </c>
      <c r="H829" s="126" t="s">
        <v>73</v>
      </c>
      <c r="I829" s="127" t="s">
        <v>13</v>
      </c>
      <c r="J829" s="126">
        <v>18</v>
      </c>
      <c r="K829" s="126">
        <v>140.08000000000001</v>
      </c>
      <c r="L829" s="129">
        <f>INT(base[[#This Row],[Data de liquidação]])</f>
        <v>46060</v>
      </c>
      <c r="M829" s="126">
        <f>base[[#This Row],[L/P Bruto]]-base[[#This Row],[L/P Líquido]]</f>
        <v>0</v>
      </c>
      <c r="N829" s="126">
        <f>base[[#This Row],[L/P Líquido]]/base[[#This Row],[Stake/Responsabilidade]]</f>
        <v>-1</v>
      </c>
      <c r="O829" s="132">
        <f>IF(base[[#This Row],[L/P Líquido]]&gt;0,1,0)</f>
        <v>0</v>
      </c>
      <c r="P829" s="132"/>
      <c r="Q829" s="132" t="str">
        <f>LEFT(base[[#This Row],[Evento / Mercado]],FIND("vs",base[[#This Row],[Evento / Mercado]])-2)</f>
        <v>Deportes Tolima</v>
      </c>
      <c r="R8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Llaneros FC Villavicencio</v>
      </c>
      <c r="S829" s="132" t="e">
        <f>LEFT(base[[#This Row],[Evento / Mercado]],FIND("/",base[[#This Row],[Evento / Mercado]])-2)</f>
        <v>#VALUE!</v>
      </c>
    </row>
    <row r="830" spans="2:21" ht="15" customHeight="1">
      <c r="B830" s="128" t="s">
        <v>681</v>
      </c>
      <c r="C830" s="128" t="s">
        <v>2982</v>
      </c>
      <c r="D830" s="129">
        <v>46061.422974537039</v>
      </c>
      <c r="E830" s="130">
        <v>-80</v>
      </c>
      <c r="F830" s="131">
        <v>4.4999999999999998E-2</v>
      </c>
      <c r="G830" s="126">
        <f t="shared" si="13"/>
        <v>-80</v>
      </c>
      <c r="H830" s="126" t="s">
        <v>231</v>
      </c>
      <c r="I830" s="127" t="s">
        <v>266</v>
      </c>
      <c r="J830" s="126">
        <v>1.77</v>
      </c>
      <c r="K830" s="126">
        <v>80</v>
      </c>
      <c r="L830" s="129">
        <f>INT(base[[#This Row],[Data de liquidação]])</f>
        <v>46061</v>
      </c>
      <c r="M830" s="126">
        <f>base[[#This Row],[L/P Bruto]]-base[[#This Row],[L/P Líquido]]</f>
        <v>0</v>
      </c>
      <c r="N830" s="126">
        <f>base[[#This Row],[L/P Líquido]]/base[[#This Row],[Stake/Responsabilidade]]</f>
        <v>-1</v>
      </c>
      <c r="O830" s="132">
        <f>IF(base[[#This Row],[L/P Líquido]]&gt;0,1,0)</f>
        <v>0</v>
      </c>
      <c r="P830" s="132"/>
      <c r="Q830" s="132" t="str">
        <f>LEFT(base[[#This Row],[Evento / Mercado]],FIND("vs",base[[#This Row],[Evento / Mercado]])-2)</f>
        <v>FC Utrecht</v>
      </c>
      <c r="R8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830" s="132" t="e">
        <f>LEFT(base[[#This Row],[Evento / Mercado]],FIND("/",base[[#This Row],[Evento / Mercado]])-2)</f>
        <v>#VALUE!</v>
      </c>
    </row>
    <row r="831" spans="2:21" ht="15" customHeight="1">
      <c r="B831" s="128" t="s">
        <v>680</v>
      </c>
      <c r="C831" s="128" t="s">
        <v>2982</v>
      </c>
      <c r="D831" s="129">
        <v>46061.423402777778</v>
      </c>
      <c r="E831" s="130">
        <v>19.100000000000001</v>
      </c>
      <c r="F831" s="131">
        <v>4.4999999999999998E-2</v>
      </c>
      <c r="G831" s="126">
        <f t="shared" si="13"/>
        <v>20.000000000000004</v>
      </c>
      <c r="H831" s="126" t="s">
        <v>73</v>
      </c>
      <c r="I831" s="127" t="s">
        <v>16</v>
      </c>
      <c r="J831" s="126">
        <v>8</v>
      </c>
      <c r="K831" s="126">
        <v>140</v>
      </c>
      <c r="L831" s="129">
        <f>INT(base[[#This Row],[Data de liquidação]])</f>
        <v>46061</v>
      </c>
      <c r="M831" s="126">
        <f>base[[#This Row],[L/P Bruto]]-base[[#This Row],[L/P Líquido]]</f>
        <v>0.90000000000000213</v>
      </c>
      <c r="N831" s="126">
        <f>base[[#This Row],[L/P Líquido]]/base[[#This Row],[Stake/Responsabilidade]]</f>
        <v>0.13642857142857143</v>
      </c>
      <c r="O831" s="132">
        <f>IF(base[[#This Row],[L/P Líquido]]&gt;0,1,0)</f>
        <v>1</v>
      </c>
      <c r="P831" s="132"/>
      <c r="Q831" s="132" t="str">
        <f>LEFT(base[[#This Row],[Evento / Mercado]],FIND("vs",base[[#This Row],[Evento / Mercado]])-2)</f>
        <v>Pogon Szczecin</v>
      </c>
      <c r="R8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Termalica Bruk-Bet Nieciecza</v>
      </c>
      <c r="S831" s="132" t="e">
        <f>LEFT(base[[#This Row],[Evento / Mercado]],FIND("/",base[[#This Row],[Evento / Mercado]])-2)</f>
        <v>#VALUE!</v>
      </c>
    </row>
    <row r="832" spans="2:21" ht="15" customHeight="1">
      <c r="B832" s="128" t="s">
        <v>679</v>
      </c>
      <c r="C832" s="128" t="s">
        <v>2982</v>
      </c>
      <c r="D832" s="129">
        <v>46061.438518518517</v>
      </c>
      <c r="E832" s="130">
        <v>-140</v>
      </c>
      <c r="F832" s="131">
        <v>4.4999999999999998E-2</v>
      </c>
      <c r="G832" s="126">
        <f t="shared" si="13"/>
        <v>-140</v>
      </c>
      <c r="H832" s="126" t="s">
        <v>73</v>
      </c>
      <c r="I832" s="127" t="s">
        <v>13</v>
      </c>
      <c r="J832" s="126">
        <v>17</v>
      </c>
      <c r="K832" s="126">
        <v>140</v>
      </c>
      <c r="L832" s="129">
        <f>INT(base[[#This Row],[Data de liquidação]])</f>
        <v>46061</v>
      </c>
      <c r="M832" s="126">
        <f>base[[#This Row],[L/P Bruto]]-base[[#This Row],[L/P Líquido]]</f>
        <v>0</v>
      </c>
      <c r="N832" s="126">
        <f>base[[#This Row],[L/P Líquido]]/base[[#This Row],[Stake/Responsabilidade]]</f>
        <v>-1</v>
      </c>
      <c r="O832" s="132">
        <f>IF(base[[#This Row],[L/P Líquido]]&gt;0,1,0)</f>
        <v>0</v>
      </c>
      <c r="P832" s="132"/>
      <c r="Q832" s="132" t="str">
        <f>LEFT(base[[#This Row],[Evento / Mercado]],FIND("vs",base[[#This Row],[Evento / Mercado]])-2)</f>
        <v>Bologna</v>
      </c>
      <c r="R8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Parma</v>
      </c>
      <c r="S832" s="132" t="e">
        <f>LEFT(base[[#This Row],[Evento / Mercado]],FIND("/",base[[#This Row],[Evento / Mercado]])-2)</f>
        <v>#VALUE!</v>
      </c>
    </row>
    <row r="833" spans="2:21" ht="15" customHeight="1">
      <c r="B833" s="128" t="s">
        <v>678</v>
      </c>
      <c r="C833" s="128" t="s">
        <v>2982</v>
      </c>
      <c r="D833" s="129">
        <v>46061.45989583333</v>
      </c>
      <c r="E833" s="130">
        <v>68.760000000000005</v>
      </c>
      <c r="F833" s="131">
        <v>4.4999999999999998E-2</v>
      </c>
      <c r="G833" s="126">
        <f t="shared" si="13"/>
        <v>72.000000000000014</v>
      </c>
      <c r="H833" s="126" t="s">
        <v>231</v>
      </c>
      <c r="I833" s="127" t="s">
        <v>232</v>
      </c>
      <c r="J833" s="126">
        <v>1.9</v>
      </c>
      <c r="K833" s="126">
        <v>80</v>
      </c>
      <c r="L833" s="129">
        <f>INT(base[[#This Row],[Data de liquidação]])</f>
        <v>46061</v>
      </c>
      <c r="M833" s="126">
        <f>base[[#This Row],[L/P Bruto]]-base[[#This Row],[L/P Líquido]]</f>
        <v>3.2400000000000091</v>
      </c>
      <c r="N833" s="126">
        <f>base[[#This Row],[L/P Líquido]]/base[[#This Row],[Stake/Responsabilidade]]</f>
        <v>0.85950000000000004</v>
      </c>
      <c r="O833" s="132">
        <f>IF(base[[#This Row],[L/P Líquido]]&gt;0,1,0)</f>
        <v>1</v>
      </c>
      <c r="P833" s="132"/>
      <c r="Q833" s="132" t="str">
        <f>LEFT(base[[#This Row],[Evento / Mercado]],FIND("vs",base[[#This Row],[Evento / Mercado]])-2)</f>
        <v>Hannover 96</v>
      </c>
      <c r="R8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833" s="132" t="e">
        <f>LEFT(base[[#This Row],[Evento / Mercado]],FIND("/",base[[#This Row],[Evento / Mercado]])-2)</f>
        <v>#VALUE!</v>
      </c>
    </row>
    <row r="834" spans="2:21" ht="15" customHeight="1">
      <c r="B834" s="128" t="s">
        <v>677</v>
      </c>
      <c r="C834" s="128" t="s">
        <v>2982</v>
      </c>
      <c r="D834" s="129">
        <v>46061.516469907408</v>
      </c>
      <c r="E834" s="130">
        <v>10.29</v>
      </c>
      <c r="F834" s="131">
        <v>4.4999999999999998E-2</v>
      </c>
      <c r="G834" s="126">
        <f t="shared" si="13"/>
        <v>10.774869109947643</v>
      </c>
      <c r="H834" s="126" t="s">
        <v>73</v>
      </c>
      <c r="I834" s="127" t="s">
        <v>13</v>
      </c>
      <c r="J834" s="126">
        <v>14</v>
      </c>
      <c r="K834" s="126">
        <v>140.01</v>
      </c>
      <c r="L834" s="129">
        <f>INT(base[[#This Row],[Data de liquidação]])</f>
        <v>46061</v>
      </c>
      <c r="M834" s="126">
        <f>base[[#This Row],[L/P Bruto]]-base[[#This Row],[L/P Líquido]]</f>
        <v>0.48486910994764365</v>
      </c>
      <c r="N834" s="126">
        <f>base[[#This Row],[L/P Líquido]]/base[[#This Row],[Stake/Responsabilidade]]</f>
        <v>7.3494750374973217E-2</v>
      </c>
      <c r="O834" s="132">
        <f>IF(base[[#This Row],[L/P Líquido]]&gt;0,1,0)</f>
        <v>1</v>
      </c>
      <c r="P834" s="132"/>
      <c r="Q834" s="132" t="str">
        <f>LEFT(base[[#This Row],[Evento / Mercado]],FIND("vs",base[[#This Row],[Evento / Mercado]])-2)</f>
        <v>AlbinoLeffe</v>
      </c>
      <c r="R8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Pro Patria</v>
      </c>
      <c r="S834" s="132" t="e">
        <f>LEFT(base[[#This Row],[Evento / Mercado]],FIND("/",base[[#This Row],[Evento / Mercado]])-2)</f>
        <v>#VALUE!</v>
      </c>
    </row>
    <row r="835" spans="2:21" ht="15" customHeight="1">
      <c r="B835" s="128" t="s">
        <v>676</v>
      </c>
      <c r="C835" s="128" t="s">
        <v>2982</v>
      </c>
      <c r="D835" s="129">
        <v>46061.519513888888</v>
      </c>
      <c r="E835" s="130">
        <v>12.16</v>
      </c>
      <c r="F835" s="131">
        <v>4.4999999999999998E-2</v>
      </c>
      <c r="G835" s="126">
        <f t="shared" ref="G835:G898" si="14">IF(E835&gt;0,E835/(1-F835),E835)</f>
        <v>12.732984293193718</v>
      </c>
      <c r="H835" s="126" t="s">
        <v>73</v>
      </c>
      <c r="I835" s="127" t="s">
        <v>16</v>
      </c>
      <c r="J835" s="126">
        <v>12</v>
      </c>
      <c r="K835" s="126">
        <v>140.03</v>
      </c>
      <c r="L835" s="129">
        <f>INT(base[[#This Row],[Data de liquidação]])</f>
        <v>46061</v>
      </c>
      <c r="M835" s="126">
        <f>base[[#This Row],[L/P Bruto]]-base[[#This Row],[L/P Líquido]]</f>
        <v>0.57298429319371813</v>
      </c>
      <c r="N835" s="126">
        <f>base[[#This Row],[L/P Líquido]]/base[[#This Row],[Stake/Responsabilidade]]</f>
        <v>8.6838534599728637E-2</v>
      </c>
      <c r="O835" s="132">
        <f>IF(base[[#This Row],[L/P Líquido]]&gt;0,1,0)</f>
        <v>1</v>
      </c>
      <c r="P835" s="132"/>
      <c r="Q835" s="132" t="str">
        <f>LEFT(base[[#This Row],[Evento / Mercado]],FIND("vs",base[[#This Row],[Evento / Mercado]])-2)</f>
        <v>Go Ahead Eagles</v>
      </c>
      <c r="R8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Telstar</v>
      </c>
      <c r="S835" s="132" t="e">
        <f>LEFT(base[[#This Row],[Evento / Mercado]],FIND("/",base[[#This Row],[Evento / Mercado]])-2)</f>
        <v>#VALUE!</v>
      </c>
    </row>
    <row r="836" spans="2:21" ht="15" customHeight="1">
      <c r="B836" s="128" t="s">
        <v>675</v>
      </c>
      <c r="C836" s="128" t="s">
        <v>2982</v>
      </c>
      <c r="D836" s="129">
        <v>46061.527233796296</v>
      </c>
      <c r="E836" s="130">
        <v>19.099999999999998</v>
      </c>
      <c r="F836" s="131">
        <v>4.4999999999999998E-2</v>
      </c>
      <c r="G836" s="126">
        <f t="shared" si="14"/>
        <v>20</v>
      </c>
      <c r="H836" s="126" t="s">
        <v>73</v>
      </c>
      <c r="I836" s="127" t="s">
        <v>16</v>
      </c>
      <c r="J836" s="126">
        <v>8</v>
      </c>
      <c r="K836" s="126">
        <v>140</v>
      </c>
      <c r="L836" s="129">
        <f>INT(base[[#This Row],[Data de liquidação]])</f>
        <v>46061</v>
      </c>
      <c r="M836" s="126">
        <f>base[[#This Row],[L/P Bruto]]-base[[#This Row],[L/P Líquido]]</f>
        <v>0.90000000000000213</v>
      </c>
      <c r="N836" s="126">
        <f>base[[#This Row],[L/P Líquido]]/base[[#This Row],[Stake/Responsabilidade]]</f>
        <v>0.13642857142857143</v>
      </c>
      <c r="O836" s="132">
        <f>IF(base[[#This Row],[L/P Líquido]]&gt;0,1,0)</f>
        <v>1</v>
      </c>
      <c r="P836" s="132"/>
      <c r="Q836" s="132" t="str">
        <f>LEFT(base[[#This Row],[Evento / Mercado]],FIND("vs",base[[#This Row],[Evento / Mercado]])-2)</f>
        <v>Rakow Czestochowa</v>
      </c>
      <c r="R8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Radomiak Radom</v>
      </c>
      <c r="S836" s="132" t="e">
        <f>LEFT(base[[#This Row],[Evento / Mercado]],FIND("/",base[[#This Row],[Evento / Mercado]])-2)</f>
        <v>#VALUE!</v>
      </c>
      <c r="T836" s="8">
        <v>20</v>
      </c>
      <c r="U836" s="9">
        <f>T836*0.955</f>
        <v>19.099999999999998</v>
      </c>
    </row>
    <row r="837" spans="2:21" ht="15" customHeight="1">
      <c r="B837" s="128" t="s">
        <v>675</v>
      </c>
      <c r="C837" s="128" t="s">
        <v>2982</v>
      </c>
      <c r="D837" s="129">
        <v>46061.527233796296</v>
      </c>
      <c r="E837" s="130">
        <v>8.0983999999999998</v>
      </c>
      <c r="F837" s="131">
        <v>4.4999999999999998E-2</v>
      </c>
      <c r="G837" s="126">
        <f t="shared" si="14"/>
        <v>8.48</v>
      </c>
      <c r="H837" s="126" t="s">
        <v>73</v>
      </c>
      <c r="I837" s="127" t="s">
        <v>13</v>
      </c>
      <c r="J837" s="126">
        <v>17.5</v>
      </c>
      <c r="K837" s="126">
        <v>139.91999999999999</v>
      </c>
      <c r="L837" s="129">
        <f>INT(base[[#This Row],[Data de liquidação]])</f>
        <v>46061</v>
      </c>
      <c r="M837" s="126">
        <f>base[[#This Row],[L/P Bruto]]-base[[#This Row],[L/P Líquido]]</f>
        <v>0.38160000000000061</v>
      </c>
      <c r="N837" s="126">
        <f>base[[#This Row],[L/P Líquido]]/base[[#This Row],[Stake/Responsabilidade]]</f>
        <v>5.7878787878787884E-2</v>
      </c>
      <c r="O837" s="132">
        <f>IF(base[[#This Row],[L/P Líquido]]&gt;0,1,0)</f>
        <v>1</v>
      </c>
      <c r="P837" s="132"/>
      <c r="Q837" s="132" t="str">
        <f>LEFT(base[[#This Row],[Evento / Mercado]],FIND("vs",base[[#This Row],[Evento / Mercado]])-2)</f>
        <v>Rakow Czestochowa</v>
      </c>
      <c r="R8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Radomiak Radom</v>
      </c>
      <c r="S837" s="132" t="e">
        <f>LEFT(base[[#This Row],[Evento / Mercado]],FIND("/",base[[#This Row],[Evento / Mercado]])-2)</f>
        <v>#VALUE!</v>
      </c>
      <c r="T837" s="8">
        <v>8.48</v>
      </c>
      <c r="U837" s="9">
        <f>T837*0.955</f>
        <v>8.0983999999999998</v>
      </c>
    </row>
    <row r="838" spans="2:21" ht="15" customHeight="1">
      <c r="B838" s="128" t="s">
        <v>675</v>
      </c>
      <c r="C838" s="128" t="s">
        <v>2982</v>
      </c>
      <c r="D838" s="129">
        <v>46061.527268518519</v>
      </c>
      <c r="E838" s="130">
        <v>-80</v>
      </c>
      <c r="F838" s="131">
        <v>4.4999999999999998E-2</v>
      </c>
      <c r="G838" s="126">
        <f t="shared" si="14"/>
        <v>-80</v>
      </c>
      <c r="H838" s="126" t="s">
        <v>231</v>
      </c>
      <c r="I838" s="127" t="s">
        <v>232</v>
      </c>
      <c r="J838" s="126">
        <v>2</v>
      </c>
      <c r="K838" s="126">
        <v>80</v>
      </c>
      <c r="L838" s="129">
        <f>INT(base[[#This Row],[Data de liquidação]])</f>
        <v>46061</v>
      </c>
      <c r="M838" s="126">
        <f>base[[#This Row],[L/P Bruto]]-base[[#This Row],[L/P Líquido]]</f>
        <v>0</v>
      </c>
      <c r="N838" s="126">
        <f>base[[#This Row],[L/P Líquido]]/base[[#This Row],[Stake/Responsabilidade]]</f>
        <v>-1</v>
      </c>
      <c r="O838" s="132">
        <f>IF(base[[#This Row],[L/P Líquido]]&gt;0,1,0)</f>
        <v>0</v>
      </c>
      <c r="P838" s="132"/>
      <c r="Q838" s="132" t="str">
        <f>LEFT(base[[#This Row],[Evento / Mercado]],FIND("vs",base[[#This Row],[Evento / Mercado]])-2)</f>
        <v>Rakow Czestochowa</v>
      </c>
      <c r="R8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Radomiak Radom</v>
      </c>
      <c r="S838" s="132" t="e">
        <f>LEFT(base[[#This Row],[Evento / Mercado]],FIND("/",base[[#This Row],[Evento / Mercado]])-2)</f>
        <v>#VALUE!</v>
      </c>
    </row>
    <row r="839" spans="2:21" ht="15" customHeight="1">
      <c r="B839" s="128" t="s">
        <v>674</v>
      </c>
      <c r="C839" s="128" t="s">
        <v>2982</v>
      </c>
      <c r="D839" s="129">
        <v>46061.537361111114</v>
      </c>
      <c r="E839" s="130">
        <v>50.42</v>
      </c>
      <c r="F839" s="131">
        <v>4.4999999999999998E-2</v>
      </c>
      <c r="G839" s="126">
        <f t="shared" si="14"/>
        <v>52.795811518324612</v>
      </c>
      <c r="H839" s="126" t="s">
        <v>231</v>
      </c>
      <c r="I839" s="127" t="s">
        <v>266</v>
      </c>
      <c r="J839" s="126">
        <v>1.66</v>
      </c>
      <c r="K839" s="126">
        <v>80</v>
      </c>
      <c r="L839" s="129">
        <f>INT(base[[#This Row],[Data de liquidação]])</f>
        <v>46061</v>
      </c>
      <c r="M839" s="126">
        <f>base[[#This Row],[L/P Bruto]]-base[[#This Row],[L/P Líquido]]</f>
        <v>2.3758115183246105</v>
      </c>
      <c r="N839" s="126">
        <f>base[[#This Row],[L/P Líquido]]/base[[#This Row],[Stake/Responsabilidade]]</f>
        <v>0.63024999999999998</v>
      </c>
      <c r="O839" s="132">
        <f>IF(base[[#This Row],[L/P Líquido]]&gt;0,1,0)</f>
        <v>1</v>
      </c>
      <c r="P839" s="132"/>
      <c r="Q839" s="132" t="str">
        <f>LEFT(base[[#This Row],[Evento / Mercado]],FIND("vs",base[[#This Row],[Evento / Mercado]])-2)</f>
        <v>Alemannia Aachen</v>
      </c>
      <c r="R8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Rot-Weiss Essen</v>
      </c>
      <c r="S839" s="132" t="e">
        <f>LEFT(base[[#This Row],[Evento / Mercado]],FIND("/",base[[#This Row],[Evento / Mercado]])-2)</f>
        <v>#VALUE!</v>
      </c>
    </row>
    <row r="840" spans="2:21" ht="15" customHeight="1">
      <c r="B840" s="128" t="s">
        <v>673</v>
      </c>
      <c r="C840" s="128" t="s">
        <v>2982</v>
      </c>
      <c r="D840" s="129">
        <v>46061.538888888892</v>
      </c>
      <c r="E840" s="130">
        <v>45.92</v>
      </c>
      <c r="F840" s="131">
        <v>4.4999999999999998E-2</v>
      </c>
      <c r="G840" s="126">
        <f t="shared" si="14"/>
        <v>48.083769633507856</v>
      </c>
      <c r="H840" s="126" t="s">
        <v>145</v>
      </c>
      <c r="I840" s="127" t="s">
        <v>300</v>
      </c>
      <c r="J840" s="126">
        <v>6.2</v>
      </c>
      <c r="K840" s="126">
        <v>250.02</v>
      </c>
      <c r="L840" s="129">
        <f>INT(base[[#This Row],[Data de liquidação]])</f>
        <v>46061</v>
      </c>
      <c r="M840" s="126">
        <f>base[[#This Row],[L/P Bruto]]-base[[#This Row],[L/P Líquido]]</f>
        <v>2.1637696335078545</v>
      </c>
      <c r="N840" s="126">
        <f>base[[#This Row],[L/P Líquido]]/base[[#This Row],[Stake/Responsabilidade]]</f>
        <v>0.18366530677545798</v>
      </c>
      <c r="O840" s="132">
        <f>IF(base[[#This Row],[L/P Líquido]]&gt;0,1,0)</f>
        <v>1</v>
      </c>
      <c r="P840" s="132" t="s">
        <v>966</v>
      </c>
      <c r="Q840" s="132" t="str">
        <f>LEFT(base[[#This Row],[Evento / Mercado]],FIND("vs",base[[#This Row],[Evento / Mercado]])-2)</f>
        <v>Caykur Rizespor</v>
      </c>
      <c r="R8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Galatasaray SK</v>
      </c>
      <c r="S840" s="132" t="e">
        <f>LEFT(base[[#This Row],[Evento / Mercado]],FIND("/",base[[#This Row],[Evento / Mercado]])-2)</f>
        <v>#VALUE!</v>
      </c>
    </row>
    <row r="841" spans="2:21" ht="15" customHeight="1">
      <c r="B841" s="128" t="s">
        <v>672</v>
      </c>
      <c r="C841" s="128" t="s">
        <v>2982</v>
      </c>
      <c r="D841" s="129">
        <v>46061.539618055554</v>
      </c>
      <c r="E841" s="130">
        <v>7.87</v>
      </c>
      <c r="F841" s="131">
        <v>4.4999999999999998E-2</v>
      </c>
      <c r="G841" s="126">
        <f t="shared" si="14"/>
        <v>8.2408376963350793</v>
      </c>
      <c r="H841" s="126" t="s">
        <v>73</v>
      </c>
      <c r="I841" s="127" t="s">
        <v>13</v>
      </c>
      <c r="J841" s="126">
        <v>18</v>
      </c>
      <c r="K841" s="126">
        <v>140.08000000000001</v>
      </c>
      <c r="L841" s="129">
        <f>INT(base[[#This Row],[Data de liquidação]])</f>
        <v>46061</v>
      </c>
      <c r="M841" s="126">
        <f>base[[#This Row],[L/P Bruto]]-base[[#This Row],[L/P Líquido]]</f>
        <v>0.37083769633507924</v>
      </c>
      <c r="N841" s="126">
        <f>base[[#This Row],[L/P Líquido]]/base[[#This Row],[Stake/Responsabilidade]]</f>
        <v>5.6182181610508274E-2</v>
      </c>
      <c r="O841" s="132">
        <f>IF(base[[#This Row],[L/P Líquido]]&gt;0,1,0)</f>
        <v>1</v>
      </c>
      <c r="P841" s="132"/>
      <c r="Q841" s="132" t="str">
        <f>LEFT(base[[#This Row],[Evento / Mercado]],FIND("vs",base[[#This Row],[Evento / Mercado]])-2)</f>
        <v>Monza</v>
      </c>
      <c r="R8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Avellino</v>
      </c>
      <c r="S841" s="132" t="e">
        <f>LEFT(base[[#This Row],[Evento / Mercado]],FIND("/",base[[#This Row],[Evento / Mercado]])-2)</f>
        <v>#VALUE!</v>
      </c>
    </row>
    <row r="842" spans="2:21" ht="15" customHeight="1">
      <c r="B842" s="128" t="s">
        <v>671</v>
      </c>
      <c r="C842" s="128" t="s">
        <v>2982</v>
      </c>
      <c r="D842" s="129">
        <v>46061.556539351855</v>
      </c>
      <c r="E842" s="130">
        <v>-140.03</v>
      </c>
      <c r="F842" s="131">
        <v>4.4999999999999998E-2</v>
      </c>
      <c r="G842" s="126">
        <f t="shared" si="14"/>
        <v>-140.03</v>
      </c>
      <c r="H842" s="126" t="s">
        <v>73</v>
      </c>
      <c r="I842" s="127" t="s">
        <v>16</v>
      </c>
      <c r="J842" s="126">
        <v>10.5</v>
      </c>
      <c r="K842" s="126">
        <v>140.03</v>
      </c>
      <c r="L842" s="129">
        <f>INT(base[[#This Row],[Data de liquidação]])</f>
        <v>46061</v>
      </c>
      <c r="M842" s="126">
        <f>base[[#This Row],[L/P Bruto]]-base[[#This Row],[L/P Líquido]]</f>
        <v>0</v>
      </c>
      <c r="N842" s="126">
        <f>base[[#This Row],[L/P Líquido]]/base[[#This Row],[Stake/Responsabilidade]]</f>
        <v>-1</v>
      </c>
      <c r="O842" s="132">
        <f>IF(base[[#This Row],[L/P Líquido]]&gt;0,1,0)</f>
        <v>0</v>
      </c>
      <c r="P842" s="132"/>
      <c r="Q842" s="132" t="str">
        <f>LEFT(base[[#This Row],[Evento / Mercado]],FIND("vs",base[[#This Row],[Evento / Mercado]])-2)</f>
        <v>MŠK Žilina</v>
      </c>
      <c r="R8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KFC Komárno</v>
      </c>
      <c r="S842" s="132" t="e">
        <f>LEFT(base[[#This Row],[Evento / Mercado]],FIND("/",base[[#This Row],[Evento / Mercado]])-2)</f>
        <v>#VALUE!</v>
      </c>
    </row>
    <row r="843" spans="2:21" ht="15" customHeight="1">
      <c r="B843" s="128" t="s">
        <v>670</v>
      </c>
      <c r="C843" s="128" t="s">
        <v>2982</v>
      </c>
      <c r="D843" s="129">
        <v>46061.570844907408</v>
      </c>
      <c r="E843" s="130">
        <v>7.87</v>
      </c>
      <c r="F843" s="131">
        <v>4.4999999999999998E-2</v>
      </c>
      <c r="G843" s="126">
        <f t="shared" si="14"/>
        <v>8.2408376963350793</v>
      </c>
      <c r="H843" s="126" t="s">
        <v>73</v>
      </c>
      <c r="I843" s="127" t="s">
        <v>13</v>
      </c>
      <c r="J843" s="126">
        <v>18</v>
      </c>
      <c r="K843" s="126">
        <v>140.08000000000001</v>
      </c>
      <c r="L843" s="129">
        <f>INT(base[[#This Row],[Data de liquidação]])</f>
        <v>46061</v>
      </c>
      <c r="M843" s="126">
        <f>base[[#This Row],[L/P Bruto]]-base[[#This Row],[L/P Líquido]]</f>
        <v>0.37083769633507924</v>
      </c>
      <c r="N843" s="126">
        <f>base[[#This Row],[L/P Líquido]]/base[[#This Row],[Stake/Responsabilidade]]</f>
        <v>5.6182181610508274E-2</v>
      </c>
      <c r="O843" s="132">
        <f>IF(base[[#This Row],[L/P Líquido]]&gt;0,1,0)</f>
        <v>1</v>
      </c>
      <c r="P843" s="132"/>
      <c r="Q843" s="132" t="str">
        <f>LEFT(base[[#This Row],[Evento / Mercado]],FIND("vs",base[[#This Row],[Evento / Mercado]])-2)</f>
        <v>Botev Plovdiv</v>
      </c>
      <c r="R8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Beroe</v>
      </c>
      <c r="S843" s="132" t="e">
        <f>LEFT(base[[#This Row],[Evento / Mercado]],FIND("/",base[[#This Row],[Evento / Mercado]])-2)</f>
        <v>#VALUE!</v>
      </c>
    </row>
    <row r="844" spans="2:21" ht="15" customHeight="1">
      <c r="B844" s="128" t="s">
        <v>669</v>
      </c>
      <c r="C844" s="128" t="s">
        <v>2982</v>
      </c>
      <c r="D844" s="129">
        <v>46061.57540509259</v>
      </c>
      <c r="E844" s="130">
        <v>17.591100000000001</v>
      </c>
      <c r="F844" s="131">
        <v>4.4999999999999998E-2</v>
      </c>
      <c r="G844" s="126">
        <f t="shared" si="14"/>
        <v>18.420000000000002</v>
      </c>
      <c r="H844" s="126" t="s">
        <v>73</v>
      </c>
      <c r="I844" s="127" t="s">
        <v>16</v>
      </c>
      <c r="J844" s="126">
        <v>8.6</v>
      </c>
      <c r="K844" s="126">
        <v>139.99</v>
      </c>
      <c r="L844" s="129">
        <f>INT(base[[#This Row],[Data de liquidação]])</f>
        <v>46061</v>
      </c>
      <c r="M844" s="126">
        <f>base[[#This Row],[L/P Bruto]]-base[[#This Row],[L/P Líquido]]</f>
        <v>0.82890000000000086</v>
      </c>
      <c r="N844" s="126">
        <f>base[[#This Row],[L/P Líquido]]/base[[#This Row],[Stake/Responsabilidade]]</f>
        <v>0.12565968997785557</v>
      </c>
      <c r="O844" s="132">
        <f>IF(base[[#This Row],[L/P Líquido]]&gt;0,1,0)</f>
        <v>1</v>
      </c>
      <c r="P844" s="132"/>
      <c r="Q844" s="132" t="str">
        <f>LEFT(base[[#This Row],[Evento / Mercado]],FIND("vs",base[[#This Row],[Evento / Mercado]])-2)</f>
        <v>SK Beveren</v>
      </c>
      <c r="R8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Lommel SK</v>
      </c>
      <c r="S844" s="132" t="e">
        <f>LEFT(base[[#This Row],[Evento / Mercado]],FIND("/",base[[#This Row],[Evento / Mercado]])-2)</f>
        <v>#VALUE!</v>
      </c>
      <c r="T844" s="8">
        <v>18.420000000000002</v>
      </c>
      <c r="U844" s="9">
        <f>T844*0.955</f>
        <v>17.591100000000001</v>
      </c>
    </row>
    <row r="845" spans="2:21" ht="15" customHeight="1">
      <c r="B845" s="128" t="s">
        <v>669</v>
      </c>
      <c r="C845" s="128" t="s">
        <v>2982</v>
      </c>
      <c r="D845" s="129">
        <v>46061.57540509259</v>
      </c>
      <c r="E845" s="130">
        <v>8.0983999999999998</v>
      </c>
      <c r="F845" s="131">
        <v>4.4999999999999998E-2</v>
      </c>
      <c r="G845" s="126">
        <f t="shared" si="14"/>
        <v>8.48</v>
      </c>
      <c r="H845" s="126" t="s">
        <v>73</v>
      </c>
      <c r="I845" s="127" t="s">
        <v>13</v>
      </c>
      <c r="J845" s="126">
        <v>17.5</v>
      </c>
      <c r="K845" s="126">
        <v>139.91999999999999</v>
      </c>
      <c r="L845" s="129">
        <f>INT(base[[#This Row],[Data de liquidação]])</f>
        <v>46061</v>
      </c>
      <c r="M845" s="126">
        <f>base[[#This Row],[L/P Bruto]]-base[[#This Row],[L/P Líquido]]</f>
        <v>0.38160000000000061</v>
      </c>
      <c r="N845" s="126">
        <f>base[[#This Row],[L/P Líquido]]/base[[#This Row],[Stake/Responsabilidade]]</f>
        <v>5.7878787878787884E-2</v>
      </c>
      <c r="O845" s="132">
        <f>IF(base[[#This Row],[L/P Líquido]]&gt;0,1,0)</f>
        <v>1</v>
      </c>
      <c r="P845" s="132"/>
      <c r="Q845" s="132" t="str">
        <f>LEFT(base[[#This Row],[Evento / Mercado]],FIND("vs",base[[#This Row],[Evento / Mercado]])-2)</f>
        <v>SK Beveren</v>
      </c>
      <c r="R8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Lommel SK</v>
      </c>
      <c r="S845" s="132" t="e">
        <f>LEFT(base[[#This Row],[Evento / Mercado]],FIND("/",base[[#This Row],[Evento / Mercado]])-2)</f>
        <v>#VALUE!</v>
      </c>
      <c r="T845" s="8">
        <v>8.48</v>
      </c>
      <c r="U845" s="9">
        <f>T845*0.955</f>
        <v>8.0983999999999998</v>
      </c>
    </row>
    <row r="846" spans="2:21" ht="15" customHeight="1">
      <c r="B846" s="128" t="s">
        <v>668</v>
      </c>
      <c r="C846" s="128" t="s">
        <v>2982</v>
      </c>
      <c r="D846" s="129">
        <v>46061.579479166663</v>
      </c>
      <c r="E846" s="130">
        <v>54.24</v>
      </c>
      <c r="F846" s="131">
        <v>4.4999999999999998E-2</v>
      </c>
      <c r="G846" s="126">
        <f t="shared" si="14"/>
        <v>56.795811518324612</v>
      </c>
      <c r="H846" s="126" t="s">
        <v>231</v>
      </c>
      <c r="I846" s="127" t="s">
        <v>232</v>
      </c>
      <c r="J846" s="126">
        <v>1.71</v>
      </c>
      <c r="K846" s="126">
        <v>80</v>
      </c>
      <c r="L846" s="129">
        <f>INT(base[[#This Row],[Data de liquidação]])</f>
        <v>46061</v>
      </c>
      <c r="M846" s="126">
        <f>base[[#This Row],[L/P Bruto]]-base[[#This Row],[L/P Líquido]]</f>
        <v>2.5558115183246102</v>
      </c>
      <c r="N846" s="126">
        <f>base[[#This Row],[L/P Líquido]]/base[[#This Row],[Stake/Responsabilidade]]</f>
        <v>0.67800000000000005</v>
      </c>
      <c r="O846" s="132">
        <f>IF(base[[#This Row],[L/P Líquido]]&gt;0,1,0)</f>
        <v>1</v>
      </c>
      <c r="P846" s="132"/>
      <c r="Q846" s="132" t="str">
        <f>LEFT(base[[#This Row],[Evento / Mercado]],FIND("vs",base[[#This Row],[Evento / Mercado]])-2)</f>
        <v>FC Midtjylland</v>
      </c>
      <c r="R8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København</v>
      </c>
      <c r="S846" s="132" t="e">
        <f>LEFT(base[[#This Row],[Evento / Mercado]],FIND("/",base[[#This Row],[Evento / Mercado]])-2)</f>
        <v>#VALUE!</v>
      </c>
    </row>
    <row r="847" spans="2:21" ht="15" customHeight="1">
      <c r="B847" s="128" t="s">
        <v>667</v>
      </c>
      <c r="C847" s="128" t="s">
        <v>2982</v>
      </c>
      <c r="D847" s="129">
        <v>46061.587916666664</v>
      </c>
      <c r="E847" s="130">
        <v>48.13</v>
      </c>
      <c r="F847" s="131">
        <v>4.4999999999999998E-2</v>
      </c>
      <c r="G847" s="126">
        <f t="shared" si="14"/>
        <v>50.397905759162306</v>
      </c>
      <c r="H847" s="126" t="s">
        <v>231</v>
      </c>
      <c r="I847" s="127" t="s">
        <v>266</v>
      </c>
      <c r="J847" s="126">
        <v>1.63</v>
      </c>
      <c r="K847" s="126">
        <v>80</v>
      </c>
      <c r="L847" s="129">
        <f>INT(base[[#This Row],[Data de liquidação]])</f>
        <v>46061</v>
      </c>
      <c r="M847" s="126">
        <f>base[[#This Row],[L/P Bruto]]-base[[#This Row],[L/P Líquido]]</f>
        <v>2.2679057591623035</v>
      </c>
      <c r="N847" s="126">
        <f>base[[#This Row],[L/P Líquido]]/base[[#This Row],[Stake/Responsabilidade]]</f>
        <v>0.60162500000000008</v>
      </c>
      <c r="O847" s="132">
        <f>IF(base[[#This Row],[L/P Líquido]]&gt;0,1,0)</f>
        <v>1</v>
      </c>
      <c r="P847" s="132"/>
      <c r="Q847" s="132" t="str">
        <f>LEFT(base[[#This Row],[Evento / Mercado]],FIND("vs",base[[#This Row],[Evento / Mercado]])-2)</f>
        <v>FC Bayern München</v>
      </c>
      <c r="R8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847" s="132" t="e">
        <f>LEFT(base[[#This Row],[Evento / Mercado]],FIND("/",base[[#This Row],[Evento / Mercado]])-2)</f>
        <v>#VALUE!</v>
      </c>
    </row>
    <row r="848" spans="2:21" ht="15" customHeight="1">
      <c r="B848" s="128" t="s">
        <v>666</v>
      </c>
      <c r="C848" s="128" t="s">
        <v>2982</v>
      </c>
      <c r="D848" s="129">
        <v>46061.595081018517</v>
      </c>
      <c r="E848" s="130">
        <v>7.87</v>
      </c>
      <c r="F848" s="131">
        <v>4.4999999999999998E-2</v>
      </c>
      <c r="G848" s="126">
        <f t="shared" si="14"/>
        <v>8.2408376963350793</v>
      </c>
      <c r="H848" s="126" t="s">
        <v>73</v>
      </c>
      <c r="I848" s="127" t="s">
        <v>13</v>
      </c>
      <c r="J848" s="126">
        <v>18</v>
      </c>
      <c r="K848" s="126">
        <v>140.08000000000001</v>
      </c>
      <c r="L848" s="129">
        <f>INT(base[[#This Row],[Data de liquidação]])</f>
        <v>46061</v>
      </c>
      <c r="M848" s="126">
        <f>base[[#This Row],[L/P Bruto]]-base[[#This Row],[L/P Líquido]]</f>
        <v>0.37083769633507924</v>
      </c>
      <c r="N848" s="126">
        <f>base[[#This Row],[L/P Líquido]]/base[[#This Row],[Stake/Responsabilidade]]</f>
        <v>5.6182181610508274E-2</v>
      </c>
      <c r="O848" s="132">
        <f>IF(base[[#This Row],[L/P Líquido]]&gt;0,1,0)</f>
        <v>1</v>
      </c>
      <c r="P848" s="132"/>
      <c r="Q848" s="132" t="str">
        <f>LEFT(base[[#This Row],[Evento / Mercado]],FIND("vs",base[[#This Row],[Evento / Mercado]])-2)</f>
        <v>Athletic Bilbao</v>
      </c>
      <c r="R8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848" s="132" t="e">
        <f>LEFT(base[[#This Row],[Evento / Mercado]],FIND("/",base[[#This Row],[Evento / Mercado]])-2)</f>
        <v>#VALUE!</v>
      </c>
    </row>
    <row r="849" spans="2:21" ht="15" customHeight="1">
      <c r="B849" s="128" t="s">
        <v>665</v>
      </c>
      <c r="C849" s="128" t="s">
        <v>2982</v>
      </c>
      <c r="D849" s="129">
        <v>46061.669039351851</v>
      </c>
      <c r="E849" s="130">
        <v>12.16</v>
      </c>
      <c r="F849" s="131">
        <v>4.4999999999999998E-2</v>
      </c>
      <c r="G849" s="126">
        <f t="shared" si="14"/>
        <v>12.732984293193718</v>
      </c>
      <c r="H849" s="126" t="s">
        <v>73</v>
      </c>
      <c r="I849" s="127" t="s">
        <v>13</v>
      </c>
      <c r="J849" s="126">
        <v>12</v>
      </c>
      <c r="K849" s="126">
        <v>140.03</v>
      </c>
      <c r="L849" s="129">
        <f>INT(base[[#This Row],[Data de liquidação]])</f>
        <v>46061</v>
      </c>
      <c r="M849" s="126">
        <f>base[[#This Row],[L/P Bruto]]-base[[#This Row],[L/P Líquido]]</f>
        <v>0.57298429319371813</v>
      </c>
      <c r="N849" s="126">
        <f>base[[#This Row],[L/P Líquido]]/base[[#This Row],[Stake/Responsabilidade]]</f>
        <v>8.6838534599728637E-2</v>
      </c>
      <c r="O849" s="132">
        <f>IF(base[[#This Row],[L/P Líquido]]&gt;0,1,0)</f>
        <v>1</v>
      </c>
      <c r="P849" s="132"/>
      <c r="Q849" s="132" t="str">
        <f>LEFT(base[[#This Row],[Evento / Mercado]],FIND("vs",base[[#This Row],[Evento / Mercado]])-2)</f>
        <v>C.S. Cartaginés</v>
      </c>
      <c r="R8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Municipal Pérez Zeledón</v>
      </c>
      <c r="S849" s="132" t="e">
        <f>LEFT(base[[#This Row],[Evento / Mercado]],FIND("/",base[[#This Row],[Evento / Mercado]])-2)</f>
        <v>#VALUE!</v>
      </c>
    </row>
    <row r="850" spans="2:21" ht="15" customHeight="1">
      <c r="B850" s="128" t="s">
        <v>664</v>
      </c>
      <c r="C850" s="128" t="s">
        <v>2982</v>
      </c>
      <c r="D850" s="129">
        <v>46061.669803240744</v>
      </c>
      <c r="E850" s="130">
        <v>53.48</v>
      </c>
      <c r="F850" s="131">
        <v>4.4999999999999998E-2</v>
      </c>
      <c r="G850" s="126">
        <f t="shared" si="14"/>
        <v>56</v>
      </c>
      <c r="H850" s="126" t="s">
        <v>231</v>
      </c>
      <c r="I850" s="127" t="s">
        <v>232</v>
      </c>
      <c r="J850" s="126">
        <v>1.7</v>
      </c>
      <c r="K850" s="126">
        <v>80</v>
      </c>
      <c r="L850" s="129">
        <f>INT(base[[#This Row],[Data de liquidação]])</f>
        <v>46061</v>
      </c>
      <c r="M850" s="126">
        <f>base[[#This Row],[L/P Bruto]]-base[[#This Row],[L/P Líquido]]</f>
        <v>2.5200000000000031</v>
      </c>
      <c r="N850" s="126">
        <f>base[[#This Row],[L/P Líquido]]/base[[#This Row],[Stake/Responsabilidade]]</f>
        <v>0.66849999999999998</v>
      </c>
      <c r="O850" s="132">
        <f>IF(base[[#This Row],[L/P Líquido]]&gt;0,1,0)</f>
        <v>1</v>
      </c>
      <c r="P850" s="132"/>
      <c r="Q850" s="132" t="str">
        <f>LEFT(base[[#This Row],[Evento / Mercado]],FIND("vs",base[[#This Row],[Evento / Mercado]])-2)</f>
        <v>MSV Duisburg</v>
      </c>
      <c r="R8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Verl</v>
      </c>
      <c r="S850" s="132" t="e">
        <f>LEFT(base[[#This Row],[Evento / Mercado]],FIND("/",base[[#This Row],[Evento / Mercado]])-2)</f>
        <v>#VALUE!</v>
      </c>
    </row>
    <row r="851" spans="2:21" ht="15" customHeight="1">
      <c r="B851" s="128" t="s">
        <v>663</v>
      </c>
      <c r="C851" s="128" t="s">
        <v>2982</v>
      </c>
      <c r="D851" s="129">
        <v>46061.683298611111</v>
      </c>
      <c r="E851" s="130">
        <v>14.08</v>
      </c>
      <c r="F851" s="131">
        <v>4.4999999999999998E-2</v>
      </c>
      <c r="G851" s="126">
        <f t="shared" si="14"/>
        <v>14.7434554973822</v>
      </c>
      <c r="H851" s="126" t="s">
        <v>73</v>
      </c>
      <c r="I851" s="127" t="s">
        <v>13</v>
      </c>
      <c r="J851" s="126">
        <v>10.5</v>
      </c>
      <c r="K851" s="126">
        <v>140.03</v>
      </c>
      <c r="L851" s="129">
        <f>INT(base[[#This Row],[Data de liquidação]])</f>
        <v>46061</v>
      </c>
      <c r="M851" s="126">
        <f>base[[#This Row],[L/P Bruto]]-base[[#This Row],[L/P Líquido]]</f>
        <v>0.66345549738220022</v>
      </c>
      <c r="N851" s="126">
        <f>base[[#This Row],[L/P Líquido]]/base[[#This Row],[Stake/Responsabilidade]]</f>
        <v>0.10054988216810683</v>
      </c>
      <c r="O851" s="132">
        <f>IF(base[[#This Row],[L/P Líquido]]&gt;0,1,0)</f>
        <v>1</v>
      </c>
      <c r="P851" s="132"/>
      <c r="Q851" s="132" t="str">
        <f>LEFT(base[[#This Row],[Evento / Mercado]],FIND("vs",base[[#This Row],[Evento / Mercado]])-2)</f>
        <v>Real Sporting de Gijon</v>
      </c>
      <c r="R8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Huesca</v>
      </c>
      <c r="S851" s="132" t="e">
        <f>LEFT(base[[#This Row],[Evento / Mercado]],FIND("/",base[[#This Row],[Evento / Mercado]])-2)</f>
        <v>#VALUE!</v>
      </c>
    </row>
    <row r="852" spans="2:21" ht="15" customHeight="1">
      <c r="B852" s="128" t="s">
        <v>662</v>
      </c>
      <c r="C852" s="128" t="s">
        <v>2982</v>
      </c>
      <c r="D852" s="129">
        <v>46061.685208333336</v>
      </c>
      <c r="E852" s="130">
        <v>-250.02</v>
      </c>
      <c r="F852" s="131">
        <v>4.4999999999999998E-2</v>
      </c>
      <c r="G852" s="126">
        <f t="shared" si="14"/>
        <v>-250.02</v>
      </c>
      <c r="H852" s="126" t="s">
        <v>122</v>
      </c>
      <c r="I852" s="127" t="s">
        <v>476</v>
      </c>
      <c r="J852" s="126">
        <v>28</v>
      </c>
      <c r="K852" s="126">
        <v>250.02</v>
      </c>
      <c r="L852" s="129">
        <f>INT(base[[#This Row],[Data de liquidação]])</f>
        <v>46061</v>
      </c>
      <c r="M852" s="126">
        <f>base[[#This Row],[L/P Bruto]]-base[[#This Row],[L/P Líquido]]</f>
        <v>0</v>
      </c>
      <c r="N852" s="126">
        <f>base[[#This Row],[L/P Líquido]]/base[[#This Row],[Stake/Responsabilidade]]</f>
        <v>-1</v>
      </c>
      <c r="O852" s="132">
        <f>IF(base[[#This Row],[L/P Líquido]]&gt;0,1,0)</f>
        <v>0</v>
      </c>
      <c r="P852" s="132" t="s">
        <v>964</v>
      </c>
      <c r="Q852" s="132" t="str">
        <f>LEFT(base[[#This Row],[Evento / Mercado]],FIND("vs",base[[#This Row],[Evento / Mercado]])-2)</f>
        <v>Atlético de Madrid</v>
      </c>
      <c r="R8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852" s="132" t="e">
        <f>LEFT(base[[#This Row],[Evento / Mercado]],FIND("/",base[[#This Row],[Evento / Mercado]])-2)</f>
        <v>#VALUE!</v>
      </c>
    </row>
    <row r="853" spans="2:21" ht="15" customHeight="1">
      <c r="B853" s="128" t="s">
        <v>662</v>
      </c>
      <c r="C853" s="128" t="s">
        <v>2982</v>
      </c>
      <c r="D853" s="129">
        <v>46061.685208333336</v>
      </c>
      <c r="E853" s="130">
        <v>-140</v>
      </c>
      <c r="F853" s="131">
        <v>4.4999999999999998E-2</v>
      </c>
      <c r="G853" s="126">
        <f t="shared" si="14"/>
        <v>-140</v>
      </c>
      <c r="H853" s="126" t="s">
        <v>73</v>
      </c>
      <c r="I853" s="127" t="s">
        <v>13</v>
      </c>
      <c r="J853" s="126">
        <v>13.5</v>
      </c>
      <c r="K853" s="126">
        <v>140</v>
      </c>
      <c r="L853" s="129">
        <f>INT(base[[#This Row],[Data de liquidação]])</f>
        <v>46061</v>
      </c>
      <c r="M853" s="126">
        <f>base[[#This Row],[L/P Bruto]]-base[[#This Row],[L/P Líquido]]</f>
        <v>0</v>
      </c>
      <c r="N853" s="126">
        <f>base[[#This Row],[L/P Líquido]]/base[[#This Row],[Stake/Responsabilidade]]</f>
        <v>-1</v>
      </c>
      <c r="O853" s="132">
        <f>IF(base[[#This Row],[L/P Líquido]]&gt;0,1,0)</f>
        <v>0</v>
      </c>
      <c r="P853" s="132"/>
      <c r="Q853" s="132" t="str">
        <f>LEFT(base[[#This Row],[Evento / Mercado]],FIND("vs",base[[#This Row],[Evento / Mercado]])-2)</f>
        <v>Atlético de Madrid</v>
      </c>
      <c r="R8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853" s="132" t="e">
        <f>LEFT(base[[#This Row],[Evento / Mercado]],FIND("/",base[[#This Row],[Evento / Mercado]])-2)</f>
        <v>#VALUE!</v>
      </c>
    </row>
    <row r="854" spans="2:21" ht="15" customHeight="1">
      <c r="B854" s="128" t="s">
        <v>662</v>
      </c>
      <c r="C854" s="128" t="s">
        <v>2982</v>
      </c>
      <c r="D854" s="129">
        <v>46061.685277777775</v>
      </c>
      <c r="E854" s="130">
        <v>-250.01</v>
      </c>
      <c r="F854" s="131">
        <v>4.4999999999999998E-2</v>
      </c>
      <c r="G854" s="126">
        <f t="shared" si="14"/>
        <v>-250.01</v>
      </c>
      <c r="H854" s="126" t="s">
        <v>145</v>
      </c>
      <c r="I854" s="127" t="s">
        <v>301</v>
      </c>
      <c r="J854" s="126">
        <v>7.6</v>
      </c>
      <c r="K854" s="126">
        <v>250.01</v>
      </c>
      <c r="L854" s="129">
        <f>INT(base[[#This Row],[Data de liquidação]])</f>
        <v>46061</v>
      </c>
      <c r="M854" s="126">
        <f>base[[#This Row],[L/P Bruto]]-base[[#This Row],[L/P Líquido]]</f>
        <v>0</v>
      </c>
      <c r="N854" s="126">
        <f>base[[#This Row],[L/P Líquido]]/base[[#This Row],[Stake/Responsabilidade]]</f>
        <v>-1</v>
      </c>
      <c r="O854" s="132">
        <f>IF(base[[#This Row],[L/P Líquido]]&gt;0,1,0)</f>
        <v>0</v>
      </c>
      <c r="P854" s="132" t="s">
        <v>964</v>
      </c>
      <c r="Q854" s="132" t="str">
        <f>LEFT(base[[#This Row],[Evento / Mercado]],FIND("vs",base[[#This Row],[Evento / Mercado]])-2)</f>
        <v>Atlético de Madrid</v>
      </c>
      <c r="R8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854" s="132" t="e">
        <f>LEFT(base[[#This Row],[Evento / Mercado]],FIND("/",base[[#This Row],[Evento / Mercado]])-2)</f>
        <v>#VALUE!</v>
      </c>
    </row>
    <row r="855" spans="2:21" ht="15" customHeight="1">
      <c r="B855" s="128" t="s">
        <v>661</v>
      </c>
      <c r="C855" s="128" t="s">
        <v>2982</v>
      </c>
      <c r="D855" s="129">
        <v>46061.764803240738</v>
      </c>
      <c r="E855" s="130">
        <v>18.07</v>
      </c>
      <c r="F855" s="131">
        <v>4.4999999999999998E-2</v>
      </c>
      <c r="G855" s="126">
        <f t="shared" si="14"/>
        <v>18.921465968586389</v>
      </c>
      <c r="H855" s="126" t="s">
        <v>73</v>
      </c>
      <c r="I855" s="127" t="s">
        <v>13</v>
      </c>
      <c r="J855" s="126">
        <v>8.4</v>
      </c>
      <c r="K855" s="126">
        <v>140.01</v>
      </c>
      <c r="L855" s="129">
        <f>INT(base[[#This Row],[Data de liquidação]])</f>
        <v>46061</v>
      </c>
      <c r="M855" s="126">
        <f>base[[#This Row],[L/P Bruto]]-base[[#This Row],[L/P Líquido]]</f>
        <v>0.85146596858638901</v>
      </c>
      <c r="N855" s="126">
        <f>base[[#This Row],[L/P Líquido]]/base[[#This Row],[Stake/Responsabilidade]]</f>
        <v>0.12906220984215414</v>
      </c>
      <c r="O855" s="132">
        <f>IF(base[[#This Row],[L/P Líquido]]&gt;0,1,0)</f>
        <v>1</v>
      </c>
      <c r="P855" s="132"/>
      <c r="Q855" s="132" t="str">
        <f>LEFT(base[[#This Row],[Evento / Mercado]],FIND("vs",base[[#This Row],[Evento / Mercado]])-2)</f>
        <v>Stenhousemuir</v>
      </c>
      <c r="R8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Falkirk</v>
      </c>
      <c r="S855" s="132" t="e">
        <f>LEFT(base[[#This Row],[Evento / Mercado]],FIND("/",base[[#This Row],[Evento / Mercado]])-2)</f>
        <v>#VALUE!</v>
      </c>
    </row>
    <row r="856" spans="2:21" ht="15" customHeight="1">
      <c r="B856" s="128" t="s">
        <v>376</v>
      </c>
      <c r="C856" s="128" t="s">
        <v>2982</v>
      </c>
      <c r="D856" s="129">
        <v>46061.776550925926</v>
      </c>
      <c r="E856" s="130">
        <v>11.62</v>
      </c>
      <c r="F856" s="131">
        <v>4.4999999999999998E-2</v>
      </c>
      <c r="G856" s="126">
        <f t="shared" si="14"/>
        <v>12.167539267015707</v>
      </c>
      <c r="H856" s="126" t="s">
        <v>73</v>
      </c>
      <c r="I856" s="127" t="s">
        <v>16</v>
      </c>
      <c r="J856" s="126">
        <v>12.5</v>
      </c>
      <c r="K856" s="126">
        <v>139.96</v>
      </c>
      <c r="L856" s="129">
        <f>INT(base[[#This Row],[Data de liquidação]])</f>
        <v>46061</v>
      </c>
      <c r="M856" s="126">
        <f>base[[#This Row],[L/P Bruto]]-base[[#This Row],[L/P Líquido]]</f>
        <v>0.54753926701570776</v>
      </c>
      <c r="N856" s="126">
        <f>base[[#This Row],[L/P Líquido]]/base[[#This Row],[Stake/Responsabilidade]]</f>
        <v>8.3023721063160888E-2</v>
      </c>
      <c r="O856" s="132">
        <f>IF(base[[#This Row],[L/P Líquido]]&gt;0,1,0)</f>
        <v>1</v>
      </c>
      <c r="P856" s="132"/>
      <c r="Q856" s="132" t="str">
        <f>LEFT(base[[#This Row],[Evento / Mercado]],FIND("vs",base[[#This Row],[Evento / Mercado]])-2)</f>
        <v>Paris Saint-Germain</v>
      </c>
      <c r="R8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Marseille</v>
      </c>
      <c r="S856" s="132" t="e">
        <f>LEFT(base[[#This Row],[Evento / Mercado]],FIND("/",base[[#This Row],[Evento / Mercado]])-2)</f>
        <v>#VALUE!</v>
      </c>
    </row>
    <row r="857" spans="2:21" ht="15" customHeight="1">
      <c r="B857" s="128" t="s">
        <v>660</v>
      </c>
      <c r="C857" s="128" t="s">
        <v>2982</v>
      </c>
      <c r="D857" s="129">
        <v>46061.780509259261</v>
      </c>
      <c r="E857" s="130">
        <v>7.87</v>
      </c>
      <c r="F857" s="131">
        <v>4.4999999999999998E-2</v>
      </c>
      <c r="G857" s="126">
        <f t="shared" si="14"/>
        <v>8.2408376963350793</v>
      </c>
      <c r="H857" s="126" t="s">
        <v>73</v>
      </c>
      <c r="I857" s="127" t="s">
        <v>13</v>
      </c>
      <c r="J857" s="126">
        <v>18</v>
      </c>
      <c r="K857" s="126">
        <v>140.08000000000001</v>
      </c>
      <c r="L857" s="129">
        <f>INT(base[[#This Row],[Data de liquidação]])</f>
        <v>46061</v>
      </c>
      <c r="M857" s="126">
        <f>base[[#This Row],[L/P Bruto]]-base[[#This Row],[L/P Líquido]]</f>
        <v>0.37083769633507924</v>
      </c>
      <c r="N857" s="126">
        <f>base[[#This Row],[L/P Líquido]]/base[[#This Row],[Stake/Responsabilidade]]</f>
        <v>5.6182181610508274E-2</v>
      </c>
      <c r="O857" s="132">
        <f>IF(base[[#This Row],[L/P Líquido]]&gt;0,1,0)</f>
        <v>1</v>
      </c>
      <c r="P857" s="132"/>
      <c r="Q857" s="132" t="str">
        <f>LEFT(base[[#This Row],[Evento / Mercado]],FIND("vs",base[[#This Row],[Evento / Mercado]])-2)</f>
        <v>Juventus</v>
      </c>
      <c r="R8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Lazio</v>
      </c>
      <c r="S857" s="132" t="e">
        <f>LEFT(base[[#This Row],[Evento / Mercado]],FIND("/",base[[#This Row],[Evento / Mercado]])-2)</f>
        <v>#VALUE!</v>
      </c>
    </row>
    <row r="858" spans="2:21" ht="15" customHeight="1">
      <c r="B858" s="128" t="s">
        <v>659</v>
      </c>
      <c r="C858" s="128" t="s">
        <v>2982</v>
      </c>
      <c r="D858" s="129">
        <v>46061.78701388889</v>
      </c>
      <c r="E858" s="130">
        <v>9.9499999999999993</v>
      </c>
      <c r="F858" s="131">
        <v>4.4999999999999998E-2</v>
      </c>
      <c r="G858" s="126">
        <f t="shared" si="14"/>
        <v>10.418848167539267</v>
      </c>
      <c r="H858" s="126" t="s">
        <v>122</v>
      </c>
      <c r="I858" s="127" t="s">
        <v>542</v>
      </c>
      <c r="J858" s="126">
        <v>25</v>
      </c>
      <c r="K858" s="126">
        <v>250.08</v>
      </c>
      <c r="L858" s="129">
        <f>INT(base[[#This Row],[Data de liquidação]])</f>
        <v>46061</v>
      </c>
      <c r="M858" s="126">
        <f>base[[#This Row],[L/P Bruto]]-base[[#This Row],[L/P Líquido]]</f>
        <v>0.46884816753926728</v>
      </c>
      <c r="N858" s="126">
        <f>base[[#This Row],[L/P Líquido]]/base[[#This Row],[Stake/Responsabilidade]]</f>
        <v>3.9787268074216245E-2</v>
      </c>
      <c r="O858" s="132">
        <f>IF(base[[#This Row],[L/P Líquido]]&gt;0,1,0)</f>
        <v>1</v>
      </c>
      <c r="P858" s="132" t="s">
        <v>964</v>
      </c>
      <c r="Q858" s="132" t="str">
        <f>LEFT(base[[#This Row],[Evento / Mercado]],FIND("vs",base[[#This Row],[Evento / Mercado]])-2)</f>
        <v>Valencia</v>
      </c>
      <c r="R8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858" s="132" t="e">
        <f>LEFT(base[[#This Row],[Evento / Mercado]],FIND("/",base[[#This Row],[Evento / Mercado]])-2)</f>
        <v>#VALUE!</v>
      </c>
    </row>
    <row r="859" spans="2:21" ht="15" customHeight="1">
      <c r="B859" s="128" t="s">
        <v>659</v>
      </c>
      <c r="C859" s="128" t="s">
        <v>2982</v>
      </c>
      <c r="D859" s="129">
        <v>46061.787557870368</v>
      </c>
      <c r="E859" s="130">
        <v>-80</v>
      </c>
      <c r="F859" s="131">
        <v>4.4999999999999998E-2</v>
      </c>
      <c r="G859" s="126">
        <f t="shared" si="14"/>
        <v>-80</v>
      </c>
      <c r="H859" s="126" t="s">
        <v>231</v>
      </c>
      <c r="I859" s="127" t="s">
        <v>266</v>
      </c>
      <c r="J859" s="126">
        <f>+(1.77*12.37+1.73*67.63)/base[[#This Row],[Stake/Responsabilidade]]</f>
        <v>1.7361850000000001</v>
      </c>
      <c r="K859" s="126">
        <f>12.37+67.63</f>
        <v>80</v>
      </c>
      <c r="L859" s="129">
        <f>INT(base[[#This Row],[Data de liquidação]])</f>
        <v>46061</v>
      </c>
      <c r="M859" s="126">
        <f>base[[#This Row],[L/P Bruto]]-base[[#This Row],[L/P Líquido]]</f>
        <v>0</v>
      </c>
      <c r="N859" s="126">
        <f>base[[#This Row],[L/P Líquido]]/base[[#This Row],[Stake/Responsabilidade]]</f>
        <v>-1</v>
      </c>
      <c r="O859" s="132">
        <f>IF(base[[#This Row],[L/P Líquido]]&gt;0,1,0)</f>
        <v>0</v>
      </c>
      <c r="P859" s="132"/>
      <c r="Q859" s="132" t="str">
        <f>LEFT(base[[#This Row],[Evento / Mercado]],FIND("vs",base[[#This Row],[Evento / Mercado]])-2)</f>
        <v>Valencia</v>
      </c>
      <c r="R8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859" s="132" t="e">
        <f>LEFT(base[[#This Row],[Evento / Mercado]],FIND("/",base[[#This Row],[Evento / Mercado]])-2)</f>
        <v>#VALUE!</v>
      </c>
    </row>
    <row r="860" spans="2:21" ht="15" customHeight="1">
      <c r="B860" s="128" t="s">
        <v>658</v>
      </c>
      <c r="C860" s="128" t="s">
        <v>2982</v>
      </c>
      <c r="D860" s="129">
        <v>46061.793032407404</v>
      </c>
      <c r="E860" s="130">
        <v>20.083649999999999</v>
      </c>
      <c r="F860" s="131">
        <v>4.4999999999999998E-2</v>
      </c>
      <c r="G860" s="126">
        <f t="shared" si="14"/>
        <v>21.03</v>
      </c>
      <c r="H860" s="126" t="s">
        <v>73</v>
      </c>
      <c r="I860" s="127" t="s">
        <v>16</v>
      </c>
      <c r="J860" s="126">
        <v>7.6</v>
      </c>
      <c r="K860" s="126">
        <v>138.83000000000001</v>
      </c>
      <c r="L860" s="129">
        <f>INT(base[[#This Row],[Data de liquidação]])</f>
        <v>46061</v>
      </c>
      <c r="M860" s="126">
        <f>base[[#This Row],[L/P Bruto]]-base[[#This Row],[L/P Líquido]]</f>
        <v>0.94635000000000247</v>
      </c>
      <c r="N860" s="126">
        <f>base[[#This Row],[L/P Líquido]]/base[[#This Row],[Stake/Responsabilidade]]</f>
        <v>0.14466361737376646</v>
      </c>
      <c r="O860" s="132">
        <f>IF(base[[#This Row],[L/P Líquido]]&gt;0,1,0)</f>
        <v>1</v>
      </c>
      <c r="P860" s="132"/>
      <c r="Q860" s="132" t="str">
        <f>LEFT(base[[#This Row],[Evento / Mercado]],FIND("vs",base[[#This Row],[Evento / Mercado]])-2)</f>
        <v>Málaga</v>
      </c>
      <c r="R8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Cultural Leonesa</v>
      </c>
      <c r="S860" s="132" t="e">
        <f>LEFT(base[[#This Row],[Evento / Mercado]],FIND("/",base[[#This Row],[Evento / Mercado]])-2)</f>
        <v>#VALUE!</v>
      </c>
      <c r="T860" s="8">
        <v>21.03</v>
      </c>
      <c r="U860" s="9">
        <f>T860*0.955</f>
        <v>20.083649999999999</v>
      </c>
    </row>
    <row r="861" spans="2:21" ht="15" customHeight="1">
      <c r="B861" s="128" t="s">
        <v>658</v>
      </c>
      <c r="C861" s="128" t="s">
        <v>2982</v>
      </c>
      <c r="D861" s="129">
        <v>46061.793032407404</v>
      </c>
      <c r="E861" s="130">
        <v>8.6236499999999996</v>
      </c>
      <c r="F861" s="131">
        <v>4.4999999999999998E-2</v>
      </c>
      <c r="G861" s="126">
        <f t="shared" si="14"/>
        <v>9.0299999999999994</v>
      </c>
      <c r="H861" s="126" t="s">
        <v>73</v>
      </c>
      <c r="I861" s="127" t="s">
        <v>13</v>
      </c>
      <c r="J861" s="126">
        <v>16.5</v>
      </c>
      <c r="K861" s="126">
        <v>139.97</v>
      </c>
      <c r="L861" s="129">
        <f>INT(base[[#This Row],[Data de liquidação]])</f>
        <v>46061</v>
      </c>
      <c r="M861" s="126">
        <f>base[[#This Row],[L/P Bruto]]-base[[#This Row],[L/P Líquido]]</f>
        <v>0.40634999999999977</v>
      </c>
      <c r="N861" s="126">
        <f>base[[#This Row],[L/P Líquido]]/base[[#This Row],[Stake/Responsabilidade]]</f>
        <v>6.1610702293348571E-2</v>
      </c>
      <c r="O861" s="132">
        <f>IF(base[[#This Row],[L/P Líquido]]&gt;0,1,0)</f>
        <v>1</v>
      </c>
      <c r="P861" s="132"/>
      <c r="Q861" s="132" t="str">
        <f>LEFT(base[[#This Row],[Evento / Mercado]],FIND("vs",base[[#This Row],[Evento / Mercado]])-2)</f>
        <v>Málaga</v>
      </c>
      <c r="R8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Cultural Leonesa</v>
      </c>
      <c r="S861" s="132" t="e">
        <f>LEFT(base[[#This Row],[Evento / Mercado]],FIND("/",base[[#This Row],[Evento / Mercado]])-2)</f>
        <v>#VALUE!</v>
      </c>
      <c r="T861" s="8">
        <v>9.0299999999999994</v>
      </c>
      <c r="U861" s="9">
        <f>T861*0.955</f>
        <v>8.6236499999999996</v>
      </c>
    </row>
    <row r="862" spans="2:21" ht="15" customHeight="1">
      <c r="B862" s="128" t="s">
        <v>761</v>
      </c>
      <c r="C862" s="128" t="s">
        <v>2982</v>
      </c>
      <c r="D862" s="129">
        <v>46062.663368055553</v>
      </c>
      <c r="E862" s="130">
        <v>17.690000000000001</v>
      </c>
      <c r="F862" s="131">
        <v>4.4999999999999998E-2</v>
      </c>
      <c r="G862" s="126">
        <f t="shared" si="14"/>
        <v>18.523560209424087</v>
      </c>
      <c r="H862" s="126" t="s">
        <v>145</v>
      </c>
      <c r="I862" s="127" t="s">
        <v>301</v>
      </c>
      <c r="J862" s="126">
        <v>14.5</v>
      </c>
      <c r="K862" s="126">
        <v>250.02</v>
      </c>
      <c r="L862" s="129">
        <f>INT(base[[#This Row],[Data de liquidação]])</f>
        <v>46062</v>
      </c>
      <c r="M862" s="126">
        <f>base[[#This Row],[L/P Bruto]]-base[[#This Row],[L/P Líquido]]</f>
        <v>0.83356020942408549</v>
      </c>
      <c r="N862" s="126">
        <f>base[[#This Row],[L/P Líquido]]/base[[#This Row],[Stake/Responsabilidade]]</f>
        <v>7.0754339652827777E-2</v>
      </c>
      <c r="O862" s="132">
        <f>IF(base[[#This Row],[L/P Líquido]]&gt;0,1,0)</f>
        <v>1</v>
      </c>
      <c r="P862" s="132" t="s">
        <v>966</v>
      </c>
      <c r="Q862" s="132" t="str">
        <f>LEFT(base[[#This Row],[Evento / Mercado]],FIND("vs",base[[#This Row],[Evento / Mercado]])-2)</f>
        <v>Fenerbahçe SK</v>
      </c>
      <c r="R8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Gençlerbirligi SK</v>
      </c>
      <c r="S862" s="132" t="e">
        <f>LEFT(base[[#This Row],[Evento / Mercado]],FIND("/",base[[#This Row],[Evento / Mercado]])-2)</f>
        <v>#VALUE!</v>
      </c>
    </row>
    <row r="863" spans="2:21" ht="15" customHeight="1">
      <c r="B863" s="128" t="s">
        <v>760</v>
      </c>
      <c r="C863" s="128" t="s">
        <v>2982</v>
      </c>
      <c r="D863" s="129">
        <v>46062.683611111112</v>
      </c>
      <c r="E863" s="130">
        <v>26.53</v>
      </c>
      <c r="F863" s="131">
        <v>4.4999999999999998E-2</v>
      </c>
      <c r="G863" s="126">
        <f t="shared" si="14"/>
        <v>27.780104712041886</v>
      </c>
      <c r="H863" s="126" t="s">
        <v>145</v>
      </c>
      <c r="I863" s="127" t="s">
        <v>301</v>
      </c>
      <c r="J863" s="126">
        <v>10</v>
      </c>
      <c r="K863" s="126">
        <v>250.02</v>
      </c>
      <c r="L863" s="129">
        <f>INT(base[[#This Row],[Data de liquidação]])</f>
        <v>46062</v>
      </c>
      <c r="M863" s="126">
        <f>base[[#This Row],[L/P Bruto]]-base[[#This Row],[L/P Líquido]]</f>
        <v>1.2501047120418853</v>
      </c>
      <c r="N863" s="126">
        <f>base[[#This Row],[L/P Líquido]]/base[[#This Row],[Stake/Responsabilidade]]</f>
        <v>0.10611151107911367</v>
      </c>
      <c r="O863" s="132">
        <f>IF(base[[#This Row],[L/P Líquido]]&gt;0,1,0)</f>
        <v>1</v>
      </c>
      <c r="P863" s="132" t="s">
        <v>969</v>
      </c>
      <c r="Q863" s="132" t="str">
        <f>LEFT(base[[#This Row],[Evento / Mercado]],FIND("vs",base[[#This Row],[Evento / Mercado]])-2)</f>
        <v>Atalanta</v>
      </c>
      <c r="R8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863" s="132" t="e">
        <f>LEFT(base[[#This Row],[Evento / Mercado]],FIND("/",base[[#This Row],[Evento / Mercado]])-2)</f>
        <v>#VALUE!</v>
      </c>
    </row>
    <row r="864" spans="2:21" ht="15" customHeight="1">
      <c r="B864" s="128" t="s">
        <v>759</v>
      </c>
      <c r="C864" s="128" t="s">
        <v>2982</v>
      </c>
      <c r="D864" s="129">
        <v>46062.726724537039</v>
      </c>
      <c r="E864" s="130">
        <v>11.14</v>
      </c>
      <c r="F864" s="131">
        <v>4.4999999999999998E-2</v>
      </c>
      <c r="G864" s="126">
        <f t="shared" si="14"/>
        <v>11.664921465968588</v>
      </c>
      <c r="H864" s="126" t="s">
        <v>73</v>
      </c>
      <c r="I864" s="127" t="s">
        <v>16</v>
      </c>
      <c r="J864" s="126">
        <v>13</v>
      </c>
      <c r="K864" s="126">
        <v>140.04</v>
      </c>
      <c r="L864" s="129">
        <f>INT(base[[#This Row],[Data de liquidação]])</f>
        <v>46062</v>
      </c>
      <c r="M864" s="126">
        <f>base[[#This Row],[L/P Bruto]]-base[[#This Row],[L/P Líquido]]</f>
        <v>0.52492146596858724</v>
      </c>
      <c r="N864" s="126">
        <f>base[[#This Row],[L/P Líquido]]/base[[#This Row],[Stake/Responsabilidade]]</f>
        <v>7.9548700371322487E-2</v>
      </c>
      <c r="O864" s="132">
        <f>IF(base[[#This Row],[L/P Líquido]]&gt;0,1,0)</f>
        <v>1</v>
      </c>
      <c r="P864" s="132"/>
      <c r="Q864" s="132" t="str">
        <f>LEFT(base[[#This Row],[Evento / Mercado]],FIND("vs",base[[#This Row],[Evento / Mercado]])-2)</f>
        <v>Hapoel Be'er Sheva</v>
      </c>
      <c r="R8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Beitar Jerusalem</v>
      </c>
      <c r="S864" s="132" t="e">
        <f>LEFT(base[[#This Row],[Evento / Mercado]],FIND("/",base[[#This Row],[Evento / Mercado]])-2)</f>
        <v>#VALUE!</v>
      </c>
    </row>
    <row r="865" spans="2:21" ht="15" customHeight="1">
      <c r="B865" s="128" t="s">
        <v>758</v>
      </c>
      <c r="C865" s="128" t="s">
        <v>2982</v>
      </c>
      <c r="D865" s="129">
        <v>46062.737951388888</v>
      </c>
      <c r="E865" s="130">
        <v>7.87</v>
      </c>
      <c r="F865" s="131">
        <v>4.4999999999999998E-2</v>
      </c>
      <c r="G865" s="126">
        <f t="shared" si="14"/>
        <v>8.2408376963350793</v>
      </c>
      <c r="H865" s="126" t="s">
        <v>73</v>
      </c>
      <c r="I865" s="127" t="s">
        <v>13</v>
      </c>
      <c r="J865" s="126">
        <v>18</v>
      </c>
      <c r="K865" s="126">
        <v>140.08000000000001</v>
      </c>
      <c r="L865" s="129">
        <f>INT(base[[#This Row],[Data de liquidação]])</f>
        <v>46062</v>
      </c>
      <c r="M865" s="126">
        <f>base[[#This Row],[L/P Bruto]]-base[[#This Row],[L/P Líquido]]</f>
        <v>0.37083769633507924</v>
      </c>
      <c r="N865" s="126">
        <f>base[[#This Row],[L/P Líquido]]/base[[#This Row],[Stake/Responsabilidade]]</f>
        <v>5.6182181610508274E-2</v>
      </c>
      <c r="O865" s="132">
        <f>IF(base[[#This Row],[L/P Líquido]]&gt;0,1,0)</f>
        <v>1</v>
      </c>
      <c r="P865" s="132"/>
      <c r="Q865" s="132" t="str">
        <f>LEFT(base[[#This Row],[Evento / Mercado]],FIND("vs",base[[#This Row],[Evento / Mercado]])-2)</f>
        <v>Famalicão</v>
      </c>
      <c r="R8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AVS Futebol SAD</v>
      </c>
      <c r="S865" s="132" t="e">
        <f>LEFT(base[[#This Row],[Evento / Mercado]],FIND("/",base[[#This Row],[Evento / Mercado]])-2)</f>
        <v>#VALUE!</v>
      </c>
    </row>
    <row r="866" spans="2:21" ht="15" customHeight="1">
      <c r="B866" s="128" t="s">
        <v>757</v>
      </c>
      <c r="C866" s="128" t="s">
        <v>2982</v>
      </c>
      <c r="D866" s="129">
        <v>46062.745324074072</v>
      </c>
      <c r="E866" s="130">
        <v>8.6199999999999992</v>
      </c>
      <c r="F866" s="131">
        <v>4.4999999999999998E-2</v>
      </c>
      <c r="G866" s="126">
        <f t="shared" si="14"/>
        <v>9.0261780104712042</v>
      </c>
      <c r="H866" s="126" t="s">
        <v>73</v>
      </c>
      <c r="I866" s="127" t="s">
        <v>13</v>
      </c>
      <c r="J866" s="126">
        <v>16.5</v>
      </c>
      <c r="K866" s="126">
        <v>139.97</v>
      </c>
      <c r="L866" s="129">
        <f>INT(base[[#This Row],[Data de liquidação]])</f>
        <v>46062</v>
      </c>
      <c r="M866" s="126">
        <f>base[[#This Row],[L/P Bruto]]-base[[#This Row],[L/P Líquido]]</f>
        <v>0.40617801047120494</v>
      </c>
      <c r="N866" s="126">
        <f>base[[#This Row],[L/P Líquido]]/base[[#This Row],[Stake/Responsabilidade]]</f>
        <v>6.158462527684503E-2</v>
      </c>
      <c r="O866" s="132">
        <f>IF(base[[#This Row],[L/P Líquido]]&gt;0,1,0)</f>
        <v>1</v>
      </c>
      <c r="P866" s="132"/>
      <c r="Q866" s="132" t="str">
        <f>LEFT(base[[#This Row],[Evento / Mercado]],FIND("vs",base[[#This Row],[Evento / Mercado]])-2)</f>
        <v>Jong AZ Alkmaar</v>
      </c>
      <c r="R8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Dordrecht</v>
      </c>
      <c r="S866" s="132" t="e">
        <f>LEFT(base[[#This Row],[Evento / Mercado]],FIND("/",base[[#This Row],[Evento / Mercado]])-2)</f>
        <v>#VALUE!</v>
      </c>
    </row>
    <row r="867" spans="2:21" ht="15" customHeight="1">
      <c r="B867" s="128" t="s">
        <v>756</v>
      </c>
      <c r="C867" s="128" t="s">
        <v>2982</v>
      </c>
      <c r="D867" s="129">
        <v>46062.751817129632</v>
      </c>
      <c r="E867" s="130">
        <v>7.87</v>
      </c>
      <c r="F867" s="131">
        <v>4.4999999999999998E-2</v>
      </c>
      <c r="G867" s="126">
        <f t="shared" si="14"/>
        <v>8.2408376963350793</v>
      </c>
      <c r="H867" s="126" t="s">
        <v>73</v>
      </c>
      <c r="I867" s="127" t="s">
        <v>13</v>
      </c>
      <c r="J867" s="126">
        <v>18</v>
      </c>
      <c r="K867" s="126">
        <v>140.08000000000001</v>
      </c>
      <c r="L867" s="129">
        <f>INT(base[[#This Row],[Data de liquidação]])</f>
        <v>46062</v>
      </c>
      <c r="M867" s="126">
        <f>base[[#This Row],[L/P Bruto]]-base[[#This Row],[L/P Líquido]]</f>
        <v>0.37083769633507924</v>
      </c>
      <c r="N867" s="126">
        <f>base[[#This Row],[L/P Líquido]]/base[[#This Row],[Stake/Responsabilidade]]</f>
        <v>5.6182181610508274E-2</v>
      </c>
      <c r="O867" s="132">
        <f>IF(base[[#This Row],[L/P Líquido]]&gt;0,1,0)</f>
        <v>1</v>
      </c>
      <c r="P867" s="132"/>
      <c r="Q867" s="132" t="str">
        <f>LEFT(base[[#This Row],[Evento / Mercado]],FIND("vs",base[[#This Row],[Evento / Mercado]])-2)</f>
        <v>Envigado FC</v>
      </c>
      <c r="R8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Tigres FC</v>
      </c>
      <c r="S867" s="132" t="e">
        <f>LEFT(base[[#This Row],[Evento / Mercado]],FIND("/",base[[#This Row],[Evento / Mercado]])-2)</f>
        <v>#VALUE!</v>
      </c>
    </row>
    <row r="868" spans="2:21" ht="15" customHeight="1">
      <c r="B868" s="128" t="s">
        <v>755</v>
      </c>
      <c r="C868" s="128" t="s">
        <v>2982</v>
      </c>
      <c r="D868" s="129">
        <v>46062.770416666666</v>
      </c>
      <c r="E868" s="130">
        <v>-80</v>
      </c>
      <c r="F868" s="131">
        <v>4.4999999999999998E-2</v>
      </c>
      <c r="G868" s="126">
        <f t="shared" si="14"/>
        <v>-80</v>
      </c>
      <c r="H868" s="126" t="s">
        <v>231</v>
      </c>
      <c r="I868" s="127" t="s">
        <v>232</v>
      </c>
      <c r="J868" s="126">
        <v>1.78</v>
      </c>
      <c r="K868" s="126">
        <v>80</v>
      </c>
      <c r="L868" s="129">
        <f>INT(base[[#This Row],[Data de liquidação]])</f>
        <v>46062</v>
      </c>
      <c r="M868" s="126">
        <f>base[[#This Row],[L/P Bruto]]-base[[#This Row],[L/P Líquido]]</f>
        <v>0</v>
      </c>
      <c r="N868" s="126">
        <f>base[[#This Row],[L/P Líquido]]/base[[#This Row],[Stake/Responsabilidade]]</f>
        <v>-1</v>
      </c>
      <c r="O868" s="132">
        <f>IF(base[[#This Row],[L/P Líquido]]&gt;0,1,0)</f>
        <v>0</v>
      </c>
      <c r="P868" s="132"/>
      <c r="Q868" s="132" t="str">
        <f>LEFT(base[[#This Row],[Evento / Mercado]],FIND("vs",base[[#This Row],[Evento / Mercado]])-2)</f>
        <v>Racing Santander</v>
      </c>
      <c r="R8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Mirandés</v>
      </c>
      <c r="S868" s="132" t="e">
        <f>LEFT(base[[#This Row],[Evento / Mercado]],FIND("/",base[[#This Row],[Evento / Mercado]])-2)</f>
        <v>#VALUE!</v>
      </c>
    </row>
    <row r="869" spans="2:21" ht="15" customHeight="1">
      <c r="B869" s="128" t="s">
        <v>755</v>
      </c>
      <c r="C869" s="128" t="s">
        <v>2982</v>
      </c>
      <c r="D869" s="129">
        <v>46062.770486111112</v>
      </c>
      <c r="E869" s="130">
        <v>7.8692000000000002</v>
      </c>
      <c r="F869" s="131">
        <v>4.4999999999999998E-2</v>
      </c>
      <c r="G869" s="126">
        <f t="shared" si="14"/>
        <v>8.24</v>
      </c>
      <c r="H869" s="126" t="s">
        <v>73</v>
      </c>
      <c r="I869" s="127" t="s">
        <v>13</v>
      </c>
      <c r="J869" s="126">
        <v>18</v>
      </c>
      <c r="K869" s="126">
        <v>140.08000000000001</v>
      </c>
      <c r="L869" s="129">
        <f>INT(base[[#This Row],[Data de liquidação]])</f>
        <v>46062</v>
      </c>
      <c r="M869" s="126">
        <f>base[[#This Row],[L/P Bruto]]-base[[#This Row],[L/P Líquido]]</f>
        <v>0.37080000000000002</v>
      </c>
      <c r="N869" s="126">
        <f>base[[#This Row],[L/P Líquido]]/base[[#This Row],[Stake/Responsabilidade]]</f>
        <v>5.6176470588235293E-2</v>
      </c>
      <c r="O869" s="132">
        <f>IF(base[[#This Row],[L/P Líquido]]&gt;0,1,0)</f>
        <v>1</v>
      </c>
      <c r="P869" s="132"/>
      <c r="Q869" s="132" t="str">
        <f>LEFT(base[[#This Row],[Evento / Mercado]],FIND("vs",base[[#This Row],[Evento / Mercado]])-2)</f>
        <v>Racing Santander</v>
      </c>
      <c r="R8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Mirandés</v>
      </c>
      <c r="S869" s="132" t="e">
        <f>LEFT(base[[#This Row],[Evento / Mercado]],FIND("/",base[[#This Row],[Evento / Mercado]])-2)</f>
        <v>#VALUE!</v>
      </c>
      <c r="T869" s="8">
        <v>8.24</v>
      </c>
      <c r="U869" s="9">
        <f>T869*0.955</f>
        <v>7.8692000000000002</v>
      </c>
    </row>
    <row r="870" spans="2:21" ht="15" customHeight="1">
      <c r="B870" s="128" t="s">
        <v>755</v>
      </c>
      <c r="C870" s="128" t="s">
        <v>2982</v>
      </c>
      <c r="D870" s="129">
        <v>46062.770486111112</v>
      </c>
      <c r="E870" s="130">
        <v>10.848799999999999</v>
      </c>
      <c r="F870" s="131">
        <v>4.4999999999999998E-2</v>
      </c>
      <c r="G870" s="126">
        <f t="shared" si="14"/>
        <v>11.36</v>
      </c>
      <c r="H870" s="126" t="s">
        <v>74</v>
      </c>
      <c r="I870" s="127" t="s">
        <v>476</v>
      </c>
      <c r="J870" s="126">
        <v>23</v>
      </c>
      <c r="K870" s="126">
        <v>249.92</v>
      </c>
      <c r="L870" s="129">
        <f>INT(base[[#This Row],[Data de liquidação]])</f>
        <v>46062</v>
      </c>
      <c r="M870" s="126">
        <f>base[[#This Row],[L/P Bruto]]-base[[#This Row],[L/P Líquido]]</f>
        <v>0.51120000000000054</v>
      </c>
      <c r="N870" s="126">
        <f>base[[#This Row],[L/P Líquido]]/base[[#This Row],[Stake/Responsabilidade]]</f>
        <v>4.3409090909090904E-2</v>
      </c>
      <c r="O870" s="132">
        <f>IF(base[[#This Row],[L/P Líquido]]&gt;0,1,0)</f>
        <v>1</v>
      </c>
      <c r="P870" s="132" t="s">
        <v>964</v>
      </c>
      <c r="Q870" s="132" t="str">
        <f>LEFT(base[[#This Row],[Evento / Mercado]],FIND("vs",base[[#This Row],[Evento / Mercado]])-2)</f>
        <v>Racing Santander</v>
      </c>
      <c r="R8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Mirandés</v>
      </c>
      <c r="S870" s="132" t="e">
        <f>LEFT(base[[#This Row],[Evento / Mercado]],FIND("/",base[[#This Row],[Evento / Mercado]])-2)</f>
        <v>#VALUE!</v>
      </c>
      <c r="T870" s="8">
        <v>11.36</v>
      </c>
      <c r="U870" s="9">
        <f>T870*0.955</f>
        <v>10.848799999999999</v>
      </c>
    </row>
    <row r="871" spans="2:21" ht="15" customHeight="1">
      <c r="B871" s="128" t="s">
        <v>754</v>
      </c>
      <c r="C871" s="128" t="s">
        <v>2982</v>
      </c>
      <c r="D871" s="129">
        <v>46062.776250000003</v>
      </c>
      <c r="E871" s="130">
        <v>7.87</v>
      </c>
      <c r="F871" s="131">
        <v>4.4999999999999998E-2</v>
      </c>
      <c r="G871" s="126">
        <f t="shared" si="14"/>
        <v>8.2408376963350793</v>
      </c>
      <c r="H871" s="126" t="s">
        <v>73</v>
      </c>
      <c r="I871" s="127" t="s">
        <v>13</v>
      </c>
      <c r="J871" s="126">
        <v>18</v>
      </c>
      <c r="K871" s="126">
        <v>140.08000000000001</v>
      </c>
      <c r="L871" s="129">
        <f>INT(base[[#This Row],[Data de liquidação]])</f>
        <v>46062</v>
      </c>
      <c r="M871" s="126">
        <f>base[[#This Row],[L/P Bruto]]-base[[#This Row],[L/P Líquido]]</f>
        <v>0.37083769633507924</v>
      </c>
      <c r="N871" s="126">
        <f>base[[#This Row],[L/P Líquido]]/base[[#This Row],[Stake/Responsabilidade]]</f>
        <v>5.6182181610508274E-2</v>
      </c>
      <c r="O871" s="132">
        <f>IF(base[[#This Row],[L/P Líquido]]&gt;0,1,0)</f>
        <v>1</v>
      </c>
      <c r="P871" s="132"/>
      <c r="Q871" s="132" t="str">
        <f>LEFT(base[[#This Row],[Evento / Mercado]],FIND("vs",base[[#This Row],[Evento / Mercado]])-2)</f>
        <v>AS Roma</v>
      </c>
      <c r="R8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871" s="132" t="e">
        <f>LEFT(base[[#This Row],[Evento / Mercado]],FIND("/",base[[#This Row],[Evento / Mercado]])-2)</f>
        <v>#VALUE!</v>
      </c>
    </row>
    <row r="872" spans="2:21" ht="15" customHeight="1">
      <c r="B872" s="128" t="s">
        <v>754</v>
      </c>
      <c r="C872" s="128" t="s">
        <v>2982</v>
      </c>
      <c r="D872" s="129">
        <v>46062.776296296295</v>
      </c>
      <c r="E872" s="130">
        <v>30.61</v>
      </c>
      <c r="F872" s="131">
        <v>4.4999999999999998E-2</v>
      </c>
      <c r="G872" s="126">
        <f t="shared" si="14"/>
        <v>32.052356020942412</v>
      </c>
      <c r="H872" s="126" t="s">
        <v>145</v>
      </c>
      <c r="I872" s="127" t="s">
        <v>301</v>
      </c>
      <c r="J872" s="126">
        <v>8.8000000000000007</v>
      </c>
      <c r="K872" s="126">
        <v>249.99</v>
      </c>
      <c r="L872" s="129">
        <f>INT(base[[#This Row],[Data de liquidação]])</f>
        <v>46062</v>
      </c>
      <c r="M872" s="126">
        <f>base[[#This Row],[L/P Bruto]]-base[[#This Row],[L/P Líquido]]</f>
        <v>1.4423560209424124</v>
      </c>
      <c r="N872" s="126">
        <f>base[[#This Row],[L/P Líquido]]/base[[#This Row],[Stake/Responsabilidade]]</f>
        <v>0.12244489779591183</v>
      </c>
      <c r="O872" s="132">
        <f>IF(base[[#This Row],[L/P Líquido]]&gt;0,1,0)</f>
        <v>1</v>
      </c>
      <c r="P872" s="132" t="s">
        <v>969</v>
      </c>
      <c r="Q872" s="132" t="str">
        <f>LEFT(base[[#This Row],[Evento / Mercado]],FIND("vs",base[[#This Row],[Evento / Mercado]])-2)</f>
        <v>AS Roma</v>
      </c>
      <c r="R8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872" s="132" t="e">
        <f>LEFT(base[[#This Row],[Evento / Mercado]],FIND("/",base[[#This Row],[Evento / Mercado]])-2)</f>
        <v>#VALUE!</v>
      </c>
    </row>
    <row r="873" spans="2:21" ht="15" customHeight="1">
      <c r="B873" s="128" t="s">
        <v>752</v>
      </c>
      <c r="C873" s="128" t="s">
        <v>2982</v>
      </c>
      <c r="D873" s="129">
        <v>46062.786111111112</v>
      </c>
      <c r="E873" s="130">
        <v>57.3</v>
      </c>
      <c r="F873" s="131">
        <v>4.4999999999999998E-2</v>
      </c>
      <c r="G873" s="126">
        <f t="shared" si="14"/>
        <v>60</v>
      </c>
      <c r="H873" s="126" t="s">
        <v>231</v>
      </c>
      <c r="I873" s="127" t="s">
        <v>232</v>
      </c>
      <c r="J873" s="126">
        <v>1.75</v>
      </c>
      <c r="K873" s="126">
        <v>80</v>
      </c>
      <c r="L873" s="129">
        <f>INT(base[[#This Row],[Data de liquidação]])</f>
        <v>46062</v>
      </c>
      <c r="M873" s="126">
        <f>base[[#This Row],[L/P Bruto]]-base[[#This Row],[L/P Líquido]]</f>
        <v>2.7000000000000028</v>
      </c>
      <c r="N873" s="126">
        <f>base[[#This Row],[L/P Líquido]]/base[[#This Row],[Stake/Responsabilidade]]</f>
        <v>0.71624999999999994</v>
      </c>
      <c r="O873" s="132">
        <f>IF(base[[#This Row],[L/P Líquido]]&gt;0,1,0)</f>
        <v>1</v>
      </c>
      <c r="P873" s="132"/>
      <c r="Q873" s="132" t="str">
        <f>LEFT(base[[#This Row],[Evento / Mercado]],FIND("vs",base[[#This Row],[Evento / Mercado]])-2)</f>
        <v>AGF Aarhus</v>
      </c>
      <c r="R8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Odense BK</v>
      </c>
      <c r="S873" s="132" t="e">
        <f>LEFT(base[[#This Row],[Evento / Mercado]],FIND("/",base[[#This Row],[Evento / Mercado]])-2)</f>
        <v>#VALUE!</v>
      </c>
    </row>
    <row r="874" spans="2:21" ht="15" customHeight="1">
      <c r="B874" s="128" t="s">
        <v>753</v>
      </c>
      <c r="C874" s="128" t="s">
        <v>2982</v>
      </c>
      <c r="D874" s="129">
        <v>46062.786157407405</v>
      </c>
      <c r="E874" s="130">
        <v>16.71</v>
      </c>
      <c r="F874" s="131">
        <v>4.4999999999999998E-2</v>
      </c>
      <c r="G874" s="126">
        <f t="shared" si="14"/>
        <v>17.497382198952881</v>
      </c>
      <c r="H874" s="126" t="s">
        <v>73</v>
      </c>
      <c r="I874" s="127" t="s">
        <v>16</v>
      </c>
      <c r="J874" s="126">
        <v>9</v>
      </c>
      <c r="K874" s="126">
        <v>140</v>
      </c>
      <c r="L874" s="129">
        <f>INT(base[[#This Row],[Data de liquidação]])</f>
        <v>46062</v>
      </c>
      <c r="M874" s="126">
        <f>base[[#This Row],[L/P Bruto]]-base[[#This Row],[L/P Líquido]]</f>
        <v>0.78738219895287997</v>
      </c>
      <c r="N874" s="126">
        <f>base[[#This Row],[L/P Líquido]]/base[[#This Row],[Stake/Responsabilidade]]</f>
        <v>0.11935714285714287</v>
      </c>
      <c r="O874" s="132">
        <f>IF(base[[#This Row],[L/P Líquido]]&gt;0,1,0)</f>
        <v>1</v>
      </c>
      <c r="P874" s="132"/>
      <c r="Q874" s="132" t="str">
        <f>LEFT(base[[#This Row],[Evento / Mercado]],FIND("vs",base[[#This Row],[Evento / Mercado]])-2)</f>
        <v>Villarreal</v>
      </c>
      <c r="R8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Espanyol</v>
      </c>
      <c r="S874" s="132" t="e">
        <f>LEFT(base[[#This Row],[Evento / Mercado]],FIND("/",base[[#This Row],[Evento / Mercado]])-2)</f>
        <v>#VALUE!</v>
      </c>
    </row>
    <row r="875" spans="2:21" ht="15" customHeight="1">
      <c r="B875" s="128" t="s">
        <v>752</v>
      </c>
      <c r="C875" s="128" t="s">
        <v>2982</v>
      </c>
      <c r="D875" s="129">
        <v>46062.791724537034</v>
      </c>
      <c r="E875" s="130">
        <v>14.86</v>
      </c>
      <c r="F875" s="131">
        <v>4.4999999999999998E-2</v>
      </c>
      <c r="G875" s="126">
        <f t="shared" si="14"/>
        <v>15.560209424083769</v>
      </c>
      <c r="H875" s="126" t="s">
        <v>73</v>
      </c>
      <c r="I875" s="127" t="s">
        <v>16</v>
      </c>
      <c r="J875" s="126">
        <v>10</v>
      </c>
      <c r="K875" s="126">
        <v>140.04</v>
      </c>
      <c r="L875" s="129">
        <f>INT(base[[#This Row],[Data de liquidação]])</f>
        <v>46062</v>
      </c>
      <c r="M875" s="126">
        <f>base[[#This Row],[L/P Bruto]]-base[[#This Row],[L/P Líquido]]</f>
        <v>0.70020942408376996</v>
      </c>
      <c r="N875" s="126">
        <f>base[[#This Row],[L/P Líquido]]/base[[#This Row],[Stake/Responsabilidade]]</f>
        <v>0.106112539274493</v>
      </c>
      <c r="O875" s="132">
        <f>IF(base[[#This Row],[L/P Líquido]]&gt;0,1,0)</f>
        <v>1</v>
      </c>
      <c r="P875" s="132"/>
      <c r="Q875" s="132" t="str">
        <f>LEFT(base[[#This Row],[Evento / Mercado]],FIND("vs",base[[#This Row],[Evento / Mercado]])-2)</f>
        <v>AGF Aarhus</v>
      </c>
      <c r="R8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Odense BK</v>
      </c>
      <c r="S875" s="132" t="e">
        <f>LEFT(base[[#This Row],[Evento / Mercado]],FIND("/",base[[#This Row],[Evento / Mercado]])-2)</f>
        <v>#VALUE!</v>
      </c>
    </row>
    <row r="876" spans="2:21" ht="15" customHeight="1">
      <c r="B876" s="128" t="s">
        <v>751</v>
      </c>
      <c r="C876" s="128" t="s">
        <v>2982</v>
      </c>
      <c r="D876" s="129">
        <v>46062.827291666668</v>
      </c>
      <c r="E876" s="130">
        <v>68</v>
      </c>
      <c r="F876" s="131">
        <v>4.4999999999999998E-2</v>
      </c>
      <c r="G876" s="126">
        <f t="shared" si="14"/>
        <v>71.204188481675402</v>
      </c>
      <c r="H876" s="126" t="s">
        <v>231</v>
      </c>
      <c r="I876" s="127" t="s">
        <v>266</v>
      </c>
      <c r="J876" s="126">
        <v>1.89</v>
      </c>
      <c r="K876" s="126">
        <v>80</v>
      </c>
      <c r="L876" s="129">
        <f>INT(base[[#This Row],[Data de liquidação]])</f>
        <v>46062</v>
      </c>
      <c r="M876" s="126">
        <f>base[[#This Row],[L/P Bruto]]-base[[#This Row],[L/P Líquido]]</f>
        <v>3.204188481675402</v>
      </c>
      <c r="N876" s="126">
        <f>base[[#This Row],[L/P Líquido]]/base[[#This Row],[Stake/Responsabilidade]]</f>
        <v>0.85</v>
      </c>
      <c r="O876" s="132">
        <f>IF(base[[#This Row],[L/P Líquido]]&gt;0,1,0)</f>
        <v>1</v>
      </c>
      <c r="P876" s="132"/>
      <c r="Q876" s="132" t="str">
        <f>LEFT(base[[#This Row],[Evento / Mercado]],FIND("vs",base[[#This Row],[Evento / Mercado]])-2)</f>
        <v>FC Porto</v>
      </c>
      <c r="R8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876" s="132" t="e">
        <f>LEFT(base[[#This Row],[Evento / Mercado]],FIND("/",base[[#This Row],[Evento / Mercado]])-2)</f>
        <v>#VALUE!</v>
      </c>
    </row>
    <row r="877" spans="2:21" ht="15" customHeight="1">
      <c r="B877" s="128" t="s">
        <v>750</v>
      </c>
      <c r="C877" s="128" t="s">
        <v>2982</v>
      </c>
      <c r="D877" s="129">
        <v>46062.828506944446</v>
      </c>
      <c r="E877" s="130">
        <v>12.73</v>
      </c>
      <c r="F877" s="131">
        <v>4.4999999999999998E-2</v>
      </c>
      <c r="G877" s="126">
        <f t="shared" si="14"/>
        <v>13.329842931937174</v>
      </c>
      <c r="H877" s="126" t="s">
        <v>73</v>
      </c>
      <c r="I877" s="127" t="s">
        <v>16</v>
      </c>
      <c r="J877" s="126">
        <v>11.5</v>
      </c>
      <c r="K877" s="126">
        <v>139.97</v>
      </c>
      <c r="L877" s="129">
        <f>INT(base[[#This Row],[Data de liquidação]])</f>
        <v>46062</v>
      </c>
      <c r="M877" s="126">
        <f>base[[#This Row],[L/P Bruto]]-base[[#This Row],[L/P Líquido]]</f>
        <v>0.59984293193717342</v>
      </c>
      <c r="N877" s="126">
        <f>base[[#This Row],[L/P Líquido]]/base[[#This Row],[Stake/Responsabilidade]]</f>
        <v>9.0948060298635419E-2</v>
      </c>
      <c r="O877" s="132">
        <f>IF(base[[#This Row],[L/P Líquido]]&gt;0,1,0)</f>
        <v>1</v>
      </c>
      <c r="P877" s="132"/>
      <c r="Q877" s="132" t="str">
        <f>LEFT(base[[#This Row],[Evento / Mercado]],FIND("vs",base[[#This Row],[Evento / Mercado]])-2)</f>
        <v>Cavalier</v>
      </c>
      <c r="R8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Spanish Town Police</v>
      </c>
      <c r="S877" s="132" t="e">
        <f>LEFT(base[[#This Row],[Evento / Mercado]],FIND("/",base[[#This Row],[Evento / Mercado]])-2)</f>
        <v>#VALUE!</v>
      </c>
    </row>
    <row r="878" spans="2:21" ht="15" customHeight="1">
      <c r="B878" s="128" t="s">
        <v>762</v>
      </c>
      <c r="C878" s="128" t="s">
        <v>2982</v>
      </c>
      <c r="D878" s="129">
        <v>46062.829074074078</v>
      </c>
      <c r="E878" s="130">
        <v>15.85</v>
      </c>
      <c r="F878" s="131">
        <v>4.4999999999999998E-2</v>
      </c>
      <c r="G878" s="126">
        <f t="shared" si="14"/>
        <v>16.596858638743456</v>
      </c>
      <c r="H878" s="126" t="s">
        <v>73</v>
      </c>
      <c r="I878" s="127" t="s">
        <v>13</v>
      </c>
      <c r="J878" s="126">
        <v>9.4</v>
      </c>
      <c r="K878" s="126">
        <v>139.44999999999999</v>
      </c>
      <c r="L878" s="129">
        <f>INT(base[[#This Row],[Data de liquidação]])</f>
        <v>46062</v>
      </c>
      <c r="M878" s="126">
        <f>base[[#This Row],[L/P Bruto]]-base[[#This Row],[L/P Líquido]]</f>
        <v>0.74685863874345593</v>
      </c>
      <c r="N878" s="126">
        <f>base[[#This Row],[L/P Líquido]]/base[[#This Row],[Stake/Responsabilidade]]</f>
        <v>0.11366081032628182</v>
      </c>
      <c r="O878" s="132">
        <f>IF(base[[#This Row],[L/P Líquido]]&gt;0,1,0)</f>
        <v>1</v>
      </c>
      <c r="P878" s="132"/>
      <c r="Q878" s="132" t="str">
        <f>LEFT(base[[#This Row],[Evento / Mercado]],FIND("vs",base[[#This Row],[Evento / Mercado]])-2)</f>
        <v>Unión Magdalena</v>
      </c>
      <c r="R8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Boca Juniors de Cali</v>
      </c>
      <c r="S878" s="132" t="e">
        <f>LEFT(base[[#This Row],[Evento / Mercado]],FIND("/",base[[#This Row],[Evento / Mercado]])-2)</f>
        <v>#VALUE!</v>
      </c>
    </row>
    <row r="879" spans="2:21" ht="15" customHeight="1">
      <c r="B879" s="128" t="s">
        <v>770</v>
      </c>
      <c r="C879" s="128" t="s">
        <v>2982</v>
      </c>
      <c r="D879" s="129">
        <v>46063.7184837963</v>
      </c>
      <c r="E879" s="130">
        <v>66.47</v>
      </c>
      <c r="F879" s="131">
        <v>4.4999999999999998E-2</v>
      </c>
      <c r="G879" s="126">
        <f t="shared" si="14"/>
        <v>69.602094240837701</v>
      </c>
      <c r="H879" s="126" t="s">
        <v>231</v>
      </c>
      <c r="I879" s="127" t="s">
        <v>232</v>
      </c>
      <c r="J879" s="126">
        <v>1.87</v>
      </c>
      <c r="K879" s="126">
        <v>80</v>
      </c>
      <c r="L879" s="129">
        <f>INT(base[[#This Row],[Data de liquidação]])</f>
        <v>46063</v>
      </c>
      <c r="M879" s="126">
        <f>base[[#This Row],[L/P Bruto]]-base[[#This Row],[L/P Líquido]]</f>
        <v>3.1320942408377022</v>
      </c>
      <c r="N879" s="126">
        <f>base[[#This Row],[L/P Líquido]]/base[[#This Row],[Stake/Responsabilidade]]</f>
        <v>0.83087500000000003</v>
      </c>
      <c r="O879" s="132">
        <f>IF(base[[#This Row],[L/P Líquido]]&gt;0,1,0)</f>
        <v>1</v>
      </c>
      <c r="P879" s="132"/>
      <c r="Q879" s="132" t="str">
        <f>LEFT(base[[#This Row],[Evento / Mercado]],FIND("vs",base[[#This Row],[Evento / Mercado]])-2)</f>
        <v>Leicester City</v>
      </c>
      <c r="R8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Southampton</v>
      </c>
      <c r="S879" s="132" t="e">
        <f>LEFT(base[[#This Row],[Evento / Mercado]],FIND("/",base[[#This Row],[Evento / Mercado]])-2)</f>
        <v>#VALUE!</v>
      </c>
    </row>
    <row r="880" spans="2:21" ht="15" customHeight="1">
      <c r="B880" s="128" t="s">
        <v>769</v>
      </c>
      <c r="C880" s="128" t="s">
        <v>2982</v>
      </c>
      <c r="D880" s="129">
        <v>46063.744571759256</v>
      </c>
      <c r="E880" s="130">
        <v>55.01</v>
      </c>
      <c r="F880" s="131">
        <v>4.4999999999999998E-2</v>
      </c>
      <c r="G880" s="126">
        <f t="shared" si="14"/>
        <v>57.602094240837694</v>
      </c>
      <c r="H880" s="126" t="s">
        <v>231</v>
      </c>
      <c r="I880" s="127" t="s">
        <v>266</v>
      </c>
      <c r="J880" s="126">
        <v>1.72</v>
      </c>
      <c r="K880" s="126">
        <v>80</v>
      </c>
      <c r="L880" s="129">
        <f>INT(base[[#This Row],[Data de liquidação]])</f>
        <v>46063</v>
      </c>
      <c r="M880" s="126">
        <f>base[[#This Row],[L/P Bruto]]-base[[#This Row],[L/P Líquido]]</f>
        <v>2.5920942408376959</v>
      </c>
      <c r="N880" s="126">
        <f>base[[#This Row],[L/P Líquido]]/base[[#This Row],[Stake/Responsabilidade]]</f>
        <v>0.68762499999999993</v>
      </c>
      <c r="O880" s="132">
        <f>IF(base[[#This Row],[L/P Líquido]]&gt;0,1,0)</f>
        <v>1</v>
      </c>
      <c r="P880" s="132"/>
      <c r="Q880" s="132" t="str">
        <f>LEFT(base[[#This Row],[Evento / Mercado]],FIND("vs",base[[#This Row],[Evento / Mercado]])-2)</f>
        <v>Everton</v>
      </c>
      <c r="R8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880" s="132" t="e">
        <f>LEFT(base[[#This Row],[Evento / Mercado]],FIND("/",base[[#This Row],[Evento / Mercado]])-2)</f>
        <v>#VALUE!</v>
      </c>
    </row>
    <row r="881" spans="2:21" ht="15" customHeight="1">
      <c r="B881" s="128" t="s">
        <v>768</v>
      </c>
      <c r="C881" s="128" t="s">
        <v>2982</v>
      </c>
      <c r="D881" s="129">
        <v>46063.747337962966</v>
      </c>
      <c r="E881" s="130">
        <v>8.0983999999999998</v>
      </c>
      <c r="F881" s="131">
        <v>4.4999999999999998E-2</v>
      </c>
      <c r="G881" s="126">
        <f t="shared" si="14"/>
        <v>8.48</v>
      </c>
      <c r="H881" s="126" t="s">
        <v>73</v>
      </c>
      <c r="I881" s="127" t="s">
        <v>13</v>
      </c>
      <c r="J881" s="126">
        <v>17.5</v>
      </c>
      <c r="K881" s="126">
        <v>139.91999999999999</v>
      </c>
      <c r="L881" s="129">
        <f>INT(base[[#This Row],[Data de liquidação]])</f>
        <v>46063</v>
      </c>
      <c r="M881" s="126">
        <f>base[[#This Row],[L/P Bruto]]-base[[#This Row],[L/P Líquido]]</f>
        <v>0.38160000000000061</v>
      </c>
      <c r="N881" s="126">
        <f>base[[#This Row],[L/P Líquido]]/base[[#This Row],[Stake/Responsabilidade]]</f>
        <v>5.7878787878787884E-2</v>
      </c>
      <c r="O881" s="132">
        <f>IF(base[[#This Row],[L/P Líquido]]&gt;0,1,0)</f>
        <v>1</v>
      </c>
      <c r="P881" s="132"/>
      <c r="Q881" s="132" t="str">
        <f>LEFT(base[[#This Row],[Evento / Mercado]],FIND("vs",base[[#This Row],[Evento / Mercado]])-2)</f>
        <v>Venezia</v>
      </c>
      <c r="R8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Modena FC 2018</v>
      </c>
      <c r="S881" s="132" t="e">
        <f>LEFT(base[[#This Row],[Evento / Mercado]],FIND("/",base[[#This Row],[Evento / Mercado]])-2)</f>
        <v>#VALUE!</v>
      </c>
      <c r="T881" s="8">
        <v>8.48</v>
      </c>
      <c r="U881" s="9">
        <f>T881*0.955</f>
        <v>8.0983999999999998</v>
      </c>
    </row>
    <row r="882" spans="2:21" ht="15" customHeight="1">
      <c r="B882" s="128" t="s">
        <v>768</v>
      </c>
      <c r="C882" s="128" t="s">
        <v>2982</v>
      </c>
      <c r="D882" s="129">
        <v>46063.747337962966</v>
      </c>
      <c r="E882" s="130">
        <v>19.663449999999997</v>
      </c>
      <c r="F882" s="131">
        <v>4.4999999999999998E-2</v>
      </c>
      <c r="G882" s="126">
        <f t="shared" si="14"/>
        <v>20.59</v>
      </c>
      <c r="H882" s="126" t="s">
        <v>73</v>
      </c>
      <c r="I882" s="127" t="s">
        <v>16</v>
      </c>
      <c r="J882" s="126">
        <v>7.8</v>
      </c>
      <c r="K882" s="126">
        <v>140.01</v>
      </c>
      <c r="L882" s="129">
        <f>INT(base[[#This Row],[Data de liquidação]])</f>
        <v>46063</v>
      </c>
      <c r="M882" s="126">
        <f>base[[#This Row],[L/P Bruto]]-base[[#This Row],[L/P Líquido]]</f>
        <v>0.92655000000000243</v>
      </c>
      <c r="N882" s="126">
        <f>base[[#This Row],[L/P Líquido]]/base[[#This Row],[Stake/Responsabilidade]]</f>
        <v>0.14044318262981215</v>
      </c>
      <c r="O882" s="132">
        <f>IF(base[[#This Row],[L/P Líquido]]&gt;0,1,0)</f>
        <v>1</v>
      </c>
      <c r="P882" s="132"/>
      <c r="Q882" s="132" t="str">
        <f>LEFT(base[[#This Row],[Evento / Mercado]],FIND("vs",base[[#This Row],[Evento / Mercado]])-2)</f>
        <v>Venezia</v>
      </c>
      <c r="R8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Modena FC 2018</v>
      </c>
      <c r="S882" s="132" t="e">
        <f>LEFT(base[[#This Row],[Evento / Mercado]],FIND("/",base[[#This Row],[Evento / Mercado]])-2)</f>
        <v>#VALUE!</v>
      </c>
      <c r="T882" s="8">
        <v>20.59</v>
      </c>
      <c r="U882" s="9">
        <f>T882*0.955</f>
        <v>19.663449999999997</v>
      </c>
    </row>
    <row r="883" spans="2:21" ht="15" customHeight="1">
      <c r="B883" s="128" t="s">
        <v>768</v>
      </c>
      <c r="C883" s="128" t="s">
        <v>2982</v>
      </c>
      <c r="D883" s="129">
        <v>46063.747361111113</v>
      </c>
      <c r="E883" s="130">
        <v>-80</v>
      </c>
      <c r="F883" s="131">
        <v>4.4999999999999998E-2</v>
      </c>
      <c r="G883" s="126">
        <f t="shared" si="14"/>
        <v>-80</v>
      </c>
      <c r="H883" s="126" t="s">
        <v>231</v>
      </c>
      <c r="I883" s="127" t="s">
        <v>232</v>
      </c>
      <c r="J883" s="126">
        <v>2.12</v>
      </c>
      <c r="K883" s="126">
        <v>80</v>
      </c>
      <c r="L883" s="129">
        <f>INT(base[[#This Row],[Data de liquidação]])</f>
        <v>46063</v>
      </c>
      <c r="M883" s="126">
        <f>base[[#This Row],[L/P Bruto]]-base[[#This Row],[L/P Líquido]]</f>
        <v>0</v>
      </c>
      <c r="N883" s="126">
        <f>base[[#This Row],[L/P Líquido]]/base[[#This Row],[Stake/Responsabilidade]]</f>
        <v>-1</v>
      </c>
      <c r="O883" s="132">
        <f>IF(base[[#This Row],[L/P Líquido]]&gt;0,1,0)</f>
        <v>0</v>
      </c>
      <c r="P883" s="132"/>
      <c r="Q883" s="132" t="str">
        <f>LEFT(base[[#This Row],[Evento / Mercado]],FIND("vs",base[[#This Row],[Evento / Mercado]])-2)</f>
        <v>Venezia</v>
      </c>
      <c r="R8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Modena FC 2018</v>
      </c>
      <c r="S883" s="132" t="e">
        <f>LEFT(base[[#This Row],[Evento / Mercado]],FIND("/",base[[#This Row],[Evento / Mercado]])-2)</f>
        <v>#VALUE!</v>
      </c>
    </row>
    <row r="884" spans="2:21" ht="15" customHeight="1">
      <c r="B884" s="128" t="s">
        <v>767</v>
      </c>
      <c r="C884" s="128" t="s">
        <v>2982</v>
      </c>
      <c r="D884" s="129">
        <v>46063.748368055552</v>
      </c>
      <c r="E884" s="130">
        <v>56.54</v>
      </c>
      <c r="F884" s="131">
        <v>4.4999999999999998E-2</v>
      </c>
      <c r="G884" s="126">
        <f t="shared" si="14"/>
        <v>59.204188481675395</v>
      </c>
      <c r="H884" s="126" t="s">
        <v>231</v>
      </c>
      <c r="I884" s="127" t="s">
        <v>266</v>
      </c>
      <c r="J884" s="126">
        <v>1.74</v>
      </c>
      <c r="K884" s="126">
        <v>80</v>
      </c>
      <c r="L884" s="129">
        <f>INT(base[[#This Row],[Data de liquidação]])</f>
        <v>46063</v>
      </c>
      <c r="M884" s="126">
        <f>base[[#This Row],[L/P Bruto]]-base[[#This Row],[L/P Líquido]]</f>
        <v>2.6641884816753958</v>
      </c>
      <c r="N884" s="126">
        <f>base[[#This Row],[L/P Líquido]]/base[[#This Row],[Stake/Responsabilidade]]</f>
        <v>0.70674999999999999</v>
      </c>
      <c r="O884" s="132">
        <f>IF(base[[#This Row],[L/P Líquido]]&gt;0,1,0)</f>
        <v>1</v>
      </c>
      <c r="P884" s="132"/>
      <c r="Q884" s="132" t="str">
        <f>LEFT(base[[#This Row],[Evento / Mercado]],FIND("vs",base[[#This Row],[Evento / Mercado]])-2)</f>
        <v>Chelsea</v>
      </c>
      <c r="R8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884" s="132" t="e">
        <f>LEFT(base[[#This Row],[Evento / Mercado]],FIND("/",base[[#This Row],[Evento / Mercado]])-2)</f>
        <v>#VALUE!</v>
      </c>
    </row>
    <row r="885" spans="2:21" ht="15" customHeight="1">
      <c r="B885" s="128" t="s">
        <v>767</v>
      </c>
      <c r="C885" s="128" t="s">
        <v>2982</v>
      </c>
      <c r="D885" s="129">
        <v>46063.769525462965</v>
      </c>
      <c r="E885" s="130">
        <v>7.8692000000000002</v>
      </c>
      <c r="F885" s="131">
        <v>4.4999999999999998E-2</v>
      </c>
      <c r="G885" s="126">
        <f t="shared" si="14"/>
        <v>8.24</v>
      </c>
      <c r="H885" s="126" t="s">
        <v>73</v>
      </c>
      <c r="I885" s="127" t="s">
        <v>13</v>
      </c>
      <c r="J885" s="126">
        <v>18</v>
      </c>
      <c r="K885" s="126">
        <v>140.08000000000001</v>
      </c>
      <c r="L885" s="129">
        <f>INT(base[[#This Row],[Data de liquidação]])</f>
        <v>46063</v>
      </c>
      <c r="M885" s="126">
        <f>base[[#This Row],[L/P Bruto]]-base[[#This Row],[L/P Líquido]]</f>
        <v>0.37080000000000002</v>
      </c>
      <c r="N885" s="126">
        <f>base[[#This Row],[L/P Líquido]]/base[[#This Row],[Stake/Responsabilidade]]</f>
        <v>5.6176470588235293E-2</v>
      </c>
      <c r="O885" s="132">
        <f>IF(base[[#This Row],[L/P Líquido]]&gt;0,1,0)</f>
        <v>1</v>
      </c>
      <c r="P885" s="132"/>
      <c r="Q885" s="132" t="str">
        <f>LEFT(base[[#This Row],[Evento / Mercado]],FIND("vs",base[[#This Row],[Evento / Mercado]])-2)</f>
        <v>Chelsea</v>
      </c>
      <c r="R8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885" s="132" t="e">
        <f>LEFT(base[[#This Row],[Evento / Mercado]],FIND("/",base[[#This Row],[Evento / Mercado]])-2)</f>
        <v>#VALUE!</v>
      </c>
      <c r="T885" s="8">
        <v>8.24</v>
      </c>
      <c r="U885" s="9">
        <f>T885*0.955</f>
        <v>7.8692000000000002</v>
      </c>
    </row>
    <row r="886" spans="2:21" ht="15" customHeight="1">
      <c r="B886" s="128" t="s">
        <v>767</v>
      </c>
      <c r="C886" s="128" t="s">
        <v>2982</v>
      </c>
      <c r="D886" s="129">
        <v>46063.769525462965</v>
      </c>
      <c r="E886" s="130">
        <v>15.5474</v>
      </c>
      <c r="F886" s="131">
        <v>4.4999999999999998E-2</v>
      </c>
      <c r="G886" s="126">
        <f t="shared" si="14"/>
        <v>16.28</v>
      </c>
      <c r="H886" s="126" t="s">
        <v>73</v>
      </c>
      <c r="I886" s="127" t="s">
        <v>16</v>
      </c>
      <c r="J886" s="126">
        <v>9.6</v>
      </c>
      <c r="K886" s="126">
        <v>140.01</v>
      </c>
      <c r="L886" s="129">
        <f>INT(base[[#This Row],[Data de liquidação]])</f>
        <v>46063</v>
      </c>
      <c r="M886" s="126">
        <f>base[[#This Row],[L/P Bruto]]-base[[#This Row],[L/P Líquido]]</f>
        <v>0.73260000000000147</v>
      </c>
      <c r="N886" s="126">
        <f>base[[#This Row],[L/P Líquido]]/base[[#This Row],[Stake/Responsabilidade]]</f>
        <v>0.11104492536247411</v>
      </c>
      <c r="O886" s="132">
        <f>IF(base[[#This Row],[L/P Líquido]]&gt;0,1,0)</f>
        <v>1</v>
      </c>
      <c r="P886" s="132"/>
      <c r="Q886" s="132" t="str">
        <f>LEFT(base[[#This Row],[Evento / Mercado]],FIND("vs",base[[#This Row],[Evento / Mercado]])-2)</f>
        <v>Chelsea</v>
      </c>
      <c r="R8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886" s="132" t="e">
        <f>LEFT(base[[#This Row],[Evento / Mercado]],FIND("/",base[[#This Row],[Evento / Mercado]])-2)</f>
        <v>#VALUE!</v>
      </c>
      <c r="T886" s="8">
        <v>16.28</v>
      </c>
      <c r="U886" s="9">
        <f>T886*0.955</f>
        <v>15.5474</v>
      </c>
    </row>
    <row r="887" spans="2:21" ht="15" customHeight="1">
      <c r="B887" s="128" t="s">
        <v>767</v>
      </c>
      <c r="C887" s="128" t="s">
        <v>2982</v>
      </c>
      <c r="D887" s="129">
        <v>46063.769629629627</v>
      </c>
      <c r="E887" s="130">
        <v>41.16</v>
      </c>
      <c r="F887" s="131">
        <v>4.4999999999999998E-2</v>
      </c>
      <c r="G887" s="126">
        <f t="shared" si="14"/>
        <v>43.099476439790571</v>
      </c>
      <c r="H887" s="126" t="s">
        <v>145</v>
      </c>
      <c r="I887" s="127" t="s">
        <v>301</v>
      </c>
      <c r="J887" s="126">
        <v>6.8</v>
      </c>
      <c r="K887" s="126">
        <v>249.98</v>
      </c>
      <c r="L887" s="129">
        <f>INT(base[[#This Row],[Data de liquidação]])</f>
        <v>46063</v>
      </c>
      <c r="M887" s="126">
        <f>base[[#This Row],[L/P Bruto]]-base[[#This Row],[L/P Líquido]]</f>
        <v>1.9394764397905746</v>
      </c>
      <c r="N887" s="126">
        <f>base[[#This Row],[L/P Líquido]]/base[[#This Row],[Stake/Responsabilidade]]</f>
        <v>0.16465317225378029</v>
      </c>
      <c r="O887" s="132">
        <f>IF(base[[#This Row],[L/P Líquido]]&gt;0,1,0)</f>
        <v>1</v>
      </c>
      <c r="P887" s="132" t="s">
        <v>963</v>
      </c>
      <c r="Q887" s="132" t="str">
        <f>LEFT(base[[#This Row],[Evento / Mercado]],FIND("vs",base[[#This Row],[Evento / Mercado]])-2)</f>
        <v>Chelsea</v>
      </c>
      <c r="R8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887" s="132" t="e">
        <f>LEFT(base[[#This Row],[Evento / Mercado]],FIND("/",base[[#This Row],[Evento / Mercado]])-2)</f>
        <v>#VALUE!</v>
      </c>
    </row>
    <row r="888" spans="2:21" ht="15" customHeight="1">
      <c r="B888" s="128" t="s">
        <v>766</v>
      </c>
      <c r="C888" s="128" t="s">
        <v>2982</v>
      </c>
      <c r="D888" s="129">
        <v>46063.770405092589</v>
      </c>
      <c r="E888" s="130">
        <v>9.48</v>
      </c>
      <c r="F888" s="131">
        <v>4.4999999999999998E-2</v>
      </c>
      <c r="G888" s="126">
        <f t="shared" si="14"/>
        <v>9.9267015706806294</v>
      </c>
      <c r="H888" s="126" t="s">
        <v>73</v>
      </c>
      <c r="I888" s="127" t="s">
        <v>13</v>
      </c>
      <c r="J888" s="126">
        <v>15</v>
      </c>
      <c r="K888" s="126">
        <v>138.93</v>
      </c>
      <c r="L888" s="129">
        <f>INT(base[[#This Row],[Data de liquidação]])</f>
        <v>46063</v>
      </c>
      <c r="M888" s="126">
        <f>base[[#This Row],[L/P Bruto]]-base[[#This Row],[L/P Líquido]]</f>
        <v>0.44670157068062899</v>
      </c>
      <c r="N888" s="126">
        <f>base[[#This Row],[L/P Líquido]]/base[[#This Row],[Stake/Responsabilidade]]</f>
        <v>6.8235802202548046E-2</v>
      </c>
      <c r="O888" s="132">
        <f>IF(base[[#This Row],[L/P Líquido]]&gt;0,1,0)</f>
        <v>1</v>
      </c>
      <c r="P888" s="132"/>
      <c r="Q888" s="132" t="str">
        <f>LEFT(base[[#This Row],[Evento / Mercado]],FIND("vs",base[[#This Row],[Evento / Mercado]])-2)</f>
        <v>Cosenza Calcio</v>
      </c>
      <c r="R8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Siracusa</v>
      </c>
      <c r="S888" s="132" t="e">
        <f>LEFT(base[[#This Row],[Evento / Mercado]],FIND("/",base[[#This Row],[Evento / Mercado]])-2)</f>
        <v>#VALUE!</v>
      </c>
    </row>
    <row r="889" spans="2:21" ht="15" customHeight="1">
      <c r="B889" s="128" t="s">
        <v>765</v>
      </c>
      <c r="C889" s="128" t="s">
        <v>2982</v>
      </c>
      <c r="D889" s="129">
        <v>46063.77684027778</v>
      </c>
      <c r="E889" s="130">
        <v>15</v>
      </c>
      <c r="F889" s="131">
        <v>4.4999999999999998E-2</v>
      </c>
      <c r="G889" s="126">
        <f t="shared" si="14"/>
        <v>15.706806282722514</v>
      </c>
      <c r="H889" s="126" t="s">
        <v>73</v>
      </c>
      <c r="I889" s="127" t="s">
        <v>16</v>
      </c>
      <c r="J889" s="126">
        <v>9.8000000000000007</v>
      </c>
      <c r="K889" s="126">
        <v>138.26</v>
      </c>
      <c r="L889" s="129">
        <f>INT(base[[#This Row],[Data de liquidação]])</f>
        <v>46063</v>
      </c>
      <c r="M889" s="126">
        <f>base[[#This Row],[L/P Bruto]]-base[[#This Row],[L/P Líquido]]</f>
        <v>0.70680628272251411</v>
      </c>
      <c r="N889" s="126">
        <f>base[[#This Row],[L/P Líquido]]/base[[#This Row],[Stake/Responsabilidade]]</f>
        <v>0.10849124837263129</v>
      </c>
      <c r="O889" s="132">
        <f>IF(base[[#This Row],[L/P Líquido]]&gt;0,1,0)</f>
        <v>1</v>
      </c>
      <c r="P889" s="132"/>
      <c r="Q889" s="132" t="str">
        <f>LEFT(base[[#This Row],[Evento / Mercado]],FIND("vs",base[[#This Row],[Evento / Mercado]])-2)</f>
        <v>Solihull Moors</v>
      </c>
      <c r="R8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Eastleigh</v>
      </c>
      <c r="S889" s="132" t="e">
        <f>LEFT(base[[#This Row],[Evento / Mercado]],FIND("/",base[[#This Row],[Evento / Mercado]])-2)</f>
        <v>#VALUE!</v>
      </c>
    </row>
    <row r="890" spans="2:21" ht="15" customHeight="1">
      <c r="B890" s="128" t="s">
        <v>764</v>
      </c>
      <c r="C890" s="128" t="s">
        <v>2982</v>
      </c>
      <c r="D890" s="129">
        <v>46063.785520833335</v>
      </c>
      <c r="E890" s="130">
        <v>8.3000000000000007</v>
      </c>
      <c r="F890" s="131">
        <v>4.4999999999999998E-2</v>
      </c>
      <c r="G890" s="126">
        <f t="shared" si="14"/>
        <v>8.691099476439792</v>
      </c>
      <c r="H890" s="126" t="s">
        <v>73</v>
      </c>
      <c r="I890" s="127" t="s">
        <v>13</v>
      </c>
      <c r="J890" s="126">
        <v>17</v>
      </c>
      <c r="K890" s="126">
        <v>139.12</v>
      </c>
      <c r="L890" s="129">
        <f>INT(base[[#This Row],[Data de liquidação]])</f>
        <v>46063</v>
      </c>
      <c r="M890" s="126">
        <f>base[[#This Row],[L/P Bruto]]-base[[#This Row],[L/P Líquido]]</f>
        <v>0.39109947643979126</v>
      </c>
      <c r="N890" s="126">
        <f>base[[#This Row],[L/P Líquido]]/base[[#This Row],[Stake/Responsabilidade]]</f>
        <v>5.9660724554341578E-2</v>
      </c>
      <c r="O890" s="132">
        <f>IF(base[[#This Row],[L/P Líquido]]&gt;0,1,0)</f>
        <v>1</v>
      </c>
      <c r="P890" s="132"/>
      <c r="Q890" s="132" t="str">
        <f>LEFT(base[[#This Row],[Evento / Mercado]],FIND("vs",base[[#This Row],[Evento / Mercado]])-2)</f>
        <v>Hearts</v>
      </c>
      <c r="R8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Hibernian</v>
      </c>
      <c r="S890" s="132" t="e">
        <f>LEFT(base[[#This Row],[Evento / Mercado]],FIND("/",base[[#This Row],[Evento / Mercado]])-2)</f>
        <v>#VALUE!</v>
      </c>
    </row>
    <row r="891" spans="2:21" ht="15" customHeight="1">
      <c r="B891" s="128" t="s">
        <v>764</v>
      </c>
      <c r="C891" s="128" t="s">
        <v>2982</v>
      </c>
      <c r="D891" s="129">
        <v>46063.785567129627</v>
      </c>
      <c r="E891" s="130">
        <v>55.97</v>
      </c>
      <c r="F891" s="131">
        <v>4.4999999999999998E-2</v>
      </c>
      <c r="G891" s="126">
        <f t="shared" si="14"/>
        <v>58.607329842931939</v>
      </c>
      <c r="H891" s="126" t="s">
        <v>145</v>
      </c>
      <c r="I891" s="127" t="s">
        <v>301</v>
      </c>
      <c r="J891" s="126">
        <v>5.2</v>
      </c>
      <c r="K891" s="126">
        <v>249.98</v>
      </c>
      <c r="L891" s="129">
        <f>INT(base[[#This Row],[Data de liquidação]])</f>
        <v>46063</v>
      </c>
      <c r="M891" s="126">
        <f>base[[#This Row],[L/P Bruto]]-base[[#This Row],[L/P Líquido]]</f>
        <v>2.6373298429319405</v>
      </c>
      <c r="N891" s="126">
        <f>base[[#This Row],[L/P Líquido]]/base[[#This Row],[Stake/Responsabilidade]]</f>
        <v>0.22389791183294663</v>
      </c>
      <c r="O891" s="132">
        <f>IF(base[[#This Row],[L/P Líquido]]&gt;0,1,0)</f>
        <v>1</v>
      </c>
      <c r="P891" s="132" t="s">
        <v>981</v>
      </c>
      <c r="Q891" s="132" t="str">
        <f>LEFT(base[[#This Row],[Evento / Mercado]],FIND("vs",base[[#This Row],[Evento / Mercado]])-2)</f>
        <v>Hearts</v>
      </c>
      <c r="R8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Hibernian</v>
      </c>
      <c r="S891" s="132" t="e">
        <f>LEFT(base[[#This Row],[Evento / Mercado]],FIND("/",base[[#This Row],[Evento / Mercado]])-2)</f>
        <v>#VALUE!</v>
      </c>
    </row>
    <row r="892" spans="2:21" ht="15" customHeight="1">
      <c r="B892" s="128" t="s">
        <v>763</v>
      </c>
      <c r="C892" s="128" t="s">
        <v>2982</v>
      </c>
      <c r="D892" s="129">
        <v>46063.789907407408</v>
      </c>
      <c r="E892" s="130">
        <v>24.1</v>
      </c>
      <c r="F892" s="131">
        <v>4.4999999999999998E-2</v>
      </c>
      <c r="G892" s="126">
        <f t="shared" si="14"/>
        <v>25.235602094240839</v>
      </c>
      <c r="H892" s="126" t="s">
        <v>145</v>
      </c>
      <c r="I892" s="127" t="s">
        <v>301</v>
      </c>
      <c r="J892" s="126">
        <v>5.5</v>
      </c>
      <c r="K892" s="126">
        <v>250.02</v>
      </c>
      <c r="L892" s="129">
        <f>INT(base[[#This Row],[Data de liquidação]])</f>
        <v>46063</v>
      </c>
      <c r="M892" s="126">
        <f>base[[#This Row],[L/P Bruto]]-base[[#This Row],[L/P Líquido]]</f>
        <v>1.1356020942408378</v>
      </c>
      <c r="N892" s="126">
        <f>base[[#This Row],[L/P Líquido]]/base[[#This Row],[Stake/Responsabilidade]]</f>
        <v>9.6392288616910654E-2</v>
      </c>
      <c r="O892" s="132">
        <f>IF(base[[#This Row],[L/P Líquido]]&gt;0,1,0)</f>
        <v>1</v>
      </c>
      <c r="P892" s="132" t="s">
        <v>968</v>
      </c>
      <c r="Q892" s="132" t="str">
        <f>LEFT(base[[#This Row],[Evento / Mercado]],FIND("vs",base[[#This Row],[Evento / Mercado]])-2)</f>
        <v>Birmingham City</v>
      </c>
      <c r="R8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Bromwich Albion</v>
      </c>
      <c r="S892" s="132" t="e">
        <f>LEFT(base[[#This Row],[Evento / Mercado]],FIND("/",base[[#This Row],[Evento / Mercado]])-2)</f>
        <v>#VALUE!</v>
      </c>
    </row>
    <row r="893" spans="2:21" ht="15" customHeight="1">
      <c r="B893" s="128" t="s">
        <v>784</v>
      </c>
      <c r="C893" s="128" t="s">
        <v>2982</v>
      </c>
      <c r="D893" s="129">
        <v>46064.695405092592</v>
      </c>
      <c r="E893" s="130">
        <v>9.9</v>
      </c>
      <c r="F893" s="131">
        <v>4.4999999999999998E-2</v>
      </c>
      <c r="G893" s="126">
        <f t="shared" si="14"/>
        <v>10.36649214659686</v>
      </c>
      <c r="H893" s="126" t="s">
        <v>73</v>
      </c>
      <c r="I893" s="127" t="s">
        <v>13</v>
      </c>
      <c r="J893" s="126">
        <v>14.5</v>
      </c>
      <c r="K893" s="126">
        <v>139.99</v>
      </c>
      <c r="L893" s="129">
        <f>INT(base[[#This Row],[Data de liquidação]])</f>
        <v>46064</v>
      </c>
      <c r="M893" s="126">
        <f>base[[#This Row],[L/P Bruto]]-base[[#This Row],[L/P Líquido]]</f>
        <v>0.46649214659685967</v>
      </c>
      <c r="N893" s="126">
        <f>base[[#This Row],[L/P Líquido]]/base[[#This Row],[Stake/Responsabilidade]]</f>
        <v>7.0719337095506818E-2</v>
      </c>
      <c r="O893" s="132">
        <f>IF(base[[#This Row],[L/P Líquido]]&gt;0,1,0)</f>
        <v>1</v>
      </c>
      <c r="P893" s="132"/>
      <c r="Q893" s="132" t="str">
        <f>LEFT(base[[#This Row],[Evento / Mercado]],FIND("vs",base[[#This Row],[Evento / Mercado]])-2)</f>
        <v>Go Ahead Eagles</v>
      </c>
      <c r="R8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893" s="132" t="e">
        <f>LEFT(base[[#This Row],[Evento / Mercado]],FIND("/",base[[#This Row],[Evento / Mercado]])-2)</f>
        <v>#VALUE!</v>
      </c>
    </row>
    <row r="894" spans="2:21" ht="15" customHeight="1">
      <c r="B894" s="128" t="s">
        <v>783</v>
      </c>
      <c r="C894" s="128" t="s">
        <v>2982</v>
      </c>
      <c r="D894" s="129">
        <v>46064.705914351849</v>
      </c>
      <c r="E894" s="130">
        <v>14.86</v>
      </c>
      <c r="F894" s="131">
        <v>4.4999999999999998E-2</v>
      </c>
      <c r="G894" s="126">
        <f t="shared" si="14"/>
        <v>15.560209424083769</v>
      </c>
      <c r="H894" s="126" t="s">
        <v>73</v>
      </c>
      <c r="I894" s="127" t="s">
        <v>16</v>
      </c>
      <c r="J894" s="126">
        <v>10</v>
      </c>
      <c r="K894" s="126">
        <v>140.04</v>
      </c>
      <c r="L894" s="129">
        <f>INT(base[[#This Row],[Data de liquidação]])</f>
        <v>46064</v>
      </c>
      <c r="M894" s="126">
        <f>base[[#This Row],[L/P Bruto]]-base[[#This Row],[L/P Líquido]]</f>
        <v>0.70020942408376996</v>
      </c>
      <c r="N894" s="126">
        <f>base[[#This Row],[L/P Líquido]]/base[[#This Row],[Stake/Responsabilidade]]</f>
        <v>0.106112539274493</v>
      </c>
      <c r="O894" s="132">
        <f>IF(base[[#This Row],[L/P Líquido]]&gt;0,1,0)</f>
        <v>1</v>
      </c>
      <c r="P894" s="132"/>
      <c r="Q894" s="132" t="str">
        <f>LEFT(base[[#This Row],[Evento / Mercado]],FIND("vs",base[[#This Row],[Evento / Mercado]])-2)</f>
        <v>FC København</v>
      </c>
      <c r="R8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Viborg FF</v>
      </c>
      <c r="S894" s="132" t="e">
        <f>LEFT(base[[#This Row],[Evento / Mercado]],FIND("/",base[[#This Row],[Evento / Mercado]])-2)</f>
        <v>#VALUE!</v>
      </c>
    </row>
    <row r="895" spans="2:21" ht="15" customHeight="1">
      <c r="B895" s="128" t="s">
        <v>774</v>
      </c>
      <c r="C895" s="128" t="s">
        <v>2982</v>
      </c>
      <c r="D895" s="129">
        <v>46064.756666666668</v>
      </c>
      <c r="E895" s="130">
        <v>56.54</v>
      </c>
      <c r="F895" s="131">
        <v>4.4999999999999998E-2</v>
      </c>
      <c r="G895" s="126">
        <f t="shared" si="14"/>
        <v>59.204188481675395</v>
      </c>
      <c r="H895" s="126" t="s">
        <v>231</v>
      </c>
      <c r="I895" s="127" t="s">
        <v>232</v>
      </c>
      <c r="J895" s="126">
        <v>1.74</v>
      </c>
      <c r="K895" s="126">
        <v>80</v>
      </c>
      <c r="L895" s="129">
        <f>INT(base[[#This Row],[Data de liquidação]])</f>
        <v>46064</v>
      </c>
      <c r="M895" s="126">
        <f>base[[#This Row],[L/P Bruto]]-base[[#This Row],[L/P Líquido]]</f>
        <v>2.6641884816753958</v>
      </c>
      <c r="N895" s="126">
        <f>base[[#This Row],[L/P Líquido]]/base[[#This Row],[Stake/Responsabilidade]]</f>
        <v>0.70674999999999999</v>
      </c>
      <c r="O895" s="132">
        <f>IF(base[[#This Row],[L/P Líquido]]&gt;0,1,0)</f>
        <v>1</v>
      </c>
      <c r="P895" s="132"/>
      <c r="Q895" s="132" t="str">
        <f>LEFT(base[[#This Row],[Evento / Mercado]],FIND("vs",base[[#This Row],[Evento / Mercado]])-2)</f>
        <v>NEC</v>
      </c>
      <c r="R8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Utrecht</v>
      </c>
      <c r="S895" s="132" t="e">
        <f>LEFT(base[[#This Row],[Evento / Mercado]],FIND("/",base[[#This Row],[Evento / Mercado]])-2)</f>
        <v>#VALUE!</v>
      </c>
    </row>
    <row r="896" spans="2:21" ht="15" customHeight="1">
      <c r="B896" s="128" t="s">
        <v>782</v>
      </c>
      <c r="C896" s="128" t="s">
        <v>2982</v>
      </c>
      <c r="D896" s="129">
        <v>46064.763923611114</v>
      </c>
      <c r="E896" s="130">
        <v>17.142249999999997</v>
      </c>
      <c r="F896" s="131">
        <v>4.4999999999999998E-2</v>
      </c>
      <c r="G896" s="126">
        <f t="shared" si="14"/>
        <v>17.95</v>
      </c>
      <c r="H896" s="126" t="s">
        <v>73</v>
      </c>
      <c r="I896" s="127" t="s">
        <v>16</v>
      </c>
      <c r="J896" s="126">
        <v>8.8000000000000007</v>
      </c>
      <c r="K896" s="126">
        <v>140.01</v>
      </c>
      <c r="L896" s="129">
        <f>INT(base[[#This Row],[Data de liquidação]])</f>
        <v>46064</v>
      </c>
      <c r="M896" s="126">
        <f>base[[#This Row],[L/P Bruto]]-base[[#This Row],[L/P Líquido]]</f>
        <v>0.80775000000000219</v>
      </c>
      <c r="N896" s="126">
        <f>base[[#This Row],[L/P Líquido]]/base[[#This Row],[Stake/Responsabilidade]]</f>
        <v>0.12243589743589742</v>
      </c>
      <c r="O896" s="132">
        <f>IF(base[[#This Row],[L/P Líquido]]&gt;0,1,0)</f>
        <v>1</v>
      </c>
      <c r="P896" s="132"/>
      <c r="Q896" s="132" t="str">
        <f>LEFT(base[[#This Row],[Evento / Mercado]],FIND("vs",base[[#This Row],[Evento / Mercado]])-2)</f>
        <v>Nottingham Forest</v>
      </c>
      <c r="R8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Wolverhampton Wanderers</v>
      </c>
      <c r="S896" s="132" t="e">
        <f>LEFT(base[[#This Row],[Evento / Mercado]],FIND("/",base[[#This Row],[Evento / Mercado]])-2)</f>
        <v>#VALUE!</v>
      </c>
      <c r="T896" s="8">
        <v>17.95</v>
      </c>
      <c r="U896" s="9">
        <f>T896*0.955</f>
        <v>17.142249999999997</v>
      </c>
    </row>
    <row r="897" spans="2:21" ht="15" customHeight="1">
      <c r="B897" s="128" t="s">
        <v>782</v>
      </c>
      <c r="C897" s="128" t="s">
        <v>2982</v>
      </c>
      <c r="D897" s="129">
        <v>46064.763923611114</v>
      </c>
      <c r="E897" s="130">
        <v>7.8692000000000002</v>
      </c>
      <c r="F897" s="131">
        <v>4.4999999999999998E-2</v>
      </c>
      <c r="G897" s="126">
        <f t="shared" si="14"/>
        <v>8.24</v>
      </c>
      <c r="H897" s="126" t="s">
        <v>73</v>
      </c>
      <c r="I897" s="127" t="s">
        <v>13</v>
      </c>
      <c r="J897" s="126">
        <v>18</v>
      </c>
      <c r="K897" s="126">
        <v>140.08000000000001</v>
      </c>
      <c r="L897" s="129">
        <f>INT(base[[#This Row],[Data de liquidação]])</f>
        <v>46064</v>
      </c>
      <c r="M897" s="126">
        <f>base[[#This Row],[L/P Bruto]]-base[[#This Row],[L/P Líquido]]</f>
        <v>0.37080000000000002</v>
      </c>
      <c r="N897" s="126">
        <f>base[[#This Row],[L/P Líquido]]/base[[#This Row],[Stake/Responsabilidade]]</f>
        <v>5.6176470588235293E-2</v>
      </c>
      <c r="O897" s="132">
        <f>IF(base[[#This Row],[L/P Líquido]]&gt;0,1,0)</f>
        <v>1</v>
      </c>
      <c r="P897" s="132"/>
      <c r="Q897" s="132" t="str">
        <f>LEFT(base[[#This Row],[Evento / Mercado]],FIND("vs",base[[#This Row],[Evento / Mercado]])-2)</f>
        <v>Nottingham Forest</v>
      </c>
      <c r="R8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Wolverhampton Wanderers</v>
      </c>
      <c r="S897" s="132" t="e">
        <f>LEFT(base[[#This Row],[Evento / Mercado]],FIND("/",base[[#This Row],[Evento / Mercado]])-2)</f>
        <v>#VALUE!</v>
      </c>
      <c r="T897" s="8">
        <v>8.24</v>
      </c>
      <c r="U897" s="9">
        <f>T897*0.955</f>
        <v>7.8692000000000002</v>
      </c>
    </row>
    <row r="898" spans="2:21" ht="15" customHeight="1">
      <c r="B898" s="128" t="s">
        <v>781</v>
      </c>
      <c r="C898" s="128" t="s">
        <v>2982</v>
      </c>
      <c r="D898" s="129">
        <v>46064.765405092592</v>
      </c>
      <c r="E898" s="130">
        <v>29.12</v>
      </c>
      <c r="F898" s="131">
        <v>4.4999999999999998E-2</v>
      </c>
      <c r="G898" s="126">
        <f t="shared" si="14"/>
        <v>30.492146596858642</v>
      </c>
      <c r="H898" s="126" t="s">
        <v>145</v>
      </c>
      <c r="I898" s="127" t="s">
        <v>301</v>
      </c>
      <c r="J898" s="126">
        <v>9.1999999999999993</v>
      </c>
      <c r="K898" s="126">
        <v>250.02</v>
      </c>
      <c r="L898" s="129">
        <f>INT(base[[#This Row],[Data de liquidação]])</f>
        <v>46064</v>
      </c>
      <c r="M898" s="126">
        <f>base[[#This Row],[L/P Bruto]]-base[[#This Row],[L/P Líquido]]</f>
        <v>1.3721465968586415</v>
      </c>
      <c r="N898" s="126">
        <f>base[[#This Row],[L/P Líquido]]/base[[#This Row],[Stake/Responsabilidade]]</f>
        <v>0.11647068234541237</v>
      </c>
      <c r="O898" s="132">
        <f>IF(base[[#This Row],[L/P Líquido]]&gt;0,1,0)</f>
        <v>1</v>
      </c>
      <c r="P898" s="132" t="s">
        <v>963</v>
      </c>
      <c r="Q898" s="132" t="str">
        <f>LEFT(base[[#This Row],[Evento / Mercado]],FIND("vs",base[[#This Row],[Evento / Mercado]])-2)</f>
        <v>Manchester City</v>
      </c>
      <c r="R8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898" s="132" t="e">
        <f>LEFT(base[[#This Row],[Evento / Mercado]],FIND("/",base[[#This Row],[Evento / Mercado]])-2)</f>
        <v>#VALUE!</v>
      </c>
    </row>
    <row r="899" spans="2:21" ht="15" customHeight="1">
      <c r="B899" s="128" t="s">
        <v>781</v>
      </c>
      <c r="C899" s="128" t="s">
        <v>2982</v>
      </c>
      <c r="D899" s="129">
        <v>46064.765555555554</v>
      </c>
      <c r="E899" s="130">
        <v>-80</v>
      </c>
      <c r="F899" s="131">
        <v>4.4999999999999998E-2</v>
      </c>
      <c r="G899" s="126">
        <f t="shared" ref="G899:G962" si="15">IF(E899&gt;0,E899/(1-F899),E899)</f>
        <v>-80</v>
      </c>
      <c r="H899" s="126" t="s">
        <v>231</v>
      </c>
      <c r="I899" s="127" t="s">
        <v>266</v>
      </c>
      <c r="J899" s="126">
        <v>1.79</v>
      </c>
      <c r="K899" s="126">
        <v>80</v>
      </c>
      <c r="L899" s="129">
        <f>INT(base[[#This Row],[Data de liquidação]])</f>
        <v>46064</v>
      </c>
      <c r="M899" s="126">
        <f>base[[#This Row],[L/P Bruto]]-base[[#This Row],[L/P Líquido]]</f>
        <v>0</v>
      </c>
      <c r="N899" s="126">
        <f>base[[#This Row],[L/P Líquido]]/base[[#This Row],[Stake/Responsabilidade]]</f>
        <v>-1</v>
      </c>
      <c r="O899" s="132">
        <f>IF(base[[#This Row],[L/P Líquido]]&gt;0,1,0)</f>
        <v>0</v>
      </c>
      <c r="P899" s="132"/>
      <c r="Q899" s="132" t="str">
        <f>LEFT(base[[#This Row],[Evento / Mercado]],FIND("vs",base[[#This Row],[Evento / Mercado]])-2)</f>
        <v>Manchester City</v>
      </c>
      <c r="R8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899" s="132" t="e">
        <f>LEFT(base[[#This Row],[Evento / Mercado]],FIND("/",base[[#This Row],[Evento / Mercado]])-2)</f>
        <v>#VALUE!</v>
      </c>
    </row>
    <row r="900" spans="2:21" ht="15" customHeight="1">
      <c r="B900" s="128" t="s">
        <v>780</v>
      </c>
      <c r="C900" s="128" t="s">
        <v>2982</v>
      </c>
      <c r="D900" s="129">
        <v>46064.767534722225</v>
      </c>
      <c r="E900" s="130">
        <v>2.91</v>
      </c>
      <c r="F900" s="131">
        <v>4.4999999999999998E-2</v>
      </c>
      <c r="G900" s="126">
        <f t="shared" si="15"/>
        <v>3.0471204188481678</v>
      </c>
      <c r="H900" s="126" t="s">
        <v>73</v>
      </c>
      <c r="I900" s="127" t="s">
        <v>16</v>
      </c>
      <c r="J900" s="126">
        <v>12.5</v>
      </c>
      <c r="K900" s="126">
        <v>35.020000000000003</v>
      </c>
      <c r="L900" s="129">
        <f>INT(base[[#This Row],[Data de liquidação]])</f>
        <v>46064</v>
      </c>
      <c r="M900" s="126">
        <f>base[[#This Row],[L/P Bruto]]-base[[#This Row],[L/P Líquido]]</f>
        <v>0.13712041884816761</v>
      </c>
      <c r="N900" s="126">
        <f>base[[#This Row],[L/P Líquido]]/base[[#This Row],[Stake/Responsabilidade]]</f>
        <v>8.3095374071958883E-2</v>
      </c>
      <c r="O900" s="132">
        <f>IF(base[[#This Row],[L/P Líquido]]&gt;0,1,0)</f>
        <v>1</v>
      </c>
      <c r="P900" s="132"/>
      <c r="Q900" s="132" t="str">
        <f>LEFT(base[[#This Row],[Evento / Mercado]],FIND("vs",base[[#This Row],[Evento / Mercado]])-2)</f>
        <v>FC Zürich</v>
      </c>
      <c r="R9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Winterthur</v>
      </c>
      <c r="S900" s="132" t="e">
        <f>LEFT(base[[#This Row],[Evento / Mercado]],FIND("/",base[[#This Row],[Evento / Mercado]])-2)</f>
        <v>#VALUE!</v>
      </c>
    </row>
    <row r="901" spans="2:21" ht="15" customHeight="1">
      <c r="B901" s="128" t="s">
        <v>779</v>
      </c>
      <c r="C901" s="128" t="s">
        <v>2982</v>
      </c>
      <c r="D901" s="129">
        <v>46064.767939814818</v>
      </c>
      <c r="E901" s="130">
        <v>-27.23</v>
      </c>
      <c r="F901" s="131">
        <v>4.4999999999999998E-2</v>
      </c>
      <c r="G901" s="126">
        <f t="shared" si="15"/>
        <v>-27.23</v>
      </c>
      <c r="H901" s="126" t="s">
        <v>74</v>
      </c>
      <c r="I901" s="127" t="s">
        <v>476</v>
      </c>
      <c r="J901" s="126">
        <v>17</v>
      </c>
      <c r="K901" s="126">
        <v>250.08</v>
      </c>
      <c r="L901" s="129">
        <f>INT(base[[#This Row],[Data de liquidação]])</f>
        <v>46064</v>
      </c>
      <c r="M901" s="126">
        <f>base[[#This Row],[L/P Bruto]]-base[[#This Row],[L/P Líquido]]</f>
        <v>0</v>
      </c>
      <c r="N901" s="126">
        <f>base[[#This Row],[L/P Líquido]]/base[[#This Row],[Stake/Responsabilidade]]</f>
        <v>-0.10888515674984005</v>
      </c>
      <c r="O901" s="132">
        <f>IF(base[[#This Row],[L/P Líquido]]&gt;0,1,0)</f>
        <v>0</v>
      </c>
      <c r="P901" s="132" t="s">
        <v>963</v>
      </c>
      <c r="Q901" s="132" t="str">
        <f>LEFT(base[[#This Row],[Evento / Mercado]],FIND("vs",base[[#This Row],[Evento / Mercado]])-2)</f>
        <v>Aston Villa</v>
      </c>
      <c r="R9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901" s="132" t="e">
        <f>LEFT(base[[#This Row],[Evento / Mercado]],FIND("/",base[[#This Row],[Evento / Mercado]])-2)</f>
        <v>#VALUE!</v>
      </c>
    </row>
    <row r="902" spans="2:21" ht="15" customHeight="1">
      <c r="B902" s="128" t="s">
        <v>779</v>
      </c>
      <c r="C902" s="128" t="s">
        <v>2982</v>
      </c>
      <c r="D902" s="129">
        <v>46064.768101851849</v>
      </c>
      <c r="E902" s="130">
        <v>-80</v>
      </c>
      <c r="F902" s="131">
        <v>4.4999999999999998E-2</v>
      </c>
      <c r="G902" s="126">
        <f t="shared" si="15"/>
        <v>-80</v>
      </c>
      <c r="H902" s="126" t="s">
        <v>231</v>
      </c>
      <c r="I902" s="127" t="s">
        <v>232</v>
      </c>
      <c r="J902" s="126">
        <v>1.74</v>
      </c>
      <c r="K902" s="126">
        <v>80</v>
      </c>
      <c r="L902" s="129">
        <f>INT(base[[#This Row],[Data de liquidação]])</f>
        <v>46064</v>
      </c>
      <c r="M902" s="126">
        <f>base[[#This Row],[L/P Bruto]]-base[[#This Row],[L/P Líquido]]</f>
        <v>0</v>
      </c>
      <c r="N902" s="126">
        <f>base[[#This Row],[L/P Líquido]]/base[[#This Row],[Stake/Responsabilidade]]</f>
        <v>-1</v>
      </c>
      <c r="O902" s="132">
        <f>IF(base[[#This Row],[L/P Líquido]]&gt;0,1,0)</f>
        <v>0</v>
      </c>
      <c r="P902" s="132"/>
      <c r="Q902" s="132" t="str">
        <f>LEFT(base[[#This Row],[Evento / Mercado]],FIND("vs",base[[#This Row],[Evento / Mercado]])-2)</f>
        <v>Aston Villa</v>
      </c>
      <c r="R9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902" s="132" t="e">
        <f>LEFT(base[[#This Row],[Evento / Mercado]],FIND("/",base[[#This Row],[Evento / Mercado]])-2)</f>
        <v>#VALUE!</v>
      </c>
    </row>
    <row r="903" spans="2:21" ht="15" customHeight="1">
      <c r="B903" s="128" t="s">
        <v>778</v>
      </c>
      <c r="C903" s="128" t="s">
        <v>2982</v>
      </c>
      <c r="D903" s="129">
        <v>46064.773784722223</v>
      </c>
      <c r="E903" s="130">
        <v>7.87</v>
      </c>
      <c r="F903" s="131">
        <v>4.4999999999999998E-2</v>
      </c>
      <c r="G903" s="126">
        <f t="shared" si="15"/>
        <v>8.2408376963350793</v>
      </c>
      <c r="H903" s="126" t="s">
        <v>73</v>
      </c>
      <c r="I903" s="127" t="s">
        <v>13</v>
      </c>
      <c r="J903" s="126">
        <v>18</v>
      </c>
      <c r="K903" s="126">
        <v>140.08000000000001</v>
      </c>
      <c r="L903" s="129">
        <f>INT(base[[#This Row],[Data de liquidação]])</f>
        <v>46064</v>
      </c>
      <c r="M903" s="126">
        <f>base[[#This Row],[L/P Bruto]]-base[[#This Row],[L/P Líquido]]</f>
        <v>0.37083769633507924</v>
      </c>
      <c r="N903" s="126">
        <f>base[[#This Row],[L/P Líquido]]/base[[#This Row],[Stake/Responsabilidade]]</f>
        <v>5.6182181610508274E-2</v>
      </c>
      <c r="O903" s="132">
        <f>IF(base[[#This Row],[L/P Líquido]]&gt;0,1,0)</f>
        <v>1</v>
      </c>
      <c r="P903" s="132"/>
      <c r="Q903" s="132" t="str">
        <f>LEFT(base[[#This Row],[Evento / Mercado]],FIND("vs",base[[#This Row],[Evento / Mercado]])-2)</f>
        <v>Crystal Palace</v>
      </c>
      <c r="R9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Burnley</v>
      </c>
      <c r="S903" s="132" t="e">
        <f>LEFT(base[[#This Row],[Evento / Mercado]],FIND("/",base[[#This Row],[Evento / Mercado]])-2)</f>
        <v>#VALUE!</v>
      </c>
    </row>
    <row r="904" spans="2:21" ht="15" customHeight="1">
      <c r="B904" s="128" t="s">
        <v>777</v>
      </c>
      <c r="C904" s="128" t="s">
        <v>2982</v>
      </c>
      <c r="D904" s="129">
        <v>46064.776435185187</v>
      </c>
      <c r="E904" s="130">
        <v>7.8692000000000002</v>
      </c>
      <c r="F904" s="131">
        <v>4.4999999999999998E-2</v>
      </c>
      <c r="G904" s="126">
        <f t="shared" si="15"/>
        <v>8.24</v>
      </c>
      <c r="H904" s="126" t="s">
        <v>73</v>
      </c>
      <c r="I904" s="127" t="s">
        <v>13</v>
      </c>
      <c r="J904" s="126">
        <v>18</v>
      </c>
      <c r="K904" s="126">
        <v>140.08000000000001</v>
      </c>
      <c r="L904" s="129">
        <f>INT(base[[#This Row],[Data de liquidação]])</f>
        <v>46064</v>
      </c>
      <c r="M904" s="126">
        <f>base[[#This Row],[L/P Bruto]]-base[[#This Row],[L/P Líquido]]</f>
        <v>0.37080000000000002</v>
      </c>
      <c r="N904" s="126">
        <f>base[[#This Row],[L/P Líquido]]/base[[#This Row],[Stake/Responsabilidade]]</f>
        <v>5.6176470588235293E-2</v>
      </c>
      <c r="O904" s="132">
        <f>IF(base[[#This Row],[L/P Líquido]]&gt;0,1,0)</f>
        <v>1</v>
      </c>
      <c r="P904" s="132"/>
      <c r="Q904" s="132" t="str">
        <f>LEFT(base[[#This Row],[Evento / Mercado]],FIND("vs",base[[#This Row],[Evento / Mercado]])-2)</f>
        <v>Boreham Wood</v>
      </c>
      <c r="R9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Yeovil Town</v>
      </c>
      <c r="S904" s="132" t="e">
        <f>LEFT(base[[#This Row],[Evento / Mercado]],FIND("/",base[[#This Row],[Evento / Mercado]])-2)</f>
        <v>#VALUE!</v>
      </c>
      <c r="T904" s="8">
        <v>8.24</v>
      </c>
      <c r="U904" s="9">
        <f>T904*0.955</f>
        <v>7.8692000000000002</v>
      </c>
    </row>
    <row r="905" spans="2:21" ht="15" customHeight="1">
      <c r="B905" s="128" t="s">
        <v>777</v>
      </c>
      <c r="C905" s="128" t="s">
        <v>2982</v>
      </c>
      <c r="D905" s="129">
        <v>46064.776435185187</v>
      </c>
      <c r="E905" s="130">
        <v>15.4137</v>
      </c>
      <c r="F905" s="131">
        <v>4.4999999999999998E-2</v>
      </c>
      <c r="G905" s="126">
        <f t="shared" si="15"/>
        <v>16.14</v>
      </c>
      <c r="H905" s="126" t="s">
        <v>73</v>
      </c>
      <c r="I905" s="127" t="s">
        <v>16</v>
      </c>
      <c r="J905" s="126">
        <v>9.6</v>
      </c>
      <c r="K905" s="126">
        <v>138.82</v>
      </c>
      <c r="L905" s="129">
        <f>INT(base[[#This Row],[Data de liquidação]])</f>
        <v>46064</v>
      </c>
      <c r="M905" s="126">
        <f>base[[#This Row],[L/P Bruto]]-base[[#This Row],[L/P Líquido]]</f>
        <v>0.72630000000000017</v>
      </c>
      <c r="N905" s="126">
        <f>base[[#This Row],[L/P Líquido]]/base[[#This Row],[Stake/Responsabilidade]]</f>
        <v>0.11103371272150987</v>
      </c>
      <c r="O905" s="132">
        <f>IF(base[[#This Row],[L/P Líquido]]&gt;0,1,0)</f>
        <v>1</v>
      </c>
      <c r="P905" s="132"/>
      <c r="Q905" s="132" t="str">
        <f>LEFT(base[[#This Row],[Evento / Mercado]],FIND("vs",base[[#This Row],[Evento / Mercado]])-2)</f>
        <v>Boreham Wood</v>
      </c>
      <c r="R9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Yeovil Town</v>
      </c>
      <c r="S905" s="132" t="e">
        <f>LEFT(base[[#This Row],[Evento / Mercado]],FIND("/",base[[#This Row],[Evento / Mercado]])-2)</f>
        <v>#VALUE!</v>
      </c>
      <c r="T905" s="8">
        <v>16.14</v>
      </c>
      <c r="U905" s="9">
        <f>T905*0.955</f>
        <v>15.4137</v>
      </c>
    </row>
    <row r="906" spans="2:21" ht="15" customHeight="1">
      <c r="B906" s="128" t="s">
        <v>776</v>
      </c>
      <c r="C906" s="128" t="s">
        <v>2982</v>
      </c>
      <c r="D906" s="129">
        <v>46064.77679398148</v>
      </c>
      <c r="E906" s="130">
        <v>8.1</v>
      </c>
      <c r="F906" s="131">
        <v>4.4999999999999998E-2</v>
      </c>
      <c r="G906" s="126">
        <f t="shared" si="15"/>
        <v>8.4816753926701569</v>
      </c>
      <c r="H906" s="126" t="s">
        <v>73</v>
      </c>
      <c r="I906" s="127" t="s">
        <v>13</v>
      </c>
      <c r="J906" s="126">
        <v>17.5</v>
      </c>
      <c r="K906" s="126">
        <v>139.91999999999999</v>
      </c>
      <c r="L906" s="129">
        <f>INT(base[[#This Row],[Data de liquidação]])</f>
        <v>46064</v>
      </c>
      <c r="M906" s="126">
        <f>base[[#This Row],[L/P Bruto]]-base[[#This Row],[L/P Líquido]]</f>
        <v>0.38167539267015727</v>
      </c>
      <c r="N906" s="126">
        <f>base[[#This Row],[L/P Líquido]]/base[[#This Row],[Stake/Responsabilidade]]</f>
        <v>5.789022298456261E-2</v>
      </c>
      <c r="O906" s="132">
        <f>IF(base[[#This Row],[L/P Líquido]]&gt;0,1,0)</f>
        <v>1</v>
      </c>
      <c r="P906" s="132"/>
      <c r="Q906" s="132" t="str">
        <f>LEFT(base[[#This Row],[Evento / Mercado]],FIND("vs",base[[#This Row],[Evento / Mercado]])-2)</f>
        <v>Falkirk</v>
      </c>
      <c r="R9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Dundee</v>
      </c>
      <c r="S906" s="132" t="e">
        <f>LEFT(base[[#This Row],[Evento / Mercado]],FIND("/",base[[#This Row],[Evento / Mercado]])-2)</f>
        <v>#VALUE!</v>
      </c>
    </row>
    <row r="907" spans="2:21" ht="15" customHeight="1">
      <c r="B907" s="128" t="s">
        <v>775</v>
      </c>
      <c r="C907" s="128" t="s">
        <v>2982</v>
      </c>
      <c r="D907" s="129">
        <v>46064.781875000001</v>
      </c>
      <c r="E907" s="130">
        <v>61.88</v>
      </c>
      <c r="F907" s="131">
        <v>4.4999999999999998E-2</v>
      </c>
      <c r="G907" s="126">
        <f t="shared" si="15"/>
        <v>64.795811518324612</v>
      </c>
      <c r="H907" s="126" t="s">
        <v>231</v>
      </c>
      <c r="I907" s="127" t="s">
        <v>266</v>
      </c>
      <c r="J907" s="126">
        <v>1.81</v>
      </c>
      <c r="K907" s="126">
        <v>80</v>
      </c>
      <c r="L907" s="129">
        <f>INT(base[[#This Row],[Data de liquidação]])</f>
        <v>46064</v>
      </c>
      <c r="M907" s="126">
        <f>base[[#This Row],[L/P Bruto]]-base[[#This Row],[L/P Líquido]]</f>
        <v>2.9158115183246096</v>
      </c>
      <c r="N907" s="126">
        <f>base[[#This Row],[L/P Líquido]]/base[[#This Row],[Stake/Responsabilidade]]</f>
        <v>0.77350000000000008</v>
      </c>
      <c r="O907" s="132">
        <f>IF(base[[#This Row],[L/P Líquido]]&gt;0,1,0)</f>
        <v>1</v>
      </c>
      <c r="P907" s="132"/>
      <c r="Q907" s="132" t="str">
        <f>LEFT(base[[#This Row],[Evento / Mercado]],FIND("vs",base[[#This Row],[Evento / Mercado]])-2)</f>
        <v>Motherwell</v>
      </c>
      <c r="R9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Rangers</v>
      </c>
      <c r="S907" s="132" t="e">
        <f>LEFT(base[[#This Row],[Evento / Mercado]],FIND("/",base[[#This Row],[Evento / Mercado]])-2)</f>
        <v>#VALUE!</v>
      </c>
    </row>
    <row r="908" spans="2:21" ht="15" customHeight="1">
      <c r="B908" s="128" t="s">
        <v>774</v>
      </c>
      <c r="C908" s="128" t="s">
        <v>2982</v>
      </c>
      <c r="D908" s="129">
        <v>46064.78974537037</v>
      </c>
      <c r="E908" s="130">
        <v>14.08</v>
      </c>
      <c r="F908" s="131">
        <v>4.4999999999999998E-2</v>
      </c>
      <c r="G908" s="126">
        <f t="shared" si="15"/>
        <v>14.7434554973822</v>
      </c>
      <c r="H908" s="126" t="s">
        <v>73</v>
      </c>
      <c r="I908" s="127" t="s">
        <v>16</v>
      </c>
      <c r="J908" s="126">
        <v>10.5</v>
      </c>
      <c r="K908" s="126">
        <v>140.03</v>
      </c>
      <c r="L908" s="129">
        <f>INT(base[[#This Row],[Data de liquidação]])</f>
        <v>46064</v>
      </c>
      <c r="M908" s="126">
        <f>base[[#This Row],[L/P Bruto]]-base[[#This Row],[L/P Líquido]]</f>
        <v>0.66345549738220022</v>
      </c>
      <c r="N908" s="126">
        <f>base[[#This Row],[L/P Líquido]]/base[[#This Row],[Stake/Responsabilidade]]</f>
        <v>0.10054988216810683</v>
      </c>
      <c r="O908" s="132">
        <f>IF(base[[#This Row],[L/P Líquido]]&gt;0,1,0)</f>
        <v>1</v>
      </c>
      <c r="P908" s="132"/>
      <c r="Q908" s="132" t="str">
        <f>LEFT(base[[#This Row],[Evento / Mercado]],FIND("vs",base[[#This Row],[Evento / Mercado]])-2)</f>
        <v>NEC</v>
      </c>
      <c r="R9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Utrecht</v>
      </c>
      <c r="S908" s="132" t="e">
        <f>LEFT(base[[#This Row],[Evento / Mercado]],FIND("/",base[[#This Row],[Evento / Mercado]])-2)</f>
        <v>#VALUE!</v>
      </c>
    </row>
    <row r="909" spans="2:21" ht="15" customHeight="1">
      <c r="B909" s="128" t="s">
        <v>774</v>
      </c>
      <c r="C909" s="128" t="s">
        <v>2982</v>
      </c>
      <c r="D909" s="129">
        <v>46064.789780092593</v>
      </c>
      <c r="E909" s="130">
        <v>-168.9</v>
      </c>
      <c r="F909" s="131">
        <v>4.4999999999999998E-2</v>
      </c>
      <c r="G909" s="126">
        <f t="shared" si="15"/>
        <v>-168.9</v>
      </c>
      <c r="H909" s="126" t="s">
        <v>145</v>
      </c>
      <c r="I909" s="127" t="s">
        <v>301</v>
      </c>
      <c r="J909" s="126">
        <v>5.3</v>
      </c>
      <c r="K909" s="126">
        <v>250</v>
      </c>
      <c r="L909" s="129">
        <f>INT(base[[#This Row],[Data de liquidação]])</f>
        <v>46064</v>
      </c>
      <c r="M909" s="126">
        <f>base[[#This Row],[L/P Bruto]]-base[[#This Row],[L/P Líquido]]</f>
        <v>0</v>
      </c>
      <c r="N909" s="126">
        <f>base[[#This Row],[L/P Líquido]]/base[[#This Row],[Stake/Responsabilidade]]</f>
        <v>-0.67559999999999998</v>
      </c>
      <c r="O909" s="132">
        <f>IF(base[[#This Row],[L/P Líquido]]&gt;0,1,0)</f>
        <v>0</v>
      </c>
      <c r="P909" s="132" t="s">
        <v>967</v>
      </c>
      <c r="Q909" s="132" t="str">
        <f>LEFT(base[[#This Row],[Evento / Mercado]],FIND("vs",base[[#This Row],[Evento / Mercado]])-2)</f>
        <v>NEC</v>
      </c>
      <c r="R9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Utrecht</v>
      </c>
      <c r="S909" s="132" t="e">
        <f>LEFT(base[[#This Row],[Evento / Mercado]],FIND("/",base[[#This Row],[Evento / Mercado]])-2)</f>
        <v>#VALUE!</v>
      </c>
      <c r="U909" s="9">
        <f>-250+169</f>
        <v>-81</v>
      </c>
    </row>
    <row r="910" spans="2:21" ht="15" customHeight="1">
      <c r="B910" s="128" t="s">
        <v>773</v>
      </c>
      <c r="C910" s="128" t="s">
        <v>2982</v>
      </c>
      <c r="D910" s="129">
        <v>46064.791388888887</v>
      </c>
      <c r="E910" s="130">
        <v>7.87</v>
      </c>
      <c r="F910" s="131">
        <v>4.4999999999999998E-2</v>
      </c>
      <c r="G910" s="126">
        <f t="shared" si="15"/>
        <v>8.2408376963350793</v>
      </c>
      <c r="H910" s="126" t="s">
        <v>73</v>
      </c>
      <c r="I910" s="127" t="s">
        <v>13</v>
      </c>
      <c r="J910" s="126">
        <v>18</v>
      </c>
      <c r="K910" s="126">
        <v>140.08000000000001</v>
      </c>
      <c r="L910" s="129">
        <f>INT(base[[#This Row],[Data de liquidação]])</f>
        <v>46064</v>
      </c>
      <c r="M910" s="126">
        <f>base[[#This Row],[L/P Bruto]]-base[[#This Row],[L/P Líquido]]</f>
        <v>0.37083769633507924</v>
      </c>
      <c r="N910" s="126">
        <f>base[[#This Row],[L/P Líquido]]/base[[#This Row],[Stake/Responsabilidade]]</f>
        <v>5.6182181610508274E-2</v>
      </c>
      <c r="O910" s="132">
        <f>IF(base[[#This Row],[L/P Líquido]]&gt;0,1,0)</f>
        <v>1</v>
      </c>
      <c r="P910" s="132"/>
      <c r="Q910" s="132" t="str">
        <f>LEFT(base[[#This Row],[Evento / Mercado]],FIND("vs",base[[#This Row],[Evento / Mercado]])-2)</f>
        <v>Mount Pleasant FA</v>
      </c>
      <c r="R9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Treasure Beach FC</v>
      </c>
      <c r="S910" s="132" t="e">
        <f>LEFT(base[[#This Row],[Evento / Mercado]],FIND("/",base[[#This Row],[Evento / Mercado]])-2)</f>
        <v>#VALUE!</v>
      </c>
      <c r="U910" s="9"/>
    </row>
    <row r="911" spans="2:21" ht="15" customHeight="1">
      <c r="B911" s="128" t="s">
        <v>772</v>
      </c>
      <c r="C911" s="128" t="s">
        <v>2982</v>
      </c>
      <c r="D911" s="129">
        <v>46064.791527777779</v>
      </c>
      <c r="E911" s="130">
        <v>16.301849999999998</v>
      </c>
      <c r="F911" s="131">
        <v>4.4999999999999998E-2</v>
      </c>
      <c r="G911" s="126">
        <f t="shared" si="15"/>
        <v>17.07</v>
      </c>
      <c r="H911" s="126" t="s">
        <v>73</v>
      </c>
      <c r="I911" s="127" t="s">
        <v>16</v>
      </c>
      <c r="J911" s="126">
        <v>9.1999999999999993</v>
      </c>
      <c r="K911" s="126">
        <v>139.97</v>
      </c>
      <c r="L911" s="129">
        <f>INT(base[[#This Row],[Data de liquidação]])</f>
        <v>46064</v>
      </c>
      <c r="M911" s="126">
        <f>base[[#This Row],[L/P Bruto]]-base[[#This Row],[L/P Líquido]]</f>
        <v>0.76815000000000211</v>
      </c>
      <c r="N911" s="126">
        <f>base[[#This Row],[L/P Líquido]]/base[[#This Row],[Stake/Responsabilidade]]</f>
        <v>0.11646674287347288</v>
      </c>
      <c r="O911" s="132">
        <f>IF(base[[#This Row],[L/P Líquido]]&gt;0,1,0)</f>
        <v>1</v>
      </c>
      <c r="P911" s="132"/>
      <c r="Q911" s="132" t="str">
        <f>LEFT(base[[#This Row],[Evento / Mercado]],FIND("vs",base[[#This Row],[Evento / Mercado]])-2)</f>
        <v>Swindon Town</v>
      </c>
      <c r="R9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Newport County</v>
      </c>
      <c r="S911" s="132" t="e">
        <f>LEFT(base[[#This Row],[Evento / Mercado]],FIND("/",base[[#This Row],[Evento / Mercado]])-2)</f>
        <v>#VALUE!</v>
      </c>
      <c r="T911" s="8">
        <v>17.07</v>
      </c>
      <c r="U911" s="9">
        <f>T911*0.955</f>
        <v>16.301849999999998</v>
      </c>
    </row>
    <row r="912" spans="2:21" ht="15" customHeight="1">
      <c r="B912" s="128" t="s">
        <v>772</v>
      </c>
      <c r="C912" s="128" t="s">
        <v>2982</v>
      </c>
      <c r="D912" s="129">
        <v>46064.791527777779</v>
      </c>
      <c r="E912" s="130">
        <v>7.8692000000000002</v>
      </c>
      <c r="F912" s="131">
        <v>4.4999999999999998E-2</v>
      </c>
      <c r="G912" s="126">
        <f t="shared" si="15"/>
        <v>8.24</v>
      </c>
      <c r="H912" s="126" t="s">
        <v>73</v>
      </c>
      <c r="I912" s="127" t="s">
        <v>13</v>
      </c>
      <c r="J912" s="126">
        <v>18</v>
      </c>
      <c r="K912" s="126">
        <v>140.08000000000001</v>
      </c>
      <c r="L912" s="129">
        <f>INT(base[[#This Row],[Data de liquidação]])</f>
        <v>46064</v>
      </c>
      <c r="M912" s="126">
        <f>base[[#This Row],[L/P Bruto]]-base[[#This Row],[L/P Líquido]]</f>
        <v>0.37080000000000002</v>
      </c>
      <c r="N912" s="126">
        <f>base[[#This Row],[L/P Líquido]]/base[[#This Row],[Stake/Responsabilidade]]</f>
        <v>5.6176470588235293E-2</v>
      </c>
      <c r="O912" s="132">
        <f>IF(base[[#This Row],[L/P Líquido]]&gt;0,1,0)</f>
        <v>1</v>
      </c>
      <c r="P912" s="132"/>
      <c r="Q912" s="132" t="str">
        <f>LEFT(base[[#This Row],[Evento / Mercado]],FIND("vs",base[[#This Row],[Evento / Mercado]])-2)</f>
        <v>Swindon Town</v>
      </c>
      <c r="R9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Newport County</v>
      </c>
      <c r="S912" s="132" t="e">
        <f>LEFT(base[[#This Row],[Evento / Mercado]],FIND("/",base[[#This Row],[Evento / Mercado]])-2)</f>
        <v>#VALUE!</v>
      </c>
      <c r="T912" s="8">
        <v>8.24</v>
      </c>
      <c r="U912" s="9">
        <f>T912*0.955</f>
        <v>7.8692000000000002</v>
      </c>
    </row>
    <row r="913" spans="2:21" ht="15" customHeight="1">
      <c r="B913" s="128" t="s">
        <v>771</v>
      </c>
      <c r="C913" s="128" t="s">
        <v>2982</v>
      </c>
      <c r="D913" s="129">
        <v>46064.982523148145</v>
      </c>
      <c r="E913" s="130">
        <v>-80</v>
      </c>
      <c r="F913" s="131">
        <v>4.4999999999999998E-2</v>
      </c>
      <c r="G913" s="126">
        <f t="shared" si="15"/>
        <v>-80</v>
      </c>
      <c r="H913" s="126" t="s">
        <v>231</v>
      </c>
      <c r="I913" s="127" t="s">
        <v>266</v>
      </c>
      <c r="J913" s="126">
        <v>1.93</v>
      </c>
      <c r="K913" s="126">
        <v>80</v>
      </c>
      <c r="L913" s="129">
        <f>INT(base[[#This Row],[Data de liquidação]])</f>
        <v>46064</v>
      </c>
      <c r="M913" s="126">
        <f>base[[#This Row],[L/P Bruto]]-base[[#This Row],[L/P Líquido]]</f>
        <v>0</v>
      </c>
      <c r="N913" s="126">
        <f>base[[#This Row],[L/P Líquido]]/base[[#This Row],[Stake/Responsabilidade]]</f>
        <v>-1</v>
      </c>
      <c r="O913" s="132">
        <f>IF(base[[#This Row],[L/P Líquido]]&gt;0,1,0)</f>
        <v>0</v>
      </c>
      <c r="P913" s="132"/>
      <c r="Q913" s="132" t="str">
        <f>LEFT(base[[#This Row],[Evento / Mercado]],FIND("vs",base[[#This Row],[Evento / Mercado]])-2)</f>
        <v>São Paulo</v>
      </c>
      <c r="R9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913" s="132" t="e">
        <f>LEFT(base[[#This Row],[Evento / Mercado]],FIND("/",base[[#This Row],[Evento / Mercado]])-2)</f>
        <v>#VALUE!</v>
      </c>
      <c r="U913" s="9"/>
    </row>
    <row r="914" spans="2:21" ht="15" customHeight="1">
      <c r="B914" s="128" t="s">
        <v>791</v>
      </c>
      <c r="C914" s="128" t="s">
        <v>2982</v>
      </c>
      <c r="D914" s="129">
        <v>46065.67659722222</v>
      </c>
      <c r="E914" s="130">
        <v>8.6</v>
      </c>
      <c r="F914" s="131">
        <v>4.4999999999999998E-2</v>
      </c>
      <c r="G914" s="126">
        <f t="shared" si="15"/>
        <v>9.0052356020942401</v>
      </c>
      <c r="H914" s="126" t="s">
        <v>211</v>
      </c>
      <c r="I914" s="127"/>
      <c r="J914" s="126">
        <v>1.36</v>
      </c>
      <c r="K914" s="126">
        <v>25</v>
      </c>
      <c r="L914" s="129">
        <f>INT(base[[#This Row],[Data de liquidação]])</f>
        <v>46065</v>
      </c>
      <c r="M914" s="126">
        <f>base[[#This Row],[L/P Bruto]]-base[[#This Row],[L/P Líquido]]</f>
        <v>0.40523560209424048</v>
      </c>
      <c r="N914" s="126">
        <f>base[[#This Row],[L/P Líquido]]/base[[#This Row],[Stake/Responsabilidade]]</f>
        <v>0.34399999999999997</v>
      </c>
      <c r="O914" s="132">
        <f>IF(base[[#This Row],[L/P Líquido]]&gt;0,1,0)</f>
        <v>1</v>
      </c>
      <c r="P914" s="132"/>
      <c r="Q914" s="132" t="str">
        <f>LEFT(base[[#This Row],[Evento / Mercado]],FIND("vs",base[[#This Row],[Evento / Mercado]])-2)</f>
        <v>Al Hazm</v>
      </c>
      <c r="R9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Al-Akhdoud</v>
      </c>
      <c r="S914" s="132" t="e">
        <f>LEFT(base[[#This Row],[Evento / Mercado]],FIND("/",base[[#This Row],[Evento / Mercado]])-2)</f>
        <v>#VALUE!</v>
      </c>
      <c r="U914" s="9"/>
    </row>
    <row r="915" spans="2:21" ht="15" customHeight="1">
      <c r="B915" s="128" t="s">
        <v>790</v>
      </c>
      <c r="C915" s="128" t="s">
        <v>2982</v>
      </c>
      <c r="D915" s="129">
        <v>46065.685474537036</v>
      </c>
      <c r="E915" s="130">
        <v>-16.53</v>
      </c>
      <c r="F915" s="131">
        <v>4.4999999999999998E-2</v>
      </c>
      <c r="G915" s="126">
        <f t="shared" si="15"/>
        <v>-16.53</v>
      </c>
      <c r="H915" s="126" t="s">
        <v>74</v>
      </c>
      <c r="I915" s="127" t="s">
        <v>476</v>
      </c>
      <c r="J915" s="126">
        <v>9.8000000000000007</v>
      </c>
      <c r="K915" s="126">
        <v>259.99</v>
      </c>
      <c r="L915" s="129">
        <f>INT(base[[#This Row],[Data de liquidação]])</f>
        <v>46065</v>
      </c>
      <c r="M915" s="126">
        <f>base[[#This Row],[L/P Bruto]]-base[[#This Row],[L/P Líquido]]</f>
        <v>0</v>
      </c>
      <c r="N915" s="126">
        <f>base[[#This Row],[L/P Líquido]]/base[[#This Row],[Stake/Responsabilidade]]</f>
        <v>-6.3579368437247583E-2</v>
      </c>
      <c r="O915" s="132">
        <f>IF(base[[#This Row],[L/P Líquido]]&gt;0,1,0)</f>
        <v>0</v>
      </c>
      <c r="P915" s="132" t="s">
        <v>973</v>
      </c>
      <c r="Q915" s="132" t="str">
        <f>LEFT(base[[#This Row],[Evento / Mercado]],FIND("vs",base[[#This Row],[Evento / Mercado]])-2)</f>
        <v>Al-Qadisiyah</v>
      </c>
      <c r="R9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915" s="132" t="e">
        <f>LEFT(base[[#This Row],[Evento / Mercado]],FIND("/",base[[#This Row],[Evento / Mercado]])-2)</f>
        <v>#VALUE!</v>
      </c>
      <c r="U915" s="9"/>
    </row>
    <row r="916" spans="2:21" ht="15" customHeight="1">
      <c r="B916" s="128" t="s">
        <v>790</v>
      </c>
      <c r="C916" s="128" t="s">
        <v>2982</v>
      </c>
      <c r="D916" s="129">
        <v>46065.685578703706</v>
      </c>
      <c r="E916" s="130">
        <v>-25.06</v>
      </c>
      <c r="F916" s="131">
        <v>4.4999999999999998E-2</v>
      </c>
      <c r="G916" s="126">
        <f t="shared" si="15"/>
        <v>-25.06</v>
      </c>
      <c r="H916" s="126" t="s">
        <v>211</v>
      </c>
      <c r="I916" s="127"/>
      <c r="J916" s="126">
        <v>1.97</v>
      </c>
      <c r="K916" s="126">
        <v>50</v>
      </c>
      <c r="L916" s="129">
        <f>INT(base[[#This Row],[Data de liquidação]])</f>
        <v>46065</v>
      </c>
      <c r="M916" s="126">
        <f>base[[#This Row],[L/P Bruto]]-base[[#This Row],[L/P Líquido]]</f>
        <v>0</v>
      </c>
      <c r="N916" s="126">
        <f>base[[#This Row],[L/P Líquido]]/base[[#This Row],[Stake/Responsabilidade]]</f>
        <v>-0.50119999999999998</v>
      </c>
      <c r="O916" s="132">
        <f>IF(base[[#This Row],[L/P Líquido]]&gt;0,1,0)</f>
        <v>0</v>
      </c>
      <c r="P916" s="132"/>
      <c r="Q916" s="132" t="str">
        <f>LEFT(base[[#This Row],[Evento / Mercado]],FIND("vs",base[[#This Row],[Evento / Mercado]])-2)</f>
        <v>Al-Qadisiyah</v>
      </c>
      <c r="R9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916" s="132" t="e">
        <f>LEFT(base[[#This Row],[Evento / Mercado]],FIND("/",base[[#This Row],[Evento / Mercado]])-2)</f>
        <v>#VALUE!</v>
      </c>
      <c r="U916" s="9"/>
    </row>
    <row r="917" spans="2:21" ht="15" customHeight="1">
      <c r="B917" s="128" t="s">
        <v>790</v>
      </c>
      <c r="C917" s="128" t="s">
        <v>2982</v>
      </c>
      <c r="D917" s="129">
        <v>46065.685578703706</v>
      </c>
      <c r="E917" s="130">
        <v>-80</v>
      </c>
      <c r="F917" s="131">
        <v>4.4999999999999998E-2</v>
      </c>
      <c r="G917" s="126">
        <f t="shared" si="15"/>
        <v>-80</v>
      </c>
      <c r="H917" s="126" t="s">
        <v>231</v>
      </c>
      <c r="I917" s="127" t="s">
        <v>232</v>
      </c>
      <c r="J917" s="126">
        <v>1.64</v>
      </c>
      <c r="K917" s="126">
        <v>80</v>
      </c>
      <c r="L917" s="129">
        <f>INT(base[[#This Row],[Data de liquidação]])</f>
        <v>46065</v>
      </c>
      <c r="M917" s="126">
        <f>base[[#This Row],[L/P Bruto]]-base[[#This Row],[L/P Líquido]]</f>
        <v>0</v>
      </c>
      <c r="N917" s="126">
        <f>base[[#This Row],[L/P Líquido]]/base[[#This Row],[Stake/Responsabilidade]]</f>
        <v>-1</v>
      </c>
      <c r="O917" s="132">
        <f>IF(base[[#This Row],[L/P Líquido]]&gt;0,1,0)</f>
        <v>0</v>
      </c>
      <c r="P917" s="132"/>
      <c r="Q917" s="132" t="str">
        <f>LEFT(base[[#This Row],[Evento / Mercado]],FIND("vs",base[[#This Row],[Evento / Mercado]])-2)</f>
        <v>Al-Qadisiyah</v>
      </c>
      <c r="R9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917" s="132" t="e">
        <f>LEFT(base[[#This Row],[Evento / Mercado]],FIND("/",base[[#This Row],[Evento / Mercado]])-2)</f>
        <v>#VALUE!</v>
      </c>
      <c r="U917" s="9"/>
    </row>
    <row r="918" spans="2:21" ht="15" customHeight="1">
      <c r="B918" s="128" t="s">
        <v>789</v>
      </c>
      <c r="C918" s="128" t="s">
        <v>2982</v>
      </c>
      <c r="D918" s="129">
        <v>46065.701192129629</v>
      </c>
      <c r="E918" s="130">
        <v>-25</v>
      </c>
      <c r="F918" s="131">
        <v>4.4999999999999998E-2</v>
      </c>
      <c r="G918" s="126">
        <f t="shared" si="15"/>
        <v>-25</v>
      </c>
      <c r="H918" s="126" t="s">
        <v>211</v>
      </c>
      <c r="I918" s="127"/>
      <c r="J918" s="126">
        <v>2.2000000000000002</v>
      </c>
      <c r="K918" s="126">
        <v>25</v>
      </c>
      <c r="L918" s="129">
        <f>INT(base[[#This Row],[Data de liquidação]])</f>
        <v>46065</v>
      </c>
      <c r="M918" s="126">
        <f>base[[#This Row],[L/P Bruto]]-base[[#This Row],[L/P Líquido]]</f>
        <v>0</v>
      </c>
      <c r="N918" s="126">
        <f>base[[#This Row],[L/P Líquido]]/base[[#This Row],[Stake/Responsabilidade]]</f>
        <v>-1</v>
      </c>
      <c r="O918" s="132">
        <f>IF(base[[#This Row],[L/P Líquido]]&gt;0,1,0)</f>
        <v>0</v>
      </c>
      <c r="P918" s="132"/>
      <c r="Q918" s="132" t="str">
        <f>LEFT(base[[#This Row],[Evento / Mercado]],FIND("vs",base[[#This Row],[Evento / Mercado]])-2)</f>
        <v>Den Bosch</v>
      </c>
      <c r="R9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918" s="132" t="e">
        <f>LEFT(base[[#This Row],[Evento / Mercado]],FIND("/",base[[#This Row],[Evento / Mercado]])-2)</f>
        <v>#VALUE!</v>
      </c>
      <c r="U918" s="9"/>
    </row>
    <row r="919" spans="2:21" ht="15" customHeight="1">
      <c r="B919" s="128" t="s">
        <v>789</v>
      </c>
      <c r="C919" s="128" t="s">
        <v>2982</v>
      </c>
      <c r="D919" s="129">
        <v>46065.738206018519</v>
      </c>
      <c r="E919" s="130">
        <v>20.16</v>
      </c>
      <c r="F919" s="131">
        <v>4.4999999999999998E-2</v>
      </c>
      <c r="G919" s="126">
        <f t="shared" si="15"/>
        <v>21.109947643979059</v>
      </c>
      <c r="H919" s="126" t="s">
        <v>211</v>
      </c>
      <c r="I919" s="127"/>
      <c r="J919" s="126">
        <v>1.258</v>
      </c>
      <c r="K919" s="126">
        <v>50</v>
      </c>
      <c r="L919" s="129">
        <f>INT(base[[#This Row],[Data de liquidação]])</f>
        <v>46065</v>
      </c>
      <c r="M919" s="126">
        <f>base[[#This Row],[L/P Bruto]]-base[[#This Row],[L/P Líquido]]</f>
        <v>0.9499476439790584</v>
      </c>
      <c r="N919" s="126">
        <f>base[[#This Row],[L/P Líquido]]/base[[#This Row],[Stake/Responsabilidade]]</f>
        <v>0.4032</v>
      </c>
      <c r="O919" s="132">
        <f>IF(base[[#This Row],[L/P Líquido]]&gt;0,1,0)</f>
        <v>1</v>
      </c>
      <c r="P919" s="132"/>
      <c r="Q919" s="132" t="str">
        <f>LEFT(base[[#This Row],[Evento / Mercado]],FIND("vs",base[[#This Row],[Evento / Mercado]])-2)</f>
        <v>Den Bosch</v>
      </c>
      <c r="R9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919" s="132" t="e">
        <f>LEFT(base[[#This Row],[Evento / Mercado]],FIND("/",base[[#This Row],[Evento / Mercado]])-2)</f>
        <v>#VALUE!</v>
      </c>
      <c r="U919" s="9"/>
    </row>
    <row r="920" spans="2:21" ht="15" customHeight="1">
      <c r="B920" s="128" t="s">
        <v>788</v>
      </c>
      <c r="C920" s="128" t="s">
        <v>2982</v>
      </c>
      <c r="D920" s="129">
        <v>46065.766087962962</v>
      </c>
      <c r="E920" s="130">
        <v>-80</v>
      </c>
      <c r="F920" s="131">
        <v>4.4999999999999998E-2</v>
      </c>
      <c r="G920" s="126">
        <f t="shared" si="15"/>
        <v>-80</v>
      </c>
      <c r="H920" s="126" t="s">
        <v>231</v>
      </c>
      <c r="I920" s="127" t="s">
        <v>266</v>
      </c>
      <c r="J920" s="126">
        <v>1.61</v>
      </c>
      <c r="K920" s="126">
        <v>80</v>
      </c>
      <c r="L920" s="129">
        <f>INT(base[[#This Row],[Data de liquidação]])</f>
        <v>46065</v>
      </c>
      <c r="M920" s="126">
        <f>base[[#This Row],[L/P Bruto]]-base[[#This Row],[L/P Líquido]]</f>
        <v>0</v>
      </c>
      <c r="N920" s="126">
        <f>base[[#This Row],[L/P Líquido]]/base[[#This Row],[Stake/Responsabilidade]]</f>
        <v>-1</v>
      </c>
      <c r="O920" s="132">
        <f>IF(base[[#This Row],[L/P Líquido]]&gt;0,1,0)</f>
        <v>0</v>
      </c>
      <c r="P920" s="132"/>
      <c r="Q920" s="132" t="str">
        <f>LEFT(base[[#This Row],[Evento / Mercado]],FIND("vs",base[[#This Row],[Evento / Mercado]])-2)</f>
        <v>FC Sion</v>
      </c>
      <c r="R9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Basel</v>
      </c>
      <c r="S920" s="132" t="e">
        <f>LEFT(base[[#This Row],[Evento / Mercado]],FIND("/",base[[#This Row],[Evento / Mercado]])-2)</f>
        <v>#VALUE!</v>
      </c>
      <c r="U920" s="9"/>
    </row>
    <row r="921" spans="2:21" ht="15" customHeight="1">
      <c r="B921" s="128" t="s">
        <v>787</v>
      </c>
      <c r="C921" s="128" t="s">
        <v>2982</v>
      </c>
      <c r="D921" s="129">
        <v>46065.771412037036</v>
      </c>
      <c r="E921" s="130">
        <v>68</v>
      </c>
      <c r="F921" s="131">
        <v>4.4999999999999998E-2</v>
      </c>
      <c r="G921" s="126">
        <f t="shared" si="15"/>
        <v>71.204188481675402</v>
      </c>
      <c r="H921" s="126" t="s">
        <v>231</v>
      </c>
      <c r="I921" s="127" t="s">
        <v>266</v>
      </c>
      <c r="J921" s="126">
        <v>1.89</v>
      </c>
      <c r="K921" s="126">
        <v>80</v>
      </c>
      <c r="L921" s="129">
        <f>INT(base[[#This Row],[Data de liquidação]])</f>
        <v>46065</v>
      </c>
      <c r="M921" s="126">
        <f>base[[#This Row],[L/P Bruto]]-base[[#This Row],[L/P Líquido]]</f>
        <v>3.204188481675402</v>
      </c>
      <c r="N921" s="126">
        <f>base[[#This Row],[L/P Líquido]]/base[[#This Row],[Stake/Responsabilidade]]</f>
        <v>0.85</v>
      </c>
      <c r="O921" s="132">
        <f>IF(base[[#This Row],[L/P Líquido]]&gt;0,1,0)</f>
        <v>1</v>
      </c>
      <c r="P921" s="132"/>
      <c r="Q921" s="132" t="str">
        <f>LEFT(base[[#This Row],[Evento / Mercado]],FIND("vs",base[[#This Row],[Evento / Mercado]])-2)</f>
        <v>Brentford</v>
      </c>
      <c r="R9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921" s="132" t="e">
        <f>LEFT(base[[#This Row],[Evento / Mercado]],FIND("/",base[[#This Row],[Evento / Mercado]])-2)</f>
        <v>#VALUE!</v>
      </c>
      <c r="U921" s="9"/>
    </row>
    <row r="922" spans="2:21" ht="15" customHeight="1">
      <c r="B922" s="128" t="s">
        <v>786</v>
      </c>
      <c r="C922" s="128" t="s">
        <v>2982</v>
      </c>
      <c r="D922" s="129">
        <v>46066.620532407411</v>
      </c>
      <c r="E922" s="130">
        <v>7.87</v>
      </c>
      <c r="F922" s="131">
        <v>4.4999999999999998E-2</v>
      </c>
      <c r="G922" s="126">
        <f t="shared" si="15"/>
        <v>8.2408376963350793</v>
      </c>
      <c r="H922" s="126" t="s">
        <v>73</v>
      </c>
      <c r="I922" s="127" t="s">
        <v>13</v>
      </c>
      <c r="J922" s="126">
        <v>18</v>
      </c>
      <c r="K922" s="126">
        <v>140.08000000000001</v>
      </c>
      <c r="L922" s="129">
        <f>INT(base[[#This Row],[Data de liquidação]])</f>
        <v>46066</v>
      </c>
      <c r="M922" s="126">
        <f>base[[#This Row],[L/P Bruto]]-base[[#This Row],[L/P Líquido]]</f>
        <v>0.37083769633507924</v>
      </c>
      <c r="N922" s="126">
        <f>base[[#This Row],[L/P Líquido]]/base[[#This Row],[Stake/Responsabilidade]]</f>
        <v>5.6182181610508274E-2</v>
      </c>
      <c r="O922" s="132">
        <f>IF(base[[#This Row],[L/P Líquido]]&gt;0,1,0)</f>
        <v>1</v>
      </c>
      <c r="P922" s="132"/>
      <c r="Q922" s="132" t="str">
        <f>LEFT(base[[#This Row],[Evento / Mercado]],FIND("vs",base[[#This Row],[Evento / Mercado]])-2)</f>
        <v>CS Constantine</v>
      </c>
      <c r="R9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 Sétif</v>
      </c>
      <c r="S922" s="132" t="e">
        <f>LEFT(base[[#This Row],[Evento / Mercado]],FIND("/",base[[#This Row],[Evento / Mercado]])-2)</f>
        <v>#VALUE!</v>
      </c>
      <c r="U922" s="9"/>
    </row>
    <row r="923" spans="2:21" ht="15" customHeight="1">
      <c r="B923" s="128" t="s">
        <v>785</v>
      </c>
      <c r="C923" s="128" t="s">
        <v>2982</v>
      </c>
      <c r="D923" s="129">
        <v>46066.633206018516</v>
      </c>
      <c r="E923" s="130">
        <v>48.13</v>
      </c>
      <c r="F923" s="131">
        <v>4.4999999999999998E-2</v>
      </c>
      <c r="G923" s="126">
        <f t="shared" si="15"/>
        <v>50.397905759162306</v>
      </c>
      <c r="H923" s="126" t="s">
        <v>231</v>
      </c>
      <c r="I923" s="127" t="s">
        <v>232</v>
      </c>
      <c r="J923" s="126">
        <v>1.63</v>
      </c>
      <c r="K923" s="126">
        <v>80</v>
      </c>
      <c r="L923" s="129">
        <f>INT(base[[#This Row],[Data de liquidação]])</f>
        <v>46066</v>
      </c>
      <c r="M923" s="126">
        <f>base[[#This Row],[L/P Bruto]]-base[[#This Row],[L/P Líquido]]</f>
        <v>2.2679057591623035</v>
      </c>
      <c r="N923" s="126">
        <f>base[[#This Row],[L/P Líquido]]/base[[#This Row],[Stake/Responsabilidade]]</f>
        <v>0.60162500000000008</v>
      </c>
      <c r="O923" s="132">
        <f>IF(base[[#This Row],[L/P Líquido]]&gt;0,1,0)</f>
        <v>1</v>
      </c>
      <c r="P923" s="132"/>
      <c r="Q923" s="132" t="str">
        <f>LEFT(base[[#This Row],[Evento / Mercado]],FIND("vs",base[[#This Row],[Evento / Mercado]])-2)</f>
        <v>1. FC Nürnberg</v>
      </c>
      <c r="R9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Karlsruher SC</v>
      </c>
      <c r="S923" s="132" t="e">
        <f>LEFT(base[[#This Row],[Evento / Mercado]],FIND("/",base[[#This Row],[Evento / Mercado]])-2)</f>
        <v>#VALUE!</v>
      </c>
      <c r="U923" s="9"/>
    </row>
    <row r="924" spans="2:21" ht="15" customHeight="1">
      <c r="B924" s="128" t="s">
        <v>876</v>
      </c>
      <c r="C924" s="128" t="s">
        <v>2982</v>
      </c>
      <c r="D924" s="129">
        <v>46066.666319444441</v>
      </c>
      <c r="E924" s="130">
        <v>-80</v>
      </c>
      <c r="F924" s="131">
        <v>4.4999999999999998E-2</v>
      </c>
      <c r="G924" s="126">
        <f t="shared" si="15"/>
        <v>-80</v>
      </c>
      <c r="H924" s="126" t="s">
        <v>231</v>
      </c>
      <c r="I924" s="127" t="s">
        <v>232</v>
      </c>
      <c r="J924" s="126">
        <v>1.85</v>
      </c>
      <c r="K924" s="126">
        <v>80</v>
      </c>
      <c r="L924" s="129">
        <f>INT(base[[#This Row],[Data de liquidação]])</f>
        <v>46066</v>
      </c>
      <c r="M924" s="126">
        <f>base[[#This Row],[L/P Bruto]]-base[[#This Row],[L/P Líquido]]</f>
        <v>0</v>
      </c>
      <c r="N924" s="126">
        <f>base[[#This Row],[L/P Líquido]]/base[[#This Row],[Stake/Responsabilidade]]</f>
        <v>-1</v>
      </c>
      <c r="O924" s="132">
        <f>IF(base[[#This Row],[L/P Líquido]]&gt;0,1,0)</f>
        <v>0</v>
      </c>
      <c r="P924" s="132"/>
      <c r="Q924" s="132" t="str">
        <f>LEFT(base[[#This Row],[Evento / Mercado]],FIND("vs",base[[#This Row],[Evento / Mercado]])-2)</f>
        <v>Radomiak Radom</v>
      </c>
      <c r="R9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Korona Kielce</v>
      </c>
      <c r="S924" s="132" t="e">
        <f>LEFT(base[[#This Row],[Evento / Mercado]],FIND("/",base[[#This Row],[Evento / Mercado]])-2)</f>
        <v>#VALUE!</v>
      </c>
      <c r="U924" s="9"/>
    </row>
    <row r="925" spans="2:21" ht="15" customHeight="1">
      <c r="B925" s="128" t="s">
        <v>875</v>
      </c>
      <c r="C925" s="128" t="s">
        <v>2982</v>
      </c>
      <c r="D925" s="129">
        <v>46066.682581018518</v>
      </c>
      <c r="E925" s="130">
        <v>7.87</v>
      </c>
      <c r="F925" s="131">
        <v>4.4999999999999998E-2</v>
      </c>
      <c r="G925" s="126">
        <f t="shared" si="15"/>
        <v>8.2408376963350793</v>
      </c>
      <c r="H925" s="126" t="s">
        <v>73</v>
      </c>
      <c r="I925" s="127" t="s">
        <v>13</v>
      </c>
      <c r="J925" s="126">
        <v>18</v>
      </c>
      <c r="K925" s="126">
        <v>140.08000000000001</v>
      </c>
      <c r="L925" s="129">
        <f>INT(base[[#This Row],[Data de liquidação]])</f>
        <v>46066</v>
      </c>
      <c r="M925" s="126">
        <f>base[[#This Row],[L/P Bruto]]-base[[#This Row],[L/P Líquido]]</f>
        <v>0.37083769633507924</v>
      </c>
      <c r="N925" s="126">
        <f>base[[#This Row],[L/P Líquido]]/base[[#This Row],[Stake/Responsabilidade]]</f>
        <v>5.6182181610508274E-2</v>
      </c>
      <c r="O925" s="132">
        <f>IF(base[[#This Row],[L/P Líquido]]&gt;0,1,0)</f>
        <v>1</v>
      </c>
      <c r="P925" s="132"/>
      <c r="Q925" s="132" t="str">
        <f>LEFT(base[[#This Row],[Evento / Mercado]],FIND("vs",base[[#This Row],[Evento / Mercado]])-2)</f>
        <v>Al-Ittihad Jeddah</v>
      </c>
      <c r="R9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Al-Fayha FC</v>
      </c>
      <c r="S925" s="132" t="e">
        <f>LEFT(base[[#This Row],[Evento / Mercado]],FIND("/",base[[#This Row],[Evento / Mercado]])-2)</f>
        <v>#VALUE!</v>
      </c>
      <c r="U925" s="9"/>
    </row>
    <row r="926" spans="2:21" ht="15" customHeight="1">
      <c r="B926" s="128" t="s">
        <v>785</v>
      </c>
      <c r="C926" s="128" t="s">
        <v>2982</v>
      </c>
      <c r="D926" s="129">
        <v>46066.682789351849</v>
      </c>
      <c r="E926" s="130">
        <v>12.73</v>
      </c>
      <c r="F926" s="131">
        <v>4.4999999999999998E-2</v>
      </c>
      <c r="G926" s="126">
        <f t="shared" si="15"/>
        <v>13.329842931937174</v>
      </c>
      <c r="H926" s="126" t="s">
        <v>73</v>
      </c>
      <c r="I926" s="127" t="s">
        <v>16</v>
      </c>
      <c r="J926" s="126">
        <v>11.5</v>
      </c>
      <c r="K926" s="126">
        <v>139.97</v>
      </c>
      <c r="L926" s="129">
        <f>INT(base[[#This Row],[Data de liquidação]])</f>
        <v>46066</v>
      </c>
      <c r="M926" s="126">
        <f>base[[#This Row],[L/P Bruto]]-base[[#This Row],[L/P Líquido]]</f>
        <v>0.59984293193717342</v>
      </c>
      <c r="N926" s="126">
        <f>base[[#This Row],[L/P Líquido]]/base[[#This Row],[Stake/Responsabilidade]]</f>
        <v>9.0948060298635419E-2</v>
      </c>
      <c r="O926" s="132">
        <f>IF(base[[#This Row],[L/P Líquido]]&gt;0,1,0)</f>
        <v>1</v>
      </c>
      <c r="P926" s="132"/>
      <c r="Q926" s="132" t="str">
        <f>LEFT(base[[#This Row],[Evento / Mercado]],FIND("vs",base[[#This Row],[Evento / Mercado]])-2)</f>
        <v>1. FC Nürnberg</v>
      </c>
      <c r="R9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Karlsruher SC</v>
      </c>
      <c r="S926" s="132" t="e">
        <f>LEFT(base[[#This Row],[Evento / Mercado]],FIND("/",base[[#This Row],[Evento / Mercado]])-2)</f>
        <v>#VALUE!</v>
      </c>
      <c r="U926" s="9"/>
    </row>
    <row r="927" spans="2:21" ht="15" customHeight="1">
      <c r="B927" s="128" t="s">
        <v>874</v>
      </c>
      <c r="C927" s="128" t="s">
        <v>2982</v>
      </c>
      <c r="D927" s="129">
        <v>46066.699108796296</v>
      </c>
      <c r="E927" s="130">
        <v>-80</v>
      </c>
      <c r="F927" s="131">
        <v>4.4999999999999998E-2</v>
      </c>
      <c r="G927" s="126">
        <f t="shared" si="15"/>
        <v>-80</v>
      </c>
      <c r="H927" s="126" t="s">
        <v>231</v>
      </c>
      <c r="I927" s="127" t="s">
        <v>233</v>
      </c>
      <c r="J927" s="126">
        <v>1.88</v>
      </c>
      <c r="K927" s="126">
        <v>80</v>
      </c>
      <c r="L927" s="129">
        <f>INT(base[[#This Row],[Data de liquidação]])</f>
        <v>46066</v>
      </c>
      <c r="M927" s="126">
        <f>base[[#This Row],[L/P Bruto]]-base[[#This Row],[L/P Líquido]]</f>
        <v>0</v>
      </c>
      <c r="N927" s="126">
        <f>base[[#This Row],[L/P Líquido]]/base[[#This Row],[Stake/Responsabilidade]]</f>
        <v>-1</v>
      </c>
      <c r="O927" s="132">
        <f>IF(base[[#This Row],[L/P Líquido]]&gt;0,1,0)</f>
        <v>0</v>
      </c>
      <c r="P927" s="132"/>
      <c r="Q927" s="132" t="str">
        <f>LEFT(base[[#This Row],[Evento / Mercado]],FIND("vs",base[[#This Row],[Evento / Mercado]])-2)</f>
        <v>ADO Den Haag</v>
      </c>
      <c r="R9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MVV Maastricht</v>
      </c>
      <c r="S927" s="132" t="e">
        <f>LEFT(base[[#This Row],[Evento / Mercado]],FIND("/",base[[#This Row],[Evento / Mercado]])-2)</f>
        <v>#VALUE!</v>
      </c>
      <c r="U927" s="9"/>
    </row>
    <row r="928" spans="2:21" ht="15" customHeight="1">
      <c r="B928" s="128" t="s">
        <v>873</v>
      </c>
      <c r="C928" s="128" t="s">
        <v>2982</v>
      </c>
      <c r="D928" s="129">
        <v>46066.704398148147</v>
      </c>
      <c r="E928" s="130">
        <v>18.95675</v>
      </c>
      <c r="F928" s="131">
        <v>4.4999999999999998E-2</v>
      </c>
      <c r="G928" s="126">
        <f t="shared" si="15"/>
        <v>19.850000000000001</v>
      </c>
      <c r="H928" s="126" t="s">
        <v>73</v>
      </c>
      <c r="I928" s="127" t="s">
        <v>16</v>
      </c>
      <c r="J928" s="126">
        <v>8</v>
      </c>
      <c r="K928" s="126">
        <v>138.97999999999999</v>
      </c>
      <c r="L928" s="129">
        <f>INT(base[[#This Row],[Data de liquidação]])</f>
        <v>46066</v>
      </c>
      <c r="M928" s="126">
        <f>base[[#This Row],[L/P Bruto]]-base[[#This Row],[L/P Líquido]]</f>
        <v>0.89325000000000188</v>
      </c>
      <c r="N928" s="126">
        <f>base[[#This Row],[L/P Líquido]]/base[[#This Row],[Stake/Responsabilidade]]</f>
        <v>0.13639912217585265</v>
      </c>
      <c r="O928" s="132">
        <f>IF(base[[#This Row],[L/P Líquido]]&gt;0,1,0)</f>
        <v>1</v>
      </c>
      <c r="P928" s="132"/>
      <c r="Q928" s="132" t="str">
        <f>LEFT(base[[#This Row],[Evento / Mercado]],FIND("vs",base[[#This Row],[Evento / Mercado]])-2)</f>
        <v>Randers FC</v>
      </c>
      <c r="R9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Vejle BK</v>
      </c>
      <c r="S928" s="132" t="e">
        <f>LEFT(base[[#This Row],[Evento / Mercado]],FIND("/",base[[#This Row],[Evento / Mercado]])-2)</f>
        <v>#VALUE!</v>
      </c>
      <c r="T928" s="8">
        <v>19.850000000000001</v>
      </c>
      <c r="U928" s="9">
        <f>T928*0.955</f>
        <v>18.95675</v>
      </c>
    </row>
    <row r="929" spans="2:21" ht="15" customHeight="1">
      <c r="B929" s="128" t="s">
        <v>873</v>
      </c>
      <c r="C929" s="128" t="s">
        <v>2982</v>
      </c>
      <c r="D929" s="129">
        <v>46066.704398148147</v>
      </c>
      <c r="E929" s="130">
        <v>8.6236499999999996</v>
      </c>
      <c r="F929" s="131">
        <v>4.4999999999999998E-2</v>
      </c>
      <c r="G929" s="126">
        <f t="shared" si="15"/>
        <v>9.0299999999999994</v>
      </c>
      <c r="H929" s="126" t="s">
        <v>73</v>
      </c>
      <c r="I929" s="127" t="s">
        <v>13</v>
      </c>
      <c r="J929" s="126">
        <v>16.5</v>
      </c>
      <c r="K929" s="126">
        <v>139.97</v>
      </c>
      <c r="L929" s="129">
        <f>INT(base[[#This Row],[Data de liquidação]])</f>
        <v>46066</v>
      </c>
      <c r="M929" s="126">
        <f>base[[#This Row],[L/P Bruto]]-base[[#This Row],[L/P Líquido]]</f>
        <v>0.40634999999999977</v>
      </c>
      <c r="N929" s="126">
        <f>base[[#This Row],[L/P Líquido]]/base[[#This Row],[Stake/Responsabilidade]]</f>
        <v>6.1610702293348571E-2</v>
      </c>
      <c r="O929" s="132">
        <f>IF(base[[#This Row],[L/P Líquido]]&gt;0,1,0)</f>
        <v>1</v>
      </c>
      <c r="P929" s="132"/>
      <c r="Q929" s="132" t="str">
        <f>LEFT(base[[#This Row],[Evento / Mercado]],FIND("vs",base[[#This Row],[Evento / Mercado]])-2)</f>
        <v>Randers FC</v>
      </c>
      <c r="R9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Vejle BK</v>
      </c>
      <c r="S929" s="132" t="e">
        <f>LEFT(base[[#This Row],[Evento / Mercado]],FIND("/",base[[#This Row],[Evento / Mercado]])-2)</f>
        <v>#VALUE!</v>
      </c>
      <c r="T929" s="8">
        <v>9.0299999999999994</v>
      </c>
      <c r="U929" s="9">
        <f>T929*0.955</f>
        <v>8.6236499999999996</v>
      </c>
    </row>
    <row r="930" spans="2:21" ht="15" customHeight="1">
      <c r="B930" s="128" t="s">
        <v>872</v>
      </c>
      <c r="C930" s="128" t="s">
        <v>2982</v>
      </c>
      <c r="D930" s="129">
        <v>46066.74690972222</v>
      </c>
      <c r="E930" s="130">
        <v>10.26</v>
      </c>
      <c r="F930" s="131">
        <v>4.4999999999999998E-2</v>
      </c>
      <c r="G930" s="126">
        <f t="shared" si="15"/>
        <v>10.743455497382199</v>
      </c>
      <c r="H930" s="126" t="s">
        <v>73</v>
      </c>
      <c r="I930" s="127" t="s">
        <v>16</v>
      </c>
      <c r="J930" s="126">
        <v>14</v>
      </c>
      <c r="K930" s="126">
        <v>139.66</v>
      </c>
      <c r="L930" s="129">
        <f>INT(base[[#This Row],[Data de liquidação]])</f>
        <v>46066</v>
      </c>
      <c r="M930" s="126">
        <f>base[[#This Row],[L/P Bruto]]-base[[#This Row],[L/P Líquido]]</f>
        <v>0.48345549738219873</v>
      </c>
      <c r="N930" s="126">
        <f>base[[#This Row],[L/P Líquido]]/base[[#This Row],[Stake/Responsabilidade]]</f>
        <v>7.3464127165974516E-2</v>
      </c>
      <c r="O930" s="132">
        <f>IF(base[[#This Row],[L/P Líquido]]&gt;0,1,0)</f>
        <v>1</v>
      </c>
      <c r="P930" s="132"/>
      <c r="Q930" s="132" t="str">
        <f>LEFT(base[[#This Row],[Evento / Mercado]],FIND("vs",base[[#This Row],[Evento / Mercado]])-2)</f>
        <v>Almere City</v>
      </c>
      <c r="R9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Helmond Sport</v>
      </c>
      <c r="S930" s="132" t="e">
        <f>LEFT(base[[#This Row],[Evento / Mercado]],FIND("/",base[[#This Row],[Evento / Mercado]])-2)</f>
        <v>#VALUE!</v>
      </c>
      <c r="U930" s="9"/>
    </row>
    <row r="931" spans="2:21" ht="15" customHeight="1">
      <c r="B931" s="128" t="s">
        <v>871</v>
      </c>
      <c r="C931" s="128" t="s">
        <v>2982</v>
      </c>
      <c r="D931" s="129">
        <v>46066.766759259262</v>
      </c>
      <c r="E931" s="130">
        <v>14.076699999999999</v>
      </c>
      <c r="F931" s="131">
        <v>4.4999999999999998E-2</v>
      </c>
      <c r="G931" s="126">
        <f t="shared" si="15"/>
        <v>14.74</v>
      </c>
      <c r="H931" s="126" t="s">
        <v>73</v>
      </c>
      <c r="I931" s="127" t="s">
        <v>16</v>
      </c>
      <c r="J931" s="126">
        <v>10.5</v>
      </c>
      <c r="K931" s="126">
        <v>140.03</v>
      </c>
      <c r="L931" s="129">
        <f>INT(base[[#This Row],[Data de liquidação]])</f>
        <v>46066</v>
      </c>
      <c r="M931" s="126">
        <f>base[[#This Row],[L/P Bruto]]-base[[#This Row],[L/P Líquido]]</f>
        <v>0.66330000000000133</v>
      </c>
      <c r="N931" s="126">
        <f>base[[#This Row],[L/P Líquido]]/base[[#This Row],[Stake/Responsabilidade]]</f>
        <v>0.10052631578947367</v>
      </c>
      <c r="O931" s="132">
        <f>IF(base[[#This Row],[L/P Líquido]]&gt;0,1,0)</f>
        <v>1</v>
      </c>
      <c r="P931" s="132"/>
      <c r="Q931" s="132" t="str">
        <f>LEFT(base[[#This Row],[Evento / Mercado]],FIND("vs",base[[#This Row],[Evento / Mercado]])-2)</f>
        <v>Borussia Dortmund</v>
      </c>
      <c r="R9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931" s="132" t="e">
        <f>LEFT(base[[#This Row],[Evento / Mercado]],FIND("/",base[[#This Row],[Evento / Mercado]])-2)</f>
        <v>#VALUE!</v>
      </c>
      <c r="T931" s="8">
        <v>14.74</v>
      </c>
      <c r="U931" s="9">
        <f>T931*0.955</f>
        <v>14.076699999999999</v>
      </c>
    </row>
    <row r="932" spans="2:21" ht="15" customHeight="1">
      <c r="B932" s="128" t="s">
        <v>871</v>
      </c>
      <c r="C932" s="128" t="s">
        <v>2982</v>
      </c>
      <c r="D932" s="129">
        <v>46066.766759259262</v>
      </c>
      <c r="E932" s="130">
        <v>10.380849999999999</v>
      </c>
      <c r="F932" s="131">
        <v>4.4999999999999998E-2</v>
      </c>
      <c r="G932" s="126">
        <f t="shared" si="15"/>
        <v>10.87</v>
      </c>
      <c r="H932" s="126" t="s">
        <v>122</v>
      </c>
      <c r="I932" s="127" t="s">
        <v>476</v>
      </c>
      <c r="J932" s="126">
        <v>24</v>
      </c>
      <c r="K932" s="126">
        <v>10.87</v>
      </c>
      <c r="L932" s="129">
        <f>INT(base[[#This Row],[Data de liquidação]])</f>
        <v>46066</v>
      </c>
      <c r="M932" s="126">
        <f>base[[#This Row],[L/P Bruto]]-base[[#This Row],[L/P Líquido]]</f>
        <v>0.48915000000000042</v>
      </c>
      <c r="N932" s="126">
        <f>base[[#This Row],[L/P Líquido]]/base[[#This Row],[Stake/Responsabilidade]]</f>
        <v>0.95499999999999996</v>
      </c>
      <c r="O932" s="132">
        <f>IF(base[[#This Row],[L/P Líquido]]&gt;0,1,0)</f>
        <v>1</v>
      </c>
      <c r="P932" s="132" t="s">
        <v>962</v>
      </c>
      <c r="Q932" s="132" t="str">
        <f>LEFT(base[[#This Row],[Evento / Mercado]],FIND("vs",base[[#This Row],[Evento / Mercado]])-2)</f>
        <v>Borussia Dortmund</v>
      </c>
      <c r="R9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932" s="132" t="e">
        <f>LEFT(base[[#This Row],[Evento / Mercado]],FIND("/",base[[#This Row],[Evento / Mercado]])-2)</f>
        <v>#VALUE!</v>
      </c>
      <c r="T932" s="8">
        <v>10.87</v>
      </c>
      <c r="U932" s="9">
        <f>T932*0.955</f>
        <v>10.380849999999999</v>
      </c>
    </row>
    <row r="933" spans="2:21" ht="15" customHeight="1">
      <c r="B933" s="128" t="s">
        <v>871</v>
      </c>
      <c r="C933" s="128" t="s">
        <v>2982</v>
      </c>
      <c r="D933" s="129">
        <v>46066.766886574071</v>
      </c>
      <c r="E933" s="130">
        <v>-80</v>
      </c>
      <c r="F933" s="131">
        <v>4.4999999999999998E-2</v>
      </c>
      <c r="G933" s="126">
        <f t="shared" si="15"/>
        <v>-80</v>
      </c>
      <c r="H933" s="126" t="s">
        <v>231</v>
      </c>
      <c r="I933" s="127" t="s">
        <v>266</v>
      </c>
      <c r="J933" s="126">
        <v>1.74</v>
      </c>
      <c r="K933" s="126">
        <v>80</v>
      </c>
      <c r="L933" s="129">
        <f>INT(base[[#This Row],[Data de liquidação]])</f>
        <v>46066</v>
      </c>
      <c r="M933" s="126">
        <f>base[[#This Row],[L/P Bruto]]-base[[#This Row],[L/P Líquido]]</f>
        <v>0</v>
      </c>
      <c r="N933" s="126">
        <f>base[[#This Row],[L/P Líquido]]/base[[#This Row],[Stake/Responsabilidade]]</f>
        <v>-1</v>
      </c>
      <c r="O933" s="132">
        <f>IF(base[[#This Row],[L/P Líquido]]&gt;0,1,0)</f>
        <v>0</v>
      </c>
      <c r="P933" s="132"/>
      <c r="Q933" s="132" t="str">
        <f>LEFT(base[[#This Row],[Evento / Mercado]],FIND("vs",base[[#This Row],[Evento / Mercado]])-2)</f>
        <v>Borussia Dortmund</v>
      </c>
      <c r="R9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933" s="132" t="e">
        <f>LEFT(base[[#This Row],[Evento / Mercado]],FIND("/",base[[#This Row],[Evento / Mercado]])-2)</f>
        <v>#VALUE!</v>
      </c>
      <c r="U933" s="9"/>
    </row>
    <row r="934" spans="2:21" ht="15" customHeight="1">
      <c r="B934" s="128" t="s">
        <v>870</v>
      </c>
      <c r="C934" s="128" t="s">
        <v>2982</v>
      </c>
      <c r="D934" s="129">
        <v>46066.768703703703</v>
      </c>
      <c r="E934" s="130">
        <v>10.380849999999999</v>
      </c>
      <c r="F934" s="131">
        <v>4.4999999999999998E-2</v>
      </c>
      <c r="G934" s="126">
        <f t="shared" si="15"/>
        <v>10.87</v>
      </c>
      <c r="H934" s="126" t="s">
        <v>74</v>
      </c>
      <c r="I934" s="127" t="s">
        <v>476</v>
      </c>
      <c r="J934" s="126">
        <v>24</v>
      </c>
      <c r="K934" s="126">
        <v>250.01</v>
      </c>
      <c r="L934" s="129">
        <f>INT(base[[#This Row],[Data de liquidação]])</f>
        <v>46066</v>
      </c>
      <c r="M934" s="126">
        <f>base[[#This Row],[L/P Bruto]]-base[[#This Row],[L/P Líquido]]</f>
        <v>0.48915000000000042</v>
      </c>
      <c r="N934" s="126">
        <f>base[[#This Row],[L/P Líquido]]/base[[#This Row],[Stake/Responsabilidade]]</f>
        <v>4.1521739130434776E-2</v>
      </c>
      <c r="O934" s="132">
        <f>IF(base[[#This Row],[L/P Líquido]]&gt;0,1,0)</f>
        <v>1</v>
      </c>
      <c r="P934" s="132" t="s">
        <v>977</v>
      </c>
      <c r="Q934" s="132" t="str">
        <f>LEFT(base[[#This Row],[Evento / Mercado]],FIND("vs",base[[#This Row],[Evento / Mercado]])-2)</f>
        <v>UD Almería</v>
      </c>
      <c r="R9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Andorra FC</v>
      </c>
      <c r="S934" s="132" t="e">
        <f>LEFT(base[[#This Row],[Evento / Mercado]],FIND("/",base[[#This Row],[Evento / Mercado]])-2)</f>
        <v>#VALUE!</v>
      </c>
      <c r="T934" s="8">
        <v>10.87</v>
      </c>
      <c r="U934" s="9">
        <f>T934*0.955</f>
        <v>10.380849999999999</v>
      </c>
    </row>
    <row r="935" spans="2:21" ht="15" customHeight="1">
      <c r="B935" s="128" t="s">
        <v>870</v>
      </c>
      <c r="C935" s="128" t="s">
        <v>2982</v>
      </c>
      <c r="D935" s="129">
        <v>46066.768703703703</v>
      </c>
      <c r="E935" s="130">
        <v>13.37</v>
      </c>
      <c r="F935" s="131">
        <v>4.4999999999999998E-2</v>
      </c>
      <c r="G935" s="126">
        <f t="shared" si="15"/>
        <v>14</v>
      </c>
      <c r="H935" s="126" t="s">
        <v>73</v>
      </c>
      <c r="I935" s="127" t="s">
        <v>16</v>
      </c>
      <c r="J935" s="126">
        <v>11</v>
      </c>
      <c r="K935" s="126">
        <v>140</v>
      </c>
      <c r="L935" s="129">
        <f>INT(base[[#This Row],[Data de liquidação]])</f>
        <v>46066</v>
      </c>
      <c r="M935" s="126">
        <f>base[[#This Row],[L/P Bruto]]-base[[#This Row],[L/P Líquido]]</f>
        <v>0.63000000000000078</v>
      </c>
      <c r="N935" s="126">
        <f>base[[#This Row],[L/P Líquido]]/base[[#This Row],[Stake/Responsabilidade]]</f>
        <v>9.5499999999999988E-2</v>
      </c>
      <c r="O935" s="132">
        <f>IF(base[[#This Row],[L/P Líquido]]&gt;0,1,0)</f>
        <v>1</v>
      </c>
      <c r="P935" s="132"/>
      <c r="Q935" s="132" t="str">
        <f>LEFT(base[[#This Row],[Evento / Mercado]],FIND("vs",base[[#This Row],[Evento / Mercado]])-2)</f>
        <v>UD Almería</v>
      </c>
      <c r="R9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Andorra FC</v>
      </c>
      <c r="S935" s="132" t="e">
        <f>LEFT(base[[#This Row],[Evento / Mercado]],FIND("/",base[[#This Row],[Evento / Mercado]])-2)</f>
        <v>#VALUE!</v>
      </c>
      <c r="T935" s="8">
        <v>14</v>
      </c>
      <c r="U935" s="9">
        <f>T935*0.955</f>
        <v>13.37</v>
      </c>
    </row>
    <row r="936" spans="2:21" ht="15" customHeight="1">
      <c r="B936" s="128" t="s">
        <v>869</v>
      </c>
      <c r="C936" s="128" t="s">
        <v>2982</v>
      </c>
      <c r="D936" s="129">
        <v>46066.775347222225</v>
      </c>
      <c r="E936" s="130">
        <v>15.19</v>
      </c>
      <c r="F936" s="131">
        <v>4.4999999999999998E-2</v>
      </c>
      <c r="G936" s="126">
        <f t="shared" si="15"/>
        <v>15.905759162303665</v>
      </c>
      <c r="H936" s="126" t="s">
        <v>73</v>
      </c>
      <c r="I936" s="127" t="s">
        <v>13</v>
      </c>
      <c r="J936" s="126">
        <v>9.8000000000000007</v>
      </c>
      <c r="K936" s="126">
        <v>140.01</v>
      </c>
      <c r="L936" s="129">
        <f>INT(base[[#This Row],[Data de liquidação]])</f>
        <v>46066</v>
      </c>
      <c r="M936" s="126">
        <f>base[[#This Row],[L/P Bruto]]-base[[#This Row],[L/P Líquido]]</f>
        <v>0.71575916230366587</v>
      </c>
      <c r="N936" s="126">
        <f>base[[#This Row],[L/P Líquido]]/base[[#This Row],[Stake/Responsabilidade]]</f>
        <v>0.1084922505535319</v>
      </c>
      <c r="O936" s="132">
        <f>IF(base[[#This Row],[L/P Líquido]]&gt;0,1,0)</f>
        <v>1</v>
      </c>
      <c r="P936" s="132"/>
      <c r="Q936" s="132" t="str">
        <f>LEFT(base[[#This Row],[Evento / Mercado]],FIND("vs",base[[#This Row],[Evento / Mercado]])-2)</f>
        <v>Colwyn Bay</v>
      </c>
      <c r="R9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The New Saints</v>
      </c>
      <c r="S936" s="132" t="e">
        <f>LEFT(base[[#This Row],[Evento / Mercado]],FIND("/",base[[#This Row],[Evento / Mercado]])-2)</f>
        <v>#VALUE!</v>
      </c>
      <c r="U936" s="9"/>
    </row>
    <row r="937" spans="2:21" ht="15" customHeight="1">
      <c r="B937" s="128" t="s">
        <v>868</v>
      </c>
      <c r="C937" s="128" t="s">
        <v>2982</v>
      </c>
      <c r="D937" s="129">
        <v>46066.782037037039</v>
      </c>
      <c r="E937" s="130">
        <v>7.87</v>
      </c>
      <c r="F937" s="131">
        <v>4.4999999999999998E-2</v>
      </c>
      <c r="G937" s="126">
        <f t="shared" si="15"/>
        <v>8.2408376963350793</v>
      </c>
      <c r="H937" s="126" t="s">
        <v>73</v>
      </c>
      <c r="I937" s="127" t="s">
        <v>13</v>
      </c>
      <c r="J937" s="126">
        <v>18</v>
      </c>
      <c r="K937" s="126">
        <v>140.08000000000001</v>
      </c>
      <c r="L937" s="129">
        <f>INT(base[[#This Row],[Data de liquidação]])</f>
        <v>46066</v>
      </c>
      <c r="M937" s="126">
        <f>base[[#This Row],[L/P Bruto]]-base[[#This Row],[L/P Líquido]]</f>
        <v>0.37083769633507924</v>
      </c>
      <c r="N937" s="126">
        <f>base[[#This Row],[L/P Líquido]]/base[[#This Row],[Stake/Responsabilidade]]</f>
        <v>5.6182181610508274E-2</v>
      </c>
      <c r="O937" s="132">
        <f>IF(base[[#This Row],[L/P Líquido]]&gt;0,1,0)</f>
        <v>1</v>
      </c>
      <c r="P937" s="132"/>
      <c r="Q937" s="132" t="str">
        <f>LEFT(base[[#This Row],[Evento / Mercado]],FIND("vs",base[[#This Row],[Evento / Mercado]])-2)</f>
        <v>Derry City</v>
      </c>
      <c r="R9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937" s="132" t="e">
        <f>LEFT(base[[#This Row],[Evento / Mercado]],FIND("/",base[[#This Row],[Evento / Mercado]])-2)</f>
        <v>#VALUE!</v>
      </c>
      <c r="U937" s="9"/>
    </row>
    <row r="938" spans="2:21" ht="15" customHeight="1">
      <c r="B938" s="128" t="s">
        <v>867</v>
      </c>
      <c r="C938" s="128" t="s">
        <v>2982</v>
      </c>
      <c r="D938" s="129">
        <v>46066.786979166667</v>
      </c>
      <c r="E938" s="130">
        <v>-80</v>
      </c>
      <c r="F938" s="131">
        <v>4.4999999999999998E-2</v>
      </c>
      <c r="G938" s="126">
        <f t="shared" si="15"/>
        <v>-80</v>
      </c>
      <c r="H938" s="126" t="s">
        <v>231</v>
      </c>
      <c r="I938" s="127" t="s">
        <v>266</v>
      </c>
      <c r="J938" s="126">
        <f>+(1.88*67.61+1.89*12.39)/base[[#This Row],[Stake/Responsabilidade]]</f>
        <v>1.8815487499999999</v>
      </c>
      <c r="K938" s="126">
        <f>67.61+12.39</f>
        <v>80</v>
      </c>
      <c r="L938" s="129">
        <f>INT(base[[#This Row],[Data de liquidação]])</f>
        <v>46066</v>
      </c>
      <c r="M938" s="126">
        <f>base[[#This Row],[L/P Bruto]]-base[[#This Row],[L/P Líquido]]</f>
        <v>0</v>
      </c>
      <c r="N938" s="126">
        <f>base[[#This Row],[L/P Líquido]]/base[[#This Row],[Stake/Responsabilidade]]</f>
        <v>-1</v>
      </c>
      <c r="O938" s="132">
        <f>IF(base[[#This Row],[L/P Líquido]]&gt;0,1,0)</f>
        <v>0</v>
      </c>
      <c r="P938" s="132"/>
      <c r="Q938" s="132" t="str">
        <f>LEFT(base[[#This Row],[Evento / Mercado]],FIND("vs",base[[#This Row],[Evento / Mercado]])-2)</f>
        <v>Elche CF</v>
      </c>
      <c r="R9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938" s="132" t="e">
        <f>LEFT(base[[#This Row],[Evento / Mercado]],FIND("/",base[[#This Row],[Evento / Mercado]])-2)</f>
        <v>#VALUE!</v>
      </c>
      <c r="U938" s="9"/>
    </row>
    <row r="939" spans="2:21" ht="15" customHeight="1">
      <c r="B939" s="128" t="s">
        <v>866</v>
      </c>
      <c r="C939" s="128" t="s">
        <v>2982</v>
      </c>
      <c r="D939" s="129">
        <v>46066.793530092589</v>
      </c>
      <c r="E939" s="130">
        <v>12.16</v>
      </c>
      <c r="F939" s="131">
        <v>4.4999999999999998E-2</v>
      </c>
      <c r="G939" s="126">
        <f t="shared" si="15"/>
        <v>12.732984293193718</v>
      </c>
      <c r="H939" s="126" t="s">
        <v>73</v>
      </c>
      <c r="I939" s="127" t="s">
        <v>16</v>
      </c>
      <c r="J939" s="126">
        <v>12</v>
      </c>
      <c r="K939" s="126">
        <v>140.03</v>
      </c>
      <c r="L939" s="129">
        <f>INT(base[[#This Row],[Data de liquidação]])</f>
        <v>46066</v>
      </c>
      <c r="M939" s="126">
        <f>base[[#This Row],[L/P Bruto]]-base[[#This Row],[L/P Líquido]]</f>
        <v>0.57298429319371813</v>
      </c>
      <c r="N939" s="126">
        <f>base[[#This Row],[L/P Líquido]]/base[[#This Row],[Stake/Responsabilidade]]</f>
        <v>8.6838534599728637E-2</v>
      </c>
      <c r="O939" s="132">
        <f>IF(base[[#This Row],[L/P Líquido]]&gt;0,1,0)</f>
        <v>1</v>
      </c>
      <c r="P939" s="132"/>
      <c r="Q939" s="132" t="str">
        <f>LEFT(base[[#This Row],[Evento / Mercado]],FIND("vs",base[[#This Row],[Evento / Mercado]])-2)</f>
        <v>AS Monaco</v>
      </c>
      <c r="R9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939" s="132" t="e">
        <f>LEFT(base[[#This Row],[Evento / Mercado]],FIND("/",base[[#This Row],[Evento / Mercado]])-2)</f>
        <v>#VALUE!</v>
      </c>
      <c r="U939" s="9"/>
    </row>
    <row r="940" spans="2:21" ht="15" customHeight="1">
      <c r="B940" s="128" t="s">
        <v>865</v>
      </c>
      <c r="C940" s="128" t="s">
        <v>2982</v>
      </c>
      <c r="D940" s="129">
        <v>46067.42696759259</v>
      </c>
      <c r="E940" s="130">
        <v>66.47</v>
      </c>
      <c r="F940" s="131">
        <v>4.4999999999999998E-2</v>
      </c>
      <c r="G940" s="126">
        <f t="shared" si="15"/>
        <v>69.602094240837701</v>
      </c>
      <c r="H940" s="126" t="s">
        <v>231</v>
      </c>
      <c r="I940" s="127" t="s">
        <v>232</v>
      </c>
      <c r="J940" s="126">
        <v>1.87</v>
      </c>
      <c r="K940" s="126">
        <v>80</v>
      </c>
      <c r="L940" s="129">
        <f>INT(base[[#This Row],[Data de liquidação]])</f>
        <v>46067</v>
      </c>
      <c r="M940" s="126">
        <f>base[[#This Row],[L/P Bruto]]-base[[#This Row],[L/P Líquido]]</f>
        <v>3.1320942408377022</v>
      </c>
      <c r="N940" s="126">
        <f>base[[#This Row],[L/P Líquido]]/base[[#This Row],[Stake/Responsabilidade]]</f>
        <v>0.83087500000000003</v>
      </c>
      <c r="O940" s="132">
        <f>IF(base[[#This Row],[L/P Líquido]]&gt;0,1,0)</f>
        <v>1</v>
      </c>
      <c r="P940" s="132"/>
      <c r="Q940" s="132" t="str">
        <f>LEFT(base[[#This Row],[Evento / Mercado]],FIND("vs",base[[#This Row],[Evento / Mercado]])-2)</f>
        <v>Eintracht Braunschweig</v>
      </c>
      <c r="R9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940" s="132" t="e">
        <f>LEFT(base[[#This Row],[Evento / Mercado]],FIND("/",base[[#This Row],[Evento / Mercado]])-2)</f>
        <v>#VALUE!</v>
      </c>
      <c r="U940" s="9"/>
    </row>
    <row r="941" spans="2:21" ht="15" customHeight="1">
      <c r="B941" s="128" t="s">
        <v>864</v>
      </c>
      <c r="C941" s="128" t="s">
        <v>2982</v>
      </c>
      <c r="D941" s="129">
        <v>46067.455370370371</v>
      </c>
      <c r="E941" s="130">
        <v>10.38</v>
      </c>
      <c r="F941" s="131">
        <v>4.4999999999999998E-2</v>
      </c>
      <c r="G941" s="126">
        <f t="shared" si="15"/>
        <v>10.869109947643981</v>
      </c>
      <c r="H941" s="126" t="s">
        <v>74</v>
      </c>
      <c r="I941" s="127" t="s">
        <v>476</v>
      </c>
      <c r="J941" s="126">
        <v>24</v>
      </c>
      <c r="K941" s="126">
        <v>250.01</v>
      </c>
      <c r="L941" s="129">
        <f>INT(base[[#This Row],[Data de liquidação]])</f>
        <v>46067</v>
      </c>
      <c r="M941" s="126">
        <f>base[[#This Row],[L/P Bruto]]-base[[#This Row],[L/P Líquido]]</f>
        <v>0.48910994764398019</v>
      </c>
      <c r="N941" s="126">
        <f>base[[#This Row],[L/P Líquido]]/base[[#This Row],[Stake/Responsabilidade]]</f>
        <v>4.1518339266429345E-2</v>
      </c>
      <c r="O941" s="132">
        <f>IF(base[[#This Row],[L/P Líquido]]&gt;0,1,0)</f>
        <v>1</v>
      </c>
      <c r="P941" s="132" t="s">
        <v>974</v>
      </c>
      <c r="Q941" s="132" t="str">
        <f>LEFT(base[[#This Row],[Evento / Mercado]],FIND("vs",base[[#This Row],[Evento / Mercado]])-2)</f>
        <v>1. FC Kaiserslautern</v>
      </c>
      <c r="R9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SpVgg Greuther Fürth</v>
      </c>
      <c r="S941" s="132" t="e">
        <f>LEFT(base[[#This Row],[Evento / Mercado]],FIND("/",base[[#This Row],[Evento / Mercado]])-2)</f>
        <v>#VALUE!</v>
      </c>
      <c r="U941" s="9"/>
    </row>
    <row r="942" spans="2:21" ht="15" customHeight="1">
      <c r="B942" s="128" t="s">
        <v>863</v>
      </c>
      <c r="C942" s="128" t="s">
        <v>2982</v>
      </c>
      <c r="D942" s="129">
        <v>46067.462106481478</v>
      </c>
      <c r="E942" s="130">
        <v>60.36</v>
      </c>
      <c r="F942" s="131">
        <v>4.4999999999999998E-2</v>
      </c>
      <c r="G942" s="126">
        <f t="shared" si="15"/>
        <v>63.204188481675395</v>
      </c>
      <c r="H942" s="126" t="s">
        <v>231</v>
      </c>
      <c r="I942" s="127" t="s">
        <v>266</v>
      </c>
      <c r="J942" s="126">
        <v>1.79</v>
      </c>
      <c r="K942" s="126">
        <v>80</v>
      </c>
      <c r="L942" s="129">
        <f>INT(base[[#This Row],[Data de liquidação]])</f>
        <v>46067</v>
      </c>
      <c r="M942" s="126">
        <f>base[[#This Row],[L/P Bruto]]-base[[#This Row],[L/P Líquido]]</f>
        <v>2.8441884816753955</v>
      </c>
      <c r="N942" s="126">
        <f>base[[#This Row],[L/P Líquido]]/base[[#This Row],[Stake/Responsabilidade]]</f>
        <v>0.75449999999999995</v>
      </c>
      <c r="O942" s="132">
        <f>IF(base[[#This Row],[L/P Líquido]]&gt;0,1,0)</f>
        <v>1</v>
      </c>
      <c r="P942" s="132"/>
      <c r="Q942" s="132" t="str">
        <f>LEFT(base[[#This Row],[Evento / Mercado]],FIND("vs",base[[#This Row],[Evento / Mercado]])-2)</f>
        <v>SV Wehen Wiesbaden</v>
      </c>
      <c r="R9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MSV Duisburg</v>
      </c>
      <c r="S942" s="132" t="e">
        <f>LEFT(base[[#This Row],[Evento / Mercado]],FIND("/",base[[#This Row],[Evento / Mercado]])-2)</f>
        <v>#VALUE!</v>
      </c>
      <c r="U942" s="9"/>
    </row>
    <row r="943" spans="2:21" ht="15" customHeight="1">
      <c r="B943" s="128" t="s">
        <v>862</v>
      </c>
      <c r="C943" s="128" t="s">
        <v>2982</v>
      </c>
      <c r="D943" s="129">
        <v>46067.470706018517</v>
      </c>
      <c r="E943" s="130">
        <v>56.97</v>
      </c>
      <c r="F943" s="131">
        <v>4.4999999999999998E-2</v>
      </c>
      <c r="G943" s="126">
        <f t="shared" si="15"/>
        <v>59.654450261780106</v>
      </c>
      <c r="H943" s="126" t="s">
        <v>231</v>
      </c>
      <c r="I943" s="127" t="s">
        <v>232</v>
      </c>
      <c r="J943" s="126">
        <f>(1.74*34.58+1.75*45.42)/base[[#This Row],[Stake/Responsabilidade]]</f>
        <v>1.7456775</v>
      </c>
      <c r="K943" s="126">
        <f>34.58+45.42</f>
        <v>80</v>
      </c>
      <c r="L943" s="129">
        <f>INT(base[[#This Row],[Data de liquidação]])</f>
        <v>46067</v>
      </c>
      <c r="M943" s="126">
        <f>base[[#This Row],[L/P Bruto]]-base[[#This Row],[L/P Líquido]]</f>
        <v>2.6844502617801069</v>
      </c>
      <c r="N943" s="126">
        <f>base[[#This Row],[L/P Líquido]]/base[[#This Row],[Stake/Responsabilidade]]</f>
        <v>0.71212500000000001</v>
      </c>
      <c r="O943" s="132">
        <f>IF(base[[#This Row],[L/P Líquido]]&gt;0,1,0)</f>
        <v>1</v>
      </c>
      <c r="P943" s="132"/>
      <c r="Q943" s="132" t="str">
        <f>LEFT(base[[#This Row],[Evento / Mercado]],FIND("vs",base[[#This Row],[Evento / Mercado]])-2)</f>
        <v>TSV Havelse</v>
      </c>
      <c r="R9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1860 München</v>
      </c>
      <c r="S943" s="132" t="e">
        <f>LEFT(base[[#This Row],[Evento / Mercado]],FIND("/",base[[#This Row],[Evento / Mercado]])-2)</f>
        <v>#VALUE!</v>
      </c>
      <c r="U943" s="9"/>
    </row>
    <row r="944" spans="2:21" ht="15" customHeight="1">
      <c r="B944" s="128" t="s">
        <v>861</v>
      </c>
      <c r="C944" s="128" t="s">
        <v>2982</v>
      </c>
      <c r="D944" s="129">
        <v>46067.525543981479</v>
      </c>
      <c r="E944" s="130">
        <v>-80</v>
      </c>
      <c r="F944" s="131">
        <v>4.4999999999999998E-2</v>
      </c>
      <c r="G944" s="126">
        <f t="shared" si="15"/>
        <v>-80</v>
      </c>
      <c r="H944" s="126" t="s">
        <v>231</v>
      </c>
      <c r="I944" s="127" t="s">
        <v>266</v>
      </c>
      <c r="J944" s="126">
        <v>1.84</v>
      </c>
      <c r="K944" s="126">
        <v>80</v>
      </c>
      <c r="L944" s="129">
        <f>INT(base[[#This Row],[Data de liquidação]])</f>
        <v>46067</v>
      </c>
      <c r="M944" s="126">
        <f>base[[#This Row],[L/P Bruto]]-base[[#This Row],[L/P Líquido]]</f>
        <v>0</v>
      </c>
      <c r="N944" s="126">
        <f>base[[#This Row],[L/P Líquido]]/base[[#This Row],[Stake/Responsabilidade]]</f>
        <v>-1</v>
      </c>
      <c r="O944" s="132">
        <f>IF(base[[#This Row],[L/P Líquido]]&gt;0,1,0)</f>
        <v>0</v>
      </c>
      <c r="P944" s="132"/>
      <c r="Q944" s="132" t="str">
        <f>LEFT(base[[#This Row],[Evento / Mercado]],FIND("vs",base[[#This Row],[Evento / Mercado]])-2)</f>
        <v>Cracovia Kraków</v>
      </c>
      <c r="R9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Jagiellonia Bialystok</v>
      </c>
      <c r="S944" s="132" t="e">
        <f>LEFT(base[[#This Row],[Evento / Mercado]],FIND("/",base[[#This Row],[Evento / Mercado]])-2)</f>
        <v>#VALUE!</v>
      </c>
      <c r="U944" s="9"/>
    </row>
    <row r="945" spans="2:21" ht="15" customHeight="1">
      <c r="B945" s="128" t="s">
        <v>860</v>
      </c>
      <c r="C945" s="128" t="s">
        <v>2982</v>
      </c>
      <c r="D945" s="129">
        <v>46067.556643518517</v>
      </c>
      <c r="E945" s="130">
        <v>10.38</v>
      </c>
      <c r="F945" s="131">
        <v>4.4999999999999998E-2</v>
      </c>
      <c r="G945" s="126">
        <f t="shared" si="15"/>
        <v>10.869109947643981</v>
      </c>
      <c r="H945" s="126" t="s">
        <v>122</v>
      </c>
      <c r="I945" s="127" t="s">
        <v>476</v>
      </c>
      <c r="J945" s="126">
        <v>24</v>
      </c>
      <c r="K945" s="126">
        <v>250.01</v>
      </c>
      <c r="L945" s="129">
        <f>INT(base[[#This Row],[Data de liquidação]])</f>
        <v>46067</v>
      </c>
      <c r="M945" s="126">
        <f>base[[#This Row],[L/P Bruto]]-base[[#This Row],[L/P Líquido]]</f>
        <v>0.48910994764398019</v>
      </c>
      <c r="N945" s="126">
        <f>base[[#This Row],[L/P Líquido]]/base[[#This Row],[Stake/Responsabilidade]]</f>
        <v>4.1518339266429345E-2</v>
      </c>
      <c r="O945" s="132">
        <f>IF(base[[#This Row],[L/P Líquido]]&gt;0,1,0)</f>
        <v>1</v>
      </c>
      <c r="P945" s="132" t="s">
        <v>962</v>
      </c>
      <c r="Q945" s="132" t="str">
        <f>LEFT(base[[#This Row],[Evento / Mercado]],FIND("vs",base[[#This Row],[Evento / Mercado]])-2)</f>
        <v>Bayer 04 Leverkusen</v>
      </c>
      <c r="R9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Pauli</v>
      </c>
      <c r="S945" s="132" t="e">
        <f>LEFT(base[[#This Row],[Evento / Mercado]],FIND("/",base[[#This Row],[Evento / Mercado]])-2)</f>
        <v>#VALUE!</v>
      </c>
      <c r="U945" s="9"/>
    </row>
    <row r="946" spans="2:21" ht="15" customHeight="1">
      <c r="B946" s="128" t="s">
        <v>860</v>
      </c>
      <c r="C946" s="128" t="s">
        <v>2982</v>
      </c>
      <c r="D946" s="129">
        <v>46067.557025462964</v>
      </c>
      <c r="E946" s="130">
        <v>37.299999999999997</v>
      </c>
      <c r="F946" s="131">
        <v>4.4999999999999998E-2</v>
      </c>
      <c r="G946" s="126">
        <f t="shared" si="15"/>
        <v>39.05759162303665</v>
      </c>
      <c r="H946" s="126" t="s">
        <v>145</v>
      </c>
      <c r="I946" s="127" t="s">
        <v>301</v>
      </c>
      <c r="J946" s="127">
        <v>7.4</v>
      </c>
      <c r="K946" s="126">
        <v>249.98</v>
      </c>
      <c r="L946" s="129">
        <f>INT(base[[#This Row],[Data de liquidação]])</f>
        <v>46067</v>
      </c>
      <c r="M946" s="126">
        <f>base[[#This Row],[L/P Bruto]]-base[[#This Row],[L/P Líquido]]</f>
        <v>1.7575916230366531</v>
      </c>
      <c r="N946" s="126">
        <f>base[[#This Row],[L/P Líquido]]/base[[#This Row],[Stake/Responsabilidade]]</f>
        <v>0.14921193695495638</v>
      </c>
      <c r="O946" s="132">
        <f>IF(base[[#This Row],[L/P Líquido]]&gt;0,1,0)</f>
        <v>1</v>
      </c>
      <c r="P946" s="132" t="s">
        <v>962</v>
      </c>
      <c r="Q946" s="132" t="str">
        <f>LEFT(base[[#This Row],[Evento / Mercado]],FIND("vs",base[[#This Row],[Evento / Mercado]])-2)</f>
        <v>Bayer 04 Leverkusen</v>
      </c>
      <c r="R9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Pauli</v>
      </c>
      <c r="S946" s="132" t="e">
        <f>LEFT(base[[#This Row],[Evento / Mercado]],FIND("/",base[[#This Row],[Evento / Mercado]])-2)</f>
        <v>#VALUE!</v>
      </c>
      <c r="U946" s="9"/>
    </row>
    <row r="947" spans="2:21" ht="15" customHeight="1">
      <c r="B947" s="128" t="s">
        <v>859</v>
      </c>
      <c r="C947" s="128" t="s">
        <v>2982</v>
      </c>
      <c r="D947" s="129">
        <v>46067.55982638889</v>
      </c>
      <c r="E947" s="130">
        <v>60.36</v>
      </c>
      <c r="F947" s="131">
        <v>4.4999999999999998E-2</v>
      </c>
      <c r="G947" s="126">
        <f t="shared" si="15"/>
        <v>63.204188481675395</v>
      </c>
      <c r="H947" s="126" t="s">
        <v>231</v>
      </c>
      <c r="I947" s="127" t="s">
        <v>232</v>
      </c>
      <c r="J947" s="126">
        <v>1.79</v>
      </c>
      <c r="K947" s="126">
        <v>80</v>
      </c>
      <c r="L947" s="129">
        <f>INT(base[[#This Row],[Data de liquidação]])</f>
        <v>46067</v>
      </c>
      <c r="M947" s="126">
        <f>base[[#This Row],[L/P Bruto]]-base[[#This Row],[L/P Líquido]]</f>
        <v>2.8441884816753955</v>
      </c>
      <c r="N947" s="126">
        <f>base[[#This Row],[L/P Líquido]]/base[[#This Row],[Stake/Responsabilidade]]</f>
        <v>0.75449999999999995</v>
      </c>
      <c r="O947" s="132">
        <f>IF(base[[#This Row],[L/P Líquido]]&gt;0,1,0)</f>
        <v>1</v>
      </c>
      <c r="P947" s="132"/>
      <c r="Q947" s="132" t="str">
        <f>LEFT(base[[#This Row],[Evento / Mercado]],FIND("vs",base[[#This Row],[Evento / Mercado]])-2)</f>
        <v>1899 Hoffenheim</v>
      </c>
      <c r="R9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947" s="132" t="e">
        <f>LEFT(base[[#This Row],[Evento / Mercado]],FIND("/",base[[#This Row],[Evento / Mercado]])-2)</f>
        <v>#VALUE!</v>
      </c>
      <c r="U947" s="9"/>
    </row>
    <row r="948" spans="2:21" ht="15" customHeight="1">
      <c r="B948" s="128" t="s">
        <v>859</v>
      </c>
      <c r="C948" s="128" t="s">
        <v>2982</v>
      </c>
      <c r="D948" s="129">
        <v>46067.561076388891</v>
      </c>
      <c r="E948" s="130">
        <v>12.57</v>
      </c>
      <c r="F948" s="131">
        <v>4.4999999999999998E-2</v>
      </c>
      <c r="G948" s="126">
        <f t="shared" si="15"/>
        <v>13.162303664921467</v>
      </c>
      <c r="H948" s="126" t="s">
        <v>74</v>
      </c>
      <c r="I948" s="127" t="s">
        <v>476</v>
      </c>
      <c r="J948" s="126">
        <v>20</v>
      </c>
      <c r="K948" s="126">
        <v>250.04</v>
      </c>
      <c r="L948" s="129">
        <f>INT(base[[#This Row],[Data de liquidação]])</f>
        <v>46067</v>
      </c>
      <c r="M948" s="126">
        <f>base[[#This Row],[L/P Bruto]]-base[[#This Row],[L/P Líquido]]</f>
        <v>0.59230366492146658</v>
      </c>
      <c r="N948" s="126">
        <f>base[[#This Row],[L/P Líquido]]/base[[#This Row],[Stake/Responsabilidade]]</f>
        <v>5.0271956486962088E-2</v>
      </c>
      <c r="O948" s="132">
        <f>IF(base[[#This Row],[L/P Líquido]]&gt;0,1,0)</f>
        <v>1</v>
      </c>
      <c r="P948" s="132" t="s">
        <v>962</v>
      </c>
      <c r="Q948" s="132" t="str">
        <f>LEFT(base[[#This Row],[Evento / Mercado]],FIND("vs",base[[#This Row],[Evento / Mercado]])-2)</f>
        <v>1899 Hoffenheim</v>
      </c>
      <c r="R9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948" s="132" t="e">
        <f>LEFT(base[[#This Row],[Evento / Mercado]],FIND("/",base[[#This Row],[Evento / Mercado]])-2)</f>
        <v>#VALUE!</v>
      </c>
      <c r="U948" s="9"/>
    </row>
    <row r="949" spans="2:21" ht="15" customHeight="1">
      <c r="B949" s="128" t="s">
        <v>858</v>
      </c>
      <c r="C949" s="128" t="s">
        <v>2982</v>
      </c>
      <c r="D949" s="129">
        <v>46067.561516203707</v>
      </c>
      <c r="E949" s="130">
        <v>15.4</v>
      </c>
      <c r="F949" s="131">
        <v>4.4999999999999998E-2</v>
      </c>
      <c r="G949" s="126">
        <f t="shared" si="15"/>
        <v>16.125654450261781</v>
      </c>
      <c r="H949" s="126" t="s">
        <v>122</v>
      </c>
      <c r="I949" s="127" t="s">
        <v>541</v>
      </c>
      <c r="J949" s="126">
        <v>16.5</v>
      </c>
      <c r="K949" s="126">
        <v>250.02</v>
      </c>
      <c r="L949" s="129">
        <f>INT(base[[#This Row],[Data de liquidação]])</f>
        <v>46067</v>
      </c>
      <c r="M949" s="126">
        <f>base[[#This Row],[L/P Bruto]]-base[[#This Row],[L/P Líquido]]</f>
        <v>0.72565445026178033</v>
      </c>
      <c r="N949" s="126">
        <f>base[[#This Row],[L/P Líquido]]/base[[#This Row],[Stake/Responsabilidade]]</f>
        <v>6.1595072394208465E-2</v>
      </c>
      <c r="O949" s="132">
        <f>IF(base[[#This Row],[L/P Líquido]]&gt;0,1,0)</f>
        <v>1</v>
      </c>
      <c r="P949" s="132" t="s">
        <v>962</v>
      </c>
      <c r="Q949" s="132" t="str">
        <f>LEFT(base[[#This Row],[Evento / Mercado]],FIND("vs",base[[#This Row],[Evento / Mercado]])-2)</f>
        <v>Werder Bremen</v>
      </c>
      <c r="R9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949" s="132" t="e">
        <f>LEFT(base[[#This Row],[Evento / Mercado]],FIND("/",base[[#This Row],[Evento / Mercado]])-2)</f>
        <v>#VALUE!</v>
      </c>
      <c r="U949" s="9"/>
    </row>
    <row r="950" spans="2:21" ht="15" customHeight="1">
      <c r="B950" s="128" t="s">
        <v>858</v>
      </c>
      <c r="C950" s="128" t="s">
        <v>2982</v>
      </c>
      <c r="D950" s="129">
        <v>46067.561597222222</v>
      </c>
      <c r="E950" s="130">
        <v>23.88</v>
      </c>
      <c r="F950" s="131">
        <v>4.4999999999999998E-2</v>
      </c>
      <c r="G950" s="126">
        <f t="shared" si="15"/>
        <v>25.005235602094242</v>
      </c>
      <c r="H950" s="126" t="s">
        <v>145</v>
      </c>
      <c r="I950" s="127" t="s">
        <v>300</v>
      </c>
      <c r="J950" s="126">
        <v>11</v>
      </c>
      <c r="K950" s="126">
        <v>250</v>
      </c>
      <c r="L950" s="129">
        <f>INT(base[[#This Row],[Data de liquidação]])</f>
        <v>46067</v>
      </c>
      <c r="M950" s="126">
        <f>base[[#This Row],[L/P Bruto]]-base[[#This Row],[L/P Líquido]]</f>
        <v>1.1252356020942429</v>
      </c>
      <c r="N950" s="126">
        <f>base[[#This Row],[L/P Líquido]]/base[[#This Row],[Stake/Responsabilidade]]</f>
        <v>9.5519999999999994E-2</v>
      </c>
      <c r="O950" s="132">
        <f>IF(base[[#This Row],[L/P Líquido]]&gt;0,1,0)</f>
        <v>1</v>
      </c>
      <c r="P950" s="132" t="s">
        <v>962</v>
      </c>
      <c r="Q950" s="132" t="str">
        <f>LEFT(base[[#This Row],[Evento / Mercado]],FIND("vs",base[[#This Row],[Evento / Mercado]])-2)</f>
        <v>Werder Bremen</v>
      </c>
      <c r="R9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950" s="132" t="e">
        <f>LEFT(base[[#This Row],[Evento / Mercado]],FIND("/",base[[#This Row],[Evento / Mercado]])-2)</f>
        <v>#VALUE!</v>
      </c>
      <c r="U950" s="9"/>
    </row>
    <row r="951" spans="2:21" ht="15" customHeight="1">
      <c r="B951" s="128" t="s">
        <v>857</v>
      </c>
      <c r="C951" s="128" t="s">
        <v>2982</v>
      </c>
      <c r="D951" s="129">
        <v>46067.605451388888</v>
      </c>
      <c r="E951" s="130">
        <v>-80</v>
      </c>
      <c r="F951" s="131">
        <v>4.4999999999999998E-2</v>
      </c>
      <c r="G951" s="126">
        <f t="shared" si="15"/>
        <v>-80</v>
      </c>
      <c r="H951" s="126" t="s">
        <v>231</v>
      </c>
      <c r="I951" s="127" t="s">
        <v>232</v>
      </c>
      <c r="J951" s="126">
        <v>2.06</v>
      </c>
      <c r="K951" s="126">
        <v>80</v>
      </c>
      <c r="L951" s="129">
        <f>INT(base[[#This Row],[Data de liquidação]])</f>
        <v>46067</v>
      </c>
      <c r="M951" s="126">
        <f>base[[#This Row],[L/P Bruto]]-base[[#This Row],[L/P Líquido]]</f>
        <v>0</v>
      </c>
      <c r="N951" s="126">
        <f>base[[#This Row],[L/P Líquido]]/base[[#This Row],[Stake/Responsabilidade]]</f>
        <v>-1</v>
      </c>
      <c r="O951" s="132">
        <f>IF(base[[#This Row],[L/P Líquido]]&gt;0,1,0)</f>
        <v>0</v>
      </c>
      <c r="P951" s="132"/>
      <c r="Q951" s="132" t="str">
        <f>LEFT(base[[#This Row],[Evento / Mercado]],FIND("vs",base[[#This Row],[Evento / Mercado]])-2)</f>
        <v>Heracles Almelo</v>
      </c>
      <c r="R9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 Breda</v>
      </c>
      <c r="S951" s="132" t="e">
        <f>LEFT(base[[#This Row],[Evento / Mercado]],FIND("/",base[[#This Row],[Evento / Mercado]])-2)</f>
        <v>#VALUE!</v>
      </c>
      <c r="U951" s="9"/>
    </row>
    <row r="952" spans="2:21" ht="15" customHeight="1">
      <c r="B952" s="128" t="s">
        <v>856</v>
      </c>
      <c r="C952" s="128" t="s">
        <v>2982</v>
      </c>
      <c r="D952" s="129">
        <v>46067.68986111111</v>
      </c>
      <c r="E952" s="130">
        <v>51.19</v>
      </c>
      <c r="F952" s="131">
        <v>4.4999999999999998E-2</v>
      </c>
      <c r="G952" s="126">
        <f t="shared" si="15"/>
        <v>53.602094240837694</v>
      </c>
      <c r="H952" s="126" t="s">
        <v>231</v>
      </c>
      <c r="I952" s="127" t="s">
        <v>266</v>
      </c>
      <c r="J952" s="126">
        <v>2.06</v>
      </c>
      <c r="K952" s="126">
        <v>80</v>
      </c>
      <c r="L952" s="129">
        <f>INT(base[[#This Row],[Data de liquidação]])</f>
        <v>46067</v>
      </c>
      <c r="M952" s="126">
        <f>base[[#This Row],[L/P Bruto]]-base[[#This Row],[L/P Líquido]]</f>
        <v>2.4120942408376962</v>
      </c>
      <c r="N952" s="126">
        <f>base[[#This Row],[L/P Líquido]]/base[[#This Row],[Stake/Responsabilidade]]</f>
        <v>0.63987499999999997</v>
      </c>
      <c r="O952" s="132">
        <f>IF(base[[#This Row],[L/P Líquido]]&gt;0,1,0)</f>
        <v>1</v>
      </c>
      <c r="P952" s="132"/>
      <c r="Q952" s="132" t="str">
        <f>LEFT(base[[#This Row],[Evento / Mercado]],FIND("vs",base[[#This Row],[Evento / Mercado]])-2)</f>
        <v>Excelsior Rotterdam</v>
      </c>
      <c r="R9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AZ Alkmaar</v>
      </c>
      <c r="S952" s="132" t="e">
        <f>LEFT(base[[#This Row],[Evento / Mercado]],FIND("/",base[[#This Row],[Evento / Mercado]])-2)</f>
        <v>#VALUE!</v>
      </c>
      <c r="U952" s="9"/>
    </row>
    <row r="953" spans="2:21" ht="15" customHeight="1">
      <c r="B953" s="128" t="s">
        <v>855</v>
      </c>
      <c r="C953" s="128" t="s">
        <v>2982</v>
      </c>
      <c r="D953" s="129">
        <v>46067.725381944445</v>
      </c>
      <c r="E953" s="130">
        <v>59.59</v>
      </c>
      <c r="F953" s="131">
        <v>4.4999999999999998E-2</v>
      </c>
      <c r="G953" s="126">
        <f t="shared" si="15"/>
        <v>62.397905759162313</v>
      </c>
      <c r="H953" s="126" t="s">
        <v>231</v>
      </c>
      <c r="I953" s="127" t="s">
        <v>266</v>
      </c>
      <c r="J953" s="126">
        <v>1.78</v>
      </c>
      <c r="K953" s="126">
        <v>80</v>
      </c>
      <c r="L953" s="129">
        <f>INT(base[[#This Row],[Data de liquidação]])</f>
        <v>46067</v>
      </c>
      <c r="M953" s="126">
        <f>base[[#This Row],[L/P Bruto]]-base[[#This Row],[L/P Líquido]]</f>
        <v>2.8079057591623098</v>
      </c>
      <c r="N953" s="126">
        <f>base[[#This Row],[L/P Líquido]]/base[[#This Row],[Stake/Responsabilidade]]</f>
        <v>0.74487500000000006</v>
      </c>
      <c r="O953" s="132">
        <f>IF(base[[#This Row],[L/P Líquido]]&gt;0,1,0)</f>
        <v>1</v>
      </c>
      <c r="P953" s="132"/>
      <c r="Q953" s="132" t="str">
        <f>LEFT(base[[#This Row],[Evento / Mercado]],FIND("vs",base[[#This Row],[Evento / Mercado]])-2)</f>
        <v>Real Madrid</v>
      </c>
      <c r="R9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953" s="132" t="e">
        <f>LEFT(base[[#This Row],[Evento / Mercado]],FIND("/",base[[#This Row],[Evento / Mercado]])-2)</f>
        <v>#VALUE!</v>
      </c>
      <c r="U953" s="9"/>
    </row>
    <row r="954" spans="2:21" ht="15" customHeight="1">
      <c r="B954" s="128" t="s">
        <v>854</v>
      </c>
      <c r="C954" s="128" t="s">
        <v>2982</v>
      </c>
      <c r="D954" s="129">
        <v>46067.742256944446</v>
      </c>
      <c r="E954" s="130">
        <v>51.19</v>
      </c>
      <c r="F954" s="131">
        <v>4.4999999999999998E-2</v>
      </c>
      <c r="G954" s="126">
        <f t="shared" si="15"/>
        <v>53.602094240837694</v>
      </c>
      <c r="H954" s="126" t="s">
        <v>231</v>
      </c>
      <c r="I954" s="127" t="s">
        <v>266</v>
      </c>
      <c r="J954" s="126">
        <v>1.67</v>
      </c>
      <c r="K954" s="126">
        <v>80</v>
      </c>
      <c r="L954" s="129">
        <f>INT(base[[#This Row],[Data de liquidação]])</f>
        <v>46067</v>
      </c>
      <c r="M954" s="126">
        <f>base[[#This Row],[L/P Bruto]]-base[[#This Row],[L/P Líquido]]</f>
        <v>2.4120942408376962</v>
      </c>
      <c r="N954" s="126">
        <f>base[[#This Row],[L/P Líquido]]/base[[#This Row],[Stake/Responsabilidade]]</f>
        <v>0.63987499999999997</v>
      </c>
      <c r="O954" s="132">
        <f>IF(base[[#This Row],[L/P Líquido]]&gt;0,1,0)</f>
        <v>1</v>
      </c>
      <c r="P954" s="132"/>
      <c r="Q954" s="132" t="str">
        <f>LEFT(base[[#This Row],[Evento / Mercado]],FIND("vs",base[[#This Row],[Evento / Mercado]])-2)</f>
        <v>Dynamo Dresden</v>
      </c>
      <c r="R9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Elversberg</v>
      </c>
      <c r="S954" s="132" t="e">
        <f>LEFT(base[[#This Row],[Evento / Mercado]],FIND("/",base[[#This Row],[Evento / Mercado]])-2)</f>
        <v>#VALUE!</v>
      </c>
      <c r="U954" s="9"/>
    </row>
    <row r="955" spans="2:21" ht="15" customHeight="1">
      <c r="B955" s="128" t="s">
        <v>850</v>
      </c>
      <c r="C955" s="128" t="s">
        <v>2982</v>
      </c>
      <c r="D955" s="129">
        <v>46068.461122685185</v>
      </c>
      <c r="E955" s="130">
        <v>47.37</v>
      </c>
      <c r="F955" s="131">
        <v>4.4999999999999998E-2</v>
      </c>
      <c r="G955" s="126">
        <f t="shared" si="15"/>
        <v>49.602094240837694</v>
      </c>
      <c r="H955" s="126" t="s">
        <v>231</v>
      </c>
      <c r="I955" s="127" t="s">
        <v>266</v>
      </c>
      <c r="J955" s="126">
        <v>1.62</v>
      </c>
      <c r="K955" s="126">
        <v>80</v>
      </c>
      <c r="L955" s="129">
        <f>INT(base[[#This Row],[Data de liquidação]])</f>
        <v>46068</v>
      </c>
      <c r="M955" s="126">
        <f>base[[#This Row],[L/P Bruto]]-base[[#This Row],[L/P Líquido]]</f>
        <v>2.2320942408376965</v>
      </c>
      <c r="N955" s="126">
        <f>base[[#This Row],[L/P Líquido]]/base[[#This Row],[Stake/Responsabilidade]]</f>
        <v>0.59212500000000001</v>
      </c>
      <c r="O955" s="132">
        <f>IF(base[[#This Row],[L/P Líquido]]&gt;0,1,0)</f>
        <v>1</v>
      </c>
      <c r="P955" s="132"/>
      <c r="Q955" s="132" t="str">
        <f>LEFT(base[[#This Row],[Evento / Mercado]],FIND("vs",base[[#This Row],[Evento / Mercado]])-2)</f>
        <v>Heerenveen</v>
      </c>
      <c r="R9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955" s="132" t="e">
        <f>LEFT(base[[#This Row],[Evento / Mercado]],FIND("/",base[[#This Row],[Evento / Mercado]])-2)</f>
        <v>#VALUE!</v>
      </c>
      <c r="U955" s="9"/>
    </row>
    <row r="956" spans="2:21" ht="15" customHeight="1">
      <c r="B956" s="128" t="s">
        <v>853</v>
      </c>
      <c r="C956" s="128" t="s">
        <v>2982</v>
      </c>
      <c r="D956" s="129">
        <v>46068.47693287037</v>
      </c>
      <c r="E956" s="130">
        <v>-80</v>
      </c>
      <c r="F956" s="131">
        <v>4.4999999999999998E-2</v>
      </c>
      <c r="G956" s="126">
        <f t="shared" si="15"/>
        <v>-80</v>
      </c>
      <c r="H956" s="126" t="s">
        <v>231</v>
      </c>
      <c r="I956" s="127" t="s">
        <v>232</v>
      </c>
      <c r="J956" s="126">
        <v>1.82</v>
      </c>
      <c r="K956" s="126">
        <v>80</v>
      </c>
      <c r="L956" s="129">
        <f>INT(base[[#This Row],[Data de liquidação]])</f>
        <v>46068</v>
      </c>
      <c r="M956" s="126">
        <f>base[[#This Row],[L/P Bruto]]-base[[#This Row],[L/P Líquido]]</f>
        <v>0</v>
      </c>
      <c r="N956" s="126">
        <f>base[[#This Row],[L/P Líquido]]/base[[#This Row],[Stake/Responsabilidade]]</f>
        <v>-1</v>
      </c>
      <c r="O956" s="132">
        <f>IF(base[[#This Row],[L/P Líquido]]&gt;0,1,0)</f>
        <v>0</v>
      </c>
      <c r="P956" s="132"/>
      <c r="Q956" s="132" t="str">
        <f>LEFT(base[[#This Row],[Evento / Mercado]],FIND("vs",base[[#This Row],[Evento / Mercado]])-2)</f>
        <v>VfL Bochum</v>
      </c>
      <c r="R9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Paderborn 07</v>
      </c>
      <c r="S956" s="132" t="e">
        <f>LEFT(base[[#This Row],[Evento / Mercado]],FIND("/",base[[#This Row],[Evento / Mercado]])-2)</f>
        <v>#VALUE!</v>
      </c>
      <c r="U956" s="9"/>
    </row>
    <row r="957" spans="2:21" ht="15" customHeight="1">
      <c r="B957" s="128" t="s">
        <v>852</v>
      </c>
      <c r="C957" s="128" t="s">
        <v>2982</v>
      </c>
      <c r="D957" s="129">
        <v>46068.47855324074</v>
      </c>
      <c r="E957" s="130">
        <v>10.85</v>
      </c>
      <c r="F957" s="131">
        <v>4.4999999999999998E-2</v>
      </c>
      <c r="G957" s="126">
        <f t="shared" si="15"/>
        <v>11.361256544502618</v>
      </c>
      <c r="H957" s="126" t="s">
        <v>74</v>
      </c>
      <c r="I957" s="127" t="s">
        <v>476</v>
      </c>
      <c r="J957" s="126">
        <v>23</v>
      </c>
      <c r="K957" s="126">
        <v>249.92</v>
      </c>
      <c r="L957" s="129">
        <f>INT(base[[#This Row],[Data de liquidação]])</f>
        <v>46068</v>
      </c>
      <c r="M957" s="126">
        <f>base[[#This Row],[L/P Bruto]]-base[[#This Row],[L/P Líquido]]</f>
        <v>0.51125654450261848</v>
      </c>
      <c r="N957" s="126">
        <f>base[[#This Row],[L/P Líquido]]/base[[#This Row],[Stake/Responsabilidade]]</f>
        <v>4.3413892445582587E-2</v>
      </c>
      <c r="O957" s="132">
        <f>IF(base[[#This Row],[L/P Líquido]]&gt;0,1,0)</f>
        <v>1</v>
      </c>
      <c r="P957" s="132" t="s">
        <v>975</v>
      </c>
      <c r="Q957" s="132" t="str">
        <f>LEFT(base[[#This Row],[Evento / Mercado]],FIND("vs",base[[#This Row],[Evento / Mercado]])-2)</f>
        <v>Energie Cottbus</v>
      </c>
      <c r="R9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Waldhof Mannheim</v>
      </c>
      <c r="S957" s="132" t="e">
        <f>LEFT(base[[#This Row],[Evento / Mercado]],FIND("/",base[[#This Row],[Evento / Mercado]])-2)</f>
        <v>#VALUE!</v>
      </c>
      <c r="U957" s="9"/>
    </row>
    <row r="958" spans="2:21" ht="15" customHeight="1">
      <c r="B958" s="128" t="s">
        <v>851</v>
      </c>
      <c r="C958" s="128" t="s">
        <v>2982</v>
      </c>
      <c r="D958" s="129">
        <v>46068.515925925924</v>
      </c>
      <c r="E958" s="130">
        <v>-138.76</v>
      </c>
      <c r="F958" s="131">
        <v>4.4999999999999998E-2</v>
      </c>
      <c r="G958" s="126">
        <f t="shared" si="15"/>
        <v>-138.76</v>
      </c>
      <c r="H958" s="126" t="s">
        <v>73</v>
      </c>
      <c r="I958" s="127" t="s">
        <v>13</v>
      </c>
      <c r="J958" s="126">
        <v>8.8000000000000007</v>
      </c>
      <c r="K958" s="126">
        <v>138.75</v>
      </c>
      <c r="L958" s="129">
        <f>INT(base[[#This Row],[Data de liquidação]])</f>
        <v>46068</v>
      </c>
      <c r="M958" s="126">
        <f>base[[#This Row],[L/P Bruto]]-base[[#This Row],[L/P Líquido]]</f>
        <v>0</v>
      </c>
      <c r="N958" s="126">
        <f>base[[#This Row],[L/P Líquido]]/base[[#This Row],[Stake/Responsabilidade]]</f>
        <v>-1.0000720720720719</v>
      </c>
      <c r="O958" s="132">
        <f>IF(base[[#This Row],[L/P Líquido]]&gt;0,1,0)</f>
        <v>0</v>
      </c>
      <c r="P958" s="132"/>
      <c r="Q958" s="132" t="str">
        <f>LEFT(base[[#This Row],[Evento / Mercado]],FIND("vs",base[[#This Row],[Evento / Mercado]])-2)</f>
        <v>Grimsby Town</v>
      </c>
      <c r="R9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Wolverhampton Wanderers</v>
      </c>
      <c r="S958" s="132" t="e">
        <f>LEFT(base[[#This Row],[Evento / Mercado]],FIND("/",base[[#This Row],[Evento / Mercado]])-2)</f>
        <v>#VALUE!</v>
      </c>
      <c r="U958" s="9"/>
    </row>
    <row r="959" spans="2:21" ht="15" customHeight="1">
      <c r="B959" s="128" t="s">
        <v>850</v>
      </c>
      <c r="C959" s="128" t="s">
        <v>2982</v>
      </c>
      <c r="D959" s="129">
        <v>46068.517476851855</v>
      </c>
      <c r="E959" s="130">
        <v>11.14</v>
      </c>
      <c r="F959" s="131">
        <v>4.4999999999999998E-2</v>
      </c>
      <c r="G959" s="126">
        <f t="shared" si="15"/>
        <v>11.664921465968588</v>
      </c>
      <c r="H959" s="126" t="s">
        <v>73</v>
      </c>
      <c r="I959" s="127" t="s">
        <v>16</v>
      </c>
      <c r="J959" s="126">
        <v>13</v>
      </c>
      <c r="K959" s="126">
        <v>140.04</v>
      </c>
      <c r="L959" s="129">
        <f>INT(base[[#This Row],[Data de liquidação]])</f>
        <v>46068</v>
      </c>
      <c r="M959" s="126">
        <f>base[[#This Row],[L/P Bruto]]-base[[#This Row],[L/P Líquido]]</f>
        <v>0.52492146596858724</v>
      </c>
      <c r="N959" s="126">
        <f>base[[#This Row],[L/P Líquido]]/base[[#This Row],[Stake/Responsabilidade]]</f>
        <v>7.9548700371322487E-2</v>
      </c>
      <c r="O959" s="132">
        <f>IF(base[[#This Row],[L/P Líquido]]&gt;0,1,0)</f>
        <v>1</v>
      </c>
      <c r="P959" s="132"/>
      <c r="Q959" s="132" t="str">
        <f>LEFT(base[[#This Row],[Evento / Mercado]],FIND("vs",base[[#This Row],[Evento / Mercado]])-2)</f>
        <v>Heerenveen</v>
      </c>
      <c r="R9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959" s="132" t="e">
        <f>LEFT(base[[#This Row],[Evento / Mercado]],FIND("/",base[[#This Row],[Evento / Mercado]])-2)</f>
        <v>#VALUE!</v>
      </c>
      <c r="U959" s="9"/>
    </row>
    <row r="960" spans="2:21" ht="15" customHeight="1">
      <c r="B960" s="128" t="s">
        <v>849</v>
      </c>
      <c r="C960" s="128" t="s">
        <v>2982</v>
      </c>
      <c r="D960" s="129">
        <v>46068.52716435185</v>
      </c>
      <c r="E960" s="130">
        <v>-140.04</v>
      </c>
      <c r="F960" s="131">
        <v>4.4999999999999998E-2</v>
      </c>
      <c r="G960" s="126">
        <f t="shared" si="15"/>
        <v>-140.04</v>
      </c>
      <c r="H960" s="126" t="s">
        <v>73</v>
      </c>
      <c r="I960" s="127" t="s">
        <v>16</v>
      </c>
      <c r="J960" s="126">
        <v>10</v>
      </c>
      <c r="K960" s="126">
        <v>140.04</v>
      </c>
      <c r="L960" s="129">
        <f>INT(base[[#This Row],[Data de liquidação]])</f>
        <v>46068</v>
      </c>
      <c r="M960" s="126">
        <f>base[[#This Row],[L/P Bruto]]-base[[#This Row],[L/P Líquido]]</f>
        <v>0</v>
      </c>
      <c r="N960" s="126">
        <f>base[[#This Row],[L/P Líquido]]/base[[#This Row],[Stake/Responsabilidade]]</f>
        <v>-1</v>
      </c>
      <c r="O960" s="132">
        <f>IF(base[[#This Row],[L/P Líquido]]&gt;0,1,0)</f>
        <v>0</v>
      </c>
      <c r="P960" s="132"/>
      <c r="Q960" s="132" t="str">
        <f>LEFT(base[[#This Row],[Evento / Mercado]],FIND("vs",base[[#This Row],[Evento / Mercado]])-2)</f>
        <v>Pogon Szczecin</v>
      </c>
      <c r="R9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Arka Gdynia</v>
      </c>
      <c r="S960" s="132" t="e">
        <f>LEFT(base[[#This Row],[Evento / Mercado]],FIND("/",base[[#This Row],[Evento / Mercado]])-2)</f>
        <v>#VALUE!</v>
      </c>
      <c r="U960" s="9"/>
    </row>
    <row r="961" spans="2:21" ht="15" customHeight="1">
      <c r="B961" s="128" t="s">
        <v>848</v>
      </c>
      <c r="C961" s="128" t="s">
        <v>2982</v>
      </c>
      <c r="D961" s="129">
        <v>46068.535532407404</v>
      </c>
      <c r="E961" s="130">
        <v>61.88</v>
      </c>
      <c r="F961" s="131">
        <v>4.4999999999999998E-2</v>
      </c>
      <c r="G961" s="126">
        <f t="shared" si="15"/>
        <v>64.795811518324612</v>
      </c>
      <c r="H961" s="126" t="s">
        <v>231</v>
      </c>
      <c r="I961" s="127" t="s">
        <v>266</v>
      </c>
      <c r="J961" s="126">
        <v>1.81</v>
      </c>
      <c r="K961" s="126">
        <v>80</v>
      </c>
      <c r="L961" s="129">
        <f>INT(base[[#This Row],[Data de liquidação]])</f>
        <v>46068</v>
      </c>
      <c r="M961" s="126">
        <f>base[[#This Row],[L/P Bruto]]-base[[#This Row],[L/P Líquido]]</f>
        <v>2.9158115183246096</v>
      </c>
      <c r="N961" s="126">
        <f>base[[#This Row],[L/P Líquido]]/base[[#This Row],[Stake/Responsabilidade]]</f>
        <v>0.77350000000000008</v>
      </c>
      <c r="O961" s="132">
        <f>IF(base[[#This Row],[L/P Líquido]]&gt;0,1,0)</f>
        <v>1</v>
      </c>
      <c r="P961" s="132"/>
      <c r="Q961" s="132" t="str">
        <f>LEFT(base[[#This Row],[Evento / Mercado]],FIND("vs",base[[#This Row],[Evento / Mercado]])-2)</f>
        <v>Kifisia FC</v>
      </c>
      <c r="R9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OFI Crete</v>
      </c>
      <c r="S961" s="132" t="e">
        <f>LEFT(base[[#This Row],[Evento / Mercado]],FIND("/",base[[#This Row],[Evento / Mercado]])-2)</f>
        <v>#VALUE!</v>
      </c>
      <c r="U961" s="9"/>
    </row>
    <row r="962" spans="2:21" ht="15" customHeight="1">
      <c r="B962" s="128" t="s">
        <v>847</v>
      </c>
      <c r="C962" s="128" t="s">
        <v>2982</v>
      </c>
      <c r="D962" s="129">
        <v>46068.538657407407</v>
      </c>
      <c r="E962" s="130">
        <v>8.6199999999999992</v>
      </c>
      <c r="F962" s="131">
        <v>4.4999999999999998E-2</v>
      </c>
      <c r="G962" s="126">
        <f t="shared" si="15"/>
        <v>9.0261780104712042</v>
      </c>
      <c r="H962" s="126" t="s">
        <v>73</v>
      </c>
      <c r="I962" s="127" t="s">
        <v>13</v>
      </c>
      <c r="J962" s="126">
        <v>16.5</v>
      </c>
      <c r="K962" s="126">
        <v>139.97</v>
      </c>
      <c r="L962" s="129">
        <f>INT(base[[#This Row],[Data de liquidação]])</f>
        <v>46068</v>
      </c>
      <c r="M962" s="126">
        <f>base[[#This Row],[L/P Bruto]]-base[[#This Row],[L/P Líquido]]</f>
        <v>0.40617801047120494</v>
      </c>
      <c r="N962" s="126">
        <f>base[[#This Row],[L/P Líquido]]/base[[#This Row],[Stake/Responsabilidade]]</f>
        <v>6.158462527684503E-2</v>
      </c>
      <c r="O962" s="132">
        <f>IF(base[[#This Row],[L/P Líquido]]&gt;0,1,0)</f>
        <v>1</v>
      </c>
      <c r="P962" s="132"/>
      <c r="Q962" s="132" t="str">
        <f>LEFT(base[[#This Row],[Evento / Mercado]],FIND("vs",base[[#This Row],[Evento / Mercado]])-2)</f>
        <v>Monza</v>
      </c>
      <c r="R9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 Stabia</v>
      </c>
      <c r="S962" s="132" t="e">
        <f>LEFT(base[[#This Row],[Evento / Mercado]],FIND("/",base[[#This Row],[Evento / Mercado]])-2)</f>
        <v>#VALUE!</v>
      </c>
      <c r="U962" s="9"/>
    </row>
    <row r="963" spans="2:21" ht="15" customHeight="1">
      <c r="B963" s="128" t="s">
        <v>846</v>
      </c>
      <c r="C963" s="128" t="s">
        <v>2982</v>
      </c>
      <c r="D963" s="129">
        <v>46068.542048611111</v>
      </c>
      <c r="E963" s="130">
        <v>7.87</v>
      </c>
      <c r="F963" s="131">
        <v>4.4999999999999998E-2</v>
      </c>
      <c r="G963" s="126">
        <f t="shared" ref="G963:G1026" si="16">IF(E963&gt;0,E963/(1-F963),E963)</f>
        <v>8.2408376963350793</v>
      </c>
      <c r="H963" s="126" t="s">
        <v>73</v>
      </c>
      <c r="I963" s="127" t="s">
        <v>13</v>
      </c>
      <c r="J963" s="126">
        <v>18</v>
      </c>
      <c r="K963" s="126">
        <v>140.08000000000001</v>
      </c>
      <c r="L963" s="129">
        <f>INT(base[[#This Row],[Data de liquidação]])</f>
        <v>46068</v>
      </c>
      <c r="M963" s="126">
        <f>base[[#This Row],[L/P Bruto]]-base[[#This Row],[L/P Líquido]]</f>
        <v>0.37083769633507924</v>
      </c>
      <c r="N963" s="126">
        <f>base[[#This Row],[L/P Líquido]]/base[[#This Row],[Stake/Responsabilidade]]</f>
        <v>5.6182181610508274E-2</v>
      </c>
      <c r="O963" s="132">
        <f>IF(base[[#This Row],[L/P Líquido]]&gt;0,1,0)</f>
        <v>1</v>
      </c>
      <c r="P963" s="132"/>
      <c r="Q963" s="132" t="str">
        <f>LEFT(base[[#This Row],[Evento / Mercado]],FIND("vs",base[[#This Row],[Evento / Mercado]])-2)</f>
        <v>Göztepe</v>
      </c>
      <c r="R9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Kayserispor</v>
      </c>
      <c r="S963" s="132" t="e">
        <f>LEFT(base[[#This Row],[Evento / Mercado]],FIND("/",base[[#This Row],[Evento / Mercado]])-2)</f>
        <v>#VALUE!</v>
      </c>
      <c r="U963" s="9"/>
    </row>
    <row r="964" spans="2:21" ht="15" customHeight="1">
      <c r="B964" s="128" t="s">
        <v>845</v>
      </c>
      <c r="C964" s="128" t="s">
        <v>2982</v>
      </c>
      <c r="D964" s="129">
        <v>46068.556493055556</v>
      </c>
      <c r="E964" s="130">
        <v>16.712499999999999</v>
      </c>
      <c r="F964" s="131">
        <v>4.4999999999999998E-2</v>
      </c>
      <c r="G964" s="126">
        <f t="shared" si="16"/>
        <v>17.5</v>
      </c>
      <c r="H964" s="126" t="s">
        <v>73</v>
      </c>
      <c r="I964" s="127" t="s">
        <v>16</v>
      </c>
      <c r="J964" s="126">
        <v>9</v>
      </c>
      <c r="K964" s="126">
        <v>140</v>
      </c>
      <c r="L964" s="129">
        <f>INT(base[[#This Row],[Data de liquidação]])</f>
        <v>46068</v>
      </c>
      <c r="M964" s="126">
        <f>base[[#This Row],[L/P Bruto]]-base[[#This Row],[L/P Líquido]]</f>
        <v>0.78750000000000142</v>
      </c>
      <c r="N964" s="126">
        <f>base[[#This Row],[L/P Líquido]]/base[[#This Row],[Stake/Responsabilidade]]</f>
        <v>0.119375</v>
      </c>
      <c r="O964" s="132">
        <f>IF(base[[#This Row],[L/P Líquido]]&gt;0,1,0)</f>
        <v>1</v>
      </c>
      <c r="P964" s="132"/>
      <c r="Q964" s="132" t="str">
        <f>LEFT(base[[#This Row],[Evento / Mercado]],FIND("vs",base[[#This Row],[Evento / Mercado]])-2)</f>
        <v>Motherwell</v>
      </c>
      <c r="R9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Aberdeen</v>
      </c>
      <c r="S964" s="132" t="e">
        <f>LEFT(base[[#This Row],[Evento / Mercado]],FIND("/",base[[#This Row],[Evento / Mercado]])-2)</f>
        <v>#VALUE!</v>
      </c>
      <c r="T964" s="8">
        <v>17.5</v>
      </c>
      <c r="U964" s="9">
        <f>T964*0.955</f>
        <v>16.712499999999999</v>
      </c>
    </row>
    <row r="965" spans="2:21" ht="15" customHeight="1">
      <c r="B965" s="128" t="s">
        <v>845</v>
      </c>
      <c r="C965" s="128" t="s">
        <v>2982</v>
      </c>
      <c r="D965" s="129">
        <v>46068.556493055556</v>
      </c>
      <c r="E965" s="130">
        <v>7.8692000000000002</v>
      </c>
      <c r="F965" s="131">
        <v>4.4999999999999998E-2</v>
      </c>
      <c r="G965" s="126">
        <f t="shared" si="16"/>
        <v>8.24</v>
      </c>
      <c r="H965" s="126" t="s">
        <v>73</v>
      </c>
      <c r="I965" s="127" t="s">
        <v>13</v>
      </c>
      <c r="J965" s="126">
        <v>18</v>
      </c>
      <c r="K965" s="126">
        <v>140.08000000000001</v>
      </c>
      <c r="L965" s="129">
        <f>INT(base[[#This Row],[Data de liquidação]])</f>
        <v>46068</v>
      </c>
      <c r="M965" s="126">
        <f>base[[#This Row],[L/P Bruto]]-base[[#This Row],[L/P Líquido]]</f>
        <v>0.37080000000000002</v>
      </c>
      <c r="N965" s="126">
        <f>base[[#This Row],[L/P Líquido]]/base[[#This Row],[Stake/Responsabilidade]]</f>
        <v>5.6176470588235293E-2</v>
      </c>
      <c r="O965" s="132">
        <f>IF(base[[#This Row],[L/P Líquido]]&gt;0,1,0)</f>
        <v>1</v>
      </c>
      <c r="P965" s="132"/>
      <c r="Q965" s="132" t="str">
        <f>LEFT(base[[#This Row],[Evento / Mercado]],FIND("vs",base[[#This Row],[Evento / Mercado]])-2)</f>
        <v>Motherwell</v>
      </c>
      <c r="R9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Aberdeen</v>
      </c>
      <c r="S965" s="132" t="e">
        <f>LEFT(base[[#This Row],[Evento / Mercado]],FIND("/",base[[#This Row],[Evento / Mercado]])-2)</f>
        <v>#VALUE!</v>
      </c>
      <c r="T965" s="8">
        <v>8.24</v>
      </c>
      <c r="U965" s="9">
        <f>T965*0.955</f>
        <v>7.8692000000000002</v>
      </c>
    </row>
    <row r="966" spans="2:21" ht="15" customHeight="1">
      <c r="B966" s="128" t="s">
        <v>844</v>
      </c>
      <c r="C966" s="128" t="s">
        <v>2982</v>
      </c>
      <c r="D966" s="129">
        <v>46068.598807870374</v>
      </c>
      <c r="E966" s="130">
        <v>9.9</v>
      </c>
      <c r="F966" s="131">
        <v>4.4999999999999998E-2</v>
      </c>
      <c r="G966" s="126">
        <f t="shared" si="16"/>
        <v>10.36649214659686</v>
      </c>
      <c r="H966" s="126" t="s">
        <v>73</v>
      </c>
      <c r="I966" s="127" t="s">
        <v>13</v>
      </c>
      <c r="J966" s="126">
        <v>14.5</v>
      </c>
      <c r="K966" s="126">
        <v>139.99</v>
      </c>
      <c r="L966" s="129">
        <f>INT(base[[#This Row],[Data de liquidação]])</f>
        <v>46068</v>
      </c>
      <c r="M966" s="126">
        <f>base[[#This Row],[L/P Bruto]]-base[[#This Row],[L/P Líquido]]</f>
        <v>0.46649214659685967</v>
      </c>
      <c r="N966" s="126">
        <f>base[[#This Row],[L/P Líquido]]/base[[#This Row],[Stake/Responsabilidade]]</f>
        <v>7.0719337095506818E-2</v>
      </c>
      <c r="O966" s="132">
        <f>IF(base[[#This Row],[L/P Líquido]]&gt;0,1,0)</f>
        <v>1</v>
      </c>
      <c r="P966" s="132"/>
      <c r="Q966" s="132" t="str">
        <f>LEFT(base[[#This Row],[Evento / Mercado]],FIND("vs",base[[#This Row],[Evento / Mercado]])-2)</f>
        <v>FC Basel</v>
      </c>
      <c r="R9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Lugano</v>
      </c>
      <c r="S966" s="132" t="e">
        <f>LEFT(base[[#This Row],[Evento / Mercado]],FIND("/",base[[#This Row],[Evento / Mercado]])-2)</f>
        <v>#VALUE!</v>
      </c>
      <c r="U966" s="9"/>
    </row>
    <row r="967" spans="2:21" ht="15" customHeight="1">
      <c r="B967" s="128" t="s">
        <v>843</v>
      </c>
      <c r="C967" s="128" t="s">
        <v>2982</v>
      </c>
      <c r="D967" s="129">
        <v>46068.60560185185</v>
      </c>
      <c r="E967" s="130">
        <v>-140.03</v>
      </c>
      <c r="F967" s="131">
        <v>4.4999999999999998E-2</v>
      </c>
      <c r="G967" s="126">
        <f t="shared" si="16"/>
        <v>-140.03</v>
      </c>
      <c r="H967" s="126" t="s">
        <v>73</v>
      </c>
      <c r="I967" s="127" t="s">
        <v>13</v>
      </c>
      <c r="J967" s="126">
        <v>7.4</v>
      </c>
      <c r="K967" s="126">
        <v>140.03</v>
      </c>
      <c r="L967" s="129">
        <f>INT(base[[#This Row],[Data de liquidação]])</f>
        <v>46068</v>
      </c>
      <c r="M967" s="126">
        <f>base[[#This Row],[L/P Bruto]]-base[[#This Row],[L/P Líquido]]</f>
        <v>0</v>
      </c>
      <c r="N967" s="126">
        <f>base[[#This Row],[L/P Líquido]]/base[[#This Row],[Stake/Responsabilidade]]</f>
        <v>-1</v>
      </c>
      <c r="O967" s="132">
        <f>IF(base[[#This Row],[L/P Líquido]]&gt;0,1,0)</f>
        <v>0</v>
      </c>
      <c r="P967" s="132"/>
      <c r="Q967" s="132" t="str">
        <f>LEFT(base[[#This Row],[Evento / Mercado]],FIND("vs",base[[#This Row],[Evento / Mercado]])-2)</f>
        <v>Nacional da Madeira</v>
      </c>
      <c r="R9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Porto</v>
      </c>
      <c r="S967" s="132" t="e">
        <f>LEFT(base[[#This Row],[Evento / Mercado]],FIND("/",base[[#This Row],[Evento / Mercado]])-2)</f>
        <v>#VALUE!</v>
      </c>
      <c r="U967" s="9"/>
    </row>
    <row r="968" spans="2:21" ht="15" customHeight="1">
      <c r="B968" s="128" t="s">
        <v>842</v>
      </c>
      <c r="C968" s="128" t="s">
        <v>2982</v>
      </c>
      <c r="D968" s="129">
        <v>46068.641273148147</v>
      </c>
      <c r="E968" s="130">
        <v>7.8692000000000002</v>
      </c>
      <c r="F968" s="131">
        <v>4.4999999999999998E-2</v>
      </c>
      <c r="G968" s="126">
        <f t="shared" si="16"/>
        <v>8.24</v>
      </c>
      <c r="H968" s="126" t="s">
        <v>73</v>
      </c>
      <c r="I968" s="127" t="s">
        <v>13</v>
      </c>
      <c r="J968" s="126">
        <v>18</v>
      </c>
      <c r="K968" s="126">
        <v>140.08000000000001</v>
      </c>
      <c r="L968" s="129">
        <f>INT(base[[#This Row],[Data de liquidação]])</f>
        <v>46068</v>
      </c>
      <c r="M968" s="126">
        <f>base[[#This Row],[L/P Bruto]]-base[[#This Row],[L/P Líquido]]</f>
        <v>0.37080000000000002</v>
      </c>
      <c r="N968" s="126">
        <f>base[[#This Row],[L/P Líquido]]/base[[#This Row],[Stake/Responsabilidade]]</f>
        <v>5.6176470588235293E-2</v>
      </c>
      <c r="O968" s="132">
        <f>IF(base[[#This Row],[L/P Líquido]]&gt;0,1,0)</f>
        <v>1</v>
      </c>
      <c r="P968" s="132"/>
      <c r="Q968" s="132" t="str">
        <f>LEFT(base[[#This Row],[Evento / Mercado]],FIND("vs",base[[#This Row],[Evento / Mercado]])-2)</f>
        <v>Lech Poznan</v>
      </c>
      <c r="R9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Piast Gliwice</v>
      </c>
      <c r="S968" s="132" t="e">
        <f>LEFT(base[[#This Row],[Evento / Mercado]],FIND("/",base[[#This Row],[Evento / Mercado]])-2)</f>
        <v>#VALUE!</v>
      </c>
      <c r="T968" s="8">
        <v>8.24</v>
      </c>
      <c r="U968" s="9">
        <f>T968*0.955</f>
        <v>7.8692000000000002</v>
      </c>
    </row>
    <row r="969" spans="2:21" ht="15" customHeight="1">
      <c r="B969" s="128" t="s">
        <v>842</v>
      </c>
      <c r="C969" s="128" t="s">
        <v>2982</v>
      </c>
      <c r="D969" s="129">
        <v>46068.641273148147</v>
      </c>
      <c r="E969" s="130">
        <v>14.8598</v>
      </c>
      <c r="F969" s="131">
        <v>4.4999999999999998E-2</v>
      </c>
      <c r="G969" s="126">
        <f t="shared" si="16"/>
        <v>15.56</v>
      </c>
      <c r="H969" s="126" t="s">
        <v>73</v>
      </c>
      <c r="I969" s="127" t="s">
        <v>16</v>
      </c>
      <c r="J969" s="126">
        <v>10</v>
      </c>
      <c r="K969" s="126">
        <v>140.04</v>
      </c>
      <c r="L969" s="129">
        <f>INT(base[[#This Row],[Data de liquidação]])</f>
        <v>46068</v>
      </c>
      <c r="M969" s="126">
        <f>base[[#This Row],[L/P Bruto]]-base[[#This Row],[L/P Líquido]]</f>
        <v>0.7002000000000006</v>
      </c>
      <c r="N969" s="126">
        <f>base[[#This Row],[L/P Líquido]]/base[[#This Row],[Stake/Responsabilidade]]</f>
        <v>0.10611111111111111</v>
      </c>
      <c r="O969" s="132">
        <f>IF(base[[#This Row],[L/P Líquido]]&gt;0,1,0)</f>
        <v>1</v>
      </c>
      <c r="P969" s="132"/>
      <c r="Q969" s="132" t="str">
        <f>LEFT(base[[#This Row],[Evento / Mercado]],FIND("vs",base[[#This Row],[Evento / Mercado]])-2)</f>
        <v>Lech Poznan</v>
      </c>
      <c r="R9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Piast Gliwice</v>
      </c>
      <c r="S969" s="132" t="e">
        <f>LEFT(base[[#This Row],[Evento / Mercado]],FIND("/",base[[#This Row],[Evento / Mercado]])-2)</f>
        <v>#VALUE!</v>
      </c>
      <c r="T969" s="8">
        <v>15.56</v>
      </c>
      <c r="U969" s="9">
        <f>T969*0.955</f>
        <v>14.8598</v>
      </c>
    </row>
    <row r="970" spans="2:21" ht="15" customHeight="1">
      <c r="B970" s="128" t="s">
        <v>841</v>
      </c>
      <c r="C970" s="128" t="s">
        <v>2982</v>
      </c>
      <c r="D970" s="129">
        <v>46068.643900462965</v>
      </c>
      <c r="E970" s="130">
        <v>9.5500000000000007</v>
      </c>
      <c r="F970" s="131">
        <v>4.4999999999999998E-2</v>
      </c>
      <c r="G970" s="126">
        <f t="shared" si="16"/>
        <v>10.000000000000002</v>
      </c>
      <c r="H970" s="126" t="s">
        <v>73</v>
      </c>
      <c r="I970" s="127" t="s">
        <v>16</v>
      </c>
      <c r="J970" s="126">
        <v>15</v>
      </c>
      <c r="K970" s="126">
        <v>140</v>
      </c>
      <c r="L970" s="129">
        <f>INT(base[[#This Row],[Data de liquidação]])</f>
        <v>46068</v>
      </c>
      <c r="M970" s="126">
        <f>base[[#This Row],[L/P Bruto]]-base[[#This Row],[L/P Líquido]]</f>
        <v>0.45000000000000107</v>
      </c>
      <c r="N970" s="126">
        <f>base[[#This Row],[L/P Líquido]]/base[[#This Row],[Stake/Responsabilidade]]</f>
        <v>6.8214285714285713E-2</v>
      </c>
      <c r="O970" s="132">
        <f>IF(base[[#This Row],[L/P Líquido]]&gt;0,1,0)</f>
        <v>1</v>
      </c>
      <c r="P970" s="132"/>
      <c r="Q970" s="132" t="str">
        <f>LEFT(base[[#This Row],[Evento / Mercado]],FIND("vs",base[[#This Row],[Evento / Mercado]])-2)</f>
        <v>RB Leipzig</v>
      </c>
      <c r="R9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970" s="132" t="e">
        <f>LEFT(base[[#This Row],[Evento / Mercado]],FIND("/",base[[#This Row],[Evento / Mercado]])-2)</f>
        <v>#VALUE!</v>
      </c>
      <c r="U970" s="9"/>
    </row>
    <row r="971" spans="2:21" ht="15" customHeight="1">
      <c r="B971" s="128" t="s">
        <v>841</v>
      </c>
      <c r="C971" s="128" t="s">
        <v>2982</v>
      </c>
      <c r="D971" s="129">
        <v>46068.64398148148</v>
      </c>
      <c r="E971" s="130">
        <v>8.82</v>
      </c>
      <c r="F971" s="131">
        <v>4.4999999999999998E-2</v>
      </c>
      <c r="G971" s="126">
        <f t="shared" si="16"/>
        <v>9.2356020942408392</v>
      </c>
      <c r="H971" s="126" t="s">
        <v>145</v>
      </c>
      <c r="I971" s="127" t="s">
        <v>301</v>
      </c>
      <c r="J971" s="126">
        <v>6.4</v>
      </c>
      <c r="K971" s="126">
        <v>250.02</v>
      </c>
      <c r="L971" s="129">
        <f>INT(base[[#This Row],[Data de liquidação]])</f>
        <v>46068</v>
      </c>
      <c r="M971" s="126">
        <f>base[[#This Row],[L/P Bruto]]-base[[#This Row],[L/P Líquido]]</f>
        <v>0.41560209424083894</v>
      </c>
      <c r="N971" s="126">
        <f>base[[#This Row],[L/P Líquido]]/base[[#This Row],[Stake/Responsabilidade]]</f>
        <v>3.5277177825773935E-2</v>
      </c>
      <c r="O971" s="132">
        <f>IF(base[[#This Row],[L/P Líquido]]&gt;0,1,0)</f>
        <v>1</v>
      </c>
      <c r="P971" s="132" t="s">
        <v>962</v>
      </c>
      <c r="Q971" s="132" t="str">
        <f>LEFT(base[[#This Row],[Evento / Mercado]],FIND("vs",base[[#This Row],[Evento / Mercado]])-2)</f>
        <v>RB Leipzig</v>
      </c>
      <c r="R9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971" s="132" t="e">
        <f>LEFT(base[[#This Row],[Evento / Mercado]],FIND("/",base[[#This Row],[Evento / Mercado]])-2)</f>
        <v>#VALUE!</v>
      </c>
      <c r="U971" s="9"/>
    </row>
    <row r="972" spans="2:21" ht="15" customHeight="1">
      <c r="B972" s="128" t="s">
        <v>840</v>
      </c>
      <c r="C972" s="128" t="s">
        <v>2982</v>
      </c>
      <c r="D972" s="129">
        <v>46068.645254629628</v>
      </c>
      <c r="E972" s="130">
        <v>13.37</v>
      </c>
      <c r="F972" s="131">
        <v>4.4999999999999998E-2</v>
      </c>
      <c r="G972" s="126">
        <f t="shared" si="16"/>
        <v>14</v>
      </c>
      <c r="H972" s="126" t="s">
        <v>73</v>
      </c>
      <c r="I972" s="127" t="s">
        <v>16</v>
      </c>
      <c r="J972" s="126">
        <v>11</v>
      </c>
      <c r="K972" s="126">
        <v>140</v>
      </c>
      <c r="L972" s="129">
        <f>INT(base[[#This Row],[Data de liquidação]])</f>
        <v>46068</v>
      </c>
      <c r="M972" s="126">
        <f>base[[#This Row],[L/P Bruto]]-base[[#This Row],[L/P Líquido]]</f>
        <v>0.63000000000000078</v>
      </c>
      <c r="N972" s="126">
        <f>base[[#This Row],[L/P Líquido]]/base[[#This Row],[Stake/Responsabilidade]]</f>
        <v>9.5499999999999988E-2</v>
      </c>
      <c r="O972" s="132">
        <f>IF(base[[#This Row],[L/P Líquido]]&gt;0,1,0)</f>
        <v>1</v>
      </c>
      <c r="P972" s="132"/>
      <c r="Q972" s="132" t="str">
        <f>LEFT(base[[#This Row],[Evento / Mercado]],FIND("vs",base[[#This Row],[Evento / Mercado]])-2)</f>
        <v>FC Koper</v>
      </c>
      <c r="R9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Radomlje</v>
      </c>
      <c r="S972" s="132" t="e">
        <f>LEFT(base[[#This Row],[Evento / Mercado]],FIND("/",base[[#This Row],[Evento / Mercado]])-2)</f>
        <v>#VALUE!</v>
      </c>
      <c r="U972" s="9"/>
    </row>
    <row r="973" spans="2:21" ht="15" customHeight="1">
      <c r="B973" s="128" t="s">
        <v>839</v>
      </c>
      <c r="C973" s="128" t="s">
        <v>2982</v>
      </c>
      <c r="D973" s="129">
        <v>46068.65116898148</v>
      </c>
      <c r="E973" s="130">
        <v>-139.1</v>
      </c>
      <c r="F973" s="131">
        <v>4.4999999999999998E-2</v>
      </c>
      <c r="G973" s="126">
        <f t="shared" si="16"/>
        <v>-139.1</v>
      </c>
      <c r="H973" s="126" t="s">
        <v>73</v>
      </c>
      <c r="I973" s="127" t="s">
        <v>16</v>
      </c>
      <c r="J973" s="126">
        <v>10</v>
      </c>
      <c r="K973" s="126">
        <v>139.1</v>
      </c>
      <c r="L973" s="129">
        <f>INT(base[[#This Row],[Data de liquidação]])</f>
        <v>46068</v>
      </c>
      <c r="M973" s="126">
        <f>base[[#This Row],[L/P Bruto]]-base[[#This Row],[L/P Líquido]]</f>
        <v>0</v>
      </c>
      <c r="N973" s="126">
        <f>base[[#This Row],[L/P Líquido]]/base[[#This Row],[Stake/Responsabilidade]]</f>
        <v>-1</v>
      </c>
      <c r="O973" s="132">
        <f>IF(base[[#This Row],[L/P Líquido]]&gt;0,1,0)</f>
        <v>0</v>
      </c>
      <c r="P973" s="132"/>
      <c r="Q973" s="132" t="str">
        <f>LEFT(base[[#This Row],[Evento / Mercado]],FIND("vs",base[[#This Row],[Evento / Mercado]])-2)</f>
        <v>Györi ETO FC</v>
      </c>
      <c r="R9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Kisvárda</v>
      </c>
      <c r="S973" s="132" t="e">
        <f>LEFT(base[[#This Row],[Evento / Mercado]],FIND("/",base[[#This Row],[Evento / Mercado]])-2)</f>
        <v>#VALUE!</v>
      </c>
      <c r="U973" s="9"/>
    </row>
    <row r="974" spans="2:21" ht="15" customHeight="1">
      <c r="B974" s="128" t="s">
        <v>838</v>
      </c>
      <c r="C974" s="128" t="s">
        <v>2982</v>
      </c>
      <c r="D974" s="129">
        <v>46068.694131944445</v>
      </c>
      <c r="E974" s="130">
        <v>9.48</v>
      </c>
      <c r="F974" s="131">
        <v>4.4999999999999998E-2</v>
      </c>
      <c r="G974" s="126">
        <f t="shared" si="16"/>
        <v>9.9267015706806294</v>
      </c>
      <c r="H974" s="126" t="s">
        <v>73</v>
      </c>
      <c r="I974" s="127" t="s">
        <v>13</v>
      </c>
      <c r="J974" s="126">
        <v>15</v>
      </c>
      <c r="K974" s="126">
        <v>138.91</v>
      </c>
      <c r="L974" s="129">
        <f>INT(base[[#This Row],[Data de liquidação]])</f>
        <v>46068</v>
      </c>
      <c r="M974" s="126">
        <f>base[[#This Row],[L/P Bruto]]-base[[#This Row],[L/P Líquido]]</f>
        <v>0.44670157068062899</v>
      </c>
      <c r="N974" s="126">
        <f>base[[#This Row],[L/P Líquido]]/base[[#This Row],[Stake/Responsabilidade]]</f>
        <v>6.8245626664746969E-2</v>
      </c>
      <c r="O974" s="132">
        <f>IF(base[[#This Row],[L/P Líquido]]&gt;0,1,0)</f>
        <v>1</v>
      </c>
      <c r="P974" s="132"/>
      <c r="Q974" s="132" t="str">
        <f>LEFT(base[[#This Row],[Evento / Mercado]],FIND("vs",base[[#This Row],[Evento / Mercado]])-2)</f>
        <v>Anderlecht</v>
      </c>
      <c r="R9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RAAL La Louviere</v>
      </c>
      <c r="S974" s="132" t="e">
        <f>LEFT(base[[#This Row],[Evento / Mercado]],FIND("/",base[[#This Row],[Evento / Mercado]])-2)</f>
        <v>#VALUE!</v>
      </c>
      <c r="U974" s="9"/>
    </row>
    <row r="975" spans="2:21" ht="15" customHeight="1">
      <c r="B975" s="128" t="s">
        <v>837</v>
      </c>
      <c r="C975" s="128" t="s">
        <v>2982</v>
      </c>
      <c r="D975" s="129">
        <v>46068.729375000003</v>
      </c>
      <c r="E975" s="130">
        <v>15.92</v>
      </c>
      <c r="F975" s="131">
        <v>4.4999999999999998E-2</v>
      </c>
      <c r="G975" s="126">
        <f t="shared" si="16"/>
        <v>16.670157068062828</v>
      </c>
      <c r="H975" s="126" t="s">
        <v>73</v>
      </c>
      <c r="I975" s="127" t="s">
        <v>16</v>
      </c>
      <c r="J975" s="126">
        <v>9.4</v>
      </c>
      <c r="K975" s="126">
        <v>140.03</v>
      </c>
      <c r="L975" s="129">
        <f>INT(base[[#This Row],[Data de liquidação]])</f>
        <v>46068</v>
      </c>
      <c r="M975" s="126">
        <f>base[[#This Row],[L/P Bruto]]-base[[#This Row],[L/P Líquido]]</f>
        <v>0.750157068062828</v>
      </c>
      <c r="N975" s="126">
        <f>base[[#This Row],[L/P Líquido]]/base[[#This Row],[Stake/Responsabilidade]]</f>
        <v>0.11368992358780261</v>
      </c>
      <c r="O975" s="132">
        <f>IF(base[[#This Row],[L/P Líquido]]&gt;0,1,0)</f>
        <v>1</v>
      </c>
      <c r="P975" s="132"/>
      <c r="Q975" s="132" t="str">
        <f>LEFT(base[[#This Row],[Evento / Mercado]],FIND("vs",base[[#This Row],[Evento / Mercado]])-2)</f>
        <v>Sint-Truidense VV</v>
      </c>
      <c r="R9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Zulte Waregem</v>
      </c>
      <c r="S975" s="132" t="e">
        <f>LEFT(base[[#This Row],[Evento / Mercado]],FIND("/",base[[#This Row],[Evento / Mercado]])-2)</f>
        <v>#VALUE!</v>
      </c>
      <c r="U975" s="9"/>
    </row>
    <row r="976" spans="2:21" ht="15" customHeight="1">
      <c r="B976" s="128" t="s">
        <v>836</v>
      </c>
      <c r="C976" s="128" t="s">
        <v>2982</v>
      </c>
      <c r="D976" s="129">
        <v>46068.749722222223</v>
      </c>
      <c r="E976" s="130">
        <v>7.87</v>
      </c>
      <c r="F976" s="131">
        <v>4.4999999999999998E-2</v>
      </c>
      <c r="G976" s="126">
        <f t="shared" si="16"/>
        <v>8.2408376963350793</v>
      </c>
      <c r="H976" s="126" t="s">
        <v>73</v>
      </c>
      <c r="I976" s="127" t="s">
        <v>13</v>
      </c>
      <c r="J976" s="126">
        <v>18</v>
      </c>
      <c r="K976" s="126">
        <v>140.08000000000001</v>
      </c>
      <c r="L976" s="129">
        <f>INT(base[[#This Row],[Data de liquidação]])</f>
        <v>46068</v>
      </c>
      <c r="M976" s="126">
        <f>base[[#This Row],[L/P Bruto]]-base[[#This Row],[L/P Líquido]]</f>
        <v>0.37083769633507924</v>
      </c>
      <c r="N976" s="126">
        <f>base[[#This Row],[L/P Líquido]]/base[[#This Row],[Stake/Responsabilidade]]</f>
        <v>5.6182181610508274E-2</v>
      </c>
      <c r="O976" s="132">
        <f>IF(base[[#This Row],[L/P Líquido]]&gt;0,1,0)</f>
        <v>1</v>
      </c>
      <c r="P976" s="132"/>
      <c r="Q976" s="132" t="str">
        <f>LEFT(base[[#This Row],[Evento / Mercado]],FIND("vs",base[[#This Row],[Evento / Mercado]])-2)</f>
        <v>Panathinaikos</v>
      </c>
      <c r="R9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Athlitiki Enosi Larissa</v>
      </c>
      <c r="S976" s="132" t="e">
        <f>LEFT(base[[#This Row],[Evento / Mercado]],FIND("/",base[[#This Row],[Evento / Mercado]])-2)</f>
        <v>#VALUE!</v>
      </c>
      <c r="U976" s="9"/>
    </row>
    <row r="977" spans="2:21" ht="15" customHeight="1">
      <c r="B977" s="128" t="s">
        <v>835</v>
      </c>
      <c r="C977" s="128" t="s">
        <v>2982</v>
      </c>
      <c r="D977" s="129">
        <v>46068.783067129632</v>
      </c>
      <c r="E977" s="130">
        <v>15.194049999999999</v>
      </c>
      <c r="F977" s="131">
        <v>4.4999999999999998E-2</v>
      </c>
      <c r="G977" s="126">
        <f t="shared" si="16"/>
        <v>15.91</v>
      </c>
      <c r="H977" s="126" t="s">
        <v>73</v>
      </c>
      <c r="I977" s="127" t="s">
        <v>16</v>
      </c>
      <c r="J977" s="126">
        <v>9.8000000000000007</v>
      </c>
      <c r="K977" s="126">
        <v>140.01</v>
      </c>
      <c r="L977" s="129">
        <f>INT(base[[#This Row],[Data de liquidação]])</f>
        <v>46068</v>
      </c>
      <c r="M977" s="126">
        <f>base[[#This Row],[L/P Bruto]]-base[[#This Row],[L/P Líquido]]</f>
        <v>0.7159500000000012</v>
      </c>
      <c r="N977" s="126">
        <f>base[[#This Row],[L/P Líquido]]/base[[#This Row],[Stake/Responsabilidade]]</f>
        <v>0.10852117705878152</v>
      </c>
      <c r="O977" s="132">
        <f>IF(base[[#This Row],[L/P Líquido]]&gt;0,1,0)</f>
        <v>1</v>
      </c>
      <c r="P977" s="132"/>
      <c r="Q977" s="132" t="str">
        <f>LEFT(base[[#This Row],[Evento / Mercado]],FIND("vs",base[[#This Row],[Evento / Mercado]])-2)</f>
        <v>Olympique Lyonnais</v>
      </c>
      <c r="R9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OGC Nice</v>
      </c>
      <c r="S977" s="132" t="e">
        <f>LEFT(base[[#This Row],[Evento / Mercado]],FIND("/",base[[#This Row],[Evento / Mercado]])-2)</f>
        <v>#VALUE!</v>
      </c>
      <c r="T977" s="8">
        <v>15.91</v>
      </c>
      <c r="U977" s="9">
        <f>T977*0.955</f>
        <v>15.194049999999999</v>
      </c>
    </row>
    <row r="978" spans="2:21" ht="15" customHeight="1">
      <c r="B978" s="128" t="s">
        <v>835</v>
      </c>
      <c r="C978" s="128" t="s">
        <v>2982</v>
      </c>
      <c r="D978" s="129">
        <v>46068.783067129632</v>
      </c>
      <c r="E978" s="130">
        <v>7.8692000000000002</v>
      </c>
      <c r="F978" s="131">
        <v>4.4999999999999998E-2</v>
      </c>
      <c r="G978" s="126">
        <f t="shared" si="16"/>
        <v>8.24</v>
      </c>
      <c r="H978" s="126" t="s">
        <v>73</v>
      </c>
      <c r="I978" s="127" t="s">
        <v>13</v>
      </c>
      <c r="J978" s="126">
        <v>18</v>
      </c>
      <c r="K978" s="126">
        <v>140.08000000000001</v>
      </c>
      <c r="L978" s="129">
        <f>INT(base[[#This Row],[Data de liquidação]])</f>
        <v>46068</v>
      </c>
      <c r="M978" s="126">
        <f>base[[#This Row],[L/P Bruto]]-base[[#This Row],[L/P Líquido]]</f>
        <v>0.37080000000000002</v>
      </c>
      <c r="N978" s="126">
        <f>base[[#This Row],[L/P Líquido]]/base[[#This Row],[Stake/Responsabilidade]]</f>
        <v>5.6176470588235293E-2</v>
      </c>
      <c r="O978" s="132">
        <f>IF(base[[#This Row],[L/P Líquido]]&gt;0,1,0)</f>
        <v>1</v>
      </c>
      <c r="P978" s="132"/>
      <c r="Q978" s="132" t="str">
        <f>LEFT(base[[#This Row],[Evento / Mercado]],FIND("vs",base[[#This Row],[Evento / Mercado]])-2)</f>
        <v>Olympique Lyonnais</v>
      </c>
      <c r="R9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OGC Nice</v>
      </c>
      <c r="S978" s="132" t="e">
        <f>LEFT(base[[#This Row],[Evento / Mercado]],FIND("/",base[[#This Row],[Evento / Mercado]])-2)</f>
        <v>#VALUE!</v>
      </c>
      <c r="T978" s="8">
        <v>8.24</v>
      </c>
      <c r="U978" s="9">
        <f>T978*0.955</f>
        <v>7.8692000000000002</v>
      </c>
    </row>
    <row r="979" spans="2:21" ht="15" customHeight="1">
      <c r="B979" s="128" t="s">
        <v>834</v>
      </c>
      <c r="C979" s="128" t="s">
        <v>2982</v>
      </c>
      <c r="D979" s="129">
        <v>46068.787569444445</v>
      </c>
      <c r="E979" s="130">
        <v>-80</v>
      </c>
      <c r="F979" s="131">
        <v>4.4999999999999998E-2</v>
      </c>
      <c r="G979" s="126">
        <f t="shared" si="16"/>
        <v>-80</v>
      </c>
      <c r="H979" s="126" t="s">
        <v>231</v>
      </c>
      <c r="I979" s="127" t="s">
        <v>232</v>
      </c>
      <c r="J979" s="126">
        <v>1.86</v>
      </c>
      <c r="K979" s="126">
        <v>80</v>
      </c>
      <c r="L979" s="129">
        <f>INT(base[[#This Row],[Data de liquidação]])</f>
        <v>46068</v>
      </c>
      <c r="M979" s="126">
        <f>base[[#This Row],[L/P Bruto]]-base[[#This Row],[L/P Líquido]]</f>
        <v>0</v>
      </c>
      <c r="N979" s="126">
        <f>base[[#This Row],[L/P Líquido]]/base[[#This Row],[Stake/Responsabilidade]]</f>
        <v>-1</v>
      </c>
      <c r="O979" s="132">
        <f>IF(base[[#This Row],[L/P Líquido]]&gt;0,1,0)</f>
        <v>0</v>
      </c>
      <c r="P979" s="132"/>
      <c r="Q979" s="132" t="str">
        <f>LEFT(base[[#This Row],[Evento / Mercado]],FIND("vs",base[[#This Row],[Evento / Mercado]])-2)</f>
        <v>CD Castellon</v>
      </c>
      <c r="R9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La Coruña</v>
      </c>
      <c r="S979" s="132" t="e">
        <f>LEFT(base[[#This Row],[Evento / Mercado]],FIND("/",base[[#This Row],[Evento / Mercado]])-2)</f>
        <v>#VALUE!</v>
      </c>
      <c r="U979" s="9"/>
    </row>
    <row r="980" spans="2:21" ht="15" customHeight="1">
      <c r="B980" s="128" t="s">
        <v>834</v>
      </c>
      <c r="C980" s="128" t="s">
        <v>2982</v>
      </c>
      <c r="D980" s="129">
        <v>46068.787592592591</v>
      </c>
      <c r="E980" s="130">
        <v>7.8692000000000002</v>
      </c>
      <c r="F980" s="131">
        <v>4.4999999999999998E-2</v>
      </c>
      <c r="G980" s="126">
        <f t="shared" si="16"/>
        <v>8.24</v>
      </c>
      <c r="H980" s="126" t="s">
        <v>73</v>
      </c>
      <c r="I980" s="127" t="s">
        <v>13</v>
      </c>
      <c r="J980" s="126">
        <v>18</v>
      </c>
      <c r="K980" s="126">
        <v>140.08000000000001</v>
      </c>
      <c r="L980" s="129">
        <f>INT(base[[#This Row],[Data de liquidação]])</f>
        <v>46068</v>
      </c>
      <c r="M980" s="126">
        <f>base[[#This Row],[L/P Bruto]]-base[[#This Row],[L/P Líquido]]</f>
        <v>0.37080000000000002</v>
      </c>
      <c r="N980" s="126">
        <f>base[[#This Row],[L/P Líquido]]/base[[#This Row],[Stake/Responsabilidade]]</f>
        <v>5.6176470588235293E-2</v>
      </c>
      <c r="O980" s="132">
        <f>IF(base[[#This Row],[L/P Líquido]]&gt;0,1,0)</f>
        <v>1</v>
      </c>
      <c r="P980" s="132"/>
      <c r="Q980" s="132" t="str">
        <f>LEFT(base[[#This Row],[Evento / Mercado]],FIND("vs",base[[#This Row],[Evento / Mercado]])-2)</f>
        <v>CD Castellon</v>
      </c>
      <c r="R9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La Coruña</v>
      </c>
      <c r="S980" s="132" t="e">
        <f>LEFT(base[[#This Row],[Evento / Mercado]],FIND("/",base[[#This Row],[Evento / Mercado]])-2)</f>
        <v>#VALUE!</v>
      </c>
      <c r="T980" s="8">
        <v>8.24</v>
      </c>
      <c r="U980" s="9">
        <f>T980*0.955</f>
        <v>7.8692000000000002</v>
      </c>
    </row>
    <row r="981" spans="2:21" ht="15" customHeight="1">
      <c r="B981" s="128" t="s">
        <v>834</v>
      </c>
      <c r="C981" s="128" t="s">
        <v>2982</v>
      </c>
      <c r="D981" s="129">
        <v>46068.787592592591</v>
      </c>
      <c r="E981" s="130">
        <v>15.91985</v>
      </c>
      <c r="F981" s="131">
        <v>4.4999999999999998E-2</v>
      </c>
      <c r="G981" s="126">
        <f t="shared" si="16"/>
        <v>16.670000000000002</v>
      </c>
      <c r="H981" s="126" t="s">
        <v>73</v>
      </c>
      <c r="I981" s="127" t="s">
        <v>16</v>
      </c>
      <c r="J981" s="126">
        <v>9.4</v>
      </c>
      <c r="K981" s="126">
        <v>140.03</v>
      </c>
      <c r="L981" s="129">
        <f>INT(base[[#This Row],[Data de liquidação]])</f>
        <v>46068</v>
      </c>
      <c r="M981" s="126">
        <f>base[[#This Row],[L/P Bruto]]-base[[#This Row],[L/P Líquido]]</f>
        <v>0.75015000000000143</v>
      </c>
      <c r="N981" s="126">
        <f>base[[#This Row],[L/P Líquido]]/base[[#This Row],[Stake/Responsabilidade]]</f>
        <v>0.11368885238877384</v>
      </c>
      <c r="O981" s="132">
        <f>IF(base[[#This Row],[L/P Líquido]]&gt;0,1,0)</f>
        <v>1</v>
      </c>
      <c r="P981" s="132"/>
      <c r="Q981" s="132" t="str">
        <f>LEFT(base[[#This Row],[Evento / Mercado]],FIND("vs",base[[#This Row],[Evento / Mercado]])-2)</f>
        <v>CD Castellon</v>
      </c>
      <c r="R9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La Coruña</v>
      </c>
      <c r="S981" s="132" t="e">
        <f>LEFT(base[[#This Row],[Evento / Mercado]],FIND("/",base[[#This Row],[Evento / Mercado]])-2)</f>
        <v>#VALUE!</v>
      </c>
      <c r="T981" s="8">
        <v>16.670000000000002</v>
      </c>
      <c r="U981" s="9">
        <f>T981*0.955</f>
        <v>15.91985</v>
      </c>
    </row>
    <row r="982" spans="2:21" ht="15" customHeight="1">
      <c r="B982" s="128" t="s">
        <v>833</v>
      </c>
      <c r="C982" s="128" t="s">
        <v>2982</v>
      </c>
      <c r="D982" s="129">
        <v>46068.891747685186</v>
      </c>
      <c r="E982" s="130">
        <v>9.48</v>
      </c>
      <c r="F982" s="131">
        <v>4.4999999999999998E-2</v>
      </c>
      <c r="G982" s="126">
        <f t="shared" si="16"/>
        <v>9.9267015706806294</v>
      </c>
      <c r="H982" s="126" t="s">
        <v>73</v>
      </c>
      <c r="I982" s="127" t="s">
        <v>13</v>
      </c>
      <c r="J982" s="126">
        <v>15</v>
      </c>
      <c r="K982" s="126">
        <v>138.94</v>
      </c>
      <c r="L982" s="129">
        <f>INT(base[[#This Row],[Data de liquidação]])</f>
        <v>46068</v>
      </c>
      <c r="M982" s="126">
        <f>base[[#This Row],[L/P Bruto]]-base[[#This Row],[L/P Líquido]]</f>
        <v>0.44670157068062899</v>
      </c>
      <c r="N982" s="126">
        <f>base[[#This Row],[L/P Líquido]]/base[[#This Row],[Stake/Responsabilidade]]</f>
        <v>6.8230891032100185E-2</v>
      </c>
      <c r="O982" s="132">
        <f>IF(base[[#This Row],[L/P Líquido]]&gt;0,1,0)</f>
        <v>1</v>
      </c>
      <c r="P982" s="132"/>
      <c r="Q982" s="132" t="str">
        <f>LEFT(base[[#This Row],[Evento / Mercado]],FIND("vs",base[[#This Row],[Evento / Mercado]])-2)</f>
        <v>Boca Juniors</v>
      </c>
      <c r="R9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Platense</v>
      </c>
      <c r="S982" s="132" t="e">
        <f>LEFT(base[[#This Row],[Evento / Mercado]],FIND("/",base[[#This Row],[Evento / Mercado]])-2)</f>
        <v>#VALUE!</v>
      </c>
      <c r="U982" s="9"/>
    </row>
    <row r="983" spans="2:21" ht="15" customHeight="1">
      <c r="B983" s="128" t="s">
        <v>832</v>
      </c>
      <c r="C983" s="128" t="s">
        <v>2982</v>
      </c>
      <c r="D983" s="129">
        <v>46069.62358796296</v>
      </c>
      <c r="E983" s="130">
        <v>7.87</v>
      </c>
      <c r="F983" s="131">
        <v>4.4999999999999998E-2</v>
      </c>
      <c r="G983" s="126">
        <f t="shared" si="16"/>
        <v>8.2408376963350793</v>
      </c>
      <c r="H983" s="126" t="s">
        <v>73</v>
      </c>
      <c r="I983" s="127" t="s">
        <v>13</v>
      </c>
      <c r="J983" s="126">
        <v>18</v>
      </c>
      <c r="K983" s="126">
        <v>140.08000000000001</v>
      </c>
      <c r="L983" s="129">
        <f>INT(base[[#This Row],[Data de liquidação]])</f>
        <v>46069</v>
      </c>
      <c r="M983" s="126">
        <f>base[[#This Row],[L/P Bruto]]-base[[#This Row],[L/P Líquido]]</f>
        <v>0.37083769633507924</v>
      </c>
      <c r="N983" s="126">
        <f>base[[#This Row],[L/P Líquido]]/base[[#This Row],[Stake/Responsabilidade]]</f>
        <v>5.6182181610508274E-2</v>
      </c>
      <c r="O983" s="132">
        <f>IF(base[[#This Row],[L/P Líquido]]&gt;0,1,0)</f>
        <v>1</v>
      </c>
      <c r="P983" s="132"/>
      <c r="Q983" s="132" t="str">
        <f>LEFT(base[[#This Row],[Evento / Mercado]],FIND("vs",base[[#This Row],[Evento / Mercado]])-2)</f>
        <v>Al-Sharjah</v>
      </c>
      <c r="R9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Nasaf Qarshi</v>
      </c>
      <c r="S983" s="132" t="e">
        <f>LEFT(base[[#This Row],[Evento / Mercado]],FIND("/",base[[#This Row],[Evento / Mercado]])-2)</f>
        <v>#VALUE!</v>
      </c>
      <c r="U983" s="9"/>
    </row>
    <row r="984" spans="2:21" ht="15" customHeight="1">
      <c r="B984" s="128" t="s">
        <v>831</v>
      </c>
      <c r="C984" s="128" t="s">
        <v>2982</v>
      </c>
      <c r="D984" s="129">
        <v>46069.716168981482</v>
      </c>
      <c r="E984" s="130">
        <v>13.37</v>
      </c>
      <c r="F984" s="131">
        <v>4.4999999999999998E-2</v>
      </c>
      <c r="G984" s="126">
        <f t="shared" si="16"/>
        <v>14</v>
      </c>
      <c r="H984" s="126" t="s">
        <v>73</v>
      </c>
      <c r="I984" s="127" t="s">
        <v>16</v>
      </c>
      <c r="J984" s="126">
        <v>11</v>
      </c>
      <c r="K984" s="126">
        <v>140</v>
      </c>
      <c r="L984" s="129">
        <f>INT(base[[#This Row],[Data de liquidação]])</f>
        <v>46069</v>
      </c>
      <c r="M984" s="126">
        <f>base[[#This Row],[L/P Bruto]]-base[[#This Row],[L/P Líquido]]</f>
        <v>0.63000000000000078</v>
      </c>
      <c r="N984" s="126">
        <f>base[[#This Row],[L/P Líquido]]/base[[#This Row],[Stake/Responsabilidade]]</f>
        <v>9.5499999999999988E-2</v>
      </c>
      <c r="O984" s="132">
        <f>IF(base[[#This Row],[L/P Líquido]]&gt;0,1,0)</f>
        <v>1</v>
      </c>
      <c r="P984" s="132"/>
      <c r="Q984" s="132" t="str">
        <f>LEFT(base[[#This Row],[Evento / Mercado]],FIND("vs",base[[#This Row],[Evento / Mercado]])-2)</f>
        <v>Al-Hilal Riyadh</v>
      </c>
      <c r="R9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Al-Wahda Abu Dhabi</v>
      </c>
      <c r="S984" s="132" t="e">
        <f>LEFT(base[[#This Row],[Evento / Mercado]],FIND("/",base[[#This Row],[Evento / Mercado]])-2)</f>
        <v>#VALUE!</v>
      </c>
      <c r="U984" s="9"/>
    </row>
    <row r="985" spans="2:21" ht="15" customHeight="1">
      <c r="B985" s="128" t="s">
        <v>830</v>
      </c>
      <c r="C985" s="128" t="s">
        <v>2982</v>
      </c>
      <c r="D985" s="129">
        <v>46069.74763888889</v>
      </c>
      <c r="E985" s="130">
        <v>7.87</v>
      </c>
      <c r="F985" s="131">
        <v>4.4999999999999998E-2</v>
      </c>
      <c r="G985" s="126">
        <f t="shared" si="16"/>
        <v>8.2408376963350793</v>
      </c>
      <c r="H985" s="126" t="s">
        <v>73</v>
      </c>
      <c r="I985" s="127" t="s">
        <v>13</v>
      </c>
      <c r="J985" s="126">
        <v>18</v>
      </c>
      <c r="K985" s="126">
        <v>140.08000000000001</v>
      </c>
      <c r="L985" s="129">
        <f>INT(base[[#This Row],[Data de liquidação]])</f>
        <v>46069</v>
      </c>
      <c r="M985" s="126">
        <f>base[[#This Row],[L/P Bruto]]-base[[#This Row],[L/P Líquido]]</f>
        <v>0.37083769633507924</v>
      </c>
      <c r="N985" s="126">
        <f>base[[#This Row],[L/P Líquido]]/base[[#This Row],[Stake/Responsabilidade]]</f>
        <v>5.6182181610508274E-2</v>
      </c>
      <c r="O985" s="132">
        <f>IF(base[[#This Row],[L/P Líquido]]&gt;0,1,0)</f>
        <v>1</v>
      </c>
      <c r="P985" s="132"/>
      <c r="Q985" s="132" t="str">
        <f>LEFT(base[[#This Row],[Evento / Mercado]],FIND("vs",base[[#This Row],[Evento / Mercado]])-2)</f>
        <v>Jong FC Utrecht</v>
      </c>
      <c r="R9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Willem II</v>
      </c>
      <c r="S985" s="132" t="e">
        <f>LEFT(base[[#This Row],[Evento / Mercado]],FIND("/",base[[#This Row],[Evento / Mercado]])-2)</f>
        <v>#VALUE!</v>
      </c>
      <c r="U985" s="9"/>
    </row>
    <row r="986" spans="2:21" ht="15" customHeight="1">
      <c r="B986" s="128" t="s">
        <v>829</v>
      </c>
      <c r="C986" s="128" t="s">
        <v>2982</v>
      </c>
      <c r="D986" s="129">
        <v>46069.769074074073</v>
      </c>
      <c r="E986" s="130">
        <v>58.06</v>
      </c>
      <c r="F986" s="131">
        <v>4.4999999999999998E-2</v>
      </c>
      <c r="G986" s="126">
        <f t="shared" si="16"/>
        <v>60.795811518324612</v>
      </c>
      <c r="H986" s="126" t="s">
        <v>231</v>
      </c>
      <c r="I986" s="127" t="s">
        <v>232</v>
      </c>
      <c r="J986" s="126">
        <v>1.76</v>
      </c>
      <c r="K986" s="126">
        <v>80</v>
      </c>
      <c r="L986" s="129">
        <f>INT(base[[#This Row],[Data de liquidação]])</f>
        <v>46069</v>
      </c>
      <c r="M986" s="126">
        <f>base[[#This Row],[L/P Bruto]]-base[[#This Row],[L/P Líquido]]</f>
        <v>2.7358115183246099</v>
      </c>
      <c r="N986" s="126">
        <f>base[[#This Row],[L/P Líquido]]/base[[#This Row],[Stake/Responsabilidade]]</f>
        <v>0.72575000000000001</v>
      </c>
      <c r="O986" s="132">
        <f>IF(base[[#This Row],[L/P Líquido]]&gt;0,1,0)</f>
        <v>1</v>
      </c>
      <c r="P986" s="132"/>
      <c r="Q986" s="132" t="str">
        <f>LEFT(base[[#This Row],[Evento / Mercado]],FIND("vs",base[[#This Row],[Evento / Mercado]])-2)</f>
        <v>Coventry City</v>
      </c>
      <c r="R9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Middlesbrough</v>
      </c>
      <c r="S986" s="132" t="e">
        <f>LEFT(base[[#This Row],[Evento / Mercado]],FIND("/",base[[#This Row],[Evento / Mercado]])-2)</f>
        <v>#VALUE!</v>
      </c>
      <c r="U986" s="9"/>
    </row>
    <row r="987" spans="2:21" ht="15" customHeight="1">
      <c r="B987" s="128" t="s">
        <v>828</v>
      </c>
      <c r="C987" s="128" t="s">
        <v>2982</v>
      </c>
      <c r="D987" s="129">
        <v>46069.790694444448</v>
      </c>
      <c r="E987" s="130">
        <v>17.059999999999999</v>
      </c>
      <c r="F987" s="131">
        <v>4.4999999999999998E-2</v>
      </c>
      <c r="G987" s="126">
        <f t="shared" si="16"/>
        <v>17.863874345549739</v>
      </c>
      <c r="H987" s="126" t="s">
        <v>74</v>
      </c>
      <c r="I987" s="127" t="s">
        <v>541</v>
      </c>
      <c r="J987" s="126">
        <v>15</v>
      </c>
      <c r="K987" s="126">
        <v>250.04</v>
      </c>
      <c r="L987" s="129">
        <f>INT(base[[#This Row],[Data de liquidação]])</f>
        <v>46069</v>
      </c>
      <c r="M987" s="126">
        <f>base[[#This Row],[L/P Bruto]]-base[[#This Row],[L/P Líquido]]</f>
        <v>0.80387434554974035</v>
      </c>
      <c r="N987" s="126">
        <f>base[[#This Row],[L/P Líquido]]/base[[#This Row],[Stake/Responsabilidade]]</f>
        <v>6.8229083346664526E-2</v>
      </c>
      <c r="O987" s="132">
        <f>IF(base[[#This Row],[L/P Líquido]]&gt;0,1,0)</f>
        <v>1</v>
      </c>
      <c r="P987" s="132" t="s">
        <v>964</v>
      </c>
      <c r="Q987" s="132" t="str">
        <f>LEFT(base[[#This Row],[Evento / Mercado]],FIND("vs",base[[#This Row],[Evento / Mercado]])-2)</f>
        <v>Girona</v>
      </c>
      <c r="R9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987" s="132" t="e">
        <f>LEFT(base[[#This Row],[Evento / Mercado]],FIND("/",base[[#This Row],[Evento / Mercado]])-2)</f>
        <v>#VALUE!</v>
      </c>
      <c r="U987" s="9"/>
    </row>
    <row r="988" spans="2:21" ht="15" customHeight="1">
      <c r="B988" s="128" t="s">
        <v>828</v>
      </c>
      <c r="C988" s="128" t="s">
        <v>2982</v>
      </c>
      <c r="D988" s="129">
        <v>46069.790844907409</v>
      </c>
      <c r="E988" s="130">
        <v>-8.92</v>
      </c>
      <c r="F988" s="131">
        <v>4.4999999999999998E-2</v>
      </c>
      <c r="G988" s="126">
        <f t="shared" si="16"/>
        <v>-8.92</v>
      </c>
      <c r="H988" s="126" t="s">
        <v>145</v>
      </c>
      <c r="I988" s="127" t="s">
        <v>300</v>
      </c>
      <c r="J988" s="126">
        <v>9</v>
      </c>
      <c r="K988" s="126">
        <v>250</v>
      </c>
      <c r="L988" s="129">
        <f>INT(base[[#This Row],[Data de liquidação]])</f>
        <v>46069</v>
      </c>
      <c r="M988" s="126">
        <f>base[[#This Row],[L/P Bruto]]-base[[#This Row],[L/P Líquido]]</f>
        <v>0</v>
      </c>
      <c r="N988" s="126">
        <f>base[[#This Row],[L/P Líquido]]/base[[#This Row],[Stake/Responsabilidade]]</f>
        <v>-3.5679999999999996E-2</v>
      </c>
      <c r="O988" s="132">
        <f>IF(base[[#This Row],[L/P Líquido]]&gt;0,1,0)</f>
        <v>0</v>
      </c>
      <c r="P988" s="132" t="s">
        <v>964</v>
      </c>
      <c r="Q988" s="132" t="str">
        <f>LEFT(base[[#This Row],[Evento / Mercado]],FIND("vs",base[[#This Row],[Evento / Mercado]])-2)</f>
        <v>Girona</v>
      </c>
      <c r="R9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988" s="132" t="e">
        <f>LEFT(base[[#This Row],[Evento / Mercado]],FIND("/",base[[#This Row],[Evento / Mercado]])-2)</f>
        <v>#VALUE!</v>
      </c>
      <c r="U988" s="9">
        <f>-250+9</f>
        <v>-241</v>
      </c>
    </row>
    <row r="989" spans="2:21" ht="15" customHeight="1">
      <c r="B989" s="128" t="s">
        <v>827</v>
      </c>
      <c r="C989" s="128" t="s">
        <v>2982</v>
      </c>
      <c r="D989" s="129">
        <v>46070.793645833335</v>
      </c>
      <c r="E989" s="130">
        <v>14.93</v>
      </c>
      <c r="F989" s="131">
        <v>4.4999999999999998E-2</v>
      </c>
      <c r="G989" s="126">
        <f t="shared" si="16"/>
        <v>15.633507853403142</v>
      </c>
      <c r="H989" s="126" t="s">
        <v>74</v>
      </c>
      <c r="I989" s="127" t="s">
        <v>542</v>
      </c>
      <c r="J989" s="126">
        <v>17</v>
      </c>
      <c r="K989" s="126">
        <v>250.08</v>
      </c>
      <c r="L989" s="129">
        <f>INT(base[[#This Row],[Data de liquidação]])</f>
        <v>46070</v>
      </c>
      <c r="M989" s="126">
        <f>base[[#This Row],[L/P Bruto]]-base[[#This Row],[L/P Líquido]]</f>
        <v>0.70350785340314204</v>
      </c>
      <c r="N989" s="126">
        <f>base[[#This Row],[L/P Líquido]]/base[[#This Row],[Stake/Responsabilidade]]</f>
        <v>5.970089571337172E-2</v>
      </c>
      <c r="O989" s="132">
        <f>IF(base[[#This Row],[L/P Líquido]]&gt;0,1,0)</f>
        <v>1</v>
      </c>
      <c r="P989" s="132" t="s">
        <v>965</v>
      </c>
      <c r="Q989" s="132" t="str">
        <f>LEFT(base[[#This Row],[Evento / Mercado]],FIND("vs",base[[#This Row],[Evento / Mercado]])-2)</f>
        <v>Benfica</v>
      </c>
      <c r="R9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989" s="132" t="e">
        <f>LEFT(base[[#This Row],[Evento / Mercado]],FIND("/",base[[#This Row],[Evento / Mercado]])-2)</f>
        <v>#VALUE!</v>
      </c>
      <c r="U989" s="9"/>
    </row>
    <row r="990" spans="2:21" ht="15" customHeight="1">
      <c r="B990" s="128" t="s">
        <v>826</v>
      </c>
      <c r="C990" s="128" t="s">
        <v>2982</v>
      </c>
      <c r="D990" s="129">
        <v>46070.796018518522</v>
      </c>
      <c r="E990" s="130">
        <v>16.46</v>
      </c>
      <c r="F990" s="131">
        <v>4.4999999999999998E-2</v>
      </c>
      <c r="G990" s="126">
        <f t="shared" si="16"/>
        <v>17.235602094240839</v>
      </c>
      <c r="H990" s="126" t="s">
        <v>74</v>
      </c>
      <c r="I990" s="127" t="s">
        <v>476</v>
      </c>
      <c r="J990" s="126">
        <v>15.5</v>
      </c>
      <c r="K990" s="126">
        <v>249.98</v>
      </c>
      <c r="L990" s="129">
        <f>INT(base[[#This Row],[Data de liquidação]])</f>
        <v>46070</v>
      </c>
      <c r="M990" s="126">
        <f>base[[#This Row],[L/P Bruto]]-base[[#This Row],[L/P Líquido]]</f>
        <v>0.77560209424083837</v>
      </c>
      <c r="N990" s="126">
        <f>base[[#This Row],[L/P Líquido]]/base[[#This Row],[Stake/Responsabilidade]]</f>
        <v>6.5845267621409714E-2</v>
      </c>
      <c r="O990" s="132">
        <f>IF(base[[#This Row],[L/P Líquido]]&gt;0,1,0)</f>
        <v>1</v>
      </c>
      <c r="P990" s="132" t="s">
        <v>962</v>
      </c>
      <c r="Q990" s="132" t="str">
        <f>LEFT(base[[#This Row],[Evento / Mercado]],FIND("vs",base[[#This Row],[Evento / Mercado]])-2)</f>
        <v>Borussia Dortmund</v>
      </c>
      <c r="R9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Atalanta</v>
      </c>
      <c r="S990" s="132" t="e">
        <f>LEFT(base[[#This Row],[Evento / Mercado]],FIND("/",base[[#This Row],[Evento / Mercado]])-2)</f>
        <v>#VALUE!</v>
      </c>
      <c r="U990" s="9"/>
    </row>
    <row r="991" spans="2:21" ht="15" customHeight="1">
      <c r="B991" s="128" t="s">
        <v>825</v>
      </c>
      <c r="C991" s="128" t="s">
        <v>2982</v>
      </c>
      <c r="D991" s="129">
        <v>46071.746354166666</v>
      </c>
      <c r="E991" s="130">
        <v>14.93</v>
      </c>
      <c r="F991" s="131">
        <v>4.4999999999999998E-2</v>
      </c>
      <c r="G991" s="126">
        <f t="shared" si="16"/>
        <v>15.633507853403142</v>
      </c>
      <c r="H991" s="126" t="s">
        <v>74</v>
      </c>
      <c r="I991" s="127" t="s">
        <v>542</v>
      </c>
      <c r="J991" s="126">
        <v>17</v>
      </c>
      <c r="K991" s="126">
        <v>250.08</v>
      </c>
      <c r="L991" s="129">
        <f>INT(base[[#This Row],[Data de liquidação]])</f>
        <v>46071</v>
      </c>
      <c r="M991" s="126">
        <f>base[[#This Row],[L/P Bruto]]-base[[#This Row],[L/P Líquido]]</f>
        <v>0.70350785340314204</v>
      </c>
      <c r="N991" s="126">
        <f>base[[#This Row],[L/P Líquido]]/base[[#This Row],[Stake/Responsabilidade]]</f>
        <v>5.970089571337172E-2</v>
      </c>
      <c r="O991" s="132">
        <f>IF(base[[#This Row],[L/P Líquido]]&gt;0,1,0)</f>
        <v>1</v>
      </c>
      <c r="P991" s="132" t="s">
        <v>964</v>
      </c>
      <c r="Q991" s="132" t="str">
        <f>LEFT(base[[#This Row],[Evento / Mercado]],FIND("vs",base[[#This Row],[Evento / Mercado]])-2)</f>
        <v>Levante UD</v>
      </c>
      <c r="R9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991" s="132" t="e">
        <f>LEFT(base[[#This Row],[Evento / Mercado]],FIND("/",base[[#This Row],[Evento / Mercado]])-2)</f>
        <v>#VALUE!</v>
      </c>
      <c r="U991" s="9"/>
    </row>
    <row r="992" spans="2:21" ht="15" customHeight="1">
      <c r="B992" s="128" t="s">
        <v>824</v>
      </c>
      <c r="C992" s="128" t="s">
        <v>2982</v>
      </c>
      <c r="D992" s="129">
        <v>46071.760092592594</v>
      </c>
      <c r="E992" s="130">
        <v>68.760000000000005</v>
      </c>
      <c r="F992" s="131">
        <v>4.4999999999999998E-2</v>
      </c>
      <c r="G992" s="126">
        <f t="shared" si="16"/>
        <v>72.000000000000014</v>
      </c>
      <c r="H992" s="126" t="s">
        <v>231</v>
      </c>
      <c r="I992" s="127" t="s">
        <v>266</v>
      </c>
      <c r="J992" s="126">
        <v>1.9</v>
      </c>
      <c r="K992" s="126">
        <v>80</v>
      </c>
      <c r="L992" s="129">
        <f>INT(base[[#This Row],[Data de liquidação]])</f>
        <v>46071</v>
      </c>
      <c r="M992" s="126">
        <f>base[[#This Row],[L/P Bruto]]-base[[#This Row],[L/P Líquido]]</f>
        <v>3.2400000000000091</v>
      </c>
      <c r="N992" s="126">
        <f>base[[#This Row],[L/P Líquido]]/base[[#This Row],[Stake/Responsabilidade]]</f>
        <v>0.85950000000000004</v>
      </c>
      <c r="O992" s="132">
        <f>IF(base[[#This Row],[L/P Líquido]]&gt;0,1,0)</f>
        <v>1</v>
      </c>
      <c r="P992" s="132"/>
      <c r="Q992" s="132" t="str">
        <f>LEFT(base[[#This Row],[Evento / Mercado]],FIND("vs",base[[#This Row],[Evento / Mercado]])-2)</f>
        <v>AC Milan</v>
      </c>
      <c r="R9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Como</v>
      </c>
      <c r="S992" s="132" t="e">
        <f>LEFT(base[[#This Row],[Evento / Mercado]],FIND("/",base[[#This Row],[Evento / Mercado]])-2)</f>
        <v>#VALUE!</v>
      </c>
      <c r="U992" s="9"/>
    </row>
    <row r="993" spans="2:21" ht="15" customHeight="1">
      <c r="B993" s="128" t="s">
        <v>823</v>
      </c>
      <c r="C993" s="128" t="s">
        <v>2982</v>
      </c>
      <c r="D993" s="129">
        <v>46071.7653125</v>
      </c>
      <c r="E993" s="130">
        <v>58.06</v>
      </c>
      <c r="F993" s="131">
        <v>4.4999999999999998E-2</v>
      </c>
      <c r="G993" s="126">
        <f t="shared" si="16"/>
        <v>60.795811518324612</v>
      </c>
      <c r="H993" s="126" t="s">
        <v>231</v>
      </c>
      <c r="I993" s="127" t="s">
        <v>232</v>
      </c>
      <c r="J993" s="126">
        <v>1.76</v>
      </c>
      <c r="K993" s="126">
        <v>80</v>
      </c>
      <c r="L993" s="129">
        <f>INT(base[[#This Row],[Data de liquidação]])</f>
        <v>46071</v>
      </c>
      <c r="M993" s="126">
        <f>base[[#This Row],[L/P Bruto]]-base[[#This Row],[L/P Líquido]]</f>
        <v>2.7358115183246099</v>
      </c>
      <c r="N993" s="126">
        <f>base[[#This Row],[L/P Líquido]]/base[[#This Row],[Stake/Responsabilidade]]</f>
        <v>0.72575000000000001</v>
      </c>
      <c r="O993" s="132">
        <f>IF(base[[#This Row],[L/P Líquido]]&gt;0,1,0)</f>
        <v>1</v>
      </c>
      <c r="P993" s="132"/>
      <c r="Q993" s="132" t="str">
        <f>LEFT(base[[#This Row],[Evento / Mercado]],FIND("vs",base[[#This Row],[Evento / Mercado]])-2)</f>
        <v>Wolverhampton Wanderers</v>
      </c>
      <c r="R9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993" s="132" t="e">
        <f>LEFT(base[[#This Row],[Evento / Mercado]],FIND("/",base[[#This Row],[Evento / Mercado]])-2)</f>
        <v>#VALUE!</v>
      </c>
      <c r="U993" s="9"/>
    </row>
    <row r="994" spans="2:21" ht="15" customHeight="1">
      <c r="B994" s="128" t="s">
        <v>822</v>
      </c>
      <c r="C994" s="128" t="s">
        <v>2982</v>
      </c>
      <c r="D994" s="129">
        <v>46071.779293981483</v>
      </c>
      <c r="E994" s="130">
        <v>10.7</v>
      </c>
      <c r="F994" s="131">
        <v>4.4999999999999998E-2</v>
      </c>
      <c r="G994" s="126">
        <f t="shared" si="16"/>
        <v>11.204188481675393</v>
      </c>
      <c r="H994" s="126" t="s">
        <v>73</v>
      </c>
      <c r="I994" s="127" t="s">
        <v>13</v>
      </c>
      <c r="J994" s="126">
        <v>13.5</v>
      </c>
      <c r="K994" s="126">
        <v>140</v>
      </c>
      <c r="L994" s="129">
        <f>INT(base[[#This Row],[Data de liquidação]])</f>
        <v>46071</v>
      </c>
      <c r="M994" s="126">
        <f>base[[#This Row],[L/P Bruto]]-base[[#This Row],[L/P Líquido]]</f>
        <v>0.50418848167539387</v>
      </c>
      <c r="N994" s="126">
        <f>base[[#This Row],[L/P Líquido]]/base[[#This Row],[Stake/Responsabilidade]]</f>
        <v>7.6428571428571429E-2</v>
      </c>
      <c r="O994" s="132">
        <f>IF(base[[#This Row],[L/P Líquido]]&gt;0,1,0)</f>
        <v>1</v>
      </c>
      <c r="P994" s="132"/>
      <c r="Q994" s="132" t="str">
        <f>LEFT(base[[#This Row],[Evento / Mercado]],FIND("vs",base[[#This Row],[Evento / Mercado]])-2)</f>
        <v>Grimsby Town</v>
      </c>
      <c r="R9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Walsall</v>
      </c>
      <c r="S994" s="132" t="e">
        <f>LEFT(base[[#This Row],[Evento / Mercado]],FIND("/",base[[#This Row],[Evento / Mercado]])-2)</f>
        <v>#VALUE!</v>
      </c>
      <c r="U994" s="9"/>
    </row>
    <row r="995" spans="2:21" ht="15" customHeight="1">
      <c r="B995" s="128" t="s">
        <v>821</v>
      </c>
      <c r="C995" s="128" t="s">
        <v>2982</v>
      </c>
      <c r="D995" s="129">
        <v>46072.693865740737</v>
      </c>
      <c r="E995" s="130">
        <v>18.57</v>
      </c>
      <c r="F995" s="131">
        <v>4.4999999999999998E-2</v>
      </c>
      <c r="G995" s="126">
        <f t="shared" si="16"/>
        <v>19.445026178010473</v>
      </c>
      <c r="H995" s="126" t="s">
        <v>73</v>
      </c>
      <c r="I995" s="127" t="s">
        <v>13</v>
      </c>
      <c r="J995" s="126">
        <v>8.1999999999999993</v>
      </c>
      <c r="K995" s="126">
        <v>139.97</v>
      </c>
      <c r="L995" s="129">
        <f>INT(base[[#This Row],[Data de liquidação]])</f>
        <v>46072</v>
      </c>
      <c r="M995" s="126">
        <f>base[[#This Row],[L/P Bruto]]-base[[#This Row],[L/P Líquido]]</f>
        <v>0.87502617801047222</v>
      </c>
      <c r="N995" s="126">
        <f>base[[#This Row],[L/P Líquido]]/base[[#This Row],[Stake/Responsabilidade]]</f>
        <v>0.13267128670429379</v>
      </c>
      <c r="O995" s="132">
        <f>IF(base[[#This Row],[L/P Líquido]]&gt;0,1,0)</f>
        <v>1</v>
      </c>
      <c r="P995" s="132"/>
      <c r="Q995" s="132" t="str">
        <f>LEFT(base[[#This Row],[Evento / Mercado]],FIND("vs",base[[#This Row],[Evento / Mercado]])-2)</f>
        <v>Zrinjski Mostar</v>
      </c>
      <c r="R9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995" s="132" t="e">
        <f>LEFT(base[[#This Row],[Evento / Mercado]],FIND("/",base[[#This Row],[Evento / Mercado]])-2)</f>
        <v>#VALUE!</v>
      </c>
      <c r="U995" s="9"/>
    </row>
    <row r="996" spans="2:21" ht="15" customHeight="1">
      <c r="B996" s="128" t="s">
        <v>820</v>
      </c>
      <c r="C996" s="128" t="s">
        <v>2982</v>
      </c>
      <c r="D996" s="129">
        <v>46072.788761574076</v>
      </c>
      <c r="E996" s="130">
        <v>16.28</v>
      </c>
      <c r="F996" s="131">
        <v>0</v>
      </c>
      <c r="G996" s="126">
        <f t="shared" si="16"/>
        <v>16.28</v>
      </c>
      <c r="H996" s="126" t="s">
        <v>73</v>
      </c>
      <c r="I996" s="127" t="s">
        <v>16</v>
      </c>
      <c r="J996" s="126">
        <v>9.6</v>
      </c>
      <c r="K996" s="126">
        <v>140.01</v>
      </c>
      <c r="L996" s="129">
        <f>INT(base[[#This Row],[Data de liquidação]])</f>
        <v>46072</v>
      </c>
      <c r="M996" s="126">
        <f>base[[#This Row],[L/P Bruto]]-base[[#This Row],[L/P Líquido]]</f>
        <v>0</v>
      </c>
      <c r="N996" s="126">
        <f>base[[#This Row],[L/P Líquido]]/base[[#This Row],[Stake/Responsabilidade]]</f>
        <v>0.1162774087565174</v>
      </c>
      <c r="O996" s="132">
        <f>IF(base[[#This Row],[L/P Líquido]]&gt;0,1,0)</f>
        <v>1</v>
      </c>
      <c r="P996" s="132"/>
      <c r="Q996" s="132" t="str">
        <f>LEFT(base[[#This Row],[Evento / Mercado]],FIND("vs",base[[#This Row],[Evento / Mercado]])-2)</f>
        <v>Lille OSC</v>
      </c>
      <c r="R9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Crvena Zvezda</v>
      </c>
      <c r="S996" s="132" t="e">
        <f>LEFT(base[[#This Row],[Evento / Mercado]],FIND("/",base[[#This Row],[Evento / Mercado]])-2)</f>
        <v>#VALUE!</v>
      </c>
      <c r="T996" s="8">
        <v>16.28</v>
      </c>
      <c r="U996" s="9">
        <f>T996*0.955</f>
        <v>15.5474</v>
      </c>
    </row>
    <row r="997" spans="2:21" ht="15" customHeight="1">
      <c r="B997" s="128" t="s">
        <v>820</v>
      </c>
      <c r="C997" s="128" t="s">
        <v>2982</v>
      </c>
      <c r="D997" s="129">
        <v>46072.788761574076</v>
      </c>
      <c r="E997" s="130">
        <v>-140.08000000000001</v>
      </c>
      <c r="F997" s="131">
        <v>4.4999999999999998E-2</v>
      </c>
      <c r="G997" s="126">
        <f t="shared" si="16"/>
        <v>-140.08000000000001</v>
      </c>
      <c r="H997" s="126" t="s">
        <v>73</v>
      </c>
      <c r="I997" s="127" t="s">
        <v>13</v>
      </c>
      <c r="J997" s="126">
        <v>18</v>
      </c>
      <c r="K997" s="126">
        <v>140.08000000000001</v>
      </c>
      <c r="L997" s="129">
        <f>INT(base[[#This Row],[Data de liquidação]])</f>
        <v>46072</v>
      </c>
      <c r="M997" s="126">
        <f>base[[#This Row],[L/P Bruto]]-base[[#This Row],[L/P Líquido]]</f>
        <v>0</v>
      </c>
      <c r="N997" s="126">
        <f>base[[#This Row],[L/P Líquido]]/base[[#This Row],[Stake/Responsabilidade]]</f>
        <v>-1</v>
      </c>
      <c r="O997" s="132">
        <f>IF(base[[#This Row],[L/P Líquido]]&gt;0,1,0)</f>
        <v>0</v>
      </c>
      <c r="P997" s="132"/>
      <c r="Q997" s="132" t="str">
        <f>LEFT(base[[#This Row],[Evento / Mercado]],FIND("vs",base[[#This Row],[Evento / Mercado]])-2)</f>
        <v>Lille OSC</v>
      </c>
      <c r="R9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Crvena Zvezda</v>
      </c>
      <c r="S997" s="132" t="e">
        <f>LEFT(base[[#This Row],[Evento / Mercado]],FIND("/",base[[#This Row],[Evento / Mercado]])-2)</f>
        <v>#VALUE!</v>
      </c>
      <c r="T997" s="8">
        <v>8.24</v>
      </c>
      <c r="U997" s="9">
        <f>T997*0.955</f>
        <v>7.8692000000000002</v>
      </c>
    </row>
    <row r="998" spans="2:21" ht="15" customHeight="1">
      <c r="B998" s="128" t="s">
        <v>819</v>
      </c>
      <c r="C998" s="128" t="s">
        <v>2982</v>
      </c>
      <c r="D998" s="129">
        <v>46073.612060185187</v>
      </c>
      <c r="E998" s="130">
        <v>8.1</v>
      </c>
      <c r="F998" s="131">
        <v>4.4999999999999998E-2</v>
      </c>
      <c r="G998" s="126">
        <f t="shared" si="16"/>
        <v>8.4816753926701569</v>
      </c>
      <c r="H998" s="126" t="s">
        <v>73</v>
      </c>
      <c r="I998" s="127" t="s">
        <v>13</v>
      </c>
      <c r="J998" s="126">
        <v>17.5</v>
      </c>
      <c r="K998" s="126">
        <v>139.91999999999999</v>
      </c>
      <c r="L998" s="129">
        <f>INT(base[[#This Row],[Data de liquidação]])</f>
        <v>46073</v>
      </c>
      <c r="M998" s="126">
        <f>base[[#This Row],[L/P Bruto]]-base[[#This Row],[L/P Líquido]]</f>
        <v>0.38167539267015727</v>
      </c>
      <c r="N998" s="126">
        <f>base[[#This Row],[L/P Líquido]]/base[[#This Row],[Stake/Responsabilidade]]</f>
        <v>5.789022298456261E-2</v>
      </c>
      <c r="O998" s="132">
        <f>IF(base[[#This Row],[L/P Líquido]]&gt;0,1,0)</f>
        <v>1</v>
      </c>
      <c r="P998" s="132"/>
      <c r="Q998" s="132" t="str">
        <f>LEFT(base[[#This Row],[Evento / Mercado]],FIND("vs",base[[#This Row],[Evento / Mercado]])-2)</f>
        <v>Cherno More</v>
      </c>
      <c r="R9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Botev Vratsa</v>
      </c>
      <c r="S998" s="132" t="e">
        <f>LEFT(base[[#This Row],[Evento / Mercado]],FIND("/",base[[#This Row],[Evento / Mercado]])-2)</f>
        <v>#VALUE!</v>
      </c>
      <c r="U998" s="9"/>
    </row>
    <row r="999" spans="2:21" ht="15" customHeight="1">
      <c r="B999" s="128" t="s">
        <v>818</v>
      </c>
      <c r="C999" s="128" t="s">
        <v>2982</v>
      </c>
      <c r="D999" s="129">
        <v>46073.661909722221</v>
      </c>
      <c r="E999" s="130">
        <v>19.099999999999998</v>
      </c>
      <c r="F999" s="131">
        <v>4.4999999999999998E-2</v>
      </c>
      <c r="G999" s="126">
        <f t="shared" si="16"/>
        <v>20</v>
      </c>
      <c r="H999" s="126" t="s">
        <v>73</v>
      </c>
      <c r="I999" s="127" t="s">
        <v>16</v>
      </c>
      <c r="J999" s="126">
        <v>8</v>
      </c>
      <c r="K999" s="126">
        <v>140</v>
      </c>
      <c r="L999" s="129">
        <f>INT(base[[#This Row],[Data de liquidação]])</f>
        <v>46073</v>
      </c>
      <c r="M999" s="126">
        <f>base[[#This Row],[L/P Bruto]]-base[[#This Row],[L/P Líquido]]</f>
        <v>0.90000000000000213</v>
      </c>
      <c r="N999" s="126">
        <f>base[[#This Row],[L/P Líquido]]/base[[#This Row],[Stake/Responsabilidade]]</f>
        <v>0.13642857142857143</v>
      </c>
      <c r="O999" s="132">
        <f>IF(base[[#This Row],[L/P Líquido]]&gt;0,1,0)</f>
        <v>1</v>
      </c>
      <c r="P999" s="132"/>
      <c r="Q999" s="132" t="str">
        <f>LEFT(base[[#This Row],[Evento / Mercado]],FIND("vs",base[[#This Row],[Evento / Mercado]])-2)</f>
        <v>SC Austria Lustenau</v>
      </c>
      <c r="R9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KSV 1919</v>
      </c>
      <c r="S999" s="132" t="e">
        <f>LEFT(base[[#This Row],[Evento / Mercado]],FIND("/",base[[#This Row],[Evento / Mercado]])-2)</f>
        <v>#VALUE!</v>
      </c>
      <c r="T999" s="8">
        <v>20</v>
      </c>
      <c r="U999" s="9">
        <f>T999*0.955</f>
        <v>19.099999999999998</v>
      </c>
    </row>
    <row r="1000" spans="2:21" ht="15" customHeight="1">
      <c r="B1000" s="128" t="s">
        <v>818</v>
      </c>
      <c r="C1000" s="128" t="s">
        <v>2982</v>
      </c>
      <c r="D1000" s="129">
        <v>46073.661909722221</v>
      </c>
      <c r="E1000" s="130">
        <v>8.0983999999999998</v>
      </c>
      <c r="F1000" s="131">
        <v>4.4999999999999998E-2</v>
      </c>
      <c r="G1000" s="126">
        <f t="shared" si="16"/>
        <v>8.48</v>
      </c>
      <c r="H1000" s="126" t="s">
        <v>73</v>
      </c>
      <c r="I1000" s="127" t="s">
        <v>13</v>
      </c>
      <c r="J1000" s="126">
        <v>17.5</v>
      </c>
      <c r="K1000" s="126">
        <v>139.91999999999999</v>
      </c>
      <c r="L1000" s="129">
        <f>INT(base[[#This Row],[Data de liquidação]])</f>
        <v>46073</v>
      </c>
      <c r="M1000" s="126">
        <f>base[[#This Row],[L/P Bruto]]-base[[#This Row],[L/P Líquido]]</f>
        <v>0.38160000000000061</v>
      </c>
      <c r="N1000" s="126">
        <f>base[[#This Row],[L/P Líquido]]/base[[#This Row],[Stake/Responsabilidade]]</f>
        <v>5.7878787878787884E-2</v>
      </c>
      <c r="O1000" s="132">
        <f>IF(base[[#This Row],[L/P Líquido]]&gt;0,1,0)</f>
        <v>1</v>
      </c>
      <c r="P1000" s="132"/>
      <c r="Q1000" s="132" t="str">
        <f>LEFT(base[[#This Row],[Evento / Mercado]],FIND("vs",base[[#This Row],[Evento / Mercado]])-2)</f>
        <v>SC Austria Lustenau</v>
      </c>
      <c r="R10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KSV 1919</v>
      </c>
      <c r="S1000" s="132" t="e">
        <f>LEFT(base[[#This Row],[Evento / Mercado]],FIND("/",base[[#This Row],[Evento / Mercado]])-2)</f>
        <v>#VALUE!</v>
      </c>
      <c r="T1000" s="8">
        <v>8.48</v>
      </c>
      <c r="U1000" s="9">
        <f>T1000*0.955</f>
        <v>8.0983999999999998</v>
      </c>
    </row>
    <row r="1001" spans="2:21" ht="15" customHeight="1">
      <c r="B1001" s="128" t="s">
        <v>815</v>
      </c>
      <c r="C1001" s="128" t="s">
        <v>2982</v>
      </c>
      <c r="D1001" s="129">
        <v>46073.679756944446</v>
      </c>
      <c r="E1001" s="130">
        <v>77.930000000000007</v>
      </c>
      <c r="F1001" s="131">
        <v>4.4999999999999998E-2</v>
      </c>
      <c r="G1001" s="126">
        <f t="shared" si="16"/>
        <v>81.602094240837701</v>
      </c>
      <c r="H1001" s="126" t="s">
        <v>231</v>
      </c>
      <c r="I1001" s="127" t="s">
        <v>233</v>
      </c>
      <c r="J1001" s="126">
        <v>2.02</v>
      </c>
      <c r="K1001" s="126">
        <v>80</v>
      </c>
      <c r="L1001" s="129">
        <f>INT(base[[#This Row],[Data de liquidação]])</f>
        <v>46073</v>
      </c>
      <c r="M1001" s="126">
        <f>base[[#This Row],[L/P Bruto]]-base[[#This Row],[L/P Líquido]]</f>
        <v>3.6720942408376942</v>
      </c>
      <c r="N1001" s="126">
        <f>base[[#This Row],[L/P Líquido]]/base[[#This Row],[Stake/Responsabilidade]]</f>
        <v>0.97412500000000013</v>
      </c>
      <c r="O1001" s="132">
        <f>IF(base[[#This Row],[L/P Líquido]]&gt;0,1,0)</f>
        <v>1</v>
      </c>
      <c r="P1001" s="132"/>
      <c r="Q1001" s="132" t="str">
        <f>LEFT(base[[#This Row],[Evento / Mercado]],FIND("vs",base[[#This Row],[Evento / Mercado]])-2)</f>
        <v>FC Emmen</v>
      </c>
      <c r="R10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PSV Eindhoven</v>
      </c>
      <c r="S1001" s="132" t="e">
        <f>LEFT(base[[#This Row],[Evento / Mercado]],FIND("/",base[[#This Row],[Evento / Mercado]])-2)</f>
        <v>#VALUE!</v>
      </c>
      <c r="U1001" s="9"/>
    </row>
    <row r="1002" spans="2:21" ht="15" customHeight="1">
      <c r="B1002" s="128" t="s">
        <v>817</v>
      </c>
      <c r="C1002" s="128" t="s">
        <v>2982</v>
      </c>
      <c r="D1002" s="129">
        <v>46073.701921296299</v>
      </c>
      <c r="E1002" s="130">
        <v>10.7</v>
      </c>
      <c r="F1002" s="131">
        <v>4.4999999999999998E-2</v>
      </c>
      <c r="G1002" s="126">
        <f t="shared" si="16"/>
        <v>11.204188481675393</v>
      </c>
      <c r="H1002" s="126" t="s">
        <v>73</v>
      </c>
      <c r="I1002" s="127" t="s">
        <v>16</v>
      </c>
      <c r="J1002" s="126">
        <v>13.5</v>
      </c>
      <c r="K1002" s="126">
        <v>140</v>
      </c>
      <c r="L1002" s="129">
        <f>INT(base[[#This Row],[Data de liquidação]])</f>
        <v>46073</v>
      </c>
      <c r="M1002" s="126">
        <f>base[[#This Row],[L/P Bruto]]-base[[#This Row],[L/P Líquido]]</f>
        <v>0.50418848167539387</v>
      </c>
      <c r="N1002" s="126">
        <f>base[[#This Row],[L/P Líquido]]/base[[#This Row],[Stake/Responsabilidade]]</f>
        <v>7.6428571428571429E-2</v>
      </c>
      <c r="O1002" s="132">
        <f>IF(base[[#This Row],[L/P Líquido]]&gt;0,1,0)</f>
        <v>1</v>
      </c>
      <c r="P1002" s="132"/>
      <c r="Q1002" s="132" t="str">
        <f>LEFT(base[[#This Row],[Evento / Mercado]],FIND("vs",base[[#This Row],[Evento / Mercado]])-2)</f>
        <v>Hammarby IF</v>
      </c>
      <c r="R10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Brage</v>
      </c>
      <c r="S1002" s="132" t="e">
        <f>LEFT(base[[#This Row],[Evento / Mercado]],FIND("/",base[[#This Row],[Evento / Mercado]])-2)</f>
        <v>#VALUE!</v>
      </c>
      <c r="U1002" s="9"/>
    </row>
    <row r="1003" spans="2:21" ht="15" customHeight="1">
      <c r="B1003" s="128" t="s">
        <v>816</v>
      </c>
      <c r="C1003" s="128" t="s">
        <v>2982</v>
      </c>
      <c r="D1003" s="129">
        <v>46073.736087962963</v>
      </c>
      <c r="E1003" s="130">
        <v>54.24</v>
      </c>
      <c r="F1003" s="131">
        <v>4.4999999999999998E-2</v>
      </c>
      <c r="G1003" s="126">
        <f t="shared" si="16"/>
        <v>56.795811518324612</v>
      </c>
      <c r="H1003" s="126" t="s">
        <v>231</v>
      </c>
      <c r="I1003" s="127" t="s">
        <v>266</v>
      </c>
      <c r="J1003" s="126">
        <v>1.71</v>
      </c>
      <c r="K1003" s="126">
        <v>80</v>
      </c>
      <c r="L1003" s="129">
        <f>INT(base[[#This Row],[Data de liquidação]])</f>
        <v>46073</v>
      </c>
      <c r="M1003" s="126">
        <f>base[[#This Row],[L/P Bruto]]-base[[#This Row],[L/P Líquido]]</f>
        <v>2.5558115183246102</v>
      </c>
      <c r="N1003" s="126">
        <f>base[[#This Row],[L/P Líquido]]/base[[#This Row],[Stake/Responsabilidade]]</f>
        <v>0.67800000000000005</v>
      </c>
      <c r="O1003" s="132">
        <f>IF(base[[#This Row],[L/P Líquido]]&gt;0,1,0)</f>
        <v>1</v>
      </c>
      <c r="P1003" s="132"/>
      <c r="Q1003" s="132" t="str">
        <f>LEFT(base[[#This Row],[Evento / Mercado]],FIND("vs",base[[#This Row],[Evento / Mercado]])-2)</f>
        <v>Fortuna Sittard</v>
      </c>
      <c r="R10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1003" s="132" t="e">
        <f>LEFT(base[[#This Row],[Evento / Mercado]],FIND("/",base[[#This Row],[Evento / Mercado]])-2)</f>
        <v>#VALUE!</v>
      </c>
      <c r="U1003" s="9"/>
    </row>
    <row r="1004" spans="2:21" ht="15" customHeight="1">
      <c r="B1004" s="128" t="s">
        <v>815</v>
      </c>
      <c r="C1004" s="128" t="s">
        <v>2982</v>
      </c>
      <c r="D1004" s="129">
        <v>46073.746446759258</v>
      </c>
      <c r="E1004" s="130">
        <v>7.8</v>
      </c>
      <c r="F1004" s="131">
        <v>4.4999999999999998E-2</v>
      </c>
      <c r="G1004" s="126">
        <f t="shared" si="16"/>
        <v>8.167539267015707</v>
      </c>
      <c r="H1004" s="126" t="s">
        <v>73</v>
      </c>
      <c r="I1004" s="127" t="s">
        <v>16</v>
      </c>
      <c r="J1004" s="126">
        <v>18</v>
      </c>
      <c r="K1004" s="126">
        <v>138.94</v>
      </c>
      <c r="L1004" s="129">
        <f>INT(base[[#This Row],[Data de liquidação]])</f>
        <v>46073</v>
      </c>
      <c r="M1004" s="126">
        <f>base[[#This Row],[L/P Bruto]]-base[[#This Row],[L/P Líquido]]</f>
        <v>0.36753926701570716</v>
      </c>
      <c r="N1004" s="126">
        <f>base[[#This Row],[L/P Líquido]]/base[[#This Row],[Stake/Responsabilidade]]</f>
        <v>5.6139340722614076E-2</v>
      </c>
      <c r="O1004" s="132">
        <f>IF(base[[#This Row],[L/P Líquido]]&gt;0,1,0)</f>
        <v>1</v>
      </c>
      <c r="P1004" s="132"/>
      <c r="Q1004" s="132" t="str">
        <f>LEFT(base[[#This Row],[Evento / Mercado]],FIND("vs",base[[#This Row],[Evento / Mercado]])-2)</f>
        <v>FC Emmen</v>
      </c>
      <c r="R10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PSV Eindhoven</v>
      </c>
      <c r="S1004" s="132" t="e">
        <f>LEFT(base[[#This Row],[Evento / Mercado]],FIND("/",base[[#This Row],[Evento / Mercado]])-2)</f>
        <v>#VALUE!</v>
      </c>
      <c r="U1004" s="9"/>
    </row>
    <row r="1005" spans="2:21" ht="15" customHeight="1">
      <c r="B1005" s="128" t="s">
        <v>814</v>
      </c>
      <c r="C1005" s="128" t="s">
        <v>2982</v>
      </c>
      <c r="D1005" s="129">
        <v>46073.747152777774</v>
      </c>
      <c r="E1005" s="130">
        <v>10.54</v>
      </c>
      <c r="F1005" s="131">
        <v>4.4999999999999998E-2</v>
      </c>
      <c r="G1005" s="126">
        <f t="shared" si="16"/>
        <v>11.036649214659686</v>
      </c>
      <c r="H1005" s="126" t="s">
        <v>73</v>
      </c>
      <c r="I1005" s="127" t="s">
        <v>16</v>
      </c>
      <c r="J1005" s="126">
        <v>13.5</v>
      </c>
      <c r="K1005" s="126">
        <v>137.96</v>
      </c>
      <c r="L1005" s="129">
        <f>INT(base[[#This Row],[Data de liquidação]])</f>
        <v>46073</v>
      </c>
      <c r="M1005" s="126">
        <f>base[[#This Row],[L/P Bruto]]-base[[#This Row],[L/P Líquido]]</f>
        <v>0.49664921465968703</v>
      </c>
      <c r="N1005" s="126">
        <f>base[[#This Row],[L/P Líquido]]/base[[#This Row],[Stake/Responsabilidade]]</f>
        <v>7.6398956219193959E-2</v>
      </c>
      <c r="O1005" s="132">
        <f>IF(base[[#This Row],[L/P Líquido]]&gt;0,1,0)</f>
        <v>1</v>
      </c>
      <c r="P1005" s="132"/>
      <c r="Q1005" s="132" t="str">
        <f>LEFT(base[[#This Row],[Evento / Mercado]],FIND("vs",base[[#This Row],[Evento / Mercado]])-2)</f>
        <v>Cambuur Leeuwarden</v>
      </c>
      <c r="R10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RKC Waalwijk</v>
      </c>
      <c r="S1005" s="132" t="e">
        <f>LEFT(base[[#This Row],[Evento / Mercado]],FIND("/",base[[#This Row],[Evento / Mercado]])-2)</f>
        <v>#VALUE!</v>
      </c>
      <c r="U1005" s="9"/>
    </row>
    <row r="1006" spans="2:21" ht="15" customHeight="1">
      <c r="B1006" s="128" t="s">
        <v>813</v>
      </c>
      <c r="C1006" s="128" t="s">
        <v>2982</v>
      </c>
      <c r="D1006" s="129">
        <v>46073.747523148151</v>
      </c>
      <c r="E1006" s="130">
        <v>12.16</v>
      </c>
      <c r="F1006" s="131">
        <v>4.4999999999999998E-2</v>
      </c>
      <c r="G1006" s="126">
        <f t="shared" si="16"/>
        <v>12.732984293193718</v>
      </c>
      <c r="H1006" s="126" t="s">
        <v>73</v>
      </c>
      <c r="I1006" s="127" t="s">
        <v>16</v>
      </c>
      <c r="J1006" s="126">
        <v>12</v>
      </c>
      <c r="K1006" s="126">
        <v>140.03</v>
      </c>
      <c r="L1006" s="129">
        <f>INT(base[[#This Row],[Data de liquidação]])</f>
        <v>46073</v>
      </c>
      <c r="M1006" s="126">
        <f>base[[#This Row],[L/P Bruto]]-base[[#This Row],[L/P Líquido]]</f>
        <v>0.57298429319371813</v>
      </c>
      <c r="N1006" s="126">
        <f>base[[#This Row],[L/P Líquido]]/base[[#This Row],[Stake/Responsabilidade]]</f>
        <v>8.6838534599728637E-2</v>
      </c>
      <c r="O1006" s="132">
        <f>IF(base[[#This Row],[L/P Líquido]]&gt;0,1,0)</f>
        <v>1</v>
      </c>
      <c r="P1006" s="132"/>
      <c r="Q1006" s="132" t="str">
        <f>LEFT(base[[#This Row],[Evento / Mercado]],FIND("vs",base[[#This Row],[Evento / Mercado]])-2)</f>
        <v>FC Dordrecht</v>
      </c>
      <c r="R10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Ajax</v>
      </c>
      <c r="S1006" s="132" t="e">
        <f>LEFT(base[[#This Row],[Evento / Mercado]],FIND("/",base[[#This Row],[Evento / Mercado]])-2)</f>
        <v>#VALUE!</v>
      </c>
      <c r="U1006" s="9"/>
    </row>
    <row r="1007" spans="2:21" ht="15" customHeight="1">
      <c r="B1007" s="128" t="s">
        <v>812</v>
      </c>
      <c r="C1007" s="128" t="s">
        <v>2982</v>
      </c>
      <c r="D1007" s="129">
        <v>46073.767129629632</v>
      </c>
      <c r="E1007" s="130">
        <v>4.42</v>
      </c>
      <c r="F1007" s="131">
        <v>4.4999999999999998E-2</v>
      </c>
      <c r="G1007" s="126">
        <f t="shared" si="16"/>
        <v>4.6282722513089007</v>
      </c>
      <c r="H1007" s="126" t="s">
        <v>145</v>
      </c>
      <c r="I1007" s="127" t="s">
        <v>301</v>
      </c>
      <c r="J1007" s="126">
        <v>5</v>
      </c>
      <c r="K1007" s="126">
        <v>250</v>
      </c>
      <c r="L1007" s="129">
        <f>INT(base[[#This Row],[Data de liquidação]])</f>
        <v>46073</v>
      </c>
      <c r="M1007" s="126">
        <f>base[[#This Row],[L/P Bruto]]-base[[#This Row],[L/P Líquido]]</f>
        <v>0.20827225130890081</v>
      </c>
      <c r="N1007" s="126">
        <f>base[[#This Row],[L/P Líquido]]/base[[#This Row],[Stake/Responsabilidade]]</f>
        <v>1.7680000000000001E-2</v>
      </c>
      <c r="O1007" s="132">
        <f>IF(base[[#This Row],[L/P Líquido]]&gt;0,1,0)</f>
        <v>1</v>
      </c>
      <c r="P1007" s="132" t="s">
        <v>971</v>
      </c>
      <c r="Q1007" s="132" t="str">
        <f>LEFT(base[[#This Row],[Evento / Mercado]],FIND("vs",base[[#This Row],[Evento / Mercado]])-2)</f>
        <v>Frosinone</v>
      </c>
      <c r="R10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1007" s="132" t="e">
        <f>LEFT(base[[#This Row],[Evento / Mercado]],FIND("/",base[[#This Row],[Evento / Mercado]])-2)</f>
        <v>#VALUE!</v>
      </c>
      <c r="U1007" s="9"/>
    </row>
    <row r="1008" spans="2:21" ht="15" customHeight="1">
      <c r="B1008" s="128" t="s">
        <v>812</v>
      </c>
      <c r="C1008" s="128" t="s">
        <v>2982</v>
      </c>
      <c r="D1008" s="129">
        <v>46073.767152777778</v>
      </c>
      <c r="E1008" s="130">
        <v>16.71</v>
      </c>
      <c r="F1008" s="131">
        <v>4.4999999999999998E-2</v>
      </c>
      <c r="G1008" s="126">
        <f t="shared" si="16"/>
        <v>17.497382198952881</v>
      </c>
      <c r="H1008" s="126" t="s">
        <v>73</v>
      </c>
      <c r="I1008" s="127" t="s">
        <v>16</v>
      </c>
      <c r="J1008" s="126">
        <v>9</v>
      </c>
      <c r="K1008" s="126">
        <v>140</v>
      </c>
      <c r="L1008" s="129">
        <f>INT(base[[#This Row],[Data de liquidação]])</f>
        <v>46073</v>
      </c>
      <c r="M1008" s="126">
        <f>base[[#This Row],[L/P Bruto]]-base[[#This Row],[L/P Líquido]]</f>
        <v>0.78738219895287997</v>
      </c>
      <c r="N1008" s="126">
        <f>base[[#This Row],[L/P Líquido]]/base[[#This Row],[Stake/Responsabilidade]]</f>
        <v>0.11935714285714287</v>
      </c>
      <c r="O1008" s="132">
        <f>IF(base[[#This Row],[L/P Líquido]]&gt;0,1,0)</f>
        <v>1</v>
      </c>
      <c r="P1008" s="132"/>
      <c r="Q1008" s="132" t="str">
        <f>LEFT(base[[#This Row],[Evento / Mercado]],FIND("vs",base[[#This Row],[Evento / Mercado]])-2)</f>
        <v>Frosinone</v>
      </c>
      <c r="R10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1008" s="132" t="e">
        <f>LEFT(base[[#This Row],[Evento / Mercado]],FIND("/",base[[#This Row],[Evento / Mercado]])-2)</f>
        <v>#VALUE!</v>
      </c>
      <c r="U1008" s="9"/>
    </row>
    <row r="1009" spans="2:21" ht="15" customHeight="1">
      <c r="B1009" s="128" t="s">
        <v>811</v>
      </c>
      <c r="C1009" s="128" t="s">
        <v>2982</v>
      </c>
      <c r="D1009" s="129">
        <v>46073.769467592596</v>
      </c>
      <c r="E1009" s="130">
        <v>7.87</v>
      </c>
      <c r="F1009" s="131">
        <v>4.4999999999999998E-2</v>
      </c>
      <c r="G1009" s="126">
        <f t="shared" si="16"/>
        <v>8.2408376963350793</v>
      </c>
      <c r="H1009" s="126" t="s">
        <v>73</v>
      </c>
      <c r="I1009" s="127" t="s">
        <v>13</v>
      </c>
      <c r="J1009" s="126">
        <v>18</v>
      </c>
      <c r="K1009" s="126">
        <v>140.08000000000001</v>
      </c>
      <c r="L1009" s="129">
        <f>INT(base[[#This Row],[Data de liquidação]])</f>
        <v>46073</v>
      </c>
      <c r="M1009" s="126">
        <f>base[[#This Row],[L/P Bruto]]-base[[#This Row],[L/P Líquido]]</f>
        <v>0.37083769633507924</v>
      </c>
      <c r="N1009" s="126">
        <f>base[[#This Row],[L/P Líquido]]/base[[#This Row],[Stake/Responsabilidade]]</f>
        <v>5.6182181610508274E-2</v>
      </c>
      <c r="O1009" s="132">
        <f>IF(base[[#This Row],[L/P Líquido]]&gt;0,1,0)</f>
        <v>1</v>
      </c>
      <c r="P1009" s="132"/>
      <c r="Q1009" s="132" t="str">
        <f>LEFT(base[[#This Row],[Evento / Mercado]],FIND("vs",base[[#This Row],[Evento / Mercado]])-2)</f>
        <v>Zamalek</v>
      </c>
      <c r="R10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Haras El Hodood</v>
      </c>
      <c r="S1009" s="132" t="e">
        <f>LEFT(base[[#This Row],[Evento / Mercado]],FIND("/",base[[#This Row],[Evento / Mercado]])-2)</f>
        <v>#VALUE!</v>
      </c>
      <c r="U1009" s="9"/>
    </row>
    <row r="1010" spans="2:21" ht="15" customHeight="1">
      <c r="B1010" s="128" t="s">
        <v>810</v>
      </c>
      <c r="C1010" s="128" t="s">
        <v>2982</v>
      </c>
      <c r="D1010" s="129">
        <v>46073.775046296294</v>
      </c>
      <c r="E1010" s="130">
        <v>9.3699999999999992</v>
      </c>
      <c r="F1010" s="131">
        <v>4.4999999999999998E-2</v>
      </c>
      <c r="G1010" s="126">
        <f t="shared" si="16"/>
        <v>9.811518324607329</v>
      </c>
      <c r="H1010" s="126" t="s">
        <v>73</v>
      </c>
      <c r="I1010" s="127" t="s">
        <v>13</v>
      </c>
      <c r="J1010" s="126">
        <v>15</v>
      </c>
      <c r="K1010" s="126">
        <v>137.30000000000001</v>
      </c>
      <c r="L1010" s="129">
        <f>INT(base[[#This Row],[Data de liquidação]])</f>
        <v>46073</v>
      </c>
      <c r="M1010" s="126">
        <f>base[[#This Row],[L/P Bruto]]-base[[#This Row],[L/P Líquido]]</f>
        <v>0.44151832460732976</v>
      </c>
      <c r="N1010" s="126">
        <f>base[[#This Row],[L/P Líquido]]/base[[#This Row],[Stake/Responsabilidade]]</f>
        <v>6.8244719592134004E-2</v>
      </c>
      <c r="O1010" s="132">
        <f>IF(base[[#This Row],[L/P Líquido]]&gt;0,1,0)</f>
        <v>1</v>
      </c>
      <c r="P1010" s="132"/>
      <c r="Q1010" s="132" t="str">
        <f>LEFT(base[[#This Row],[Evento / Mercado]],FIND("vs",base[[#This Row],[Evento / Mercado]])-2)</f>
        <v>Sassuolo</v>
      </c>
      <c r="R10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1010" s="132" t="e">
        <f>LEFT(base[[#This Row],[Evento / Mercado]],FIND("/",base[[#This Row],[Evento / Mercado]])-2)</f>
        <v>#VALUE!</v>
      </c>
      <c r="U1010" s="9"/>
    </row>
    <row r="1011" spans="2:21" ht="15" customHeight="1">
      <c r="B1011" s="128" t="s">
        <v>809</v>
      </c>
      <c r="C1011" s="128" t="s">
        <v>2982</v>
      </c>
      <c r="D1011" s="129">
        <v>46073.775138888886</v>
      </c>
      <c r="E1011" s="130">
        <v>-80</v>
      </c>
      <c r="F1011" s="131">
        <v>4.4999999999999998E-2</v>
      </c>
      <c r="G1011" s="126">
        <f t="shared" si="16"/>
        <v>-80</v>
      </c>
      <c r="H1011" s="126" t="s">
        <v>231</v>
      </c>
      <c r="I1011" s="127" t="s">
        <v>232</v>
      </c>
      <c r="J1011" s="126">
        <v>1.82</v>
      </c>
      <c r="K1011" s="126">
        <v>80</v>
      </c>
      <c r="L1011" s="129">
        <f>INT(base[[#This Row],[Data de liquidação]])</f>
        <v>46073</v>
      </c>
      <c r="M1011" s="126">
        <f>base[[#This Row],[L/P Bruto]]-base[[#This Row],[L/P Líquido]]</f>
        <v>0</v>
      </c>
      <c r="N1011" s="126">
        <f>base[[#This Row],[L/P Líquido]]/base[[#This Row],[Stake/Responsabilidade]]</f>
        <v>-1</v>
      </c>
      <c r="O1011" s="132">
        <f>IF(base[[#This Row],[L/P Líquido]]&gt;0,1,0)</f>
        <v>0</v>
      </c>
      <c r="P1011" s="132"/>
      <c r="Q1011" s="132" t="str">
        <f>LEFT(base[[#This Row],[Evento / Mercado]],FIND("vs",base[[#This Row],[Evento / Mercado]])-2)</f>
        <v>1. FSV Mainz 05</v>
      </c>
      <c r="R10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011" s="132" t="e">
        <f>LEFT(base[[#This Row],[Evento / Mercado]],FIND("/",base[[#This Row],[Evento / Mercado]])-2)</f>
        <v>#VALUE!</v>
      </c>
      <c r="U1011" s="9"/>
    </row>
    <row r="1012" spans="2:21" ht="15" customHeight="1">
      <c r="B1012" s="128" t="s">
        <v>808</v>
      </c>
      <c r="C1012" s="128" t="s">
        <v>2982</v>
      </c>
      <c r="D1012" s="129">
        <v>46073.790335648147</v>
      </c>
      <c r="E1012" s="130">
        <v>7.8692000000000002</v>
      </c>
      <c r="F1012" s="131">
        <v>4.4999999999999998E-2</v>
      </c>
      <c r="G1012" s="126">
        <f t="shared" si="16"/>
        <v>8.24</v>
      </c>
      <c r="H1012" s="126" t="s">
        <v>73</v>
      </c>
      <c r="I1012" s="127" t="s">
        <v>13</v>
      </c>
      <c r="J1012" s="126">
        <v>18</v>
      </c>
      <c r="K1012" s="126">
        <v>140.08000000000001</v>
      </c>
      <c r="L1012" s="129">
        <f>INT(base[[#This Row],[Data de liquidação]])</f>
        <v>46073</v>
      </c>
      <c r="M1012" s="126">
        <f>base[[#This Row],[L/P Bruto]]-base[[#This Row],[L/P Líquido]]</f>
        <v>0.37080000000000002</v>
      </c>
      <c r="N1012" s="126">
        <f>base[[#This Row],[L/P Líquido]]/base[[#This Row],[Stake/Responsabilidade]]</f>
        <v>5.6176470588235293E-2</v>
      </c>
      <c r="O1012" s="132">
        <f>IF(base[[#This Row],[L/P Líquido]]&gt;0,1,0)</f>
        <v>1</v>
      </c>
      <c r="P1012" s="132"/>
      <c r="Q1012" s="132" t="str">
        <f>LEFT(base[[#This Row],[Evento / Mercado]],FIND("vs",base[[#This Row],[Evento / Mercado]])-2)</f>
        <v>Athletic Bilbao</v>
      </c>
      <c r="R10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1012" s="132" t="e">
        <f>LEFT(base[[#This Row],[Evento / Mercado]],FIND("/",base[[#This Row],[Evento / Mercado]])-2)</f>
        <v>#VALUE!</v>
      </c>
      <c r="T1012" s="8">
        <v>8.24</v>
      </c>
      <c r="U1012" s="9">
        <f>T1012*0.955</f>
        <v>7.8692000000000002</v>
      </c>
    </row>
    <row r="1013" spans="2:21" ht="15" customHeight="1">
      <c r="B1013" s="128" t="s">
        <v>808</v>
      </c>
      <c r="C1013" s="128" t="s">
        <v>2982</v>
      </c>
      <c r="D1013" s="129">
        <v>46073.790335648147</v>
      </c>
      <c r="E1013" s="130">
        <v>17.591100000000001</v>
      </c>
      <c r="F1013" s="131">
        <v>4.4999999999999998E-2</v>
      </c>
      <c r="G1013" s="126">
        <f t="shared" si="16"/>
        <v>18.420000000000002</v>
      </c>
      <c r="H1013" s="126" t="s">
        <v>73</v>
      </c>
      <c r="I1013" s="127" t="s">
        <v>16</v>
      </c>
      <c r="J1013" s="126">
        <v>8.6</v>
      </c>
      <c r="K1013" s="126">
        <v>139.99</v>
      </c>
      <c r="L1013" s="129">
        <f>INT(base[[#This Row],[Data de liquidação]])</f>
        <v>46073</v>
      </c>
      <c r="M1013" s="126">
        <f>base[[#This Row],[L/P Bruto]]-base[[#This Row],[L/P Líquido]]</f>
        <v>0.82890000000000086</v>
      </c>
      <c r="N1013" s="126">
        <f>base[[#This Row],[L/P Líquido]]/base[[#This Row],[Stake/Responsabilidade]]</f>
        <v>0.12565968997785557</v>
      </c>
      <c r="O1013" s="132">
        <f>IF(base[[#This Row],[L/P Líquido]]&gt;0,1,0)</f>
        <v>1</v>
      </c>
      <c r="P1013" s="132"/>
      <c r="Q1013" s="132" t="str">
        <f>LEFT(base[[#This Row],[Evento / Mercado]],FIND("vs",base[[#This Row],[Evento / Mercado]])-2)</f>
        <v>Athletic Bilbao</v>
      </c>
      <c r="R10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1013" s="132" t="e">
        <f>LEFT(base[[#This Row],[Evento / Mercado]],FIND("/",base[[#This Row],[Evento / Mercado]])-2)</f>
        <v>#VALUE!</v>
      </c>
      <c r="T1013" s="8">
        <v>18.420000000000002</v>
      </c>
      <c r="U1013" s="9">
        <f>T1013*0.955</f>
        <v>17.591100000000001</v>
      </c>
    </row>
    <row r="1014" spans="2:21" ht="15" customHeight="1">
      <c r="B1014" s="128" t="s">
        <v>807</v>
      </c>
      <c r="C1014" s="128" t="s">
        <v>2982</v>
      </c>
      <c r="D1014" s="129">
        <v>46073.834074074075</v>
      </c>
      <c r="E1014" s="130">
        <v>7.87</v>
      </c>
      <c r="F1014" s="131">
        <v>4.4999999999999998E-2</v>
      </c>
      <c r="G1014" s="126">
        <f t="shared" si="16"/>
        <v>8.2408376963350793</v>
      </c>
      <c r="H1014" s="126" t="s">
        <v>73</v>
      </c>
      <c r="I1014" s="127" t="s">
        <v>13</v>
      </c>
      <c r="J1014" s="126">
        <v>18</v>
      </c>
      <c r="K1014" s="126">
        <v>140.08000000000001</v>
      </c>
      <c r="L1014" s="129">
        <f>INT(base[[#This Row],[Data de liquidação]])</f>
        <v>46073</v>
      </c>
      <c r="M1014" s="126">
        <f>base[[#This Row],[L/P Bruto]]-base[[#This Row],[L/P Líquido]]</f>
        <v>0.37083769633507924</v>
      </c>
      <c r="N1014" s="126">
        <f>base[[#This Row],[L/P Líquido]]/base[[#This Row],[Stake/Responsabilidade]]</f>
        <v>5.6182181610508274E-2</v>
      </c>
      <c r="O1014" s="132">
        <f>IF(base[[#This Row],[L/P Líquido]]&gt;0,1,0)</f>
        <v>1</v>
      </c>
      <c r="P1014" s="132"/>
      <c r="Q1014" s="132" t="str">
        <f>LEFT(base[[#This Row],[Evento / Mercado]],FIND("vs",base[[#This Row],[Evento / Mercado]])-2)</f>
        <v>CR Belouizdad</v>
      </c>
      <c r="R10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MC El Bayadh</v>
      </c>
      <c r="S1014" s="132" t="e">
        <f>LEFT(base[[#This Row],[Evento / Mercado]],FIND("/",base[[#This Row],[Evento / Mercado]])-2)</f>
        <v>#VALUE!</v>
      </c>
      <c r="U1014" s="9"/>
    </row>
    <row r="1015" spans="2:21" ht="15" customHeight="1">
      <c r="B1015" s="128" t="s">
        <v>805</v>
      </c>
      <c r="C1015" s="128" t="s">
        <v>2982</v>
      </c>
      <c r="D1015" s="129">
        <v>46074.399583333332</v>
      </c>
      <c r="E1015" s="130">
        <v>57.3</v>
      </c>
      <c r="F1015" s="131">
        <v>4.4999999999999998E-2</v>
      </c>
      <c r="G1015" s="126">
        <f t="shared" si="16"/>
        <v>60</v>
      </c>
      <c r="H1015" s="126" t="s">
        <v>231</v>
      </c>
      <c r="I1015" s="127" t="s">
        <v>232</v>
      </c>
      <c r="J1015" s="126">
        <v>1.75</v>
      </c>
      <c r="K1015" s="126">
        <v>80</v>
      </c>
      <c r="L1015" s="129">
        <f>INT(base[[#This Row],[Data de liquidação]])</f>
        <v>46074</v>
      </c>
      <c r="M1015" s="126">
        <f>base[[#This Row],[L/P Bruto]]-base[[#This Row],[L/P Líquido]]</f>
        <v>2.7000000000000028</v>
      </c>
      <c r="N1015" s="126">
        <f>base[[#This Row],[L/P Líquido]]/base[[#This Row],[Stake/Responsabilidade]]</f>
        <v>0.71624999999999994</v>
      </c>
      <c r="O1015" s="132">
        <f>IF(base[[#This Row],[L/P Líquido]]&gt;0,1,0)</f>
        <v>1</v>
      </c>
      <c r="P1015" s="132"/>
      <c r="Q1015" s="132" t="str">
        <f>LEFT(base[[#This Row],[Evento / Mercado]],FIND("vs",base[[#This Row],[Evento / Mercado]])-2)</f>
        <v>SV Elversberg</v>
      </c>
      <c r="R10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1015" s="132" t="e">
        <f>LEFT(base[[#This Row],[Evento / Mercado]],FIND("/",base[[#This Row],[Evento / Mercado]])-2)</f>
        <v>#VALUE!</v>
      </c>
      <c r="U1015" s="9"/>
    </row>
    <row r="1016" spans="2:21" ht="15" customHeight="1">
      <c r="B1016" s="128" t="s">
        <v>806</v>
      </c>
      <c r="C1016" s="128" t="s">
        <v>2982</v>
      </c>
      <c r="D1016" s="129">
        <v>46074.419178240743</v>
      </c>
      <c r="E1016" s="130">
        <v>62.65</v>
      </c>
      <c r="F1016" s="131">
        <v>4.4999999999999998E-2</v>
      </c>
      <c r="G1016" s="126">
        <f t="shared" si="16"/>
        <v>65.602094240837701</v>
      </c>
      <c r="H1016" s="126" t="s">
        <v>231</v>
      </c>
      <c r="I1016" s="127" t="s">
        <v>232</v>
      </c>
      <c r="J1016" s="126">
        <v>1.82</v>
      </c>
      <c r="K1016" s="126">
        <v>80</v>
      </c>
      <c r="L1016" s="129">
        <f>INT(base[[#This Row],[Data de liquidação]])</f>
        <v>46074</v>
      </c>
      <c r="M1016" s="126">
        <f>base[[#This Row],[L/P Bruto]]-base[[#This Row],[L/P Líquido]]</f>
        <v>2.9520942408377024</v>
      </c>
      <c r="N1016" s="126">
        <f>base[[#This Row],[L/P Líquido]]/base[[#This Row],[Stake/Responsabilidade]]</f>
        <v>0.78312499999999996</v>
      </c>
      <c r="O1016" s="132">
        <f>IF(base[[#This Row],[L/P Líquido]]&gt;0,1,0)</f>
        <v>1</v>
      </c>
      <c r="P1016" s="132"/>
      <c r="Q1016" s="132" t="str">
        <f>LEFT(base[[#This Row],[Evento / Mercado]],FIND("vs",base[[#This Row],[Evento / Mercado]])-2)</f>
        <v>Plymouth Argyle</v>
      </c>
      <c r="R10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Cardiff City</v>
      </c>
      <c r="S1016" s="132" t="e">
        <f>LEFT(base[[#This Row],[Evento / Mercado]],FIND("/",base[[#This Row],[Evento / Mercado]])-2)</f>
        <v>#VALUE!</v>
      </c>
      <c r="U1016" s="9"/>
    </row>
    <row r="1017" spans="2:21" ht="15" customHeight="1">
      <c r="B1017" s="128" t="s">
        <v>805</v>
      </c>
      <c r="C1017" s="128" t="s">
        <v>2982</v>
      </c>
      <c r="D1017" s="129">
        <v>46074.455740740741</v>
      </c>
      <c r="E1017" s="130">
        <v>10.85</v>
      </c>
      <c r="F1017" s="131">
        <v>4.4999999999999998E-2</v>
      </c>
      <c r="G1017" s="126">
        <f t="shared" si="16"/>
        <v>11.361256544502618</v>
      </c>
      <c r="H1017" s="126" t="s">
        <v>74</v>
      </c>
      <c r="I1017" s="127" t="s">
        <v>476</v>
      </c>
      <c r="J1017" s="126">
        <v>23</v>
      </c>
      <c r="K1017" s="126">
        <v>249.92</v>
      </c>
      <c r="L1017" s="129">
        <f>INT(base[[#This Row],[Data de liquidação]])</f>
        <v>46074</v>
      </c>
      <c r="M1017" s="126">
        <f>base[[#This Row],[L/P Bruto]]-base[[#This Row],[L/P Líquido]]</f>
        <v>0.51125654450261848</v>
      </c>
      <c r="N1017" s="126">
        <f>base[[#This Row],[L/P Líquido]]/base[[#This Row],[Stake/Responsabilidade]]</f>
        <v>4.3413892445582587E-2</v>
      </c>
      <c r="O1017" s="132">
        <f>IF(base[[#This Row],[L/P Líquido]]&gt;0,1,0)</f>
        <v>1</v>
      </c>
      <c r="P1017" s="132" t="s">
        <v>974</v>
      </c>
      <c r="Q1017" s="132" t="str">
        <f>LEFT(base[[#This Row],[Evento / Mercado]],FIND("vs",base[[#This Row],[Evento / Mercado]])-2)</f>
        <v>SV Elversberg</v>
      </c>
      <c r="R10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1017" s="132" t="e">
        <f>LEFT(base[[#This Row],[Evento / Mercado]],FIND("/",base[[#This Row],[Evento / Mercado]])-2)</f>
        <v>#VALUE!</v>
      </c>
      <c r="U1017" s="9"/>
    </row>
    <row r="1018" spans="2:21" ht="15" customHeight="1">
      <c r="B1018" s="128" t="s">
        <v>805</v>
      </c>
      <c r="C1018" s="128" t="s">
        <v>2982</v>
      </c>
      <c r="D1018" s="129">
        <v>46074.455763888887</v>
      </c>
      <c r="E1018" s="130">
        <v>44.92</v>
      </c>
      <c r="F1018" s="131">
        <v>4.4999999999999998E-2</v>
      </c>
      <c r="G1018" s="126">
        <f t="shared" si="16"/>
        <v>47.03664921465969</v>
      </c>
      <c r="H1018" s="126" t="s">
        <v>145</v>
      </c>
      <c r="I1018" s="127" t="s">
        <v>301</v>
      </c>
      <c r="J1018" s="126">
        <v>6</v>
      </c>
      <c r="K1018" s="126">
        <v>249.17</v>
      </c>
      <c r="L1018" s="129">
        <f>INT(base[[#This Row],[Data de liquidação]])</f>
        <v>46074</v>
      </c>
      <c r="M1018" s="126">
        <f>base[[#This Row],[L/P Bruto]]-base[[#This Row],[L/P Líquido]]</f>
        <v>2.116649214659688</v>
      </c>
      <c r="N1018" s="126">
        <f>base[[#This Row],[L/P Líquido]]/base[[#This Row],[Stake/Responsabilidade]]</f>
        <v>0.1802785247020107</v>
      </c>
      <c r="O1018" s="132">
        <f>IF(base[[#This Row],[L/P Líquido]]&gt;0,1,0)</f>
        <v>1</v>
      </c>
      <c r="P1018" s="132" t="s">
        <v>974</v>
      </c>
      <c r="Q1018" s="132" t="str">
        <f>LEFT(base[[#This Row],[Evento / Mercado]],FIND("vs",base[[#This Row],[Evento / Mercado]])-2)</f>
        <v>SV Elversberg</v>
      </c>
      <c r="R10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1018" s="132" t="e">
        <f>LEFT(base[[#This Row],[Evento / Mercado]],FIND("/",base[[#This Row],[Evento / Mercado]])-2)</f>
        <v>#VALUE!</v>
      </c>
      <c r="U1018" s="9"/>
    </row>
    <row r="1019" spans="2:21" ht="15" customHeight="1">
      <c r="B1019" s="128" t="s">
        <v>804</v>
      </c>
      <c r="C1019" s="128" t="s">
        <v>2982</v>
      </c>
      <c r="D1019" s="129">
        <v>46074.458009259259</v>
      </c>
      <c r="E1019" s="130">
        <v>14.05</v>
      </c>
      <c r="F1019" s="131">
        <v>4.4999999999999998E-2</v>
      </c>
      <c r="G1019" s="126">
        <f t="shared" si="16"/>
        <v>14.712041884816756</v>
      </c>
      <c r="H1019" s="126" t="s">
        <v>74</v>
      </c>
      <c r="I1019" s="127" t="s">
        <v>476</v>
      </c>
      <c r="J1019" s="126">
        <v>18</v>
      </c>
      <c r="K1019" s="126">
        <v>250.07</v>
      </c>
      <c r="L1019" s="129">
        <f>INT(base[[#This Row],[Data de liquidação]])</f>
        <v>46074</v>
      </c>
      <c r="M1019" s="126">
        <f>base[[#This Row],[L/P Bruto]]-base[[#This Row],[L/P Líquido]]</f>
        <v>0.6620418848167553</v>
      </c>
      <c r="N1019" s="126">
        <f>base[[#This Row],[L/P Líquido]]/base[[#This Row],[Stake/Responsabilidade]]</f>
        <v>5.6184268404846645E-2</v>
      </c>
      <c r="O1019" s="132">
        <f>IF(base[[#This Row],[L/P Líquido]]&gt;0,1,0)</f>
        <v>1</v>
      </c>
      <c r="P1019" s="132" t="s">
        <v>974</v>
      </c>
      <c r="Q1019" s="132" t="str">
        <f>LEFT(base[[#This Row],[Evento / Mercado]],FIND("vs",base[[#This Row],[Evento / Mercado]])-2)</f>
        <v>SV Darmstadt 98</v>
      </c>
      <c r="R10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Düsseldorf</v>
      </c>
      <c r="S1019" s="132" t="e">
        <f>LEFT(base[[#This Row],[Evento / Mercado]],FIND("/",base[[#This Row],[Evento / Mercado]])-2)</f>
        <v>#VALUE!</v>
      </c>
      <c r="U1019" s="9"/>
    </row>
    <row r="1020" spans="2:21" ht="15" customHeight="1">
      <c r="B1020" s="128" t="s">
        <v>803</v>
      </c>
      <c r="C1020" s="128" t="s">
        <v>2982</v>
      </c>
      <c r="D1020" s="129">
        <v>46074.49728009259</v>
      </c>
      <c r="E1020" s="130">
        <v>-80</v>
      </c>
      <c r="F1020" s="131">
        <v>4.4999999999999998E-2</v>
      </c>
      <c r="G1020" s="126">
        <f t="shared" si="16"/>
        <v>-80</v>
      </c>
      <c r="H1020" s="126" t="s">
        <v>231</v>
      </c>
      <c r="I1020" s="127" t="s">
        <v>266</v>
      </c>
      <c r="J1020" s="126">
        <v>1.75</v>
      </c>
      <c r="K1020" s="126">
        <v>80</v>
      </c>
      <c r="L1020" s="129">
        <f>INT(base[[#This Row],[Data de liquidação]])</f>
        <v>46074</v>
      </c>
      <c r="M1020" s="126">
        <f>base[[#This Row],[L/P Bruto]]-base[[#This Row],[L/P Líquido]]</f>
        <v>0</v>
      </c>
      <c r="N1020" s="126">
        <f>base[[#This Row],[L/P Líquido]]/base[[#This Row],[Stake/Responsabilidade]]</f>
        <v>-1</v>
      </c>
      <c r="O1020" s="132">
        <f>IF(base[[#This Row],[L/P Líquido]]&gt;0,1,0)</f>
        <v>0</v>
      </c>
      <c r="P1020" s="132"/>
      <c r="Q1020" s="132" t="str">
        <f>LEFT(base[[#This Row],[Evento / Mercado]],FIND("vs",base[[#This Row],[Evento / Mercado]])-2)</f>
        <v>VfL Osnabrück</v>
      </c>
      <c r="R10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Rot-Weiss Essen</v>
      </c>
      <c r="S1020" s="132" t="e">
        <f>LEFT(base[[#This Row],[Evento / Mercado]],FIND("/",base[[#This Row],[Evento / Mercado]])-2)</f>
        <v>#VALUE!</v>
      </c>
      <c r="U1020" s="9"/>
    </row>
    <row r="1021" spans="2:21" ht="15" customHeight="1">
      <c r="B1021" s="128" t="s">
        <v>802</v>
      </c>
      <c r="C1021" s="128" t="s">
        <v>2982</v>
      </c>
      <c r="D1021" s="129">
        <v>46074.514039351852</v>
      </c>
      <c r="E1021" s="130">
        <v>68</v>
      </c>
      <c r="F1021" s="131">
        <v>4.4999999999999998E-2</v>
      </c>
      <c r="G1021" s="126">
        <f t="shared" si="16"/>
        <v>71.204188481675402</v>
      </c>
      <c r="H1021" s="126" t="s">
        <v>231</v>
      </c>
      <c r="I1021" s="127" t="s">
        <v>266</v>
      </c>
      <c r="J1021" s="126">
        <v>1.89</v>
      </c>
      <c r="K1021" s="126">
        <v>80</v>
      </c>
      <c r="L1021" s="129">
        <f>INT(base[[#This Row],[Data de liquidação]])</f>
        <v>46074</v>
      </c>
      <c r="M1021" s="126">
        <f>base[[#This Row],[L/P Bruto]]-base[[#This Row],[L/P Líquido]]</f>
        <v>3.204188481675402</v>
      </c>
      <c r="N1021" s="126">
        <f>base[[#This Row],[L/P Líquido]]/base[[#This Row],[Stake/Responsabilidade]]</f>
        <v>0.85</v>
      </c>
      <c r="O1021" s="132">
        <f>IF(base[[#This Row],[L/P Líquido]]&gt;0,1,0)</f>
        <v>1</v>
      </c>
      <c r="P1021" s="132"/>
      <c r="Q1021" s="132" t="str">
        <f>LEFT(base[[#This Row],[Evento / Mercado]],FIND("vs",base[[#This Row],[Evento / Mercado]])-2)</f>
        <v>Wrexham</v>
      </c>
      <c r="R10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Ipswich Town</v>
      </c>
      <c r="S1021" s="132" t="e">
        <f>LEFT(base[[#This Row],[Evento / Mercado]],FIND("/",base[[#This Row],[Evento / Mercado]])-2)</f>
        <v>#VALUE!</v>
      </c>
      <c r="U1021" s="9"/>
    </row>
    <row r="1022" spans="2:21" ht="15" customHeight="1">
      <c r="B1022" s="128" t="s">
        <v>801</v>
      </c>
      <c r="C1022" s="128" t="s">
        <v>2982</v>
      </c>
      <c r="D1022" s="129">
        <v>46074.533993055556</v>
      </c>
      <c r="E1022" s="130">
        <v>49.66</v>
      </c>
      <c r="F1022" s="131">
        <v>4.4999999999999998E-2</v>
      </c>
      <c r="G1022" s="126">
        <f t="shared" si="16"/>
        <v>52</v>
      </c>
      <c r="H1022" s="126" t="s">
        <v>231</v>
      </c>
      <c r="I1022" s="127" t="s">
        <v>266</v>
      </c>
      <c r="J1022" s="126">
        <v>1.65</v>
      </c>
      <c r="K1022" s="126">
        <v>80</v>
      </c>
      <c r="L1022" s="129">
        <f>INT(base[[#This Row],[Data de liquidação]])</f>
        <v>46074</v>
      </c>
      <c r="M1022" s="126">
        <f>base[[#This Row],[L/P Bruto]]-base[[#This Row],[L/P Líquido]]</f>
        <v>2.3400000000000034</v>
      </c>
      <c r="N1022" s="126">
        <f>base[[#This Row],[L/P Líquido]]/base[[#This Row],[Stake/Responsabilidade]]</f>
        <v>0.62074999999999991</v>
      </c>
      <c r="O1022" s="132">
        <f>IF(base[[#This Row],[L/P Líquido]]&gt;0,1,0)</f>
        <v>1</v>
      </c>
      <c r="P1022" s="132"/>
      <c r="Q1022" s="132" t="str">
        <f>LEFT(base[[#This Row],[Evento / Mercado]],FIND("vs",base[[#This Row],[Evento / Mercado]])-2)</f>
        <v>VfL Wolfsburg</v>
      </c>
      <c r="R10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Augsburg</v>
      </c>
      <c r="S1022" s="132" t="e">
        <f>LEFT(base[[#This Row],[Evento / Mercado]],FIND("/",base[[#This Row],[Evento / Mercado]])-2)</f>
        <v>#VALUE!</v>
      </c>
      <c r="U1022" s="9"/>
    </row>
    <row r="1023" spans="2:21" ht="15" customHeight="1">
      <c r="B1023" s="128" t="s">
        <v>800</v>
      </c>
      <c r="C1023" s="128" t="s">
        <v>2982</v>
      </c>
      <c r="D1023" s="129">
        <v>46074.535509259258</v>
      </c>
      <c r="E1023" s="130">
        <v>54.24</v>
      </c>
      <c r="F1023" s="131">
        <v>4.4999999999999998E-2</v>
      </c>
      <c r="G1023" s="126">
        <f t="shared" si="16"/>
        <v>56.795811518324612</v>
      </c>
      <c r="H1023" s="126" t="s">
        <v>231</v>
      </c>
      <c r="I1023" s="127" t="s">
        <v>232</v>
      </c>
      <c r="J1023" s="126">
        <v>1.71</v>
      </c>
      <c r="K1023" s="126">
        <v>80</v>
      </c>
      <c r="L1023" s="129">
        <f>INT(base[[#This Row],[Data de liquidação]])</f>
        <v>46074</v>
      </c>
      <c r="M1023" s="126">
        <f>base[[#This Row],[L/P Bruto]]-base[[#This Row],[L/P Líquido]]</f>
        <v>2.5558115183246102</v>
      </c>
      <c r="N1023" s="126">
        <f>base[[#This Row],[L/P Líquido]]/base[[#This Row],[Stake/Responsabilidade]]</f>
        <v>0.67800000000000005</v>
      </c>
      <c r="O1023" s="132">
        <f>IF(base[[#This Row],[L/P Líquido]]&gt;0,1,0)</f>
        <v>1</v>
      </c>
      <c r="P1023" s="132"/>
      <c r="Q1023" s="132" t="str">
        <f>LEFT(base[[#This Row],[Evento / Mercado]],FIND("vs",base[[#This Row],[Evento / Mercado]])-2)</f>
        <v>1. FC Köln</v>
      </c>
      <c r="R10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1023" s="132" t="e">
        <f>LEFT(base[[#This Row],[Evento / Mercado]],FIND("/",base[[#This Row],[Evento / Mercado]])-2)</f>
        <v>#VALUE!</v>
      </c>
      <c r="U1023" s="9"/>
    </row>
    <row r="1024" spans="2:21" ht="15" customHeight="1">
      <c r="B1024" s="128" t="s">
        <v>799</v>
      </c>
      <c r="C1024" s="128" t="s">
        <v>2982</v>
      </c>
      <c r="D1024" s="129">
        <v>46074.540393518517</v>
      </c>
      <c r="E1024" s="130">
        <v>-7</v>
      </c>
      <c r="F1024" s="131">
        <v>4.4999999999999998E-2</v>
      </c>
      <c r="G1024" s="126">
        <f t="shared" si="16"/>
        <v>-7</v>
      </c>
      <c r="H1024" s="126" t="s">
        <v>145</v>
      </c>
      <c r="I1024" s="127" t="s">
        <v>301</v>
      </c>
      <c r="J1024" s="126">
        <v>13.5</v>
      </c>
      <c r="K1024" s="126">
        <v>250</v>
      </c>
      <c r="L1024" s="129">
        <f>INT(base[[#This Row],[Data de liquidação]])</f>
        <v>46074</v>
      </c>
      <c r="M1024" s="126">
        <f>base[[#This Row],[L/P Bruto]]-base[[#This Row],[L/P Líquido]]</f>
        <v>0</v>
      </c>
      <c r="N1024" s="126">
        <f>base[[#This Row],[L/P Líquido]]/base[[#This Row],[Stake/Responsabilidade]]</f>
        <v>-2.8000000000000001E-2</v>
      </c>
      <c r="O1024" s="132">
        <f>IF(base[[#This Row],[L/P Líquido]]&gt;0,1,0)</f>
        <v>0</v>
      </c>
      <c r="P1024" s="132" t="s">
        <v>971</v>
      </c>
      <c r="Q1024" s="132" t="str">
        <f>LEFT(base[[#This Row],[Evento / Mercado]],FIND("vs",base[[#This Row],[Evento / Mercado]])-2)</f>
        <v>Venezia</v>
      </c>
      <c r="R10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Pescara</v>
      </c>
      <c r="S1024" s="132" t="e">
        <f>LEFT(base[[#This Row],[Evento / Mercado]],FIND("/",base[[#This Row],[Evento / Mercado]])-2)</f>
        <v>#VALUE!</v>
      </c>
      <c r="U1024" s="9">
        <f>300/(13.5-1)*0.955+7</f>
        <v>29.919999999999998</v>
      </c>
    </row>
    <row r="1025" spans="2:21" ht="15" customHeight="1">
      <c r="B1025" s="128" t="s">
        <v>798</v>
      </c>
      <c r="C1025" s="128" t="s">
        <v>2982</v>
      </c>
      <c r="D1025" s="129">
        <v>46074.563067129631</v>
      </c>
      <c r="E1025" s="130">
        <v>9.9499999999999993</v>
      </c>
      <c r="F1025" s="131">
        <v>4.4999999999999998E-2</v>
      </c>
      <c r="G1025" s="126">
        <f t="shared" si="16"/>
        <v>10.418848167539267</v>
      </c>
      <c r="H1025" s="126" t="s">
        <v>74</v>
      </c>
      <c r="I1025" s="127" t="s">
        <v>477</v>
      </c>
      <c r="J1025" s="126">
        <v>25</v>
      </c>
      <c r="K1025" s="126">
        <v>250.08</v>
      </c>
      <c r="L1025" s="129">
        <f>INT(base[[#This Row],[Data de liquidação]])</f>
        <v>46074</v>
      </c>
      <c r="M1025" s="126">
        <f>base[[#This Row],[L/P Bruto]]-base[[#This Row],[L/P Líquido]]</f>
        <v>0.46884816753926728</v>
      </c>
      <c r="N1025" s="126">
        <f>base[[#This Row],[L/P Líquido]]/base[[#This Row],[Stake/Responsabilidade]]</f>
        <v>3.9787268074216245E-2</v>
      </c>
      <c r="O1025" s="132">
        <f>IF(base[[#This Row],[L/P Líquido]]&gt;0,1,0)</f>
        <v>1</v>
      </c>
      <c r="P1025" s="132" t="s">
        <v>962</v>
      </c>
      <c r="Q1025" s="132" t="str">
        <f>LEFT(base[[#This Row],[Evento / Mercado]],FIND("vs",base[[#This Row],[Evento / Mercado]])-2)</f>
        <v>FC Bayern München</v>
      </c>
      <c r="R10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1025" s="132" t="e">
        <f>LEFT(base[[#This Row],[Evento / Mercado]],FIND("/",base[[#This Row],[Evento / Mercado]])-2)</f>
        <v>#VALUE!</v>
      </c>
      <c r="U1025" s="9"/>
    </row>
    <row r="1026" spans="2:21" ht="15" customHeight="1">
      <c r="B1026" s="128" t="s">
        <v>797</v>
      </c>
      <c r="C1026" s="128" t="s">
        <v>2982</v>
      </c>
      <c r="D1026" s="129">
        <v>46074.579525462963</v>
      </c>
      <c r="E1026" s="130">
        <v>17.059999999999999</v>
      </c>
      <c r="F1026" s="131">
        <v>4.4999999999999998E-2</v>
      </c>
      <c r="G1026" s="126">
        <f t="shared" si="16"/>
        <v>17.863874345549739</v>
      </c>
      <c r="H1026" s="126" t="s">
        <v>145</v>
      </c>
      <c r="I1026" s="127" t="s">
        <v>301</v>
      </c>
      <c r="J1026" s="126">
        <v>15</v>
      </c>
      <c r="K1026" s="126">
        <v>250.04</v>
      </c>
      <c r="L1026" s="129">
        <f>INT(base[[#This Row],[Data de liquidação]])</f>
        <v>46074</v>
      </c>
      <c r="M1026" s="126">
        <f>base[[#This Row],[L/P Bruto]]-base[[#This Row],[L/P Líquido]]</f>
        <v>0.80387434554974035</v>
      </c>
      <c r="N1026" s="126">
        <f>base[[#This Row],[L/P Líquido]]/base[[#This Row],[Stake/Responsabilidade]]</f>
        <v>6.8229083346664526E-2</v>
      </c>
      <c r="O1026" s="132">
        <f>IF(base[[#This Row],[L/P Líquido]]&gt;0,1,0)</f>
        <v>1</v>
      </c>
      <c r="P1026" s="132" t="s">
        <v>963</v>
      </c>
      <c r="Q1026" s="132" t="str">
        <f>LEFT(base[[#This Row],[Evento / Mercado]],FIND("vs",base[[#This Row],[Evento / Mercado]])-2)</f>
        <v>Chelsea</v>
      </c>
      <c r="R10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Burnley</v>
      </c>
      <c r="S1026" s="132" t="e">
        <f>LEFT(base[[#This Row],[Evento / Mercado]],FIND("/",base[[#This Row],[Evento / Mercado]])-2)</f>
        <v>#VALUE!</v>
      </c>
      <c r="U1026" s="9"/>
    </row>
    <row r="1027" spans="2:21" ht="15" customHeight="1">
      <c r="B1027" s="128" t="s">
        <v>796</v>
      </c>
      <c r="C1027" s="128" t="s">
        <v>2982</v>
      </c>
      <c r="D1027" s="129">
        <v>46074.598217592589</v>
      </c>
      <c r="E1027" s="130">
        <v>17.690000000000001</v>
      </c>
      <c r="F1027" s="131">
        <v>4.4999999999999998E-2</v>
      </c>
      <c r="G1027" s="126">
        <f t="shared" ref="G1027:G1090" si="17">IF(E1027&gt;0,E1027/(1-F1027),E1027)</f>
        <v>18.523560209424087</v>
      </c>
      <c r="H1027" s="126" t="s">
        <v>74</v>
      </c>
      <c r="I1027" s="127" t="s">
        <v>476</v>
      </c>
      <c r="J1027" s="126">
        <v>14.5</v>
      </c>
      <c r="K1027" s="126">
        <v>250.02</v>
      </c>
      <c r="L1027" s="129">
        <f>INT(base[[#This Row],[Data de liquidação]])</f>
        <v>46074</v>
      </c>
      <c r="M1027" s="126">
        <f>base[[#This Row],[L/P Bruto]]-base[[#This Row],[L/P Líquido]]</f>
        <v>0.83356020942408549</v>
      </c>
      <c r="N1027" s="126">
        <f>base[[#This Row],[L/P Líquido]]/base[[#This Row],[Stake/Responsabilidade]]</f>
        <v>7.0754339652827777E-2</v>
      </c>
      <c r="O1027" s="132">
        <f>IF(base[[#This Row],[L/P Líquido]]&gt;0,1,0)</f>
        <v>1</v>
      </c>
      <c r="P1027" s="132" t="s">
        <v>964</v>
      </c>
      <c r="Q1027" s="132" t="str">
        <f>LEFT(base[[#This Row],[Evento / Mercado]],FIND("vs",base[[#This Row],[Evento / Mercado]])-2)</f>
        <v>Real Betis</v>
      </c>
      <c r="R10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Rayo Vallecano</v>
      </c>
      <c r="S1027" s="132" t="e">
        <f>LEFT(base[[#This Row],[Evento / Mercado]],FIND("/",base[[#This Row],[Evento / Mercado]])-2)</f>
        <v>#VALUE!</v>
      </c>
      <c r="U1027" s="9"/>
    </row>
    <row r="1028" spans="2:21" ht="15" customHeight="1">
      <c r="B1028" s="128" t="s">
        <v>795</v>
      </c>
      <c r="C1028" s="128" t="s">
        <v>2982</v>
      </c>
      <c r="D1028" s="129">
        <v>46074.623379629629</v>
      </c>
      <c r="E1028" s="130">
        <v>-139.71</v>
      </c>
      <c r="F1028" s="131">
        <v>4.4999999999999998E-2</v>
      </c>
      <c r="G1028" s="126">
        <f t="shared" si="17"/>
        <v>-139.71</v>
      </c>
      <c r="H1028" s="126" t="s">
        <v>145</v>
      </c>
      <c r="I1028" s="127" t="s">
        <v>301</v>
      </c>
      <c r="J1028" s="126">
        <v>5</v>
      </c>
      <c r="K1028" s="126">
        <v>250</v>
      </c>
      <c r="L1028" s="129">
        <f>INT(base[[#This Row],[Data de liquidação]])</f>
        <v>46074</v>
      </c>
      <c r="M1028" s="126">
        <f>base[[#This Row],[L/P Bruto]]-base[[#This Row],[L/P Líquido]]</f>
        <v>0</v>
      </c>
      <c r="N1028" s="126">
        <f>base[[#This Row],[L/P Líquido]]/base[[#This Row],[Stake/Responsabilidade]]</f>
        <v>-0.55884</v>
      </c>
      <c r="O1028" s="132">
        <f>IF(base[[#This Row],[L/P Líquido]]&gt;0,1,0)</f>
        <v>0</v>
      </c>
      <c r="P1028" s="132" t="s">
        <v>970</v>
      </c>
      <c r="Q1028" s="132" t="str">
        <f>LEFT(base[[#This Row],[Evento / Mercado]],FIND("vs",base[[#This Row],[Evento / Mercado]])-2)</f>
        <v>RC Lens</v>
      </c>
      <c r="R10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 Monaco</v>
      </c>
      <c r="S1028" s="132" t="e">
        <f>LEFT(base[[#This Row],[Evento / Mercado]],FIND("/",base[[#This Row],[Evento / Mercado]])-2)</f>
        <v>#VALUE!</v>
      </c>
      <c r="U1028" s="9">
        <f>-250+139</f>
        <v>-111</v>
      </c>
    </row>
    <row r="1029" spans="2:21" ht="15" customHeight="1">
      <c r="B1029" s="128" t="s">
        <v>794</v>
      </c>
      <c r="C1029" s="128" t="s">
        <v>2982</v>
      </c>
      <c r="D1029" s="129">
        <v>46074.6719212963</v>
      </c>
      <c r="E1029" s="130">
        <v>51.95</v>
      </c>
      <c r="F1029" s="131">
        <v>4.4999999999999998E-2</v>
      </c>
      <c r="G1029" s="126">
        <f t="shared" si="17"/>
        <v>54.397905759162306</v>
      </c>
      <c r="H1029" s="126" t="s">
        <v>231</v>
      </c>
      <c r="I1029" s="127" t="s">
        <v>232</v>
      </c>
      <c r="J1029" s="126">
        <v>1.68</v>
      </c>
      <c r="K1029" s="126">
        <v>80</v>
      </c>
      <c r="L1029" s="129">
        <f>INT(base[[#This Row],[Data de liquidação]])</f>
        <v>46074</v>
      </c>
      <c r="M1029" s="126">
        <f>base[[#This Row],[L/P Bruto]]-base[[#This Row],[L/P Líquido]]</f>
        <v>2.4479057591623032</v>
      </c>
      <c r="N1029" s="126">
        <f>base[[#This Row],[L/P Líquido]]/base[[#This Row],[Stake/Responsabilidade]]</f>
        <v>0.64937500000000004</v>
      </c>
      <c r="O1029" s="132">
        <f>IF(base[[#This Row],[L/P Líquido]]&gt;0,1,0)</f>
        <v>1</v>
      </c>
      <c r="P1029" s="132"/>
      <c r="Q1029" s="132" t="str">
        <f>LEFT(base[[#This Row],[Evento / Mercado]],FIND("vs",base[[#This Row],[Evento / Mercado]])-2)</f>
        <v>UD Almería</v>
      </c>
      <c r="R10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Córdoba CF</v>
      </c>
      <c r="S1029" s="132" t="e">
        <f>LEFT(base[[#This Row],[Evento / Mercado]],FIND("/",base[[#This Row],[Evento / Mercado]])-2)</f>
        <v>#VALUE!</v>
      </c>
      <c r="U1029" s="9"/>
    </row>
    <row r="1030" spans="2:21" ht="15" customHeight="1">
      <c r="B1030" s="128" t="s">
        <v>793</v>
      </c>
      <c r="C1030" s="128" t="s">
        <v>2982</v>
      </c>
      <c r="D1030" s="129">
        <v>46074.686365740738</v>
      </c>
      <c r="E1030" s="130">
        <v>14.05</v>
      </c>
      <c r="F1030" s="131">
        <v>4.4999999999999998E-2</v>
      </c>
      <c r="G1030" s="126">
        <f t="shared" si="17"/>
        <v>14.712041884816756</v>
      </c>
      <c r="H1030" s="126" t="s">
        <v>122</v>
      </c>
      <c r="I1030" s="127" t="s">
        <v>477</v>
      </c>
      <c r="J1030" s="126">
        <v>18</v>
      </c>
      <c r="K1030" s="126">
        <v>250.07</v>
      </c>
      <c r="L1030" s="129">
        <f>INT(base[[#This Row],[Data de liquidação]])</f>
        <v>46074</v>
      </c>
      <c r="M1030" s="126">
        <f>base[[#This Row],[L/P Bruto]]-base[[#This Row],[L/P Líquido]]</f>
        <v>0.6620418848167553</v>
      </c>
      <c r="N1030" s="126">
        <f>base[[#This Row],[L/P Líquido]]/base[[#This Row],[Stake/Responsabilidade]]</f>
        <v>5.6184268404846645E-2</v>
      </c>
      <c r="O1030" s="132">
        <f>IF(base[[#This Row],[L/P Líquido]]&gt;0,1,0)</f>
        <v>1</v>
      </c>
      <c r="P1030" s="132" t="s">
        <v>962</v>
      </c>
      <c r="Q1030" s="132" t="str">
        <f>LEFT(base[[#This Row],[Evento / Mercado]],FIND("vs",base[[#This Row],[Evento / Mercado]])-2)</f>
        <v>RB Leipzig</v>
      </c>
      <c r="R10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1030" s="132" t="e">
        <f>LEFT(base[[#This Row],[Evento / Mercado]],FIND("/",base[[#This Row],[Evento / Mercado]])-2)</f>
        <v>#VALUE!</v>
      </c>
      <c r="U1030" s="9"/>
    </row>
    <row r="1031" spans="2:21" ht="15" customHeight="1">
      <c r="B1031" s="128" t="s">
        <v>792</v>
      </c>
      <c r="C1031" s="128" t="s">
        <v>2982</v>
      </c>
      <c r="D1031" s="129">
        <v>46074.788668981484</v>
      </c>
      <c r="E1031" s="130">
        <v>8.5299999999999994</v>
      </c>
      <c r="F1031" s="131">
        <v>4.4999999999999998E-2</v>
      </c>
      <c r="G1031" s="126">
        <f t="shared" si="17"/>
        <v>8.9319371727748695</v>
      </c>
      <c r="H1031" s="126" t="s">
        <v>74</v>
      </c>
      <c r="I1031" s="127" t="s">
        <v>476</v>
      </c>
      <c r="J1031" s="126">
        <v>29</v>
      </c>
      <c r="K1031" s="126">
        <v>250.04</v>
      </c>
      <c r="L1031" s="129">
        <f>INT(base[[#This Row],[Data de liquidação]])</f>
        <v>46074</v>
      </c>
      <c r="M1031" s="126">
        <f>base[[#This Row],[L/P Bruto]]-base[[#This Row],[L/P Líquido]]</f>
        <v>0.40193717277487018</v>
      </c>
      <c r="N1031" s="126">
        <f>base[[#This Row],[L/P Líquido]]/base[[#This Row],[Stake/Responsabilidade]]</f>
        <v>3.4114541673332263E-2</v>
      </c>
      <c r="O1031" s="132">
        <f>IF(base[[#This Row],[L/P Líquido]]&gt;0,1,0)</f>
        <v>1</v>
      </c>
      <c r="P1031" s="132" t="s">
        <v>963</v>
      </c>
      <c r="Q1031" s="132" t="str">
        <f>LEFT(base[[#This Row],[Evento / Mercado]],FIND("vs",base[[#This Row],[Evento / Mercado]])-2)</f>
        <v>Manchester City</v>
      </c>
      <c r="R10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1031" s="132" t="e">
        <f>LEFT(base[[#This Row],[Evento / Mercado]],FIND("/",base[[#This Row],[Evento / Mercado]])-2)</f>
        <v>#VALUE!</v>
      </c>
      <c r="U1031" s="9"/>
    </row>
    <row r="1032" spans="2:21" ht="15" customHeight="1">
      <c r="B1032" s="128" t="s">
        <v>792</v>
      </c>
      <c r="C1032" s="128" t="s">
        <v>2982</v>
      </c>
      <c r="D1032" s="129">
        <v>46074.788773148146</v>
      </c>
      <c r="E1032" s="130">
        <v>44.22</v>
      </c>
      <c r="F1032" s="131">
        <v>4.4999999999999998E-2</v>
      </c>
      <c r="G1032" s="126">
        <f t="shared" si="17"/>
        <v>46.303664921465966</v>
      </c>
      <c r="H1032" s="126" t="s">
        <v>145</v>
      </c>
      <c r="I1032" s="127" t="s">
        <v>301</v>
      </c>
      <c r="J1032" s="126">
        <v>6.4</v>
      </c>
      <c r="K1032" s="126">
        <v>250.02</v>
      </c>
      <c r="L1032" s="129">
        <f>INT(base[[#This Row],[Data de liquidação]])</f>
        <v>46074</v>
      </c>
      <c r="M1032" s="126">
        <f>base[[#This Row],[L/P Bruto]]-base[[#This Row],[L/P Líquido]]</f>
        <v>2.0836649214659673</v>
      </c>
      <c r="N1032" s="126">
        <f>base[[#This Row],[L/P Líquido]]/base[[#This Row],[Stake/Responsabilidade]]</f>
        <v>0.17686585073194144</v>
      </c>
      <c r="O1032" s="132">
        <f>IF(base[[#This Row],[L/P Líquido]]&gt;0,1,0)</f>
        <v>1</v>
      </c>
      <c r="P1032" s="132" t="s">
        <v>963</v>
      </c>
      <c r="Q1032" s="132" t="str">
        <f>LEFT(base[[#This Row],[Evento / Mercado]],FIND("vs",base[[#This Row],[Evento / Mercado]])-2)</f>
        <v>Manchester City</v>
      </c>
      <c r="R10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1032" s="132" t="e">
        <f>LEFT(base[[#This Row],[Evento / Mercado]],FIND("/",base[[#This Row],[Evento / Mercado]])-2)</f>
        <v>#VALUE!</v>
      </c>
      <c r="U1032" s="9"/>
    </row>
    <row r="1033" spans="2:21" ht="15" customHeight="1">
      <c r="B1033" s="128" t="s">
        <v>901</v>
      </c>
      <c r="C1033" s="128" t="s">
        <v>2982</v>
      </c>
      <c r="D1033" s="129">
        <v>46075.473587962966</v>
      </c>
      <c r="E1033" s="130">
        <v>-80</v>
      </c>
      <c r="F1033" s="131">
        <v>4.4999999999999998E-2</v>
      </c>
      <c r="G1033" s="126">
        <f t="shared" si="17"/>
        <v>-80</v>
      </c>
      <c r="H1033" s="126" t="s">
        <v>231</v>
      </c>
      <c r="I1033" s="127" t="s">
        <v>266</v>
      </c>
      <c r="J1033" s="126">
        <v>1.64</v>
      </c>
      <c r="K1033" s="126">
        <v>80</v>
      </c>
      <c r="L1033" s="129">
        <f>INT(base[[#This Row],[Data de liquidação]])</f>
        <v>46075</v>
      </c>
      <c r="M1033" s="126">
        <f>base[[#This Row],[L/P Bruto]]-base[[#This Row],[L/P Líquido]]</f>
        <v>0</v>
      </c>
      <c r="N1033" s="126">
        <f>base[[#This Row],[L/P Líquido]]/base[[#This Row],[Stake/Responsabilidade]]</f>
        <v>-1</v>
      </c>
      <c r="O1033" s="132">
        <f>IF(base[[#This Row],[L/P Líquido]]&gt;0,1,0)</f>
        <v>0</v>
      </c>
      <c r="P1033" s="132"/>
      <c r="Q1033" s="132" t="str">
        <f>LEFT(base[[#This Row],[Evento / Mercado]],FIND("vs",base[[#This Row],[Evento / Mercado]])-2)</f>
        <v>TSV 1860 München</v>
      </c>
      <c r="R10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Hansa Rostock</v>
      </c>
      <c r="S1033" s="132" t="e">
        <f>LEFT(base[[#This Row],[Evento / Mercado]],FIND("/",base[[#This Row],[Evento / Mercado]])-2)</f>
        <v>#VALUE!</v>
      </c>
      <c r="U1033" s="9"/>
    </row>
    <row r="1034" spans="2:21" ht="15" customHeight="1">
      <c r="B1034" s="128" t="s">
        <v>900</v>
      </c>
      <c r="C1034" s="128" t="s">
        <v>2982</v>
      </c>
      <c r="D1034" s="129">
        <v>46075.480798611112</v>
      </c>
      <c r="E1034" s="130">
        <v>-16.21</v>
      </c>
      <c r="F1034" s="131">
        <v>4.4999999999999998E-2</v>
      </c>
      <c r="G1034" s="126">
        <f t="shared" si="17"/>
        <v>-16.21</v>
      </c>
      <c r="H1034" s="126" t="s">
        <v>74</v>
      </c>
      <c r="I1034" s="127" t="s">
        <v>476</v>
      </c>
      <c r="J1034" s="126">
        <v>28</v>
      </c>
      <c r="K1034" s="126">
        <v>243.1</v>
      </c>
      <c r="L1034" s="129">
        <f>INT(base[[#This Row],[Data de liquidação]])</f>
        <v>46075</v>
      </c>
      <c r="M1034" s="126">
        <f>base[[#This Row],[L/P Bruto]]-base[[#This Row],[L/P Líquido]]</f>
        <v>0</v>
      </c>
      <c r="N1034" s="126">
        <f>base[[#This Row],[L/P Líquido]]/base[[#This Row],[Stake/Responsabilidade]]</f>
        <v>-6.6680378445084329E-2</v>
      </c>
      <c r="O1034" s="132">
        <f>IF(base[[#This Row],[L/P Líquido]]&gt;0,1,0)</f>
        <v>0</v>
      </c>
      <c r="P1034" s="132" t="s">
        <v>974</v>
      </c>
      <c r="Q1034" s="132" t="str">
        <f>LEFT(base[[#This Row],[Evento / Mercado]],FIND("vs",base[[#This Row],[Evento / Mercado]])-2)</f>
        <v>Hannover 96</v>
      </c>
      <c r="R10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1034" s="132" t="e">
        <f>LEFT(base[[#This Row],[Evento / Mercado]],FIND("/",base[[#This Row],[Evento / Mercado]])-2)</f>
        <v>#VALUE!</v>
      </c>
      <c r="U1034" s="9"/>
    </row>
    <row r="1035" spans="2:21" ht="15" customHeight="1">
      <c r="B1035" s="128" t="s">
        <v>900</v>
      </c>
      <c r="C1035" s="128" t="s">
        <v>2982</v>
      </c>
      <c r="D1035" s="129">
        <v>46075.480983796297</v>
      </c>
      <c r="E1035" s="130">
        <v>-80</v>
      </c>
      <c r="F1035" s="131">
        <v>4.4999999999999998E-2</v>
      </c>
      <c r="G1035" s="126">
        <f t="shared" si="17"/>
        <v>-80</v>
      </c>
      <c r="H1035" s="126" t="s">
        <v>231</v>
      </c>
      <c r="I1035" s="127" t="s">
        <v>266</v>
      </c>
      <c r="J1035" s="126">
        <v>1.79</v>
      </c>
      <c r="K1035" s="126">
        <v>80</v>
      </c>
      <c r="L1035" s="129">
        <f>INT(base[[#This Row],[Data de liquidação]])</f>
        <v>46075</v>
      </c>
      <c r="M1035" s="126">
        <f>base[[#This Row],[L/P Bruto]]-base[[#This Row],[L/P Líquido]]</f>
        <v>0</v>
      </c>
      <c r="N1035" s="126">
        <f>base[[#This Row],[L/P Líquido]]/base[[#This Row],[Stake/Responsabilidade]]</f>
        <v>-1</v>
      </c>
      <c r="O1035" s="132">
        <f>IF(base[[#This Row],[L/P Líquido]]&gt;0,1,0)</f>
        <v>0</v>
      </c>
      <c r="P1035" s="132"/>
      <c r="Q1035" s="132" t="str">
        <f>LEFT(base[[#This Row],[Evento / Mercado]],FIND("vs",base[[#This Row],[Evento / Mercado]])-2)</f>
        <v>Hannover 96</v>
      </c>
      <c r="R10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1035" s="132" t="e">
        <f>LEFT(base[[#This Row],[Evento / Mercado]],FIND("/",base[[#This Row],[Evento / Mercado]])-2)</f>
        <v>#VALUE!</v>
      </c>
      <c r="U1035" s="9"/>
    </row>
    <row r="1036" spans="2:21" ht="15" customHeight="1">
      <c r="B1036" s="128" t="s">
        <v>899</v>
      </c>
      <c r="C1036" s="128" t="s">
        <v>2982</v>
      </c>
      <c r="D1036" s="129">
        <v>46075.527592592596</v>
      </c>
      <c r="E1036" s="130">
        <v>71.05</v>
      </c>
      <c r="F1036" s="131">
        <v>4.4999999999999998E-2</v>
      </c>
      <c r="G1036" s="126">
        <f t="shared" si="17"/>
        <v>74.397905759162299</v>
      </c>
      <c r="H1036" s="126" t="s">
        <v>231</v>
      </c>
      <c r="I1036" s="127" t="s">
        <v>266</v>
      </c>
      <c r="J1036" s="126">
        <v>1.93</v>
      </c>
      <c r="K1036" s="126">
        <v>80</v>
      </c>
      <c r="L1036" s="129">
        <f>INT(base[[#This Row],[Data de liquidação]])</f>
        <v>46075</v>
      </c>
      <c r="M1036" s="126">
        <f>base[[#This Row],[L/P Bruto]]-base[[#This Row],[L/P Líquido]]</f>
        <v>3.3479057591623018</v>
      </c>
      <c r="N1036" s="126">
        <f>base[[#This Row],[L/P Líquido]]/base[[#This Row],[Stake/Responsabilidade]]</f>
        <v>0.88812499999999994</v>
      </c>
      <c r="O1036" s="132">
        <f>IF(base[[#This Row],[L/P Líquido]]&gt;0,1,0)</f>
        <v>1</v>
      </c>
      <c r="P1036" s="132"/>
      <c r="Q1036" s="132" t="str">
        <f>LEFT(base[[#This Row],[Evento / Mercado]],FIND("vs",base[[#This Row],[Evento / Mercado]])-2)</f>
        <v>Sunderland</v>
      </c>
      <c r="R10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1036" s="132" t="e">
        <f>LEFT(base[[#This Row],[Evento / Mercado]],FIND("/",base[[#This Row],[Evento / Mercado]])-2)</f>
        <v>#VALUE!</v>
      </c>
      <c r="U1036" s="9"/>
    </row>
    <row r="1037" spans="2:21" ht="15" customHeight="1">
      <c r="B1037" s="128" t="s">
        <v>898</v>
      </c>
      <c r="C1037" s="128" t="s">
        <v>2982</v>
      </c>
      <c r="D1037" s="129">
        <v>46075.580520833333</v>
      </c>
      <c r="E1037" s="130">
        <v>9.19</v>
      </c>
      <c r="F1037" s="131">
        <v>4.4999999999999998E-2</v>
      </c>
      <c r="G1037" s="126">
        <f t="shared" si="17"/>
        <v>9.6230366492146597</v>
      </c>
      <c r="H1037" s="126" t="s">
        <v>74</v>
      </c>
      <c r="I1037" s="127" t="s">
        <v>476</v>
      </c>
      <c r="J1037" s="126">
        <v>27</v>
      </c>
      <c r="K1037" s="126">
        <v>250.12</v>
      </c>
      <c r="L1037" s="129">
        <f>INT(base[[#This Row],[Data de liquidação]])</f>
        <v>46075</v>
      </c>
      <c r="M1037" s="126">
        <f>base[[#This Row],[L/P Bruto]]-base[[#This Row],[L/P Líquido]]</f>
        <v>0.43303664921466023</v>
      </c>
      <c r="N1037" s="126">
        <f>base[[#This Row],[L/P Líquido]]/base[[#This Row],[Stake/Responsabilidade]]</f>
        <v>3.6742363665440585E-2</v>
      </c>
      <c r="O1037" s="132">
        <f>IF(base[[#This Row],[L/P Líquido]]&gt;0,1,0)</f>
        <v>1</v>
      </c>
      <c r="P1037" s="132" t="s">
        <v>981</v>
      </c>
      <c r="Q1037" s="132" t="str">
        <f>LEFT(base[[#This Row],[Evento / Mercado]],FIND("vs",base[[#This Row],[Evento / Mercado]])-2)</f>
        <v>Celtic</v>
      </c>
      <c r="R10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Hibernian</v>
      </c>
      <c r="S1037" s="132" t="e">
        <f>LEFT(base[[#This Row],[Evento / Mercado]],FIND("/",base[[#This Row],[Evento / Mercado]])-2)</f>
        <v>#VALUE!</v>
      </c>
      <c r="U1037" s="9"/>
    </row>
    <row r="1038" spans="2:21" ht="15" customHeight="1">
      <c r="B1038" s="128" t="s">
        <v>897</v>
      </c>
      <c r="C1038" s="128" t="s">
        <v>2982</v>
      </c>
      <c r="D1038" s="129">
        <v>46075.58252314815</v>
      </c>
      <c r="E1038" s="130">
        <v>-147.32</v>
      </c>
      <c r="F1038" s="131">
        <v>4.4999999999999998E-2</v>
      </c>
      <c r="G1038" s="126">
        <f t="shared" si="17"/>
        <v>-147.32</v>
      </c>
      <c r="H1038" s="126" t="s">
        <v>145</v>
      </c>
      <c r="I1038" s="127" t="s">
        <v>300</v>
      </c>
      <c r="J1038" s="126">
        <v>11.5</v>
      </c>
      <c r="K1038" s="126">
        <v>250.01</v>
      </c>
      <c r="L1038" s="129">
        <f>INT(base[[#This Row],[Data de liquidação]])</f>
        <v>46075</v>
      </c>
      <c r="M1038" s="126">
        <f>base[[#This Row],[L/P Bruto]]-base[[#This Row],[L/P Líquido]]</f>
        <v>0</v>
      </c>
      <c r="N1038" s="126">
        <f>base[[#This Row],[L/P Líquido]]/base[[#This Row],[Stake/Responsabilidade]]</f>
        <v>-0.58925642974281023</v>
      </c>
      <c r="O1038" s="132">
        <f>IF(base[[#This Row],[L/P Líquido]]&gt;0,1,0)</f>
        <v>0</v>
      </c>
      <c r="P1038" s="132" t="s">
        <v>981</v>
      </c>
      <c r="Q1038" s="132" t="str">
        <f>LEFT(base[[#This Row],[Evento / Mercado]],FIND("vs",base[[#This Row],[Evento / Mercado]])-2)</f>
        <v>Livingston</v>
      </c>
      <c r="R10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Rangers</v>
      </c>
      <c r="S1038" s="132" t="e">
        <f>LEFT(base[[#This Row],[Evento / Mercado]],FIND("/",base[[#This Row],[Evento / Mercado]])-2)</f>
        <v>#VALUE!</v>
      </c>
      <c r="U1038" s="9">
        <f>250/(11.5-1)*0.955</f>
        <v>22.738095238095237</v>
      </c>
    </row>
    <row r="1039" spans="2:21" ht="15" customHeight="1">
      <c r="B1039" s="128" t="s">
        <v>896</v>
      </c>
      <c r="C1039" s="128" t="s">
        <v>2982</v>
      </c>
      <c r="D1039" s="129">
        <v>46075.604131944441</v>
      </c>
      <c r="E1039" s="130">
        <v>48.13</v>
      </c>
      <c r="F1039" s="131">
        <v>4.4999999999999998E-2</v>
      </c>
      <c r="G1039" s="126">
        <f t="shared" si="17"/>
        <v>50.397905759162306</v>
      </c>
      <c r="H1039" s="126" t="s">
        <v>231</v>
      </c>
      <c r="I1039" s="127" t="s">
        <v>232</v>
      </c>
      <c r="J1039" s="126">
        <v>1.63</v>
      </c>
      <c r="K1039" s="126">
        <v>80</v>
      </c>
      <c r="L1039" s="129">
        <f>INT(base[[#This Row],[Data de liquidação]])</f>
        <v>46075</v>
      </c>
      <c r="M1039" s="126">
        <f>base[[#This Row],[L/P Bruto]]-base[[#This Row],[L/P Líquido]]</f>
        <v>2.2679057591623035</v>
      </c>
      <c r="N1039" s="126">
        <f>base[[#This Row],[L/P Líquido]]/base[[#This Row],[Stake/Responsabilidade]]</f>
        <v>0.60162500000000008</v>
      </c>
      <c r="O1039" s="132">
        <f>IF(base[[#This Row],[L/P Líquido]]&gt;0,1,0)</f>
        <v>1</v>
      </c>
      <c r="P1039" s="132"/>
      <c r="Q1039" s="132" t="str">
        <f>LEFT(base[[#This Row],[Evento / Mercado]],FIND("vs",base[[#This Row],[Evento / Mercado]])-2)</f>
        <v>FC Erzgebirge Aue</v>
      </c>
      <c r="R10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Energie Cottbus</v>
      </c>
      <c r="S1039" s="132" t="e">
        <f>LEFT(base[[#This Row],[Evento / Mercado]],FIND("/",base[[#This Row],[Evento / Mercado]])-2)</f>
        <v>#VALUE!</v>
      </c>
      <c r="U1039" s="9"/>
    </row>
    <row r="1040" spans="2:21" ht="15" customHeight="1">
      <c r="B1040" s="128" t="s">
        <v>895</v>
      </c>
      <c r="C1040" s="128" t="s">
        <v>2982</v>
      </c>
      <c r="D1040" s="129">
        <v>46075.650983796295</v>
      </c>
      <c r="E1040" s="130">
        <v>10.85</v>
      </c>
      <c r="F1040" s="131">
        <v>4.4999999999999998E-2</v>
      </c>
      <c r="G1040" s="126">
        <f t="shared" si="17"/>
        <v>11.361256544502618</v>
      </c>
      <c r="H1040" s="126" t="s">
        <v>122</v>
      </c>
      <c r="I1040" s="127" t="s">
        <v>542</v>
      </c>
      <c r="J1040" s="126">
        <v>23</v>
      </c>
      <c r="K1040" s="126">
        <v>249.92</v>
      </c>
      <c r="L1040" s="129">
        <f>INT(base[[#This Row],[Data de liquidação]])</f>
        <v>46075</v>
      </c>
      <c r="M1040" s="126">
        <f>base[[#This Row],[L/P Bruto]]-base[[#This Row],[L/P Líquido]]</f>
        <v>0.51125654450261848</v>
      </c>
      <c r="N1040" s="126">
        <f>base[[#This Row],[L/P Líquido]]/base[[#This Row],[Stake/Responsabilidade]]</f>
        <v>4.3413892445582587E-2</v>
      </c>
      <c r="O1040" s="132">
        <f>IF(base[[#This Row],[L/P Líquido]]&gt;0,1,0)</f>
        <v>1</v>
      </c>
      <c r="P1040" s="132" t="s">
        <v>963</v>
      </c>
      <c r="Q1040" s="132" t="str">
        <f>LEFT(base[[#This Row],[Evento / Mercado]],FIND("vs",base[[#This Row],[Evento / Mercado]])-2)</f>
        <v>Tottenham Hotspur</v>
      </c>
      <c r="R10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1040" s="132" t="e">
        <f>LEFT(base[[#This Row],[Evento / Mercado]],FIND("/",base[[#This Row],[Evento / Mercado]])-2)</f>
        <v>#VALUE!</v>
      </c>
      <c r="U1040" s="9"/>
    </row>
    <row r="1041" spans="2:21" ht="15" customHeight="1">
      <c r="B1041" s="128" t="s">
        <v>895</v>
      </c>
      <c r="C1041" s="128" t="s">
        <v>2982</v>
      </c>
      <c r="D1041" s="129">
        <v>46075.651192129626</v>
      </c>
      <c r="E1041" s="130">
        <v>31.95</v>
      </c>
      <c r="F1041" s="131">
        <v>4.4999999999999998E-2</v>
      </c>
      <c r="G1041" s="126">
        <f t="shared" si="17"/>
        <v>33.455497382198956</v>
      </c>
      <c r="H1041" s="126" t="s">
        <v>145</v>
      </c>
      <c r="I1041" s="127" t="s">
        <v>300</v>
      </c>
      <c r="J1041" s="126">
        <v>8.1999999999999993</v>
      </c>
      <c r="K1041" s="126">
        <v>249.98</v>
      </c>
      <c r="L1041" s="129">
        <f>INT(base[[#This Row],[Data de liquidação]])</f>
        <v>46075</v>
      </c>
      <c r="M1041" s="126">
        <f>base[[#This Row],[L/P Bruto]]-base[[#This Row],[L/P Líquido]]</f>
        <v>1.505497382198957</v>
      </c>
      <c r="N1041" s="126">
        <f>base[[#This Row],[L/P Líquido]]/base[[#This Row],[Stake/Responsabilidade]]</f>
        <v>0.12781022481798543</v>
      </c>
      <c r="O1041" s="132">
        <f>IF(base[[#This Row],[L/P Líquido]]&gt;0,1,0)</f>
        <v>1</v>
      </c>
      <c r="P1041" s="132" t="s">
        <v>963</v>
      </c>
      <c r="Q1041" s="132" t="str">
        <f>LEFT(base[[#This Row],[Evento / Mercado]],FIND("vs",base[[#This Row],[Evento / Mercado]])-2)</f>
        <v>Tottenham Hotspur</v>
      </c>
      <c r="R10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1041" s="132" t="e">
        <f>LEFT(base[[#This Row],[Evento / Mercado]],FIND("/",base[[#This Row],[Evento / Mercado]])-2)</f>
        <v>#VALUE!</v>
      </c>
      <c r="U1041" s="9"/>
    </row>
    <row r="1042" spans="2:21" ht="15" customHeight="1">
      <c r="B1042" s="128" t="s">
        <v>894</v>
      </c>
      <c r="C1042" s="128" t="s">
        <v>2982</v>
      </c>
      <c r="D1042" s="129">
        <v>46075.66233796296</v>
      </c>
      <c r="E1042" s="130">
        <v>7.87</v>
      </c>
      <c r="F1042" s="131">
        <v>4.4999999999999998E-2</v>
      </c>
      <c r="G1042" s="126">
        <f t="shared" si="17"/>
        <v>8.2408376963350793</v>
      </c>
      <c r="H1042" s="126" t="s">
        <v>73</v>
      </c>
      <c r="I1042" s="127" t="s">
        <v>13</v>
      </c>
      <c r="J1042" s="126">
        <v>18</v>
      </c>
      <c r="K1042" s="126">
        <v>140.08000000000001</v>
      </c>
      <c r="L1042" s="129">
        <f>INT(base[[#This Row],[Data de liquidação]])</f>
        <v>46075</v>
      </c>
      <c r="M1042" s="126">
        <f>base[[#This Row],[L/P Bruto]]-base[[#This Row],[L/P Líquido]]</f>
        <v>0.37083769633507924</v>
      </c>
      <c r="N1042" s="126">
        <f>base[[#This Row],[L/P Líquido]]/base[[#This Row],[Stake/Responsabilidade]]</f>
        <v>5.6182181610508274E-2</v>
      </c>
      <c r="O1042" s="132">
        <f>IF(base[[#This Row],[L/P Líquido]]&gt;0,1,0)</f>
        <v>1</v>
      </c>
      <c r="P1042" s="132"/>
      <c r="Q1042" s="132" t="str">
        <f>LEFT(base[[#This Row],[Evento / Mercado]],FIND("vs",base[[#This Row],[Evento / Mercado]])-2)</f>
        <v>Besiktas JK</v>
      </c>
      <c r="R10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Göztepe</v>
      </c>
      <c r="S1042" s="132" t="e">
        <f>LEFT(base[[#This Row],[Evento / Mercado]],FIND("/",base[[#This Row],[Evento / Mercado]])-2)</f>
        <v>#VALUE!</v>
      </c>
      <c r="U1042" s="9"/>
    </row>
    <row r="1043" spans="2:21" ht="15" customHeight="1">
      <c r="B1043" s="128" t="s">
        <v>893</v>
      </c>
      <c r="C1043" s="128" t="s">
        <v>2982</v>
      </c>
      <c r="D1043" s="129">
        <v>46075.666608796295</v>
      </c>
      <c r="E1043" s="130">
        <v>14.83</v>
      </c>
      <c r="F1043" s="131">
        <v>4.4999999999999998E-2</v>
      </c>
      <c r="G1043" s="126">
        <f t="shared" si="17"/>
        <v>15.528795811518325</v>
      </c>
      <c r="H1043" s="126" t="s">
        <v>73</v>
      </c>
      <c r="I1043" s="127" t="s">
        <v>16</v>
      </c>
      <c r="J1043" s="126">
        <v>10</v>
      </c>
      <c r="K1043" s="126">
        <v>139.76</v>
      </c>
      <c r="L1043" s="129">
        <f>INT(base[[#This Row],[Data de liquidação]])</f>
        <v>46075</v>
      </c>
      <c r="M1043" s="126">
        <f>base[[#This Row],[L/P Bruto]]-base[[#This Row],[L/P Líquido]]</f>
        <v>0.69879581151832504</v>
      </c>
      <c r="N1043" s="126">
        <f>base[[#This Row],[L/P Líquido]]/base[[#This Row],[Stake/Responsabilidade]]</f>
        <v>0.10611047510017173</v>
      </c>
      <c r="O1043" s="132">
        <f>IF(base[[#This Row],[L/P Líquido]]&gt;0,1,0)</f>
        <v>1</v>
      </c>
      <c r="P1043" s="132"/>
      <c r="Q1043" s="132" t="str">
        <f>LEFT(base[[#This Row],[Evento / Mercado]],FIND("vs",base[[#This Row],[Evento / Mercado]])-2)</f>
        <v>AGF Aarhus</v>
      </c>
      <c r="R10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Viborg FF</v>
      </c>
      <c r="S1043" s="132" t="e">
        <f>LEFT(base[[#This Row],[Evento / Mercado]],FIND("/",base[[#This Row],[Evento / Mercado]])-2)</f>
        <v>#VALUE!</v>
      </c>
      <c r="U1043" s="9"/>
    </row>
    <row r="1044" spans="2:21" ht="15" customHeight="1">
      <c r="B1044" s="128" t="s">
        <v>892</v>
      </c>
      <c r="C1044" s="128" t="s">
        <v>2982</v>
      </c>
      <c r="D1044" s="129">
        <v>46075.670474537037</v>
      </c>
      <c r="E1044" s="130">
        <v>-140.08000000000001</v>
      </c>
      <c r="F1044" s="131">
        <v>4.4999999999999998E-2</v>
      </c>
      <c r="G1044" s="126">
        <f t="shared" si="17"/>
        <v>-140.08000000000001</v>
      </c>
      <c r="H1044" s="126" t="s">
        <v>73</v>
      </c>
      <c r="I1044" s="127" t="s">
        <v>13</v>
      </c>
      <c r="J1044" s="126">
        <v>18</v>
      </c>
      <c r="K1044" s="126">
        <v>140.08000000000001</v>
      </c>
      <c r="L1044" s="129">
        <f>INT(base[[#This Row],[Data de liquidação]])</f>
        <v>46075</v>
      </c>
      <c r="M1044" s="126">
        <f>base[[#This Row],[L/P Bruto]]-base[[#This Row],[L/P Líquido]]</f>
        <v>0</v>
      </c>
      <c r="N1044" s="126">
        <f>base[[#This Row],[L/P Líquido]]/base[[#This Row],[Stake/Responsabilidade]]</f>
        <v>-1</v>
      </c>
      <c r="O1044" s="132">
        <f>IF(base[[#This Row],[L/P Líquido]]&gt;0,1,0)</f>
        <v>0</v>
      </c>
      <c r="P1044" s="132"/>
      <c r="Q1044" s="132" t="str">
        <f>LEFT(base[[#This Row],[Evento / Mercado]],FIND("vs",base[[#This Row],[Evento / Mercado]])-2)</f>
        <v>AC Milan</v>
      </c>
      <c r="R10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Parma</v>
      </c>
      <c r="S1044" s="132" t="e">
        <f>LEFT(base[[#This Row],[Evento / Mercado]],FIND("/",base[[#This Row],[Evento / Mercado]])-2)</f>
        <v>#VALUE!</v>
      </c>
      <c r="U1044" s="9"/>
    </row>
    <row r="1045" spans="2:21" ht="15" customHeight="1">
      <c r="B1045" s="128" t="s">
        <v>891</v>
      </c>
      <c r="C1045" s="128" t="s">
        <v>2982</v>
      </c>
      <c r="D1045" s="129">
        <v>46075.671006944445</v>
      </c>
      <c r="E1045" s="130">
        <v>9.9</v>
      </c>
      <c r="F1045" s="131">
        <v>4.4999999999999998E-2</v>
      </c>
      <c r="G1045" s="126">
        <f t="shared" si="17"/>
        <v>10.36649214659686</v>
      </c>
      <c r="H1045" s="126" t="s">
        <v>73</v>
      </c>
      <c r="I1045" s="127" t="s">
        <v>13</v>
      </c>
      <c r="J1045" s="126">
        <v>14.5</v>
      </c>
      <c r="K1045" s="126">
        <v>139.99</v>
      </c>
      <c r="L1045" s="129">
        <f>INT(base[[#This Row],[Data de liquidação]])</f>
        <v>46075</v>
      </c>
      <c r="M1045" s="126">
        <f>base[[#This Row],[L/P Bruto]]-base[[#This Row],[L/P Líquido]]</f>
        <v>0.46649214659685967</v>
      </c>
      <c r="N1045" s="126">
        <f>base[[#This Row],[L/P Líquido]]/base[[#This Row],[Stake/Responsabilidade]]</f>
        <v>7.0719337095506818E-2</v>
      </c>
      <c r="O1045" s="132">
        <f>IF(base[[#This Row],[L/P Líquido]]&gt;0,1,0)</f>
        <v>1</v>
      </c>
      <c r="P1045" s="132"/>
      <c r="Q1045" s="132" t="str">
        <f>LEFT(base[[#This Row],[Evento / Mercado]],FIND("vs",base[[#This Row],[Evento / Mercado]])-2)</f>
        <v>Aris Thessaloniki</v>
      </c>
      <c r="R10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Kifisia FC</v>
      </c>
      <c r="S1045" s="132" t="e">
        <f>LEFT(base[[#This Row],[Evento / Mercado]],FIND("/",base[[#This Row],[Evento / Mercado]])-2)</f>
        <v>#VALUE!</v>
      </c>
      <c r="U1045" s="9"/>
    </row>
    <row r="1046" spans="2:21" ht="15" customHeight="1">
      <c r="B1046" s="128" t="s">
        <v>890</v>
      </c>
      <c r="C1046" s="128" t="s">
        <v>2982</v>
      </c>
      <c r="D1046" s="129">
        <v>46075.684629629628</v>
      </c>
      <c r="E1046" s="130">
        <v>15.55</v>
      </c>
      <c r="F1046" s="131">
        <v>4.4999999999999998E-2</v>
      </c>
      <c r="G1046" s="126">
        <f t="shared" si="17"/>
        <v>16.282722513089006</v>
      </c>
      <c r="H1046" s="126" t="s">
        <v>73</v>
      </c>
      <c r="I1046" s="127" t="s">
        <v>13</v>
      </c>
      <c r="J1046" s="126">
        <v>9.6</v>
      </c>
      <c r="K1046" s="126">
        <v>140.01</v>
      </c>
      <c r="L1046" s="129">
        <f>INT(base[[#This Row],[Data de liquidação]])</f>
        <v>46075</v>
      </c>
      <c r="M1046" s="126">
        <f>base[[#This Row],[L/P Bruto]]-base[[#This Row],[L/P Líquido]]</f>
        <v>0.73272251308900493</v>
      </c>
      <c r="N1046" s="126">
        <f>base[[#This Row],[L/P Líquido]]/base[[#This Row],[Stake/Responsabilidade]]</f>
        <v>0.11106349546460968</v>
      </c>
      <c r="O1046" s="132">
        <f>IF(base[[#This Row],[L/P Líquido]]&gt;0,1,0)</f>
        <v>1</v>
      </c>
      <c r="P1046" s="132"/>
      <c r="Q1046" s="132" t="str">
        <f>LEFT(base[[#This Row],[Evento / Mercado]],FIND("vs",base[[#This Row],[Evento / Mercado]])-2)</f>
        <v>Bani Yas FC</v>
      </c>
      <c r="R10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Al-Ain</v>
      </c>
      <c r="S1046" s="132" t="e">
        <f>LEFT(base[[#This Row],[Evento / Mercado]],FIND("/",base[[#This Row],[Evento / Mercado]])-2)</f>
        <v>#VALUE!</v>
      </c>
      <c r="U1046" s="9"/>
    </row>
    <row r="1047" spans="2:21" ht="15" customHeight="1">
      <c r="B1047" s="128" t="s">
        <v>889</v>
      </c>
      <c r="C1047" s="128" t="s">
        <v>2982</v>
      </c>
      <c r="D1047" s="129">
        <v>46075.685289351852</v>
      </c>
      <c r="E1047" s="130">
        <v>19.100000000000001</v>
      </c>
      <c r="F1047" s="131">
        <v>4.4999999999999998E-2</v>
      </c>
      <c r="G1047" s="126">
        <f t="shared" si="17"/>
        <v>20.000000000000004</v>
      </c>
      <c r="H1047" s="126" t="s">
        <v>74</v>
      </c>
      <c r="I1047" s="127" t="s">
        <v>476</v>
      </c>
      <c r="J1047" s="126">
        <v>13.5</v>
      </c>
      <c r="K1047" s="126">
        <v>250</v>
      </c>
      <c r="L1047" s="129">
        <f>INT(base[[#This Row],[Data de liquidação]])</f>
        <v>46075</v>
      </c>
      <c r="M1047" s="126">
        <f>base[[#This Row],[L/P Bruto]]-base[[#This Row],[L/P Líquido]]</f>
        <v>0.90000000000000213</v>
      </c>
      <c r="N1047" s="126">
        <f>base[[#This Row],[L/P Líquido]]/base[[#This Row],[Stake/Responsabilidade]]</f>
        <v>7.640000000000001E-2</v>
      </c>
      <c r="O1047" s="132">
        <f>IF(base[[#This Row],[L/P Líquido]]&gt;0,1,0)</f>
        <v>1</v>
      </c>
      <c r="P1047" s="132" t="s">
        <v>977</v>
      </c>
      <c r="Q1047" s="132" t="str">
        <f>LEFT(base[[#This Row],[Evento / Mercado]],FIND("vs",base[[#This Row],[Evento / Mercado]])-2)</f>
        <v>Racing Santander</v>
      </c>
      <c r="R10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Burgos CF</v>
      </c>
      <c r="S1047" s="132" t="e">
        <f>LEFT(base[[#This Row],[Evento / Mercado]],FIND("/",base[[#This Row],[Evento / Mercado]])-2)</f>
        <v>#VALUE!</v>
      </c>
      <c r="U1047" s="9"/>
    </row>
    <row r="1048" spans="2:21" ht="15" customHeight="1">
      <c r="B1048" s="128" t="s">
        <v>888</v>
      </c>
      <c r="C1048" s="128" t="s">
        <v>2982</v>
      </c>
      <c r="D1048" s="129">
        <v>46075.68608796296</v>
      </c>
      <c r="E1048" s="130">
        <v>9.76</v>
      </c>
      <c r="F1048" s="131">
        <v>4.4999999999999998E-2</v>
      </c>
      <c r="G1048" s="126">
        <f t="shared" si="17"/>
        <v>10.219895287958115</v>
      </c>
      <c r="H1048" s="126" t="s">
        <v>73</v>
      </c>
      <c r="I1048" s="127" t="s">
        <v>13</v>
      </c>
      <c r="J1048" s="126">
        <v>14.5</v>
      </c>
      <c r="K1048" s="126">
        <v>137.91999999999999</v>
      </c>
      <c r="L1048" s="129">
        <f>INT(base[[#This Row],[Data de liquidação]])</f>
        <v>46075</v>
      </c>
      <c r="M1048" s="126">
        <f>base[[#This Row],[L/P Bruto]]-base[[#This Row],[L/P Líquido]]</f>
        <v>0.45989528795811552</v>
      </c>
      <c r="N1048" s="126">
        <f>base[[#This Row],[L/P Líquido]]/base[[#This Row],[Stake/Responsabilidade]]</f>
        <v>7.0765661252900236E-2</v>
      </c>
      <c r="O1048" s="132">
        <f>IF(base[[#This Row],[L/P Líquido]]&gt;0,1,0)</f>
        <v>1</v>
      </c>
      <c r="P1048" s="132"/>
      <c r="Q1048" s="132" t="str">
        <f>LEFT(base[[#This Row],[Evento / Mercado]],FIND("vs",base[[#This Row],[Evento / Mercado]])-2)</f>
        <v>Celta de Vigo</v>
      </c>
      <c r="R10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Mallorca</v>
      </c>
      <c r="S1048" s="132" t="e">
        <f>LEFT(base[[#This Row],[Evento / Mercado]],FIND("/",base[[#This Row],[Evento / Mercado]])-2)</f>
        <v>#VALUE!</v>
      </c>
      <c r="U1048" s="9"/>
    </row>
    <row r="1049" spans="2:21" ht="15" customHeight="1">
      <c r="B1049" s="128" t="s">
        <v>887</v>
      </c>
      <c r="C1049" s="128" t="s">
        <v>2982</v>
      </c>
      <c r="D1049" s="129">
        <v>46075.707662037035</v>
      </c>
      <c r="E1049" s="130">
        <v>9.23</v>
      </c>
      <c r="F1049" s="131">
        <v>4.4999999999999998E-2</v>
      </c>
      <c r="G1049" s="126">
        <f t="shared" si="17"/>
        <v>9.6649214659685878</v>
      </c>
      <c r="H1049" s="126" t="s">
        <v>73</v>
      </c>
      <c r="I1049" s="127" t="s">
        <v>13</v>
      </c>
      <c r="J1049" s="126">
        <v>9.66</v>
      </c>
      <c r="K1049" s="126">
        <v>140.07</v>
      </c>
      <c r="L1049" s="129">
        <f>INT(base[[#This Row],[Data de liquidação]])</f>
        <v>46075</v>
      </c>
      <c r="M1049" s="126">
        <f>base[[#This Row],[L/P Bruto]]-base[[#This Row],[L/P Líquido]]</f>
        <v>0.43492146596858738</v>
      </c>
      <c r="N1049" s="126">
        <f>base[[#This Row],[L/P Líquido]]/base[[#This Row],[Stake/Responsabilidade]]</f>
        <v>6.5895623616763058E-2</v>
      </c>
      <c r="O1049" s="132">
        <f>IF(base[[#This Row],[L/P Líquido]]&gt;0,1,0)</f>
        <v>1</v>
      </c>
      <c r="P1049" s="132"/>
      <c r="Q1049" s="132" t="str">
        <f>LEFT(base[[#This Row],[Evento / Mercado]],FIND("vs",base[[#This Row],[Evento / Mercado]])-2)</f>
        <v>Deportivo Macara</v>
      </c>
      <c r="R10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Leones del Norte</v>
      </c>
      <c r="S1049" s="132" t="e">
        <f>LEFT(base[[#This Row],[Evento / Mercado]],FIND("/",base[[#This Row],[Evento / Mercado]])-2)</f>
        <v>#VALUE!</v>
      </c>
      <c r="U1049" s="9"/>
    </row>
    <row r="1050" spans="2:21" ht="15" customHeight="1">
      <c r="B1050" s="128" t="s">
        <v>886</v>
      </c>
      <c r="C1050" s="128" t="s">
        <v>2982</v>
      </c>
      <c r="D1050" s="129">
        <v>46075.727337962962</v>
      </c>
      <c r="E1050" s="130">
        <v>9.76</v>
      </c>
      <c r="F1050" s="131">
        <v>4.4999999999999998E-2</v>
      </c>
      <c r="G1050" s="126">
        <f t="shared" si="17"/>
        <v>10.219895287958115</v>
      </c>
      <c r="H1050" s="126" t="s">
        <v>73</v>
      </c>
      <c r="I1050" s="127" t="s">
        <v>13</v>
      </c>
      <c r="J1050" s="126">
        <v>14.5</v>
      </c>
      <c r="K1050" s="126">
        <v>137.91999999999999</v>
      </c>
      <c r="L1050" s="129">
        <f>INT(base[[#This Row],[Data de liquidação]])</f>
        <v>46075</v>
      </c>
      <c r="M1050" s="126">
        <f>base[[#This Row],[L/P Bruto]]-base[[#This Row],[L/P Líquido]]</f>
        <v>0.45989528795811552</v>
      </c>
      <c r="N1050" s="126">
        <f>base[[#This Row],[L/P Líquido]]/base[[#This Row],[Stake/Responsabilidade]]</f>
        <v>7.0765661252900236E-2</v>
      </c>
      <c r="O1050" s="132">
        <f>IF(base[[#This Row],[L/P Líquido]]&gt;0,1,0)</f>
        <v>1</v>
      </c>
      <c r="P1050" s="132"/>
      <c r="Q1050" s="132" t="str">
        <f>LEFT(base[[#This Row],[Evento / Mercado]],FIND("vs",base[[#This Row],[Evento / Mercado]])-2)</f>
        <v>Al-Wakra</v>
      </c>
      <c r="R10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Sadd</v>
      </c>
      <c r="S1050" s="132" t="e">
        <f>LEFT(base[[#This Row],[Evento / Mercado]],FIND("/",base[[#This Row],[Evento / Mercado]])-2)</f>
        <v>#VALUE!</v>
      </c>
      <c r="U1050" s="9"/>
    </row>
    <row r="1051" spans="2:21" ht="15" customHeight="1">
      <c r="B1051" s="128" t="s">
        <v>885</v>
      </c>
      <c r="C1051" s="128" t="s">
        <v>2982</v>
      </c>
      <c r="D1051" s="129">
        <v>46075.728807870371</v>
      </c>
      <c r="E1051" s="130">
        <v>9.5500000000000007</v>
      </c>
      <c r="F1051" s="131">
        <v>4.4999999999999998E-2</v>
      </c>
      <c r="G1051" s="126">
        <f t="shared" si="17"/>
        <v>10.000000000000002</v>
      </c>
      <c r="H1051" s="126" t="s">
        <v>74</v>
      </c>
      <c r="I1051" s="127" t="s">
        <v>542</v>
      </c>
      <c r="J1051" s="126">
        <v>26</v>
      </c>
      <c r="K1051" s="126">
        <v>250</v>
      </c>
      <c r="L1051" s="129">
        <f>INT(base[[#This Row],[Data de liquidação]])</f>
        <v>46075</v>
      </c>
      <c r="M1051" s="126">
        <f>base[[#This Row],[L/P Bruto]]-base[[#This Row],[L/P Líquido]]</f>
        <v>0.45000000000000107</v>
      </c>
      <c r="N1051" s="126">
        <f>base[[#This Row],[L/P Líquido]]/base[[#This Row],[Stake/Responsabilidade]]</f>
        <v>3.8200000000000005E-2</v>
      </c>
      <c r="O1051" s="132">
        <f>IF(base[[#This Row],[L/P Líquido]]&gt;0,1,0)</f>
        <v>1</v>
      </c>
      <c r="P1051" s="132" t="s">
        <v>962</v>
      </c>
      <c r="Q1051" s="132" t="str">
        <f>LEFT(base[[#This Row],[Evento / Mercado]],FIND("vs",base[[#This Row],[Evento / Mercado]])-2)</f>
        <v>1. FC Heidenheim</v>
      </c>
      <c r="R10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1051" s="132" t="e">
        <f>LEFT(base[[#This Row],[Evento / Mercado]],FIND("/",base[[#This Row],[Evento / Mercado]])-2)</f>
        <v>#VALUE!</v>
      </c>
      <c r="U1051" s="9"/>
    </row>
    <row r="1052" spans="2:21" ht="15" customHeight="1">
      <c r="B1052" s="128" t="s">
        <v>884</v>
      </c>
      <c r="C1052" s="128" t="s">
        <v>2982</v>
      </c>
      <c r="D1052" s="129">
        <v>46075.729259259257</v>
      </c>
      <c r="E1052" s="130">
        <v>9.3699999999999992</v>
      </c>
      <c r="F1052" s="131">
        <v>4.4999999999999998E-2</v>
      </c>
      <c r="G1052" s="126">
        <f t="shared" si="17"/>
        <v>9.811518324607329</v>
      </c>
      <c r="H1052" s="126" t="s">
        <v>73</v>
      </c>
      <c r="I1052" s="127" t="s">
        <v>16</v>
      </c>
      <c r="J1052" s="126">
        <v>15</v>
      </c>
      <c r="K1052" s="126">
        <v>137.29</v>
      </c>
      <c r="L1052" s="129">
        <f>INT(base[[#This Row],[Data de liquidação]])</f>
        <v>46075</v>
      </c>
      <c r="M1052" s="126">
        <f>base[[#This Row],[L/P Bruto]]-base[[#This Row],[L/P Líquido]]</f>
        <v>0.44151832460732976</v>
      </c>
      <c r="N1052" s="126">
        <f>base[[#This Row],[L/P Líquido]]/base[[#This Row],[Stake/Responsabilidade]]</f>
        <v>6.8249690436302718E-2</v>
      </c>
      <c r="O1052" s="132">
        <f>IF(base[[#This Row],[L/P Líquido]]&gt;0,1,0)</f>
        <v>1</v>
      </c>
      <c r="P1052" s="132"/>
      <c r="Q1052" s="132" t="str">
        <f>LEFT(base[[#This Row],[Evento / Mercado]],FIND("vs",base[[#This Row],[Evento / Mercado]])-2)</f>
        <v>Al-Rayyan</v>
      </c>
      <c r="R10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Al-Ahli</v>
      </c>
      <c r="S1052" s="132" t="e">
        <f>LEFT(base[[#This Row],[Evento / Mercado]],FIND("/",base[[#This Row],[Evento / Mercado]])-2)</f>
        <v>#VALUE!</v>
      </c>
      <c r="U1052" s="9"/>
    </row>
    <row r="1053" spans="2:21" ht="15" customHeight="1">
      <c r="B1053" s="128" t="s">
        <v>883</v>
      </c>
      <c r="C1053" s="128" t="s">
        <v>2982</v>
      </c>
      <c r="D1053" s="129">
        <v>46075.777685185189</v>
      </c>
      <c r="E1053" s="130">
        <v>7.87</v>
      </c>
      <c r="F1053" s="131">
        <v>4.4999999999999998E-2</v>
      </c>
      <c r="G1053" s="126">
        <f t="shared" si="17"/>
        <v>8.2408376963350793</v>
      </c>
      <c r="H1053" s="126" t="s">
        <v>73</v>
      </c>
      <c r="I1053" s="127" t="s">
        <v>13</v>
      </c>
      <c r="J1053" s="126">
        <v>18</v>
      </c>
      <c r="K1053" s="126">
        <v>140.08000000000001</v>
      </c>
      <c r="L1053" s="129">
        <f>INT(base[[#This Row],[Data de liquidação]])</f>
        <v>46075</v>
      </c>
      <c r="M1053" s="126">
        <f>base[[#This Row],[L/P Bruto]]-base[[#This Row],[L/P Líquido]]</f>
        <v>0.37083769633507924</v>
      </c>
      <c r="N1053" s="126">
        <f>base[[#This Row],[L/P Líquido]]/base[[#This Row],[Stake/Responsabilidade]]</f>
        <v>5.6182181610508274E-2</v>
      </c>
      <c r="O1053" s="132">
        <f>IF(base[[#This Row],[L/P Líquido]]&gt;0,1,0)</f>
        <v>1</v>
      </c>
      <c r="P1053" s="132"/>
      <c r="Q1053" s="132" t="str">
        <f>LEFT(base[[#This Row],[Evento / Mercado]],FIND("vs",base[[#This Row],[Evento / Mercado]])-2)</f>
        <v>AS Roma</v>
      </c>
      <c r="R10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1053" s="132" t="e">
        <f>LEFT(base[[#This Row],[Evento / Mercado]],FIND("/",base[[#This Row],[Evento / Mercado]])-2)</f>
        <v>#VALUE!</v>
      </c>
      <c r="U1053" s="9"/>
    </row>
    <row r="1054" spans="2:21" ht="15" customHeight="1">
      <c r="B1054" s="128" t="s">
        <v>883</v>
      </c>
      <c r="C1054" s="128" t="s">
        <v>2982</v>
      </c>
      <c r="D1054" s="129">
        <v>46075.777731481481</v>
      </c>
      <c r="E1054" s="130">
        <v>19.7</v>
      </c>
      <c r="F1054" s="131">
        <v>4.4999999999999998E-2</v>
      </c>
      <c r="G1054" s="126">
        <f t="shared" si="17"/>
        <v>20.6282722513089</v>
      </c>
      <c r="H1054" s="126" t="s">
        <v>145</v>
      </c>
      <c r="I1054" s="127" t="s">
        <v>301</v>
      </c>
      <c r="J1054" s="126">
        <v>12</v>
      </c>
      <c r="K1054" s="126">
        <v>250.03</v>
      </c>
      <c r="L1054" s="129">
        <f>INT(base[[#This Row],[Data de liquidação]])</f>
        <v>46075</v>
      </c>
      <c r="M1054" s="126">
        <f>base[[#This Row],[L/P Bruto]]-base[[#This Row],[L/P Líquido]]</f>
        <v>0.92827225130890056</v>
      </c>
      <c r="N1054" s="126">
        <f>base[[#This Row],[L/P Líquido]]/base[[#This Row],[Stake/Responsabilidade]]</f>
        <v>7.8790545134583848E-2</v>
      </c>
      <c r="O1054" s="132">
        <f>IF(base[[#This Row],[L/P Líquido]]&gt;0,1,0)</f>
        <v>1</v>
      </c>
      <c r="P1054" s="132" t="s">
        <v>969</v>
      </c>
      <c r="Q1054" s="132" t="str">
        <f>LEFT(base[[#This Row],[Evento / Mercado]],FIND("vs",base[[#This Row],[Evento / Mercado]])-2)</f>
        <v>AS Roma</v>
      </c>
      <c r="R10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1054" s="132" t="e">
        <f>LEFT(base[[#This Row],[Evento / Mercado]],FIND("/",base[[#This Row],[Evento / Mercado]])-2)</f>
        <v>#VALUE!</v>
      </c>
      <c r="U1054" s="9"/>
    </row>
    <row r="1055" spans="2:21" ht="15" customHeight="1">
      <c r="B1055" s="128" t="s">
        <v>882</v>
      </c>
      <c r="C1055" s="128" t="s">
        <v>2982</v>
      </c>
      <c r="D1055" s="129">
        <v>46075.787175925929</v>
      </c>
      <c r="E1055" s="130">
        <v>-80</v>
      </c>
      <c r="F1055" s="131">
        <v>4.4999999999999998E-2</v>
      </c>
      <c r="G1055" s="126">
        <f t="shared" si="17"/>
        <v>-80</v>
      </c>
      <c r="H1055" s="126" t="s">
        <v>231</v>
      </c>
      <c r="I1055" s="127" t="s">
        <v>232</v>
      </c>
      <c r="J1055" s="126">
        <v>2.06</v>
      </c>
      <c r="K1055" s="126">
        <v>80</v>
      </c>
      <c r="L1055" s="129">
        <f>INT(base[[#This Row],[Data de liquidação]])</f>
        <v>46075</v>
      </c>
      <c r="M1055" s="126">
        <f>base[[#This Row],[L/P Bruto]]-base[[#This Row],[L/P Líquido]]</f>
        <v>0</v>
      </c>
      <c r="N1055" s="126">
        <f>base[[#This Row],[L/P Líquido]]/base[[#This Row],[Stake/Responsabilidade]]</f>
        <v>-1</v>
      </c>
      <c r="O1055" s="132">
        <f>IF(base[[#This Row],[L/P Líquido]]&gt;0,1,0)</f>
        <v>0</v>
      </c>
      <c r="P1055" s="132"/>
      <c r="Q1055" s="132" t="str">
        <f>LEFT(base[[#This Row],[Evento / Mercado]],FIND("vs",base[[#This Row],[Evento / Mercado]])-2)</f>
        <v>Málaga</v>
      </c>
      <c r="R10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Albacete Balompié</v>
      </c>
      <c r="S1055" s="132" t="e">
        <f>LEFT(base[[#This Row],[Evento / Mercado]],FIND("/",base[[#This Row],[Evento / Mercado]])-2)</f>
        <v>#VALUE!</v>
      </c>
      <c r="U1055" s="9"/>
    </row>
    <row r="1056" spans="2:21" ht="15" customHeight="1">
      <c r="B1056" s="128" t="s">
        <v>881</v>
      </c>
      <c r="C1056" s="128" t="s">
        <v>2982</v>
      </c>
      <c r="D1056" s="129">
        <v>46075.79210648148</v>
      </c>
      <c r="E1056" s="130">
        <v>17.14</v>
      </c>
      <c r="F1056" s="131">
        <v>4.4999999999999998E-2</v>
      </c>
      <c r="G1056" s="126">
        <f t="shared" si="17"/>
        <v>17.947643979057592</v>
      </c>
      <c r="H1056" s="126" t="s">
        <v>73</v>
      </c>
      <c r="I1056" s="127" t="s">
        <v>16</v>
      </c>
      <c r="J1056" s="126">
        <v>8.8000000000000007</v>
      </c>
      <c r="K1056" s="126">
        <v>140.01</v>
      </c>
      <c r="L1056" s="129">
        <f>INT(base[[#This Row],[Data de liquidação]])</f>
        <v>46075</v>
      </c>
      <c r="M1056" s="126">
        <f>base[[#This Row],[L/P Bruto]]-base[[#This Row],[L/P Líquido]]</f>
        <v>0.80764397905759111</v>
      </c>
      <c r="N1056" s="126">
        <f>base[[#This Row],[L/P Líquido]]/base[[#This Row],[Stake/Responsabilidade]]</f>
        <v>0.12241982715520321</v>
      </c>
      <c r="O1056" s="132">
        <f>IF(base[[#This Row],[L/P Líquido]]&gt;0,1,0)</f>
        <v>1</v>
      </c>
      <c r="P1056" s="132"/>
      <c r="Q1056" s="132" t="str">
        <f>LEFT(base[[#This Row],[Evento / Mercado]],FIND("vs",base[[#This Row],[Evento / Mercado]])-2)</f>
        <v>Villarreal</v>
      </c>
      <c r="R10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Valencia</v>
      </c>
      <c r="S1056" s="132" t="e">
        <f>LEFT(base[[#This Row],[Evento / Mercado]],FIND("/",base[[#This Row],[Evento / Mercado]])-2)</f>
        <v>#VALUE!</v>
      </c>
      <c r="U1056" s="9"/>
    </row>
    <row r="1057" spans="2:21" ht="15" customHeight="1">
      <c r="B1057" s="128" t="s">
        <v>881</v>
      </c>
      <c r="C1057" s="128" t="s">
        <v>2982</v>
      </c>
      <c r="D1057" s="129">
        <v>46075.792164351849</v>
      </c>
      <c r="E1057" s="130">
        <v>43.64</v>
      </c>
      <c r="F1057" s="131">
        <v>4.4999999999999998E-2</v>
      </c>
      <c r="G1057" s="126">
        <f t="shared" si="17"/>
        <v>45.696335078534034</v>
      </c>
      <c r="H1057" s="126" t="s">
        <v>145</v>
      </c>
      <c r="I1057" s="127" t="s">
        <v>301</v>
      </c>
      <c r="J1057" s="126">
        <v>5.9</v>
      </c>
      <c r="K1057" s="126">
        <v>250</v>
      </c>
      <c r="L1057" s="129">
        <f>INT(base[[#This Row],[Data de liquidação]])</f>
        <v>46075</v>
      </c>
      <c r="M1057" s="126">
        <f>base[[#This Row],[L/P Bruto]]-base[[#This Row],[L/P Líquido]]</f>
        <v>2.0563350785340333</v>
      </c>
      <c r="N1057" s="126">
        <f>base[[#This Row],[L/P Líquido]]/base[[#This Row],[Stake/Responsabilidade]]</f>
        <v>0.17455999999999999</v>
      </c>
      <c r="O1057" s="132">
        <f>IF(base[[#This Row],[L/P Líquido]]&gt;0,1,0)</f>
        <v>1</v>
      </c>
      <c r="P1057" s="132" t="s">
        <v>964</v>
      </c>
      <c r="Q1057" s="132" t="str">
        <f>LEFT(base[[#This Row],[Evento / Mercado]],FIND("vs",base[[#This Row],[Evento / Mercado]])-2)</f>
        <v>Villarreal</v>
      </c>
      <c r="R10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Valencia</v>
      </c>
      <c r="S1057" s="132" t="e">
        <f>LEFT(base[[#This Row],[Evento / Mercado]],FIND("/",base[[#This Row],[Evento / Mercado]])-2)</f>
        <v>#VALUE!</v>
      </c>
      <c r="U1057" s="9"/>
    </row>
    <row r="1058" spans="2:21" ht="15" customHeight="1">
      <c r="B1058" s="128" t="s">
        <v>880</v>
      </c>
      <c r="C1058" s="128" t="s">
        <v>2982</v>
      </c>
      <c r="D1058" s="129">
        <v>46075.816643518519</v>
      </c>
      <c r="E1058" s="130">
        <v>9.3699999999999992</v>
      </c>
      <c r="F1058" s="131">
        <v>4.4999999999999998E-2</v>
      </c>
      <c r="G1058" s="126">
        <f t="shared" si="17"/>
        <v>9.811518324607329</v>
      </c>
      <c r="H1058" s="126" t="s">
        <v>73</v>
      </c>
      <c r="I1058" s="127" t="s">
        <v>13</v>
      </c>
      <c r="J1058" s="126">
        <v>15</v>
      </c>
      <c r="K1058" s="126">
        <v>137.38</v>
      </c>
      <c r="L1058" s="129">
        <f>INT(base[[#This Row],[Data de liquidação]])</f>
        <v>46075</v>
      </c>
      <c r="M1058" s="126">
        <f>base[[#This Row],[L/P Bruto]]-base[[#This Row],[L/P Líquido]]</f>
        <v>0.44151832460732976</v>
      </c>
      <c r="N1058" s="126">
        <f>base[[#This Row],[L/P Líquido]]/base[[#This Row],[Stake/Responsabilidade]]</f>
        <v>6.8204978890668219E-2</v>
      </c>
      <c r="O1058" s="132">
        <f>IF(base[[#This Row],[L/P Líquido]]&gt;0,1,0)</f>
        <v>1</v>
      </c>
      <c r="P1058" s="132"/>
      <c r="Q1058" s="132" t="str">
        <f>LEFT(base[[#This Row],[Evento / Mercado]],FIND("vs",base[[#This Row],[Evento / Mercado]])-2)</f>
        <v>Atlético Grau</v>
      </c>
      <c r="R10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Juan Pablo II College</v>
      </c>
      <c r="S1058" s="132" t="e">
        <f>LEFT(base[[#This Row],[Evento / Mercado]],FIND("/",base[[#This Row],[Evento / Mercado]])-2)</f>
        <v>#VALUE!</v>
      </c>
      <c r="U1058" s="9"/>
    </row>
    <row r="1059" spans="2:21" ht="15" customHeight="1">
      <c r="B1059" s="128" t="s">
        <v>879</v>
      </c>
      <c r="C1059" s="128" t="s">
        <v>2982</v>
      </c>
      <c r="D1059" s="129">
        <v>46075.832650462966</v>
      </c>
      <c r="E1059" s="130">
        <v>7.87</v>
      </c>
      <c r="F1059" s="131">
        <v>4.4999999999999998E-2</v>
      </c>
      <c r="G1059" s="126">
        <f t="shared" si="17"/>
        <v>8.2408376963350793</v>
      </c>
      <c r="H1059" s="126" t="s">
        <v>73</v>
      </c>
      <c r="I1059" s="127" t="s">
        <v>13</v>
      </c>
      <c r="J1059" s="126">
        <v>18</v>
      </c>
      <c r="K1059" s="126">
        <v>140.08000000000001</v>
      </c>
      <c r="L1059" s="129">
        <f>INT(base[[#This Row],[Data de liquidação]])</f>
        <v>46075</v>
      </c>
      <c r="M1059" s="126">
        <f>base[[#This Row],[L/P Bruto]]-base[[#This Row],[L/P Líquido]]</f>
        <v>0.37083769633507924</v>
      </c>
      <c r="N1059" s="126">
        <f>base[[#This Row],[L/P Líquido]]/base[[#This Row],[Stake/Responsabilidade]]</f>
        <v>5.6182181610508274E-2</v>
      </c>
      <c r="O1059" s="132">
        <f>IF(base[[#This Row],[L/P Líquido]]&gt;0,1,0)</f>
        <v>1</v>
      </c>
      <c r="P1059" s="132"/>
      <c r="Q1059" s="132" t="str">
        <f>LEFT(base[[#This Row],[Evento / Mercado]],FIND("vs",base[[#This Row],[Evento / Mercado]])-2)</f>
        <v>Atlético Mineiro</v>
      </c>
      <c r="R10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1059" s="132" t="e">
        <f>LEFT(base[[#This Row],[Evento / Mercado]],FIND("/",base[[#This Row],[Evento / Mercado]])-2)</f>
        <v>#VALUE!</v>
      </c>
      <c r="U1059" s="9"/>
    </row>
    <row r="1060" spans="2:21" ht="15" customHeight="1">
      <c r="B1060" s="128" t="s">
        <v>878</v>
      </c>
      <c r="C1060" s="128" t="s">
        <v>2982</v>
      </c>
      <c r="D1060" s="129">
        <v>46075.936585648145</v>
      </c>
      <c r="E1060" s="130">
        <v>7.87</v>
      </c>
      <c r="F1060" s="131">
        <v>4.4999999999999998E-2</v>
      </c>
      <c r="G1060" s="126">
        <f t="shared" si="17"/>
        <v>8.2408376963350793</v>
      </c>
      <c r="H1060" s="126" t="s">
        <v>73</v>
      </c>
      <c r="I1060" s="127" t="s">
        <v>13</v>
      </c>
      <c r="J1060" s="126">
        <v>18</v>
      </c>
      <c r="K1060" s="126">
        <v>140.08000000000001</v>
      </c>
      <c r="L1060" s="129">
        <f>INT(base[[#This Row],[Data de liquidação]])</f>
        <v>46075</v>
      </c>
      <c r="M1060" s="126">
        <f>base[[#This Row],[L/P Bruto]]-base[[#This Row],[L/P Líquido]]</f>
        <v>0.37083769633507924</v>
      </c>
      <c r="N1060" s="126">
        <f>base[[#This Row],[L/P Líquido]]/base[[#This Row],[Stake/Responsabilidade]]</f>
        <v>5.6182181610508274E-2</v>
      </c>
      <c r="O1060" s="132">
        <f>IF(base[[#This Row],[L/P Líquido]]&gt;0,1,0)</f>
        <v>1</v>
      </c>
      <c r="P1060" s="132"/>
      <c r="Q1060" s="132" t="str">
        <f>LEFT(base[[#This Row],[Evento / Mercado]],FIND("vs",base[[#This Row],[Evento / Mercado]])-2)</f>
        <v>CA Peñarol</v>
      </c>
      <c r="R10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Maldonado</v>
      </c>
      <c r="S1060" s="132" t="e">
        <f>LEFT(base[[#This Row],[Evento / Mercado]],FIND("/",base[[#This Row],[Evento / Mercado]])-2)</f>
        <v>#VALUE!</v>
      </c>
      <c r="U1060" s="9"/>
    </row>
    <row r="1061" spans="2:21" ht="15" customHeight="1">
      <c r="B1061" s="128" t="s">
        <v>877</v>
      </c>
      <c r="C1061" s="128" t="s">
        <v>2982</v>
      </c>
      <c r="D1061" s="129">
        <v>46075.977152777778</v>
      </c>
      <c r="E1061" s="130">
        <v>8.83</v>
      </c>
      <c r="F1061" s="131">
        <v>4.4999999999999998E-2</v>
      </c>
      <c r="G1061" s="126">
        <f t="shared" si="17"/>
        <v>9.2460732984293195</v>
      </c>
      <c r="H1061" s="126" t="s">
        <v>73</v>
      </c>
      <c r="I1061" s="127" t="s">
        <v>13</v>
      </c>
      <c r="J1061" s="126">
        <v>16</v>
      </c>
      <c r="K1061" s="126">
        <v>138.75</v>
      </c>
      <c r="L1061" s="129">
        <f>INT(base[[#This Row],[Data de liquidação]])</f>
        <v>46075</v>
      </c>
      <c r="M1061" s="126">
        <f>base[[#This Row],[L/P Bruto]]-base[[#This Row],[L/P Líquido]]</f>
        <v>0.41607329842931939</v>
      </c>
      <c r="N1061" s="126">
        <f>base[[#This Row],[L/P Líquido]]/base[[#This Row],[Stake/Responsabilidade]]</f>
        <v>6.3639639639639645E-2</v>
      </c>
      <c r="O1061" s="132">
        <f>IF(base[[#This Row],[L/P Líquido]]&gt;0,1,0)</f>
        <v>1</v>
      </c>
      <c r="P1061" s="132"/>
      <c r="Q1061" s="132" t="str">
        <f>LEFT(base[[#This Row],[Evento / Mercado]],FIND("vs",base[[#This Row],[Evento / Mercado]])-2)</f>
        <v>Unión de Santa Fe</v>
      </c>
      <c r="R10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Aldosivi</v>
      </c>
      <c r="S1061" s="132" t="e">
        <f>LEFT(base[[#This Row],[Evento / Mercado]],FIND("/",base[[#This Row],[Evento / Mercado]])-2)</f>
        <v>#VALUE!</v>
      </c>
      <c r="U1061" s="9"/>
    </row>
    <row r="1062" spans="2:21" ht="15" customHeight="1">
      <c r="B1062" s="128" t="s">
        <v>910</v>
      </c>
      <c r="C1062" s="128" t="s">
        <v>2982</v>
      </c>
      <c r="D1062" s="129">
        <v>46076.674004629633</v>
      </c>
      <c r="E1062" s="130">
        <v>20.76</v>
      </c>
      <c r="F1062" s="131">
        <v>4.4999999999999998E-2</v>
      </c>
      <c r="G1062" s="126">
        <f t="shared" si="17"/>
        <v>21.738219895287962</v>
      </c>
      <c r="H1062" s="126" t="s">
        <v>145</v>
      </c>
      <c r="I1062" s="127" t="s">
        <v>301</v>
      </c>
      <c r="J1062" s="126">
        <v>12.5</v>
      </c>
      <c r="K1062" s="126">
        <v>250.01</v>
      </c>
      <c r="L1062" s="129">
        <f>INT(base[[#This Row],[Data de liquidação]])</f>
        <v>46076</v>
      </c>
      <c r="M1062" s="126">
        <f>base[[#This Row],[L/P Bruto]]-base[[#This Row],[L/P Líquido]]</f>
        <v>0.97821989528796038</v>
      </c>
      <c r="N1062" s="126">
        <f>base[[#This Row],[L/P Líquido]]/base[[#This Row],[Stake/Responsabilidade]]</f>
        <v>8.303667853285869E-2</v>
      </c>
      <c r="O1062" s="132">
        <f>IF(base[[#This Row],[L/P Líquido]]&gt;0,1,0)</f>
        <v>1</v>
      </c>
      <c r="P1062" s="132" t="s">
        <v>966</v>
      </c>
      <c r="Q1062" s="132" t="str">
        <f>LEFT(base[[#This Row],[Evento / Mercado]],FIND("vs",base[[#This Row],[Evento / Mercado]])-2)</f>
        <v>Fenerbahçe SK</v>
      </c>
      <c r="R10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Kasimpasa SK</v>
      </c>
      <c r="S1062" s="132" t="e">
        <f>LEFT(base[[#This Row],[Evento / Mercado]],FIND("/",base[[#This Row],[Evento / Mercado]])-2)</f>
        <v>#VALUE!</v>
      </c>
      <c r="U1062" s="9"/>
    </row>
    <row r="1063" spans="2:21" ht="15" customHeight="1">
      <c r="B1063" s="128" t="s">
        <v>909</v>
      </c>
      <c r="C1063" s="128" t="s">
        <v>2982</v>
      </c>
      <c r="D1063" s="129">
        <v>46076.706458333334</v>
      </c>
      <c r="E1063" s="130">
        <v>-24.92</v>
      </c>
      <c r="F1063" s="131">
        <v>4.4999999999999998E-2</v>
      </c>
      <c r="G1063" s="126">
        <f t="shared" si="17"/>
        <v>-24.92</v>
      </c>
      <c r="H1063" s="126" t="s">
        <v>74</v>
      </c>
      <c r="I1063" s="127" t="s">
        <v>476</v>
      </c>
      <c r="J1063" s="126">
        <v>19</v>
      </c>
      <c r="K1063" s="126">
        <v>250.02</v>
      </c>
      <c r="L1063" s="129">
        <f>INT(base[[#This Row],[Data de liquidação]])</f>
        <v>46076</v>
      </c>
      <c r="M1063" s="126">
        <f>base[[#This Row],[L/P Bruto]]-base[[#This Row],[L/P Líquido]]</f>
        <v>0</v>
      </c>
      <c r="N1063" s="126">
        <f>base[[#This Row],[L/P Líquido]]/base[[#This Row],[Stake/Responsabilidade]]</f>
        <v>-9.9672026237900974E-2</v>
      </c>
      <c r="O1063" s="132">
        <f>IF(base[[#This Row],[L/P Líquido]]&gt;0,1,0)</f>
        <v>0</v>
      </c>
      <c r="P1063" s="132" t="s">
        <v>982</v>
      </c>
      <c r="Q1063" s="132" t="str">
        <f>LEFT(base[[#This Row],[Evento / Mercado]],FIND("vs",base[[#This Row],[Evento / Mercado]])-2)</f>
        <v>Brøndby IF</v>
      </c>
      <c r="R10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SønderjyskE</v>
      </c>
      <c r="S1063" s="132" t="e">
        <f>LEFT(base[[#This Row],[Evento / Mercado]],FIND("/",base[[#This Row],[Evento / Mercado]])-2)</f>
        <v>#VALUE!</v>
      </c>
      <c r="U1063" s="9"/>
    </row>
    <row r="1064" spans="2:21" ht="15" customHeight="1">
      <c r="B1064" s="128" t="s">
        <v>908</v>
      </c>
      <c r="C1064" s="128" t="s">
        <v>2982</v>
      </c>
      <c r="D1064" s="129">
        <v>46076.743877314817</v>
      </c>
      <c r="E1064" s="130">
        <v>9.5500000000000007</v>
      </c>
      <c r="F1064" s="131">
        <v>4.4999999999999998E-2</v>
      </c>
      <c r="G1064" s="126">
        <f t="shared" si="17"/>
        <v>10.000000000000002</v>
      </c>
      <c r="H1064" s="126" t="s">
        <v>73</v>
      </c>
      <c r="I1064" s="127" t="s">
        <v>16</v>
      </c>
      <c r="J1064" s="126">
        <v>15</v>
      </c>
      <c r="K1064" s="126">
        <v>140</v>
      </c>
      <c r="L1064" s="129">
        <f>INT(base[[#This Row],[Data de liquidação]])</f>
        <v>46076</v>
      </c>
      <c r="M1064" s="126">
        <f>base[[#This Row],[L/P Bruto]]-base[[#This Row],[L/P Líquido]]</f>
        <v>0.45000000000000107</v>
      </c>
      <c r="N1064" s="126">
        <f>base[[#This Row],[L/P Líquido]]/base[[#This Row],[Stake/Responsabilidade]]</f>
        <v>6.8214285714285713E-2</v>
      </c>
      <c r="O1064" s="132">
        <f>IF(base[[#This Row],[L/P Líquido]]&gt;0,1,0)</f>
        <v>1</v>
      </c>
      <c r="P1064" s="132"/>
      <c r="Q1064" s="132" t="str">
        <f>LEFT(base[[#This Row],[Evento / Mercado]],FIND("vs",base[[#This Row],[Evento / Mercado]])-2)</f>
        <v>FC Emmen</v>
      </c>
      <c r="R10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Ajax</v>
      </c>
      <c r="S1064" s="132" t="e">
        <f>LEFT(base[[#This Row],[Evento / Mercado]],FIND("/",base[[#This Row],[Evento / Mercado]])-2)</f>
        <v>#VALUE!</v>
      </c>
      <c r="U1064" s="9"/>
    </row>
    <row r="1065" spans="2:21" ht="15" customHeight="1">
      <c r="B1065" s="128" t="s">
        <v>907</v>
      </c>
      <c r="C1065" s="128" t="s">
        <v>2982</v>
      </c>
      <c r="D1065" s="129">
        <v>46076.744328703702</v>
      </c>
      <c r="E1065" s="130">
        <v>26.85</v>
      </c>
      <c r="F1065" s="131">
        <v>4.4999999999999998E-2</v>
      </c>
      <c r="G1065" s="126">
        <f t="shared" si="17"/>
        <v>28.1151832460733</v>
      </c>
      <c r="H1065" s="126" t="s">
        <v>145</v>
      </c>
      <c r="I1065" s="127" t="s">
        <v>301</v>
      </c>
      <c r="J1065" s="126">
        <v>9.4</v>
      </c>
      <c r="K1065" s="126">
        <v>249.98</v>
      </c>
      <c r="L1065" s="129">
        <f>INT(base[[#This Row],[Data de liquidação]])</f>
        <v>46076</v>
      </c>
      <c r="M1065" s="126">
        <f>base[[#This Row],[L/P Bruto]]-base[[#This Row],[L/P Líquido]]</f>
        <v>1.265183246073299</v>
      </c>
      <c r="N1065" s="126">
        <f>base[[#This Row],[L/P Líquido]]/base[[#This Row],[Stake/Responsabilidade]]</f>
        <v>0.107408592687415</v>
      </c>
      <c r="O1065" s="132">
        <f>IF(base[[#This Row],[L/P Líquido]]&gt;0,1,0)</f>
        <v>1</v>
      </c>
      <c r="P1065" s="132" t="s">
        <v>973</v>
      </c>
      <c r="Q1065" s="132" t="str">
        <f>LEFT(base[[#This Row],[Evento / Mercado]],FIND("vs",base[[#This Row],[Evento / Mercado]])-2)</f>
        <v>Al-Qadisiyah</v>
      </c>
      <c r="R10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Al-Ettifaq</v>
      </c>
      <c r="S1065" s="132" t="e">
        <f>LEFT(base[[#This Row],[Evento / Mercado]],FIND("/",base[[#This Row],[Evento / Mercado]])-2)</f>
        <v>#VALUE!</v>
      </c>
      <c r="U1065" s="9"/>
    </row>
    <row r="1066" spans="2:21" ht="15" customHeight="1">
      <c r="B1066" s="128" t="s">
        <v>170</v>
      </c>
      <c r="C1066" s="128" t="s">
        <v>2982</v>
      </c>
      <c r="D1066" s="129">
        <v>46076.745752314811</v>
      </c>
      <c r="E1066" s="130">
        <v>7.87</v>
      </c>
      <c r="F1066" s="131">
        <v>4.4999999999999998E-2</v>
      </c>
      <c r="G1066" s="126">
        <f t="shared" si="17"/>
        <v>8.2408376963350793</v>
      </c>
      <c r="H1066" s="126" t="s">
        <v>73</v>
      </c>
      <c r="I1066" s="127" t="s">
        <v>13</v>
      </c>
      <c r="J1066" s="126">
        <v>18</v>
      </c>
      <c r="K1066" s="126">
        <v>140.08000000000001</v>
      </c>
      <c r="L1066" s="129">
        <f>INT(base[[#This Row],[Data de liquidação]])</f>
        <v>46076</v>
      </c>
      <c r="M1066" s="126">
        <f>base[[#This Row],[L/P Bruto]]-base[[#This Row],[L/P Líquido]]</f>
        <v>0.37083769633507924</v>
      </c>
      <c r="N1066" s="126">
        <f>base[[#This Row],[L/P Líquido]]/base[[#This Row],[Stake/Responsabilidade]]</f>
        <v>5.6182181610508274E-2</v>
      </c>
      <c r="O1066" s="132">
        <f>IF(base[[#This Row],[L/P Líquido]]&gt;0,1,0)</f>
        <v>1</v>
      </c>
      <c r="P1066" s="132"/>
      <c r="Q1066" s="132" t="str">
        <f>LEFT(base[[#This Row],[Evento / Mercado]],FIND("vs",base[[#This Row],[Evento / Mercado]])-2)</f>
        <v>Hamrun Spartans</v>
      </c>
      <c r="R10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Marsaxlokk FC</v>
      </c>
      <c r="S1066" s="132" t="e">
        <f>LEFT(base[[#This Row],[Evento / Mercado]],FIND("/",base[[#This Row],[Evento / Mercado]])-2)</f>
        <v>#VALUE!</v>
      </c>
      <c r="U1066" s="9"/>
    </row>
    <row r="1067" spans="2:21" ht="15" customHeight="1">
      <c r="B1067" s="128" t="s">
        <v>906</v>
      </c>
      <c r="C1067" s="128" t="s">
        <v>2982</v>
      </c>
      <c r="D1067" s="129">
        <v>46076.747858796298</v>
      </c>
      <c r="E1067" s="130">
        <v>14.86</v>
      </c>
      <c r="F1067" s="131">
        <v>4.4999999999999998E-2</v>
      </c>
      <c r="G1067" s="126">
        <f t="shared" si="17"/>
        <v>15.560209424083769</v>
      </c>
      <c r="H1067" s="126" t="s">
        <v>73</v>
      </c>
      <c r="I1067" s="127" t="s">
        <v>16</v>
      </c>
      <c r="J1067" s="126">
        <v>10</v>
      </c>
      <c r="K1067" s="126">
        <v>140.04</v>
      </c>
      <c r="L1067" s="129">
        <f>INT(base[[#This Row],[Data de liquidação]])</f>
        <v>46076</v>
      </c>
      <c r="M1067" s="126">
        <f>base[[#This Row],[L/P Bruto]]-base[[#This Row],[L/P Líquido]]</f>
        <v>0.70020942408376996</v>
      </c>
      <c r="N1067" s="126">
        <f>base[[#This Row],[L/P Líquido]]/base[[#This Row],[Stake/Responsabilidade]]</f>
        <v>0.106112539274493</v>
      </c>
      <c r="O1067" s="132">
        <f>IF(base[[#This Row],[L/P Líquido]]&gt;0,1,0)</f>
        <v>1</v>
      </c>
      <c r="P1067" s="132"/>
      <c r="Q1067" s="132" t="str">
        <f>LEFT(base[[#This Row],[Evento / Mercado]],FIND("vs",base[[#This Row],[Evento / Mercado]])-2)</f>
        <v>Al-Fateh Al-Hasa</v>
      </c>
      <c r="R10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Al-Akhdoud</v>
      </c>
      <c r="S1067" s="132" t="e">
        <f>LEFT(base[[#This Row],[Evento / Mercado]],FIND("/",base[[#This Row],[Evento / Mercado]])-2)</f>
        <v>#VALUE!</v>
      </c>
      <c r="U1067" s="9"/>
    </row>
    <row r="1068" spans="2:21" ht="15" customHeight="1">
      <c r="B1068" s="128" t="s">
        <v>905</v>
      </c>
      <c r="C1068" s="128" t="s">
        <v>2982</v>
      </c>
      <c r="D1068" s="129">
        <v>46076.753645833334</v>
      </c>
      <c r="E1068" s="130">
        <v>21.52</v>
      </c>
      <c r="F1068" s="131">
        <v>4.4999999999999998E-2</v>
      </c>
      <c r="G1068" s="126">
        <f t="shared" si="17"/>
        <v>22.534031413612567</v>
      </c>
      <c r="H1068" s="126" t="s">
        <v>145</v>
      </c>
      <c r="I1068" s="127" t="s">
        <v>300</v>
      </c>
      <c r="J1068" s="126">
        <v>12</v>
      </c>
      <c r="K1068" s="126">
        <v>247.88</v>
      </c>
      <c r="L1068" s="129">
        <f>INT(base[[#This Row],[Data de liquidação]])</f>
        <v>46076</v>
      </c>
      <c r="M1068" s="126">
        <f>base[[#This Row],[L/P Bruto]]-base[[#This Row],[L/P Líquido]]</f>
        <v>1.0140314136125674</v>
      </c>
      <c r="N1068" s="126">
        <f>base[[#This Row],[L/P Líquido]]/base[[#This Row],[Stake/Responsabilidade]]</f>
        <v>8.6816201387768271E-2</v>
      </c>
      <c r="O1068" s="132">
        <f>IF(base[[#This Row],[L/P Líquido]]&gt;0,1,0)</f>
        <v>1</v>
      </c>
      <c r="P1068" s="132" t="s">
        <v>973</v>
      </c>
      <c r="Q1068" s="132" t="str">
        <f>LEFT(base[[#This Row],[Evento / Mercado]],FIND("vs",base[[#This Row],[Evento / Mercado]])-2)</f>
        <v>Dhamk</v>
      </c>
      <c r="R10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Ahli Jeddah</v>
      </c>
      <c r="S1068" s="132" t="e">
        <f>LEFT(base[[#This Row],[Evento / Mercado]],FIND("/",base[[#This Row],[Evento / Mercado]])-2)</f>
        <v>#VALUE!</v>
      </c>
      <c r="U1068" s="9"/>
    </row>
    <row r="1069" spans="2:21" ht="15" customHeight="1">
      <c r="B1069" s="128" t="s">
        <v>904</v>
      </c>
      <c r="C1069" s="128" t="s">
        <v>2982</v>
      </c>
      <c r="D1069" s="129">
        <v>46076.767847222225</v>
      </c>
      <c r="E1069" s="130">
        <v>9.23</v>
      </c>
      <c r="F1069" s="131">
        <v>4.4999999999999998E-2</v>
      </c>
      <c r="G1069" s="126">
        <f t="shared" si="17"/>
        <v>9.6649214659685878</v>
      </c>
      <c r="H1069" s="126" t="s">
        <v>73</v>
      </c>
      <c r="I1069" s="127" t="s">
        <v>13</v>
      </c>
      <c r="J1069" s="126">
        <v>15.5</v>
      </c>
      <c r="K1069" s="126">
        <v>140.07</v>
      </c>
      <c r="L1069" s="129">
        <f>INT(base[[#This Row],[Data de liquidação]])</f>
        <v>46076</v>
      </c>
      <c r="M1069" s="126">
        <f>base[[#This Row],[L/P Bruto]]-base[[#This Row],[L/P Líquido]]</f>
        <v>0.43492146596858738</v>
      </c>
      <c r="N1069" s="126">
        <f>base[[#This Row],[L/P Líquido]]/base[[#This Row],[Stake/Responsabilidade]]</f>
        <v>6.5895623616763058E-2</v>
      </c>
      <c r="O1069" s="132">
        <f>IF(base[[#This Row],[L/P Líquido]]&gt;0,1,0)</f>
        <v>1</v>
      </c>
      <c r="P1069" s="132"/>
      <c r="Q1069" s="132" t="str">
        <f>LEFT(base[[#This Row],[Evento / Mercado]],FIND("vs",base[[#This Row],[Evento / Mercado]])-2)</f>
        <v>Ternana</v>
      </c>
      <c r="R10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Forlì F.C.</v>
      </c>
      <c r="S1069" s="132" t="e">
        <f>LEFT(base[[#This Row],[Evento / Mercado]],FIND("/",base[[#This Row],[Evento / Mercado]])-2)</f>
        <v>#VALUE!</v>
      </c>
      <c r="U1069" s="9"/>
    </row>
    <row r="1070" spans="2:21" ht="15" customHeight="1">
      <c r="B1070" s="128" t="s">
        <v>903</v>
      </c>
      <c r="C1070" s="128" t="s">
        <v>2982</v>
      </c>
      <c r="D1070" s="129">
        <v>46076.778287037036</v>
      </c>
      <c r="E1070" s="130">
        <v>10.29</v>
      </c>
      <c r="F1070" s="131">
        <v>4.4999999999999998E-2</v>
      </c>
      <c r="G1070" s="126">
        <f t="shared" si="17"/>
        <v>10.774869109947643</v>
      </c>
      <c r="H1070" s="126" t="s">
        <v>73</v>
      </c>
      <c r="I1070" s="127" t="s">
        <v>13</v>
      </c>
      <c r="J1070" s="126">
        <v>14</v>
      </c>
      <c r="K1070" s="126">
        <v>140.01</v>
      </c>
      <c r="L1070" s="129">
        <f>INT(base[[#This Row],[Data de liquidação]])</f>
        <v>46076</v>
      </c>
      <c r="M1070" s="126">
        <f>base[[#This Row],[L/P Bruto]]-base[[#This Row],[L/P Líquido]]</f>
        <v>0.48486910994764365</v>
      </c>
      <c r="N1070" s="126">
        <f>base[[#This Row],[L/P Líquido]]/base[[#This Row],[Stake/Responsabilidade]]</f>
        <v>7.3494750374973217E-2</v>
      </c>
      <c r="O1070" s="132">
        <f>IF(base[[#This Row],[L/P Líquido]]&gt;0,1,0)</f>
        <v>1</v>
      </c>
      <c r="P1070" s="132"/>
      <c r="Q1070" s="132" t="str">
        <f>LEFT(base[[#This Row],[Evento / Mercado]],FIND("vs",base[[#This Row],[Evento / Mercado]])-2)</f>
        <v>Bologna</v>
      </c>
      <c r="R10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Udinese</v>
      </c>
      <c r="S1070" s="132" t="e">
        <f>LEFT(base[[#This Row],[Evento / Mercado]],FIND("/",base[[#This Row],[Evento / Mercado]])-2)</f>
        <v>#VALUE!</v>
      </c>
      <c r="U1070" s="9"/>
    </row>
    <row r="1071" spans="2:21" ht="15" customHeight="1">
      <c r="B1071" s="128" t="s">
        <v>902</v>
      </c>
      <c r="C1071" s="128" t="s">
        <v>2982</v>
      </c>
      <c r="D1071" s="129">
        <v>46076.797418981485</v>
      </c>
      <c r="E1071" s="130">
        <v>7.87</v>
      </c>
      <c r="F1071" s="131">
        <v>4.4999999999999998E-2</v>
      </c>
      <c r="G1071" s="126">
        <f t="shared" si="17"/>
        <v>8.2408376963350793</v>
      </c>
      <c r="H1071" s="126" t="s">
        <v>73</v>
      </c>
      <c r="I1071" s="127" t="s">
        <v>13</v>
      </c>
      <c r="J1071" s="126">
        <v>18</v>
      </c>
      <c r="K1071" s="126">
        <v>140.08000000000001</v>
      </c>
      <c r="L1071" s="129">
        <f>INT(base[[#This Row],[Data de liquidação]])</f>
        <v>46076</v>
      </c>
      <c r="M1071" s="126">
        <f>base[[#This Row],[L/P Bruto]]-base[[#This Row],[L/P Líquido]]</f>
        <v>0.37083769633507924</v>
      </c>
      <c r="N1071" s="126">
        <f>base[[#This Row],[L/P Líquido]]/base[[#This Row],[Stake/Responsabilidade]]</f>
        <v>5.6182181610508274E-2</v>
      </c>
      <c r="O1071" s="132">
        <f>IF(base[[#This Row],[L/P Líquido]]&gt;0,1,0)</f>
        <v>1</v>
      </c>
      <c r="P1071" s="132"/>
      <c r="Q1071" s="132" t="str">
        <f>LEFT(base[[#This Row],[Evento / Mercado]],FIND("vs",base[[#This Row],[Evento / Mercado]])-2)</f>
        <v>Famalicão</v>
      </c>
      <c r="R10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Casa Pia</v>
      </c>
      <c r="S1071" s="132" t="e">
        <f>LEFT(base[[#This Row],[Evento / Mercado]],FIND("/",base[[#This Row],[Evento / Mercado]])-2)</f>
        <v>#VALUE!</v>
      </c>
      <c r="U1071" s="9"/>
    </row>
    <row r="1072" spans="2:21" ht="15" customHeight="1">
      <c r="B1072" s="128" t="s">
        <v>921</v>
      </c>
      <c r="C1072" s="128" t="s">
        <v>2982</v>
      </c>
      <c r="D1072" s="129">
        <v>46077.691493055558</v>
      </c>
      <c r="E1072" s="130">
        <v>32.36</v>
      </c>
      <c r="F1072" s="131">
        <v>4.4999999999999998E-2</v>
      </c>
      <c r="G1072" s="126">
        <f t="shared" si="17"/>
        <v>33.8848167539267</v>
      </c>
      <c r="H1072" s="126" t="s">
        <v>145</v>
      </c>
      <c r="I1072" s="127" t="s">
        <v>301</v>
      </c>
      <c r="J1072" s="126">
        <v>8.1999999999999993</v>
      </c>
      <c r="K1072" s="126">
        <v>249.98</v>
      </c>
      <c r="L1072" s="129">
        <f>INT(base[[#This Row],[Data de liquidação]])</f>
        <v>46077</v>
      </c>
      <c r="M1072" s="126">
        <f>base[[#This Row],[L/P Bruto]]-base[[#This Row],[L/P Líquido]]</f>
        <v>1.5248167539267001</v>
      </c>
      <c r="N1072" s="126">
        <f>base[[#This Row],[L/P Líquido]]/base[[#This Row],[Stake/Responsabilidade]]</f>
        <v>0.12945035602848229</v>
      </c>
      <c r="O1072" s="132">
        <f>IF(base[[#This Row],[L/P Líquido]]&gt;0,1,0)</f>
        <v>1</v>
      </c>
      <c r="P1072" s="132" t="s">
        <v>972</v>
      </c>
      <c r="Q1072" s="132" t="str">
        <f>LEFT(base[[#This Row],[Evento / Mercado]],FIND("vs",base[[#This Row],[Evento / Mercado]])-2)</f>
        <v>Atlético de Madrid</v>
      </c>
      <c r="R10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Brugge</v>
      </c>
      <c r="S1072" s="132" t="e">
        <f>LEFT(base[[#This Row],[Evento / Mercado]],FIND("/",base[[#This Row],[Evento / Mercado]])-2)</f>
        <v>#VALUE!</v>
      </c>
      <c r="U1072" s="9"/>
    </row>
    <row r="1073" spans="2:21" ht="15" customHeight="1">
      <c r="B1073" s="128" t="s">
        <v>920</v>
      </c>
      <c r="C1073" s="128" t="s">
        <v>2982</v>
      </c>
      <c r="D1073" s="129">
        <v>46077.746006944442</v>
      </c>
      <c r="E1073" s="130">
        <v>7.7641500000000008</v>
      </c>
      <c r="F1073" s="131">
        <v>4.4999999999999998E-2</v>
      </c>
      <c r="G1073" s="126">
        <f t="shared" si="17"/>
        <v>8.1300000000000008</v>
      </c>
      <c r="H1073" s="126" t="s">
        <v>73</v>
      </c>
      <c r="I1073" s="127" t="s">
        <v>13</v>
      </c>
      <c r="J1073" s="126">
        <v>18</v>
      </c>
      <c r="K1073" s="126">
        <v>138.18</v>
      </c>
      <c r="L1073" s="129">
        <f>INT(base[[#This Row],[Data de liquidação]])</f>
        <v>46077</v>
      </c>
      <c r="M1073" s="126">
        <f>base[[#This Row],[L/P Bruto]]-base[[#This Row],[L/P Líquido]]</f>
        <v>0.36585000000000001</v>
      </c>
      <c r="N1073" s="126">
        <f>base[[#This Row],[L/P Líquido]]/base[[#This Row],[Stake/Responsabilidade]]</f>
        <v>5.6188666956144162E-2</v>
      </c>
      <c r="O1073" s="132">
        <f>IF(base[[#This Row],[L/P Líquido]]&gt;0,1,0)</f>
        <v>1</v>
      </c>
      <c r="P1073" s="132"/>
      <c r="Q1073" s="132" t="str">
        <f>LEFT(base[[#This Row],[Evento / Mercado]],FIND("vs",base[[#This Row],[Evento / Mercado]])-2)</f>
        <v>Cambuur Leeuwarden</v>
      </c>
      <c r="R10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1073" s="132" t="e">
        <f>LEFT(base[[#This Row],[Evento / Mercado]],FIND("/",base[[#This Row],[Evento / Mercado]])-2)</f>
        <v>#VALUE!</v>
      </c>
      <c r="T1073" s="8">
        <v>8.1300000000000008</v>
      </c>
      <c r="U1073" s="9">
        <f>T1073*0.955</f>
        <v>7.7641500000000008</v>
      </c>
    </row>
    <row r="1074" spans="2:21" ht="15" customHeight="1">
      <c r="B1074" s="128" t="s">
        <v>920</v>
      </c>
      <c r="C1074" s="128" t="s">
        <v>2982</v>
      </c>
      <c r="D1074" s="129">
        <v>46077.746006944442</v>
      </c>
      <c r="E1074" s="130">
        <v>10.57185</v>
      </c>
      <c r="F1074" s="131">
        <v>4.4999999999999998E-2</v>
      </c>
      <c r="G1074" s="126">
        <f t="shared" si="17"/>
        <v>11.07</v>
      </c>
      <c r="H1074" s="126" t="s">
        <v>73</v>
      </c>
      <c r="I1074" s="127" t="s">
        <v>16</v>
      </c>
      <c r="J1074" s="126">
        <v>13.5</v>
      </c>
      <c r="K1074" s="126">
        <v>138.38</v>
      </c>
      <c r="L1074" s="129">
        <f>INT(base[[#This Row],[Data de liquidação]])</f>
        <v>46077</v>
      </c>
      <c r="M1074" s="126">
        <f>base[[#This Row],[L/P Bruto]]-base[[#This Row],[L/P Líquido]]</f>
        <v>0.49815000000000076</v>
      </c>
      <c r="N1074" s="126">
        <f>base[[#This Row],[L/P Líquido]]/base[[#This Row],[Stake/Responsabilidade]]</f>
        <v>7.6397239485474777E-2</v>
      </c>
      <c r="O1074" s="132">
        <f>IF(base[[#This Row],[L/P Líquido]]&gt;0,1,0)</f>
        <v>1</v>
      </c>
      <c r="P1074" s="132"/>
      <c r="Q1074" s="132" t="str">
        <f>LEFT(base[[#This Row],[Evento / Mercado]],FIND("vs",base[[#This Row],[Evento / Mercado]])-2)</f>
        <v>Cambuur Leeuwarden</v>
      </c>
      <c r="R10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1074" s="132" t="e">
        <f>LEFT(base[[#This Row],[Evento / Mercado]],FIND("/",base[[#This Row],[Evento / Mercado]])-2)</f>
        <v>#VALUE!</v>
      </c>
      <c r="T1074" s="8">
        <v>11.07</v>
      </c>
      <c r="U1074" s="9">
        <f>T1074*0.955</f>
        <v>10.57185</v>
      </c>
    </row>
    <row r="1075" spans="2:21" ht="15" customHeight="1">
      <c r="B1075" s="128" t="s">
        <v>920</v>
      </c>
      <c r="C1075" s="128" t="s">
        <v>2982</v>
      </c>
      <c r="D1075" s="129">
        <v>46077.746053240742</v>
      </c>
      <c r="E1075" s="130">
        <v>-7.1</v>
      </c>
      <c r="F1075" s="131">
        <v>4.4999999999999998E-2</v>
      </c>
      <c r="G1075" s="126">
        <f t="shared" si="17"/>
        <v>-7.1</v>
      </c>
      <c r="H1075" s="126" t="s">
        <v>145</v>
      </c>
      <c r="I1075" s="127" t="s">
        <v>301</v>
      </c>
      <c r="J1075" s="126">
        <v>7.6</v>
      </c>
      <c r="K1075" s="126">
        <v>250.01</v>
      </c>
      <c r="L1075" s="129">
        <f>INT(base[[#This Row],[Data de liquidação]])</f>
        <v>46077</v>
      </c>
      <c r="M1075" s="126">
        <f>base[[#This Row],[L/P Bruto]]-base[[#This Row],[L/P Líquido]]</f>
        <v>0</v>
      </c>
      <c r="N1075" s="126">
        <f>base[[#This Row],[L/P Líquido]]/base[[#This Row],[Stake/Responsabilidade]]</f>
        <v>-2.839886404543818E-2</v>
      </c>
      <c r="O1075" s="132">
        <f>IF(base[[#This Row],[L/P Líquido]]&gt;0,1,0)</f>
        <v>0</v>
      </c>
      <c r="P1075" s="132" t="s">
        <v>960</v>
      </c>
      <c r="Q1075" s="132" t="str">
        <f>LEFT(base[[#This Row],[Evento / Mercado]],FIND("vs",base[[#This Row],[Evento / Mercado]])-2)</f>
        <v>Cambuur Leeuwarden</v>
      </c>
      <c r="R10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1075" s="132" t="e">
        <f>LEFT(base[[#This Row],[Evento / Mercado]],FIND("/",base[[#This Row],[Evento / Mercado]])-2)</f>
        <v>#VALUE!</v>
      </c>
      <c r="U1075" s="9">
        <f>300/(7.6-1)*0.955+7</f>
        <v>50.409090909090914</v>
      </c>
    </row>
    <row r="1076" spans="2:21" ht="15" customHeight="1">
      <c r="B1076" s="128" t="s">
        <v>919</v>
      </c>
      <c r="C1076" s="128" t="s">
        <v>2982</v>
      </c>
      <c r="D1076" s="129">
        <v>46077.776226851849</v>
      </c>
      <c r="E1076" s="130">
        <v>7.82</v>
      </c>
      <c r="F1076" s="131">
        <v>4.4999999999999998E-2</v>
      </c>
      <c r="G1076" s="126">
        <f t="shared" si="17"/>
        <v>8.188481675392671</v>
      </c>
      <c r="H1076" s="126" t="s">
        <v>73</v>
      </c>
      <c r="I1076" s="127" t="s">
        <v>13</v>
      </c>
      <c r="J1076" s="126">
        <v>18</v>
      </c>
      <c r="K1076" s="126">
        <v>139.25</v>
      </c>
      <c r="L1076" s="129">
        <f>INT(base[[#This Row],[Data de liquidação]])</f>
        <v>46077</v>
      </c>
      <c r="M1076" s="126">
        <f>base[[#This Row],[L/P Bruto]]-base[[#This Row],[L/P Líquido]]</f>
        <v>0.36848167539267074</v>
      </c>
      <c r="N1076" s="126">
        <f>base[[#This Row],[L/P Líquido]]/base[[#This Row],[Stake/Responsabilidade]]</f>
        <v>5.6157989228007181E-2</v>
      </c>
      <c r="O1076" s="132">
        <f>IF(base[[#This Row],[L/P Líquido]]&gt;0,1,0)</f>
        <v>1</v>
      </c>
      <c r="P1076" s="132"/>
      <c r="Q1076" s="132" t="str">
        <f>LEFT(base[[#This Row],[Evento / Mercado]],FIND("vs",base[[#This Row],[Evento / Mercado]])-2)</f>
        <v>Ceramica Cleopatra</v>
      </c>
      <c r="R10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Ismaily</v>
      </c>
      <c r="S1076" s="132" t="e">
        <f>LEFT(base[[#This Row],[Evento / Mercado]],FIND("/",base[[#This Row],[Evento / Mercado]])-2)</f>
        <v>#VALUE!</v>
      </c>
      <c r="U1076" s="9"/>
    </row>
    <row r="1077" spans="2:21" ht="15" customHeight="1">
      <c r="B1077" s="128" t="s">
        <v>918</v>
      </c>
      <c r="C1077" s="128" t="s">
        <v>2982</v>
      </c>
      <c r="D1077" s="129">
        <v>46077.776967592596</v>
      </c>
      <c r="E1077" s="130">
        <v>20.9</v>
      </c>
      <c r="F1077" s="131">
        <v>4.4999999999999998E-2</v>
      </c>
      <c r="G1077" s="126">
        <f t="shared" si="17"/>
        <v>21.8848167539267</v>
      </c>
      <c r="H1077" s="126" t="s">
        <v>73</v>
      </c>
      <c r="I1077" s="127" t="s">
        <v>16</v>
      </c>
      <c r="J1077" s="126">
        <v>7.4</v>
      </c>
      <c r="K1077" s="126">
        <v>140.03</v>
      </c>
      <c r="L1077" s="129">
        <f>INT(base[[#This Row],[Data de liquidação]])</f>
        <v>46077</v>
      </c>
      <c r="M1077" s="126">
        <f>base[[#This Row],[L/P Bruto]]-base[[#This Row],[L/P Líquido]]</f>
        <v>0.98481675392670098</v>
      </c>
      <c r="N1077" s="126">
        <f>base[[#This Row],[L/P Líquido]]/base[[#This Row],[Stake/Responsabilidade]]</f>
        <v>0.14925373134328357</v>
      </c>
      <c r="O1077" s="132">
        <f>IF(base[[#This Row],[L/P Líquido]]&gt;0,1,0)</f>
        <v>1</v>
      </c>
      <c r="P1077" s="132"/>
      <c r="Q1077" s="132" t="str">
        <f>LEFT(base[[#This Row],[Evento / Mercado]],FIND("vs",base[[#This Row],[Evento / Mercado]])-2)</f>
        <v>Swansea City</v>
      </c>
      <c r="R10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Preston North End</v>
      </c>
      <c r="S1077" s="132" t="e">
        <f>LEFT(base[[#This Row],[Evento / Mercado]],FIND("/",base[[#This Row],[Evento / Mercado]])-2)</f>
        <v>#VALUE!</v>
      </c>
      <c r="U1077" s="9"/>
    </row>
    <row r="1078" spans="2:21" ht="15" customHeight="1">
      <c r="B1078" s="128" t="s">
        <v>917</v>
      </c>
      <c r="C1078" s="128" t="s">
        <v>2982</v>
      </c>
      <c r="D1078" s="129">
        <v>46077.777951388889</v>
      </c>
      <c r="E1078" s="130">
        <v>-1.31</v>
      </c>
      <c r="F1078" s="131">
        <v>4.4999999999999998E-2</v>
      </c>
      <c r="G1078" s="126">
        <f t="shared" si="17"/>
        <v>-1.31</v>
      </c>
      <c r="H1078" s="126" t="s">
        <v>145</v>
      </c>
      <c r="I1078" s="127" t="s">
        <v>301</v>
      </c>
      <c r="J1078" s="126">
        <v>6.8</v>
      </c>
      <c r="K1078" s="126">
        <v>249.98</v>
      </c>
      <c r="L1078" s="129">
        <f>INT(base[[#This Row],[Data de liquidação]])</f>
        <v>46077</v>
      </c>
      <c r="M1078" s="126">
        <f>base[[#This Row],[L/P Bruto]]-base[[#This Row],[L/P Líquido]]</f>
        <v>0</v>
      </c>
      <c r="N1078" s="126">
        <f>base[[#This Row],[L/P Líquido]]/base[[#This Row],[Stake/Responsabilidade]]</f>
        <v>-5.2404192335386837E-3</v>
      </c>
      <c r="O1078" s="132">
        <f>IF(base[[#This Row],[L/P Líquido]]&gt;0,1,0)</f>
        <v>0</v>
      </c>
      <c r="P1078" s="132" t="s">
        <v>968</v>
      </c>
      <c r="Q1078" s="132" t="str">
        <f>LEFT(base[[#This Row],[Evento / Mercado]],FIND("vs",base[[#This Row],[Evento / Mercado]])-2)</f>
        <v>Middlesbrough</v>
      </c>
      <c r="R10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Leicester City</v>
      </c>
      <c r="S1078" s="132" t="e">
        <f>LEFT(base[[#This Row],[Evento / Mercado]],FIND("/",base[[#This Row],[Evento / Mercado]])-2)</f>
        <v>#VALUE!</v>
      </c>
      <c r="U1078" s="9">
        <f>300/(6.8-1)*0.955+1</f>
        <v>50.396551724137929</v>
      </c>
    </row>
    <row r="1079" spans="2:21" ht="15" customHeight="1">
      <c r="B1079" s="128" t="s">
        <v>916</v>
      </c>
      <c r="C1079" s="128" t="s">
        <v>2982</v>
      </c>
      <c r="D1079" s="129">
        <v>46077.779351851852</v>
      </c>
      <c r="E1079" s="130">
        <v>14.86</v>
      </c>
      <c r="F1079" s="131">
        <v>4.4999999999999998E-2</v>
      </c>
      <c r="G1079" s="126">
        <f t="shared" si="17"/>
        <v>15.560209424083769</v>
      </c>
      <c r="H1079" s="126" t="s">
        <v>73</v>
      </c>
      <c r="I1079" s="127" t="s">
        <v>16</v>
      </c>
      <c r="J1079" s="126">
        <v>10</v>
      </c>
      <c r="K1079" s="126">
        <v>140.04</v>
      </c>
      <c r="L1079" s="129">
        <f>INT(base[[#This Row],[Data de liquidação]])</f>
        <v>46077</v>
      </c>
      <c r="M1079" s="126">
        <f>base[[#This Row],[L/P Bruto]]-base[[#This Row],[L/P Líquido]]</f>
        <v>0.70020942408376996</v>
      </c>
      <c r="N1079" s="126">
        <f>base[[#This Row],[L/P Líquido]]/base[[#This Row],[Stake/Responsabilidade]]</f>
        <v>0.106112539274493</v>
      </c>
      <c r="O1079" s="132">
        <f>IF(base[[#This Row],[L/P Líquido]]&gt;0,1,0)</f>
        <v>1</v>
      </c>
      <c r="P1079" s="132"/>
      <c r="Q1079" s="132" t="str">
        <f>LEFT(base[[#This Row],[Evento / Mercado]],FIND("vs",base[[#This Row],[Evento / Mercado]])-2)</f>
        <v>Forest Green Rovers</v>
      </c>
      <c r="R10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Boston United</v>
      </c>
      <c r="S1079" s="132" t="e">
        <f>LEFT(base[[#This Row],[Evento / Mercado]],FIND("/",base[[#This Row],[Evento / Mercado]])-2)</f>
        <v>#VALUE!</v>
      </c>
      <c r="U1079" s="9"/>
    </row>
    <row r="1080" spans="2:21" ht="15" customHeight="1">
      <c r="B1080" s="128" t="s">
        <v>915</v>
      </c>
      <c r="C1080" s="128" t="s">
        <v>2982</v>
      </c>
      <c r="D1080" s="129">
        <v>46077.779803240737</v>
      </c>
      <c r="E1080" s="130">
        <v>8.59</v>
      </c>
      <c r="F1080" s="131">
        <v>4.4999999999999998E-2</v>
      </c>
      <c r="G1080" s="126">
        <f t="shared" si="17"/>
        <v>8.9947643979057599</v>
      </c>
      <c r="H1080" s="126" t="s">
        <v>73</v>
      </c>
      <c r="I1080" s="127" t="s">
        <v>13</v>
      </c>
      <c r="J1080" s="126">
        <v>16.5</v>
      </c>
      <c r="K1080" s="126">
        <v>139.44999999999999</v>
      </c>
      <c r="L1080" s="129">
        <f>INT(base[[#This Row],[Data de liquidação]])</f>
        <v>46077</v>
      </c>
      <c r="M1080" s="126">
        <f>base[[#This Row],[L/P Bruto]]-base[[#This Row],[L/P Líquido]]</f>
        <v>0.40476439790576002</v>
      </c>
      <c r="N1080" s="126">
        <f>base[[#This Row],[L/P Líquido]]/base[[#This Row],[Stake/Responsabilidade]]</f>
        <v>6.1599139476514887E-2</v>
      </c>
      <c r="O1080" s="132">
        <f>IF(base[[#This Row],[L/P Líquido]]&gt;0,1,0)</f>
        <v>1</v>
      </c>
      <c r="P1080" s="132"/>
      <c r="Q1080" s="132" t="str">
        <f>LEFT(base[[#This Row],[Evento / Mercado]],FIND("vs",base[[#This Row],[Evento / Mercado]])-2)</f>
        <v>Bradford City</v>
      </c>
      <c r="R10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Rotherham United</v>
      </c>
      <c r="S1080" s="132" t="e">
        <f>LEFT(base[[#This Row],[Evento / Mercado]],FIND("/",base[[#This Row],[Evento / Mercado]])-2)</f>
        <v>#VALUE!</v>
      </c>
      <c r="U1080" s="9"/>
    </row>
    <row r="1081" spans="2:21" ht="15" customHeight="1">
      <c r="B1081" s="128" t="s">
        <v>914</v>
      </c>
      <c r="C1081" s="128" t="s">
        <v>2982</v>
      </c>
      <c r="D1081" s="129">
        <v>46077.779953703706</v>
      </c>
      <c r="E1081" s="130">
        <v>17.9922</v>
      </c>
      <c r="F1081" s="131">
        <v>4.4999999999999998E-2</v>
      </c>
      <c r="G1081" s="126">
        <f t="shared" si="17"/>
        <v>18.84</v>
      </c>
      <c r="H1081" s="126" t="s">
        <v>73</v>
      </c>
      <c r="I1081" s="127" t="s">
        <v>16</v>
      </c>
      <c r="J1081" s="126">
        <v>8.4</v>
      </c>
      <c r="K1081" s="126">
        <v>139.41</v>
      </c>
      <c r="L1081" s="129">
        <f>INT(base[[#This Row],[Data de liquidação]])</f>
        <v>46077</v>
      </c>
      <c r="M1081" s="126">
        <f>base[[#This Row],[L/P Bruto]]-base[[#This Row],[L/P Líquido]]</f>
        <v>0.84779999999999944</v>
      </c>
      <c r="N1081" s="126">
        <f>base[[#This Row],[L/P Líquido]]/base[[#This Row],[Stake/Responsabilidade]]</f>
        <v>0.12905960834947278</v>
      </c>
      <c r="O1081" s="132">
        <f>IF(base[[#This Row],[L/P Líquido]]&gt;0,1,0)</f>
        <v>1</v>
      </c>
      <c r="P1081" s="132"/>
      <c r="Q1081" s="132" t="str">
        <f>LEFT(base[[#This Row],[Evento / Mercado]],FIND("vs",base[[#This Row],[Evento / Mercado]])-2)</f>
        <v>Salford City</v>
      </c>
      <c r="R10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Shrewsbury Town</v>
      </c>
      <c r="S1081" s="132" t="e">
        <f>LEFT(base[[#This Row],[Evento / Mercado]],FIND("/",base[[#This Row],[Evento / Mercado]])-2)</f>
        <v>#VALUE!</v>
      </c>
      <c r="T1081" s="8">
        <v>18.84</v>
      </c>
      <c r="U1081" s="9">
        <f>T1081*0.955</f>
        <v>17.9922</v>
      </c>
    </row>
    <row r="1082" spans="2:21" ht="15" customHeight="1">
      <c r="B1082" s="128" t="s">
        <v>914</v>
      </c>
      <c r="C1082" s="128" t="s">
        <v>2982</v>
      </c>
      <c r="D1082" s="129">
        <v>46077.779953703706</v>
      </c>
      <c r="E1082" s="130">
        <v>8.2129999999999992</v>
      </c>
      <c r="F1082" s="131">
        <v>4.4999999999999998E-2</v>
      </c>
      <c r="G1082" s="126">
        <f t="shared" si="17"/>
        <v>8.6</v>
      </c>
      <c r="H1082" s="126" t="s">
        <v>73</v>
      </c>
      <c r="I1082" s="127" t="s">
        <v>13</v>
      </c>
      <c r="J1082" s="126">
        <v>17</v>
      </c>
      <c r="K1082" s="126">
        <v>137.61000000000001</v>
      </c>
      <c r="L1082" s="129">
        <f>INT(base[[#This Row],[Data de liquidação]])</f>
        <v>46077</v>
      </c>
      <c r="M1082" s="126">
        <f>base[[#This Row],[L/P Bruto]]-base[[#This Row],[L/P Líquido]]</f>
        <v>0.38700000000000045</v>
      </c>
      <c r="N1082" s="126">
        <f>base[[#This Row],[L/P Líquido]]/base[[#This Row],[Stake/Responsabilidade]]</f>
        <v>5.9683162560860391E-2</v>
      </c>
      <c r="O1082" s="132">
        <f>IF(base[[#This Row],[L/P Líquido]]&gt;0,1,0)</f>
        <v>1</v>
      </c>
      <c r="P1082" s="132"/>
      <c r="Q1082" s="132" t="str">
        <f>LEFT(base[[#This Row],[Evento / Mercado]],FIND("vs",base[[#This Row],[Evento / Mercado]])-2)</f>
        <v>Salford City</v>
      </c>
      <c r="R10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Shrewsbury Town</v>
      </c>
      <c r="S1082" s="132" t="e">
        <f>LEFT(base[[#This Row],[Evento / Mercado]],FIND("/",base[[#This Row],[Evento / Mercado]])-2)</f>
        <v>#VALUE!</v>
      </c>
      <c r="T1082" s="8">
        <v>8.6</v>
      </c>
      <c r="U1082" s="9">
        <f>T1082*0.955</f>
        <v>8.2129999999999992</v>
      </c>
    </row>
    <row r="1083" spans="2:21" ht="15" customHeight="1">
      <c r="B1083" s="128" t="s">
        <v>913</v>
      </c>
      <c r="C1083" s="128" t="s">
        <v>2982</v>
      </c>
      <c r="D1083" s="129">
        <v>46077.78570601852</v>
      </c>
      <c r="E1083" s="130">
        <v>7.87</v>
      </c>
      <c r="F1083" s="131">
        <v>4.4999999999999998E-2</v>
      </c>
      <c r="G1083" s="126">
        <f t="shared" si="17"/>
        <v>8.2408376963350793</v>
      </c>
      <c r="H1083" s="126" t="s">
        <v>73</v>
      </c>
      <c r="I1083" s="127" t="s">
        <v>16</v>
      </c>
      <c r="J1083" s="126">
        <v>18</v>
      </c>
      <c r="K1083" s="126">
        <v>140.08000000000001</v>
      </c>
      <c r="L1083" s="129">
        <f>INT(base[[#This Row],[Data de liquidação]])</f>
        <v>46077</v>
      </c>
      <c r="M1083" s="126">
        <f>base[[#This Row],[L/P Bruto]]-base[[#This Row],[L/P Líquido]]</f>
        <v>0.37083769633507924</v>
      </c>
      <c r="N1083" s="126">
        <f>base[[#This Row],[L/P Líquido]]/base[[#This Row],[Stake/Responsabilidade]]</f>
        <v>5.6182181610508274E-2</v>
      </c>
      <c r="O1083" s="132">
        <f>IF(base[[#This Row],[L/P Líquido]]&gt;0,1,0)</f>
        <v>1</v>
      </c>
      <c r="P1083" s="132"/>
      <c r="Q1083" s="132" t="str">
        <f>LEFT(base[[#This Row],[Evento / Mercado]],FIND("vs",base[[#This Row],[Evento / Mercado]])-2)</f>
        <v>Internazionale</v>
      </c>
      <c r="R10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1083" s="132" t="str">
        <f>LEFT(base[[#This Row],[Evento / Mercado]],FIND("/",base[[#This Row],[Evento / Mercado]])-2)</f>
        <v>Internazionale vs Bod</v>
      </c>
      <c r="U1083" s="9"/>
    </row>
    <row r="1084" spans="2:21" ht="15" customHeight="1">
      <c r="B1084" s="128" t="s">
        <v>913</v>
      </c>
      <c r="C1084" s="128" t="s">
        <v>2982</v>
      </c>
      <c r="D1084" s="129">
        <v>46077.785856481481</v>
      </c>
      <c r="E1084" s="130">
        <v>-199.22</v>
      </c>
      <c r="F1084" s="131">
        <v>4.4999999999999998E-2</v>
      </c>
      <c r="G1084" s="126">
        <f t="shared" si="17"/>
        <v>-199.22</v>
      </c>
      <c r="H1084" s="126" t="s">
        <v>145</v>
      </c>
      <c r="I1084" s="127" t="s">
        <v>301</v>
      </c>
      <c r="J1084" s="126">
        <v>11.5</v>
      </c>
      <c r="K1084" s="126">
        <v>250.01</v>
      </c>
      <c r="L1084" s="129">
        <f>INT(base[[#This Row],[Data de liquidação]])</f>
        <v>46077</v>
      </c>
      <c r="M1084" s="126">
        <f>base[[#This Row],[L/P Bruto]]-base[[#This Row],[L/P Líquido]]</f>
        <v>0</v>
      </c>
      <c r="N1084" s="126">
        <f>base[[#This Row],[L/P Líquido]]/base[[#This Row],[Stake/Responsabilidade]]</f>
        <v>-0.79684812607495703</v>
      </c>
      <c r="O1084" s="132">
        <f>IF(base[[#This Row],[L/P Líquido]]&gt;0,1,0)</f>
        <v>0</v>
      </c>
      <c r="P1084" s="132" t="s">
        <v>972</v>
      </c>
      <c r="Q1084" s="132" t="str">
        <f>LEFT(base[[#This Row],[Evento / Mercado]],FIND("vs",base[[#This Row],[Evento / Mercado]])-2)</f>
        <v>Internazionale</v>
      </c>
      <c r="R10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1084" s="132" t="str">
        <f>LEFT(base[[#This Row],[Evento / Mercado]],FIND("/",base[[#This Row],[Evento / Mercado]])-2)</f>
        <v>Internazionale vs Bod</v>
      </c>
      <c r="U1084" s="9">
        <f>-250+200</f>
        <v>-50</v>
      </c>
    </row>
    <row r="1085" spans="2:21" ht="15" customHeight="1">
      <c r="B1085" s="128" t="s">
        <v>912</v>
      </c>
      <c r="C1085" s="128" t="s">
        <v>2982</v>
      </c>
      <c r="D1085" s="129">
        <v>46077.78800925926</v>
      </c>
      <c r="E1085" s="130">
        <v>14.86</v>
      </c>
      <c r="F1085" s="131">
        <v>4.4999999999999998E-2</v>
      </c>
      <c r="G1085" s="126">
        <f t="shared" si="17"/>
        <v>15.560209424083769</v>
      </c>
      <c r="H1085" s="126" t="s">
        <v>73</v>
      </c>
      <c r="I1085" s="127" t="s">
        <v>16</v>
      </c>
      <c r="J1085" s="126">
        <v>10</v>
      </c>
      <c r="K1085" s="126">
        <v>140.04</v>
      </c>
      <c r="L1085" s="129">
        <f>INT(base[[#This Row],[Data de liquidação]])</f>
        <v>46077</v>
      </c>
      <c r="M1085" s="126">
        <f>base[[#This Row],[L/P Bruto]]-base[[#This Row],[L/P Líquido]]</f>
        <v>0.70020942408376996</v>
      </c>
      <c r="N1085" s="126">
        <f>base[[#This Row],[L/P Líquido]]/base[[#This Row],[Stake/Responsabilidade]]</f>
        <v>0.106112539274493</v>
      </c>
      <c r="O1085" s="132">
        <f>IF(base[[#This Row],[L/P Líquido]]&gt;0,1,0)</f>
        <v>1</v>
      </c>
      <c r="P1085" s="132"/>
      <c r="Q1085" s="132" t="str">
        <f>LEFT(base[[#This Row],[Evento / Mercado]],FIND("vs",base[[#This Row],[Evento / Mercado]])-2)</f>
        <v>Southampton</v>
      </c>
      <c r="R10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Queens Park Rangers</v>
      </c>
      <c r="S1085" s="132" t="e">
        <f>LEFT(base[[#This Row],[Evento / Mercado]],FIND("/",base[[#This Row],[Evento / Mercado]])-2)</f>
        <v>#VALUE!</v>
      </c>
      <c r="U1085" s="9"/>
    </row>
    <row r="1086" spans="2:21" ht="15" customHeight="1">
      <c r="B1086" s="128" t="s">
        <v>911</v>
      </c>
      <c r="C1086" s="128" t="s">
        <v>2982</v>
      </c>
      <c r="D1086" s="129">
        <v>46077.875011574077</v>
      </c>
      <c r="E1086" s="130">
        <v>8.91</v>
      </c>
      <c r="F1086" s="131">
        <v>4.4999999999999998E-2</v>
      </c>
      <c r="G1086" s="126">
        <f t="shared" si="17"/>
        <v>9.3298429319371738</v>
      </c>
      <c r="H1086" s="126" t="s">
        <v>73</v>
      </c>
      <c r="I1086" s="127" t="s">
        <v>13</v>
      </c>
      <c r="J1086" s="126">
        <v>16</v>
      </c>
      <c r="K1086" s="126">
        <v>139.94999999999999</v>
      </c>
      <c r="L1086" s="129">
        <f>INT(base[[#This Row],[Data de liquidação]])</f>
        <v>46077</v>
      </c>
      <c r="M1086" s="126">
        <f>base[[#This Row],[L/P Bruto]]-base[[#This Row],[L/P Líquido]]</f>
        <v>0.4198429319371737</v>
      </c>
      <c r="N1086" s="126">
        <f>base[[#This Row],[L/P Líquido]]/base[[#This Row],[Stake/Responsabilidade]]</f>
        <v>6.3665594855305471E-2</v>
      </c>
      <c r="O1086" s="132">
        <f>IF(base[[#This Row],[L/P Líquido]]&gt;0,1,0)</f>
        <v>1</v>
      </c>
      <c r="P1086" s="132"/>
      <c r="Q1086" s="132" t="str">
        <f>LEFT(base[[#This Row],[Evento / Mercado]],FIND("vs",base[[#This Row],[Evento / Mercado]])-2)</f>
        <v>Huachipato</v>
      </c>
      <c r="R10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Carabobo FC</v>
      </c>
      <c r="S1086" s="132" t="e">
        <f>LEFT(base[[#This Row],[Evento / Mercado]],FIND("/",base[[#This Row],[Evento / Mercado]])-2)</f>
        <v>#VALUE!</v>
      </c>
      <c r="U1086" s="9"/>
    </row>
    <row r="1087" spans="2:21" ht="15" customHeight="1">
      <c r="B1087" s="128" t="s">
        <v>926</v>
      </c>
      <c r="C1087" s="128" t="s">
        <v>2982</v>
      </c>
      <c r="D1087" s="129">
        <v>46078.768946759257</v>
      </c>
      <c r="E1087" s="130">
        <v>7.85</v>
      </c>
      <c r="F1087" s="131">
        <v>4.4999999999999998E-2</v>
      </c>
      <c r="G1087" s="126">
        <f t="shared" si="17"/>
        <v>8.2198952879581153</v>
      </c>
      <c r="H1087" s="126" t="s">
        <v>73</v>
      </c>
      <c r="I1087" s="127" t="s">
        <v>13</v>
      </c>
      <c r="J1087" s="126">
        <v>18</v>
      </c>
      <c r="K1087" s="126">
        <v>139.66999999999999</v>
      </c>
      <c r="L1087" s="129">
        <f>INT(base[[#This Row],[Data de liquidação]])</f>
        <v>46078</v>
      </c>
      <c r="M1087" s="126">
        <f>base[[#This Row],[L/P Bruto]]-base[[#This Row],[L/P Líquido]]</f>
        <v>0.36989528795811566</v>
      </c>
      <c r="N1087" s="126">
        <f>base[[#This Row],[L/P Líquido]]/base[[#This Row],[Stake/Responsabilidade]]</f>
        <v>5.620390921457722E-2</v>
      </c>
      <c r="O1087" s="132">
        <f>IF(base[[#This Row],[L/P Líquido]]&gt;0,1,0)</f>
        <v>1</v>
      </c>
      <c r="P1087" s="132"/>
      <c r="Q1087" s="132" t="str">
        <f>LEFT(base[[#This Row],[Evento / Mercado]],FIND("vs",base[[#This Row],[Evento / Mercado]])-2)</f>
        <v>National Bank</v>
      </c>
      <c r="R10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Pharco FC</v>
      </c>
      <c r="S1087" s="132" t="e">
        <f>LEFT(base[[#This Row],[Evento / Mercado]],FIND("/",base[[#This Row],[Evento / Mercado]])-2)</f>
        <v>#VALUE!</v>
      </c>
      <c r="U1087" s="9"/>
    </row>
    <row r="1088" spans="2:21" ht="15" customHeight="1">
      <c r="B1088" s="128" t="s">
        <v>925</v>
      </c>
      <c r="C1088" s="128" t="s">
        <v>2982</v>
      </c>
      <c r="D1088" s="129">
        <v>46078.778738425928</v>
      </c>
      <c r="E1088" s="130">
        <v>10.7</v>
      </c>
      <c r="F1088" s="131">
        <v>4.4999999999999998E-2</v>
      </c>
      <c r="G1088" s="126">
        <f t="shared" si="17"/>
        <v>11.204188481675393</v>
      </c>
      <c r="H1088" s="126" t="s">
        <v>73</v>
      </c>
      <c r="I1088" s="127" t="s">
        <v>13</v>
      </c>
      <c r="J1088" s="126">
        <v>13.5</v>
      </c>
      <c r="K1088" s="126">
        <v>140</v>
      </c>
      <c r="L1088" s="129">
        <f>INT(base[[#This Row],[Data de liquidação]])</f>
        <v>46078</v>
      </c>
      <c r="M1088" s="126">
        <f>base[[#This Row],[L/P Bruto]]-base[[#This Row],[L/P Líquido]]</f>
        <v>0.50418848167539387</v>
      </c>
      <c r="N1088" s="126">
        <f>base[[#This Row],[L/P Líquido]]/base[[#This Row],[Stake/Responsabilidade]]</f>
        <v>7.6428571428571429E-2</v>
      </c>
      <c r="O1088" s="132">
        <f>IF(base[[#This Row],[L/P Líquido]]&gt;0,1,0)</f>
        <v>1</v>
      </c>
      <c r="P1088" s="132"/>
      <c r="Q1088" s="132" t="str">
        <f>LEFT(base[[#This Row],[Evento / Mercado]],FIND("vs",base[[#This Row],[Evento / Mercado]])-2)</f>
        <v>Sheffield United</v>
      </c>
      <c r="R10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1088" s="132" t="e">
        <f>LEFT(base[[#This Row],[Evento / Mercado]],FIND("/",base[[#This Row],[Evento / Mercado]])-2)</f>
        <v>#VALUE!</v>
      </c>
      <c r="U1088" s="9"/>
    </row>
    <row r="1089" spans="2:21" ht="15" customHeight="1">
      <c r="B1089" s="128" t="s">
        <v>924</v>
      </c>
      <c r="C1089" s="128" t="s">
        <v>2982</v>
      </c>
      <c r="D1089" s="129">
        <v>46078.785694444443</v>
      </c>
      <c r="E1089" s="130">
        <v>10.98</v>
      </c>
      <c r="F1089" s="131">
        <v>4.4999999999999998E-2</v>
      </c>
      <c r="G1089" s="126">
        <f t="shared" si="17"/>
        <v>11.497382198952881</v>
      </c>
      <c r="H1089" s="126" t="s">
        <v>73</v>
      </c>
      <c r="I1089" s="127" t="s">
        <v>13</v>
      </c>
      <c r="J1089" s="126">
        <v>13</v>
      </c>
      <c r="K1089" s="126">
        <v>137.97999999999999</v>
      </c>
      <c r="L1089" s="129">
        <f>INT(base[[#This Row],[Data de liquidação]])</f>
        <v>46078</v>
      </c>
      <c r="M1089" s="126">
        <f>base[[#This Row],[L/P Bruto]]-base[[#This Row],[L/P Líquido]]</f>
        <v>0.5173821989528804</v>
      </c>
      <c r="N1089" s="126">
        <f>base[[#This Row],[L/P Líquido]]/base[[#This Row],[Stake/Responsabilidade]]</f>
        <v>7.9576750253659956E-2</v>
      </c>
      <c r="O1089" s="132">
        <f>IF(base[[#This Row],[L/P Líquido]]&gt;0,1,0)</f>
        <v>1</v>
      </c>
      <c r="P1089" s="132"/>
      <c r="Q1089" s="132" t="str">
        <f>LEFT(base[[#This Row],[Evento / Mercado]],FIND("vs",base[[#This Row],[Evento / Mercado]])-2)</f>
        <v>Stoke City</v>
      </c>
      <c r="R10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1089" s="132" t="e">
        <f>LEFT(base[[#This Row],[Evento / Mercado]],FIND("/",base[[#This Row],[Evento / Mercado]])-2)</f>
        <v>#VALUE!</v>
      </c>
      <c r="U1089" s="9"/>
    </row>
    <row r="1090" spans="2:21" ht="15" customHeight="1">
      <c r="B1090" s="128" t="s">
        <v>923</v>
      </c>
      <c r="C1090" s="128" t="s">
        <v>2982</v>
      </c>
      <c r="D1090" s="129">
        <v>46078.791643518518</v>
      </c>
      <c r="E1090" s="130">
        <v>14.08</v>
      </c>
      <c r="F1090" s="131">
        <v>4.4999999999999998E-2</v>
      </c>
      <c r="G1090" s="126">
        <f t="shared" si="17"/>
        <v>14.7434554973822</v>
      </c>
      <c r="H1090" s="126" t="s">
        <v>73</v>
      </c>
      <c r="I1090" s="127" t="s">
        <v>16</v>
      </c>
      <c r="J1090" s="126">
        <v>10.5</v>
      </c>
      <c r="K1090" s="126">
        <v>140.03</v>
      </c>
      <c r="L1090" s="129">
        <f>INT(base[[#This Row],[Data de liquidação]])</f>
        <v>46078</v>
      </c>
      <c r="M1090" s="126">
        <f>base[[#This Row],[L/P Bruto]]-base[[#This Row],[L/P Líquido]]</f>
        <v>0.66345549738220022</v>
      </c>
      <c r="N1090" s="126">
        <f>base[[#This Row],[L/P Líquido]]/base[[#This Row],[Stake/Responsabilidade]]</f>
        <v>0.10054988216810683</v>
      </c>
      <c r="O1090" s="132">
        <f>IF(base[[#This Row],[L/P Líquido]]&gt;0,1,0)</f>
        <v>1</v>
      </c>
      <c r="P1090" s="132"/>
      <c r="Q1090" s="132" t="str">
        <f>LEFT(base[[#This Row],[Evento / Mercado]],FIND("vs",base[[#This Row],[Evento / Mercado]])-2)</f>
        <v>Real Madrid</v>
      </c>
      <c r="R10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Benfica</v>
      </c>
      <c r="S1090" s="132" t="e">
        <f>LEFT(base[[#This Row],[Evento / Mercado]],FIND("/",base[[#This Row],[Evento / Mercado]])-2)</f>
        <v>#VALUE!</v>
      </c>
      <c r="U1090" s="9"/>
    </row>
    <row r="1091" spans="2:21" ht="15" customHeight="1">
      <c r="B1091" s="128" t="s">
        <v>922</v>
      </c>
      <c r="C1091" s="128" t="s">
        <v>2982</v>
      </c>
      <c r="D1091" s="129">
        <v>46078.873229166667</v>
      </c>
      <c r="E1091" s="130">
        <v>-139.62</v>
      </c>
      <c r="F1091" s="131">
        <v>4.4999999999999998E-2</v>
      </c>
      <c r="G1091" s="126">
        <f t="shared" ref="G1091:G1154" si="18">IF(E1091&gt;0,E1091/(1-F1091),E1091)</f>
        <v>-139.62</v>
      </c>
      <c r="H1091" s="126" t="s">
        <v>73</v>
      </c>
      <c r="I1091" s="127" t="s">
        <v>16</v>
      </c>
      <c r="J1091" s="126">
        <v>6</v>
      </c>
      <c r="K1091" s="126">
        <v>139.62</v>
      </c>
      <c r="L1091" s="129">
        <f>INT(base[[#This Row],[Data de liquidação]])</f>
        <v>46078</v>
      </c>
      <c r="M1091" s="126">
        <f>base[[#This Row],[L/P Bruto]]-base[[#This Row],[L/P Líquido]]</f>
        <v>0</v>
      </c>
      <c r="N1091" s="126">
        <f>base[[#This Row],[L/P Líquido]]/base[[#This Row],[Stake/Responsabilidade]]</f>
        <v>-1</v>
      </c>
      <c r="O1091" s="132">
        <f>IF(base[[#This Row],[L/P Líquido]]&gt;0,1,0)</f>
        <v>0</v>
      </c>
      <c r="P1091" s="132"/>
      <c r="Q1091" s="132" t="str">
        <f>LEFT(base[[#This Row],[Evento / Mercado]],FIND("vs",base[[#This Row],[Evento / Mercado]])-2)</f>
        <v>Londrina</v>
      </c>
      <c r="R10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Penedense</v>
      </c>
      <c r="S1091" s="132" t="e">
        <f>LEFT(base[[#This Row],[Evento / Mercado]],FIND("/",base[[#This Row],[Evento / Mercado]])-2)</f>
        <v>#VALUE!</v>
      </c>
      <c r="U1091" s="9"/>
    </row>
    <row r="1092" spans="2:21" ht="15" customHeight="1">
      <c r="B1092" s="128" t="s">
        <v>935</v>
      </c>
      <c r="C1092" s="128" t="s">
        <v>2982</v>
      </c>
      <c r="D1092" s="129">
        <v>46079.692187499997</v>
      </c>
      <c r="E1092" s="130">
        <v>7.79</v>
      </c>
      <c r="F1092" s="131">
        <v>4.4999999999999998E-2</v>
      </c>
      <c r="G1092" s="126">
        <f t="shared" si="18"/>
        <v>8.157068062827225</v>
      </c>
      <c r="H1092" s="126" t="s">
        <v>73</v>
      </c>
      <c r="I1092" s="127" t="s">
        <v>13</v>
      </c>
      <c r="J1092" s="126">
        <v>18</v>
      </c>
      <c r="K1092" s="126">
        <v>138.59</v>
      </c>
      <c r="L1092" s="129">
        <f>INT(base[[#This Row],[Data de liquidação]])</f>
        <v>46079</v>
      </c>
      <c r="M1092" s="126">
        <f>base[[#This Row],[L/P Bruto]]-base[[#This Row],[L/P Líquido]]</f>
        <v>0.36706806282722493</v>
      </c>
      <c r="N1092" s="126">
        <f>base[[#This Row],[L/P Líquido]]/base[[#This Row],[Stake/Responsabilidade]]</f>
        <v>5.6208961685547294E-2</v>
      </c>
      <c r="O1092" s="132">
        <f>IF(base[[#This Row],[L/P Líquido]]&gt;0,1,0)</f>
        <v>1</v>
      </c>
      <c r="P1092" s="132"/>
      <c r="Q1092" s="132" t="str">
        <f>LEFT(base[[#This Row],[Evento / Mercado]],FIND("vs",base[[#This Row],[Evento / Mercado]])-2)</f>
        <v>Samsunspor</v>
      </c>
      <c r="R10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Shkendija 79</v>
      </c>
      <c r="S1092" s="132" t="e">
        <f>LEFT(base[[#This Row],[Evento / Mercado]],FIND("/",base[[#This Row],[Evento / Mercado]])-2)</f>
        <v>#VALUE!</v>
      </c>
      <c r="U1092" s="9"/>
    </row>
    <row r="1093" spans="2:21" ht="15" customHeight="1">
      <c r="B1093" s="128" t="s">
        <v>934</v>
      </c>
      <c r="C1093" s="128" t="s">
        <v>2982</v>
      </c>
      <c r="D1093" s="129">
        <v>46079.692199074074</v>
      </c>
      <c r="E1093" s="130">
        <v>-140.04</v>
      </c>
      <c r="F1093" s="131">
        <v>4.4999999999999998E-2</v>
      </c>
      <c r="G1093" s="126">
        <f t="shared" si="18"/>
        <v>-140.04</v>
      </c>
      <c r="H1093" s="126" t="s">
        <v>73</v>
      </c>
      <c r="I1093" s="127" t="s">
        <v>13</v>
      </c>
      <c r="J1093" s="126">
        <v>10</v>
      </c>
      <c r="K1093" s="126">
        <v>140.04</v>
      </c>
      <c r="L1093" s="129">
        <f>INT(base[[#This Row],[Data de liquidação]])</f>
        <v>46079</v>
      </c>
      <c r="M1093" s="126">
        <f>base[[#This Row],[L/P Bruto]]-base[[#This Row],[L/P Líquido]]</f>
        <v>0</v>
      </c>
      <c r="N1093" s="126">
        <f>base[[#This Row],[L/P Líquido]]/base[[#This Row],[Stake/Responsabilidade]]</f>
        <v>-1</v>
      </c>
      <c r="O1093" s="132">
        <f>IF(base[[#This Row],[L/P Líquido]]&gt;0,1,0)</f>
        <v>0</v>
      </c>
      <c r="P1093" s="132"/>
      <c r="Q1093" s="132" t="str">
        <f>LEFT(base[[#This Row],[Evento / Mercado]],FIND("vs",base[[#This Row],[Evento / Mercado]])-2)</f>
        <v>VfB Stuttgart</v>
      </c>
      <c r="R10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1093" s="132" t="e">
        <f>LEFT(base[[#This Row],[Evento / Mercado]],FIND("/",base[[#This Row],[Evento / Mercado]])-2)</f>
        <v>#VALUE!</v>
      </c>
      <c r="U1093" s="9"/>
    </row>
    <row r="1094" spans="2:21" ht="15" customHeight="1">
      <c r="B1094" s="128" t="s">
        <v>933</v>
      </c>
      <c r="C1094" s="128" t="s">
        <v>2982</v>
      </c>
      <c r="D1094" s="129">
        <v>46079.696250000001</v>
      </c>
      <c r="E1094" s="130">
        <v>7.8692000000000002</v>
      </c>
      <c r="F1094" s="131">
        <v>4.4999999999999998E-2</v>
      </c>
      <c r="G1094" s="126">
        <f t="shared" si="18"/>
        <v>8.24</v>
      </c>
      <c r="H1094" s="126" t="s">
        <v>73</v>
      </c>
      <c r="I1094" s="127" t="s">
        <v>13</v>
      </c>
      <c r="J1094" s="126">
        <v>18</v>
      </c>
      <c r="K1094" s="126">
        <v>140.08000000000001</v>
      </c>
      <c r="L1094" s="129">
        <f>INT(base[[#This Row],[Data de liquidação]])</f>
        <v>46079</v>
      </c>
      <c r="M1094" s="126">
        <f>base[[#This Row],[L/P Bruto]]-base[[#This Row],[L/P Líquido]]</f>
        <v>0.37080000000000002</v>
      </c>
      <c r="N1094" s="126">
        <f>base[[#This Row],[L/P Líquido]]/base[[#This Row],[Stake/Responsabilidade]]</f>
        <v>5.6176470588235293E-2</v>
      </c>
      <c r="O1094" s="132">
        <f>IF(base[[#This Row],[L/P Líquido]]&gt;0,1,0)</f>
        <v>1</v>
      </c>
      <c r="P1094" s="132"/>
      <c r="Q1094" s="132" t="str">
        <f>LEFT(base[[#This Row],[Evento / Mercado]],FIND("vs",base[[#This Row],[Evento / Mercado]])-2)</f>
        <v>Fiorentina</v>
      </c>
      <c r="R10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Jagiellonia Bialystok</v>
      </c>
      <c r="S1094" s="132" t="e">
        <f>LEFT(base[[#This Row],[Evento / Mercado]],FIND("/",base[[#This Row],[Evento / Mercado]])-2)</f>
        <v>#VALUE!</v>
      </c>
      <c r="T1094" s="8">
        <v>8.24</v>
      </c>
      <c r="U1094" s="9">
        <f>T1094*0.955</f>
        <v>7.8692000000000002</v>
      </c>
    </row>
    <row r="1095" spans="2:21" ht="15" customHeight="1">
      <c r="B1095" s="128" t="s">
        <v>933</v>
      </c>
      <c r="C1095" s="128" t="s">
        <v>2982</v>
      </c>
      <c r="D1095" s="129">
        <v>46079.696250000001</v>
      </c>
      <c r="E1095" s="130">
        <v>17.142249999999997</v>
      </c>
      <c r="F1095" s="131">
        <v>4.4999999999999998E-2</v>
      </c>
      <c r="G1095" s="126">
        <f t="shared" si="18"/>
        <v>17.95</v>
      </c>
      <c r="H1095" s="126" t="s">
        <v>73</v>
      </c>
      <c r="I1095" s="127" t="s">
        <v>16</v>
      </c>
      <c r="J1095" s="126">
        <v>8</v>
      </c>
      <c r="K1095" s="126">
        <v>140.01</v>
      </c>
      <c r="L1095" s="129">
        <f>INT(base[[#This Row],[Data de liquidação]])</f>
        <v>46079</v>
      </c>
      <c r="M1095" s="126">
        <f>base[[#This Row],[L/P Bruto]]-base[[#This Row],[L/P Líquido]]</f>
        <v>0.80775000000000219</v>
      </c>
      <c r="N1095" s="126">
        <f>base[[#This Row],[L/P Líquido]]/base[[#This Row],[Stake/Responsabilidade]]</f>
        <v>0.12243589743589742</v>
      </c>
      <c r="O1095" s="132">
        <f>IF(base[[#This Row],[L/P Líquido]]&gt;0,1,0)</f>
        <v>1</v>
      </c>
      <c r="P1095" s="132"/>
      <c r="Q1095" s="132" t="str">
        <f>LEFT(base[[#This Row],[Evento / Mercado]],FIND("vs",base[[#This Row],[Evento / Mercado]])-2)</f>
        <v>Fiorentina</v>
      </c>
      <c r="R10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Jagiellonia Bialystok</v>
      </c>
      <c r="S1095" s="132" t="e">
        <f>LEFT(base[[#This Row],[Evento / Mercado]],FIND("/",base[[#This Row],[Evento / Mercado]])-2)</f>
        <v>#VALUE!</v>
      </c>
      <c r="T1095" s="8">
        <v>17.95</v>
      </c>
      <c r="U1095" s="9">
        <f>T1095*0.955</f>
        <v>17.142249999999997</v>
      </c>
    </row>
    <row r="1096" spans="2:21" ht="15" customHeight="1">
      <c r="B1096" s="128" t="s">
        <v>932</v>
      </c>
      <c r="C1096" s="128" t="s">
        <v>2982</v>
      </c>
      <c r="D1096" s="129">
        <v>46079.75199074074</v>
      </c>
      <c r="E1096" s="130">
        <v>25.62</v>
      </c>
      <c r="F1096" s="131">
        <v>4.4999999999999998E-2</v>
      </c>
      <c r="G1096" s="126">
        <f t="shared" si="18"/>
        <v>26.827225130890053</v>
      </c>
      <c r="H1096" s="126" t="s">
        <v>145</v>
      </c>
      <c r="I1096" s="127" t="s">
        <v>300</v>
      </c>
      <c r="J1096" s="126">
        <v>9.8000000000000007</v>
      </c>
      <c r="K1096" s="126">
        <v>248.96</v>
      </c>
      <c r="L1096" s="129">
        <f>INT(base[[#This Row],[Data de liquidação]])</f>
        <v>46079</v>
      </c>
      <c r="M1096" s="126">
        <f>base[[#This Row],[L/P Bruto]]-base[[#This Row],[L/P Líquido]]</f>
        <v>1.2072251308900519</v>
      </c>
      <c r="N1096" s="126">
        <f>base[[#This Row],[L/P Líquido]]/base[[#This Row],[Stake/Responsabilidade]]</f>
        <v>0.10290809768637532</v>
      </c>
      <c r="O1096" s="132">
        <f>IF(base[[#This Row],[L/P Líquido]]&gt;0,1,0)</f>
        <v>1</v>
      </c>
      <c r="P1096" s="132" t="s">
        <v>973</v>
      </c>
      <c r="Q1096" s="132" t="str">
        <f>LEFT(base[[#This Row],[Evento / Mercado]],FIND("vs",base[[#This Row],[Evento / Mercado]])-2)</f>
        <v>Al-Riyadh</v>
      </c>
      <c r="R10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Ahli Jeddah</v>
      </c>
      <c r="S1096" s="132" t="e">
        <f>LEFT(base[[#This Row],[Evento / Mercado]],FIND("/",base[[#This Row],[Evento / Mercado]])-2)</f>
        <v>#VALUE!</v>
      </c>
      <c r="U1096" s="9"/>
    </row>
    <row r="1097" spans="2:21" ht="15" customHeight="1">
      <c r="B1097" s="128" t="s">
        <v>931</v>
      </c>
      <c r="C1097" s="128" t="s">
        <v>2982</v>
      </c>
      <c r="D1097" s="129">
        <v>46079.785057870373</v>
      </c>
      <c r="E1097" s="130">
        <v>8.24</v>
      </c>
      <c r="F1097" s="131">
        <v>0</v>
      </c>
      <c r="G1097" s="126">
        <f t="shared" si="18"/>
        <v>8.24</v>
      </c>
      <c r="H1097" s="126" t="s">
        <v>73</v>
      </c>
      <c r="I1097" s="127" t="s">
        <v>13</v>
      </c>
      <c r="J1097" s="126">
        <v>18</v>
      </c>
      <c r="K1097" s="126">
        <v>140.08000000000001</v>
      </c>
      <c r="L1097" s="129">
        <f>INT(base[[#This Row],[Data de liquidação]])</f>
        <v>46079</v>
      </c>
      <c r="M1097" s="126">
        <f>base[[#This Row],[L/P Bruto]]-base[[#This Row],[L/P Líquido]]</f>
        <v>0</v>
      </c>
      <c r="N1097" s="126">
        <f>base[[#This Row],[L/P Líquido]]/base[[#This Row],[Stake/Responsabilidade]]</f>
        <v>5.8823529411764705E-2</v>
      </c>
      <c r="O1097" s="132">
        <f>IF(base[[#This Row],[L/P Líquido]]&gt;0,1,0)</f>
        <v>1</v>
      </c>
      <c r="P1097" s="132"/>
      <c r="Q1097" s="132" t="str">
        <f>LEFT(base[[#This Row],[Evento / Mercado]],FIND("vs",base[[#This Row],[Evento / Mercado]])-2)</f>
        <v>Celta de Vigo</v>
      </c>
      <c r="R10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PAOK</v>
      </c>
      <c r="S1097" s="132" t="e">
        <f>LEFT(base[[#This Row],[Evento / Mercado]],FIND("/",base[[#This Row],[Evento / Mercado]])-2)</f>
        <v>#VALUE!</v>
      </c>
      <c r="U1097" s="9"/>
    </row>
    <row r="1098" spans="2:21" ht="15" customHeight="1">
      <c r="B1098" s="128" t="s">
        <v>931</v>
      </c>
      <c r="C1098" s="128" t="s">
        <v>2982</v>
      </c>
      <c r="D1098" s="129">
        <v>46079.785057870373</v>
      </c>
      <c r="E1098" s="130">
        <v>-140.01</v>
      </c>
      <c r="F1098" s="131">
        <v>4.4999999999999998E-2</v>
      </c>
      <c r="G1098" s="126">
        <f t="shared" si="18"/>
        <v>-140.01</v>
      </c>
      <c r="H1098" s="126" t="s">
        <v>73</v>
      </c>
      <c r="I1098" s="127" t="s">
        <v>16</v>
      </c>
      <c r="J1098" s="126">
        <v>7.8</v>
      </c>
      <c r="K1098" s="126">
        <v>140.01</v>
      </c>
      <c r="L1098" s="129">
        <f>INT(base[[#This Row],[Data de liquidação]])</f>
        <v>46079</v>
      </c>
      <c r="M1098" s="126">
        <f>base[[#This Row],[L/P Bruto]]-base[[#This Row],[L/P Líquido]]</f>
        <v>0</v>
      </c>
      <c r="N1098" s="126">
        <f>base[[#This Row],[L/P Líquido]]/base[[#This Row],[Stake/Responsabilidade]]</f>
        <v>-1</v>
      </c>
      <c r="O1098" s="132">
        <f>IF(base[[#This Row],[L/P Líquido]]&gt;0,1,0)</f>
        <v>0</v>
      </c>
      <c r="P1098" s="132"/>
      <c r="Q1098" s="132" t="str">
        <f>LEFT(base[[#This Row],[Evento / Mercado]],FIND("vs",base[[#This Row],[Evento / Mercado]])-2)</f>
        <v>Celta de Vigo</v>
      </c>
      <c r="R10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PAOK</v>
      </c>
      <c r="S1098" s="132" t="e">
        <f>LEFT(base[[#This Row],[Evento / Mercado]],FIND("/",base[[#This Row],[Evento / Mercado]])-2)</f>
        <v>#VALUE!</v>
      </c>
      <c r="U1098" s="9"/>
    </row>
    <row r="1099" spans="2:21" ht="15" customHeight="1">
      <c r="B1099" s="128" t="s">
        <v>930</v>
      </c>
      <c r="C1099" s="128" t="s">
        <v>2982</v>
      </c>
      <c r="D1099" s="129">
        <v>46079.786493055559</v>
      </c>
      <c r="E1099" s="130">
        <v>7.87</v>
      </c>
      <c r="F1099" s="131">
        <v>4.4999999999999998E-2</v>
      </c>
      <c r="G1099" s="126">
        <f t="shared" si="18"/>
        <v>8.2408376963350793</v>
      </c>
      <c r="H1099" s="126" t="s">
        <v>73</v>
      </c>
      <c r="I1099" s="127" t="s">
        <v>13</v>
      </c>
      <c r="J1099" s="126">
        <v>18</v>
      </c>
      <c r="K1099" s="126">
        <v>140.08000000000001</v>
      </c>
      <c r="L1099" s="129">
        <f>INT(base[[#This Row],[Data de liquidação]])</f>
        <v>46079</v>
      </c>
      <c r="M1099" s="126">
        <f>base[[#This Row],[L/P Bruto]]-base[[#This Row],[L/P Líquido]]</f>
        <v>0.37083769633507924</v>
      </c>
      <c r="N1099" s="126">
        <f>base[[#This Row],[L/P Líquido]]/base[[#This Row],[Stake/Responsabilidade]]</f>
        <v>5.6182181610508274E-2</v>
      </c>
      <c r="O1099" s="132">
        <f>IF(base[[#This Row],[L/P Líquido]]&gt;0,1,0)</f>
        <v>1</v>
      </c>
      <c r="P1099" s="132"/>
      <c r="Q1099" s="132" t="str">
        <f>LEFT(base[[#This Row],[Evento / Mercado]],FIND("vs",base[[#This Row],[Evento / Mercado]])-2)</f>
        <v>Bologna</v>
      </c>
      <c r="R10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1099" s="132" t="e">
        <f>LEFT(base[[#This Row],[Evento / Mercado]],FIND("/",base[[#This Row],[Evento / Mercado]])-2)</f>
        <v>#VALUE!</v>
      </c>
      <c r="U1099" s="9"/>
    </row>
    <row r="1100" spans="2:21" ht="15" customHeight="1">
      <c r="B1100" s="128" t="s">
        <v>929</v>
      </c>
      <c r="C1100" s="128" t="s">
        <v>2982</v>
      </c>
      <c r="D1100" s="129">
        <v>46079.790173611109</v>
      </c>
      <c r="E1100" s="130">
        <v>14.86</v>
      </c>
      <c r="F1100" s="131">
        <v>4.4999999999999998E-2</v>
      </c>
      <c r="G1100" s="126">
        <f t="shared" si="18"/>
        <v>15.560209424083769</v>
      </c>
      <c r="H1100" s="126" t="s">
        <v>73</v>
      </c>
      <c r="I1100" s="127" t="s">
        <v>16</v>
      </c>
      <c r="J1100" s="126">
        <v>10</v>
      </c>
      <c r="K1100" s="126">
        <v>140.04</v>
      </c>
      <c r="L1100" s="129">
        <f>INT(base[[#This Row],[Data de liquidação]])</f>
        <v>46079</v>
      </c>
      <c r="M1100" s="126">
        <f>base[[#This Row],[L/P Bruto]]-base[[#This Row],[L/P Líquido]]</f>
        <v>0.70020942408376996</v>
      </c>
      <c r="N1100" s="126">
        <f>base[[#This Row],[L/P Líquido]]/base[[#This Row],[Stake/Responsabilidade]]</f>
        <v>0.106112539274493</v>
      </c>
      <c r="O1100" s="132">
        <f>IF(base[[#This Row],[L/P Líquido]]&gt;0,1,0)</f>
        <v>1</v>
      </c>
      <c r="P1100" s="132"/>
      <c r="Q1100" s="132" t="str">
        <f>LEFT(base[[#This Row],[Evento / Mercado]],FIND("vs",base[[#This Row],[Evento / Mercado]])-2)</f>
        <v>Nottingham Forest</v>
      </c>
      <c r="R11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Fenerbahçe SK</v>
      </c>
      <c r="S1100" s="132" t="e">
        <f>LEFT(base[[#This Row],[Evento / Mercado]],FIND("/",base[[#This Row],[Evento / Mercado]])-2)</f>
        <v>#VALUE!</v>
      </c>
      <c r="U1100" s="9"/>
    </row>
    <row r="1101" spans="2:21" ht="15" customHeight="1">
      <c r="B1101" s="128" t="s">
        <v>928</v>
      </c>
      <c r="C1101" s="128" t="s">
        <v>2982</v>
      </c>
      <c r="D1101" s="129">
        <v>46079.872106481482</v>
      </c>
      <c r="E1101" s="130">
        <v>11.14</v>
      </c>
      <c r="F1101" s="131">
        <v>4.4999999999999998E-2</v>
      </c>
      <c r="G1101" s="126">
        <f t="shared" si="18"/>
        <v>11.664921465968588</v>
      </c>
      <c r="H1101" s="126" t="s">
        <v>73</v>
      </c>
      <c r="I1101" s="127" t="s">
        <v>13</v>
      </c>
      <c r="J1101" s="126">
        <v>13</v>
      </c>
      <c r="K1101" s="126">
        <v>140.04</v>
      </c>
      <c r="L1101" s="129">
        <f>INT(base[[#This Row],[Data de liquidação]])</f>
        <v>46079</v>
      </c>
      <c r="M1101" s="126">
        <f>base[[#This Row],[L/P Bruto]]-base[[#This Row],[L/P Líquido]]</f>
        <v>0.52492146596858724</v>
      </c>
      <c r="N1101" s="126">
        <f>base[[#This Row],[L/P Líquido]]/base[[#This Row],[Stake/Responsabilidade]]</f>
        <v>7.9548700371322487E-2</v>
      </c>
      <c r="O1101" s="132">
        <f>IF(base[[#This Row],[L/P Líquido]]&gt;0,1,0)</f>
        <v>1</v>
      </c>
      <c r="P1101" s="132"/>
      <c r="Q1101" s="132" t="str">
        <f>LEFT(base[[#This Row],[Evento / Mercado]],FIND("vs",base[[#This Row],[Evento / Mercado]])-2)</f>
        <v>Club Guaraní</v>
      </c>
      <c r="R11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Juventud de Las Piedras</v>
      </c>
      <c r="S1101" s="132" t="e">
        <f>LEFT(base[[#This Row],[Evento / Mercado]],FIND("/",base[[#This Row],[Evento / Mercado]])-2)</f>
        <v>#VALUE!</v>
      </c>
      <c r="U1101" s="9"/>
    </row>
    <row r="1102" spans="2:21" ht="15" customHeight="1">
      <c r="B1102" s="128" t="s">
        <v>927</v>
      </c>
      <c r="C1102" s="128" t="s">
        <v>2982</v>
      </c>
      <c r="D1102" s="129">
        <v>46079.895011574074</v>
      </c>
      <c r="E1102" s="130">
        <v>8.6199999999999992</v>
      </c>
      <c r="F1102" s="131">
        <v>4.4999999999999998E-2</v>
      </c>
      <c r="G1102" s="126">
        <f t="shared" si="18"/>
        <v>9.0261780104712042</v>
      </c>
      <c r="H1102" s="126" t="s">
        <v>73</v>
      </c>
      <c r="I1102" s="127" t="s">
        <v>13</v>
      </c>
      <c r="J1102" s="126">
        <v>16.5</v>
      </c>
      <c r="K1102" s="126">
        <v>139.97</v>
      </c>
      <c r="L1102" s="129">
        <f>INT(base[[#This Row],[Data de liquidação]])</f>
        <v>46079</v>
      </c>
      <c r="M1102" s="126">
        <f>base[[#This Row],[L/P Bruto]]-base[[#This Row],[L/P Líquido]]</f>
        <v>0.40617801047120494</v>
      </c>
      <c r="N1102" s="126">
        <f>base[[#This Row],[L/P Líquido]]/base[[#This Row],[Stake/Responsabilidade]]</f>
        <v>6.158462527684503E-2</v>
      </c>
      <c r="O1102" s="132">
        <f>IF(base[[#This Row],[L/P Líquido]]&gt;0,1,0)</f>
        <v>1</v>
      </c>
      <c r="P1102" s="132"/>
      <c r="Q1102" s="132" t="str">
        <f>LEFT(base[[#This Row],[Evento / Mercado]],FIND("vs",base[[#This Row],[Evento / Mercado]])-2)</f>
        <v>River Plate</v>
      </c>
      <c r="R11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Banfield</v>
      </c>
      <c r="S1102" s="132" t="e">
        <f>LEFT(base[[#This Row],[Evento / Mercado]],FIND("/",base[[#This Row],[Evento / Mercado]])-2)</f>
        <v>#VALUE!</v>
      </c>
      <c r="U1102" s="9"/>
    </row>
    <row r="1103" spans="2:21" ht="15" customHeight="1">
      <c r="B1103" s="128" t="s">
        <v>943</v>
      </c>
      <c r="C1103" s="128" t="s">
        <v>2982</v>
      </c>
      <c r="D1103" s="129">
        <v>46080.662905092591</v>
      </c>
      <c r="E1103" s="130">
        <v>32.54</v>
      </c>
      <c r="F1103" s="131">
        <v>4.4999999999999998E-2</v>
      </c>
      <c r="G1103" s="126">
        <f t="shared" si="18"/>
        <v>34.073298429319372</v>
      </c>
      <c r="H1103" s="126" t="s">
        <v>145</v>
      </c>
      <c r="I1103" s="127" t="s">
        <v>301</v>
      </c>
      <c r="J1103" s="126">
        <v>8.6</v>
      </c>
      <c r="K1103" s="126">
        <v>270.02999999999997</v>
      </c>
      <c r="L1103" s="129">
        <f>INT(base[[#This Row],[Data de liquidação]])</f>
        <v>46080</v>
      </c>
      <c r="M1103" s="126">
        <f>base[[#This Row],[L/P Bruto]]-base[[#This Row],[L/P Líquido]]</f>
        <v>1.5332984293193732</v>
      </c>
      <c r="N1103" s="126">
        <f>base[[#This Row],[L/P Líquido]]/base[[#This Row],[Stake/Responsabilidade]]</f>
        <v>0.12050512905973411</v>
      </c>
      <c r="O1103" s="132">
        <f>IF(base[[#This Row],[L/P Líquido]]&gt;0,1,0)</f>
        <v>1</v>
      </c>
      <c r="P1103" s="132" t="s">
        <v>966</v>
      </c>
      <c r="Q1103" s="132" t="str">
        <f>LEFT(base[[#This Row],[Evento / Mercado]],FIND("vs",base[[#This Row],[Evento / Mercado]])-2)</f>
        <v>Trabzonspor</v>
      </c>
      <c r="R11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Fatih Karagümrük Istanbul</v>
      </c>
      <c r="S1103" s="132" t="e">
        <f>LEFT(base[[#This Row],[Evento / Mercado]],FIND("/",base[[#This Row],[Evento / Mercado]])-2)</f>
        <v>#VALUE!</v>
      </c>
      <c r="U1103" s="9"/>
    </row>
    <row r="1104" spans="2:21" ht="15" customHeight="1">
      <c r="B1104" s="128" t="s">
        <v>942</v>
      </c>
      <c r="C1104" s="128" t="s">
        <v>2982</v>
      </c>
      <c r="D1104" s="129">
        <v>46080.674363425926</v>
      </c>
      <c r="E1104" s="130">
        <v>67.23</v>
      </c>
      <c r="F1104" s="131">
        <v>4.4999999999999998E-2</v>
      </c>
      <c r="G1104" s="126">
        <f t="shared" si="18"/>
        <v>70.397905759162313</v>
      </c>
      <c r="H1104" s="126" t="s">
        <v>231</v>
      </c>
      <c r="I1104" s="127" t="s">
        <v>232</v>
      </c>
      <c r="J1104" s="126">
        <v>1.88</v>
      </c>
      <c r="K1104" s="126">
        <v>80</v>
      </c>
      <c r="L1104" s="129">
        <f>INT(base[[#This Row],[Data de liquidação]])</f>
        <v>46080</v>
      </c>
      <c r="M1104" s="126">
        <f>base[[#This Row],[L/P Bruto]]-base[[#This Row],[L/P Líquido]]</f>
        <v>3.1679057591623092</v>
      </c>
      <c r="N1104" s="126">
        <f>base[[#This Row],[L/P Líquido]]/base[[#This Row],[Stake/Responsabilidade]]</f>
        <v>0.84037500000000009</v>
      </c>
      <c r="O1104" s="132">
        <f>IF(base[[#This Row],[L/P Líquido]]&gt;0,1,0)</f>
        <v>1</v>
      </c>
      <c r="P1104" s="132"/>
      <c r="Q1104" s="132" t="str">
        <f>LEFT(base[[#This Row],[Evento / Mercado]],FIND("vs",base[[#This Row],[Evento / Mercado]])-2)</f>
        <v>Dynamo Dresden</v>
      </c>
      <c r="R11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1104" s="132" t="e">
        <f>LEFT(base[[#This Row],[Evento / Mercado]],FIND("/",base[[#This Row],[Evento / Mercado]])-2)</f>
        <v>#VALUE!</v>
      </c>
      <c r="U1104" s="9"/>
    </row>
    <row r="1105" spans="2:21" ht="15" customHeight="1">
      <c r="B1105" s="128" t="s">
        <v>941</v>
      </c>
      <c r="C1105" s="128" t="s">
        <v>2982</v>
      </c>
      <c r="D1105" s="129">
        <v>46080.70511574074</v>
      </c>
      <c r="E1105" s="130">
        <v>34.44</v>
      </c>
      <c r="F1105" s="131">
        <v>4.4999999999999998E-2</v>
      </c>
      <c r="G1105" s="126">
        <f t="shared" si="18"/>
        <v>36.062827225130889</v>
      </c>
      <c r="H1105" s="126" t="s">
        <v>145</v>
      </c>
      <c r="I1105" s="127" t="s">
        <v>301</v>
      </c>
      <c r="J1105" s="126">
        <v>7.8</v>
      </c>
      <c r="K1105" s="126">
        <v>270.02999999999997</v>
      </c>
      <c r="L1105" s="129">
        <f>INT(base[[#This Row],[Data de liquidação]])</f>
        <v>46080</v>
      </c>
      <c r="M1105" s="126">
        <f>base[[#This Row],[L/P Bruto]]-base[[#This Row],[L/P Líquido]]</f>
        <v>1.6228272251308908</v>
      </c>
      <c r="N1105" s="126">
        <f>base[[#This Row],[L/P Líquido]]/base[[#This Row],[Stake/Responsabilidade]]</f>
        <v>0.12754138429063439</v>
      </c>
      <c r="O1105" s="132">
        <f>IF(base[[#This Row],[L/P Líquido]]&gt;0,1,0)</f>
        <v>1</v>
      </c>
      <c r="P1105" s="132" t="s">
        <v>971</v>
      </c>
      <c r="Q1105" s="132" t="str">
        <f>LEFT(base[[#This Row],[Evento / Mercado]],FIND("vs",base[[#This Row],[Evento / Mercado]])-2)</f>
        <v>Monza</v>
      </c>
      <c r="R11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Virtus Entella</v>
      </c>
      <c r="S1105" s="132" t="e">
        <f>LEFT(base[[#This Row],[Evento / Mercado]],FIND("/",base[[#This Row],[Evento / Mercado]])-2)</f>
        <v>#VALUE!</v>
      </c>
      <c r="U1105" s="9"/>
    </row>
    <row r="1106" spans="2:21" ht="15" customHeight="1">
      <c r="B1106" s="128" t="s">
        <v>940</v>
      </c>
      <c r="C1106" s="128" t="s">
        <v>2982</v>
      </c>
      <c r="D1106" s="129">
        <v>46080.71261574074</v>
      </c>
      <c r="E1106" s="130">
        <v>49.66</v>
      </c>
      <c r="F1106" s="131">
        <v>4.4999999999999998E-2</v>
      </c>
      <c r="G1106" s="126">
        <f t="shared" si="18"/>
        <v>52</v>
      </c>
      <c r="H1106" s="126" t="s">
        <v>231</v>
      </c>
      <c r="I1106" s="127" t="s">
        <v>232</v>
      </c>
      <c r="J1106" s="126">
        <v>1.65</v>
      </c>
      <c r="K1106" s="126">
        <v>80</v>
      </c>
      <c r="L1106" s="129">
        <f>INT(base[[#This Row],[Data de liquidação]])</f>
        <v>46080</v>
      </c>
      <c r="M1106" s="126">
        <f>base[[#This Row],[L/P Bruto]]-base[[#This Row],[L/P Líquido]]</f>
        <v>2.3400000000000034</v>
      </c>
      <c r="N1106" s="126">
        <f>base[[#This Row],[L/P Líquido]]/base[[#This Row],[Stake/Responsabilidade]]</f>
        <v>0.62074999999999991</v>
      </c>
      <c r="O1106" s="132">
        <f>IF(base[[#This Row],[L/P Líquido]]&gt;0,1,0)</f>
        <v>1</v>
      </c>
      <c r="P1106" s="132"/>
      <c r="Q1106" s="132" t="str">
        <f>LEFT(base[[#This Row],[Evento / Mercado]],FIND("vs",base[[#This Row],[Evento / Mercado]])-2)</f>
        <v>RKC Waalwijk</v>
      </c>
      <c r="R11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1106" s="132" t="e">
        <f>LEFT(base[[#This Row],[Evento / Mercado]],FIND("/",base[[#This Row],[Evento / Mercado]])-2)</f>
        <v>#VALUE!</v>
      </c>
      <c r="U1106" s="9"/>
    </row>
    <row r="1107" spans="2:21" ht="15" customHeight="1">
      <c r="B1107" s="128" t="s">
        <v>939</v>
      </c>
      <c r="C1107" s="128" t="s">
        <v>2982</v>
      </c>
      <c r="D1107" s="129">
        <v>46080.743854166663</v>
      </c>
      <c r="E1107" s="130">
        <v>0</v>
      </c>
      <c r="F1107" s="131">
        <v>4.4999999999999998E-2</v>
      </c>
      <c r="G1107" s="126">
        <f t="shared" si="18"/>
        <v>0</v>
      </c>
      <c r="H1107" s="126" t="s">
        <v>145</v>
      </c>
      <c r="I1107" s="127" t="s">
        <v>301</v>
      </c>
      <c r="J1107" s="126">
        <v>17.5</v>
      </c>
      <c r="K1107" s="126">
        <v>269.94</v>
      </c>
      <c r="L1107" s="129">
        <f>INT(base[[#This Row],[Data de liquidação]])</f>
        <v>46080</v>
      </c>
      <c r="M1107" s="126">
        <f>base[[#This Row],[L/P Bruto]]-base[[#This Row],[L/P Líquido]]</f>
        <v>0</v>
      </c>
      <c r="N1107" s="126">
        <f>base[[#This Row],[L/P Líquido]]/base[[#This Row],[Stake/Responsabilidade]]</f>
        <v>0</v>
      </c>
      <c r="O1107" s="132">
        <f>IF(base[[#This Row],[L/P Líquido]]&gt;0,1,0)</f>
        <v>0</v>
      </c>
      <c r="P1107" s="132" t="s">
        <v>965</v>
      </c>
      <c r="Q1107" s="132" t="str">
        <f>LEFT(base[[#This Row],[Evento / Mercado]],FIND("vs",base[[#This Row],[Evento / Mercado]])-2)</f>
        <v>FC Porto</v>
      </c>
      <c r="R11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Futebol Clube de Arouca</v>
      </c>
      <c r="S1107" s="132" t="e">
        <f>LEFT(base[[#This Row],[Evento / Mercado]],FIND("/",base[[#This Row],[Evento / Mercado]])-2)</f>
        <v>#VALUE!</v>
      </c>
      <c r="U1107" s="9">
        <f>300/(17.5-1)*0.955+1</f>
        <v>18.363636363636363</v>
      </c>
    </row>
    <row r="1108" spans="2:21" ht="15" customHeight="1">
      <c r="B1108" s="128" t="s">
        <v>938</v>
      </c>
      <c r="C1108" s="128" t="s">
        <v>2982</v>
      </c>
      <c r="D1108" s="129">
        <v>46080.755347222221</v>
      </c>
      <c r="E1108" s="130">
        <v>50.42</v>
      </c>
      <c r="F1108" s="131">
        <v>4.4999999999999998E-2</v>
      </c>
      <c r="G1108" s="126">
        <f t="shared" si="18"/>
        <v>52.795811518324612</v>
      </c>
      <c r="H1108" s="126" t="s">
        <v>231</v>
      </c>
      <c r="I1108" s="127" t="s">
        <v>266</v>
      </c>
      <c r="J1108" s="126">
        <v>1.66</v>
      </c>
      <c r="K1108" s="126">
        <v>80</v>
      </c>
      <c r="L1108" s="129">
        <f>INT(base[[#This Row],[Data de liquidação]])</f>
        <v>46080</v>
      </c>
      <c r="M1108" s="126">
        <f>base[[#This Row],[L/P Bruto]]-base[[#This Row],[L/P Líquido]]</f>
        <v>2.3758115183246105</v>
      </c>
      <c r="N1108" s="126">
        <f>base[[#This Row],[L/P Líquido]]/base[[#This Row],[Stake/Responsabilidade]]</f>
        <v>0.63024999999999998</v>
      </c>
      <c r="O1108" s="132">
        <f>IF(base[[#This Row],[L/P Líquido]]&gt;0,1,0)</f>
        <v>1</v>
      </c>
      <c r="P1108" s="132"/>
      <c r="Q1108" s="132" t="str">
        <f>LEFT(base[[#This Row],[Evento / Mercado]],FIND("vs",base[[#This Row],[Evento / Mercado]])-2)</f>
        <v>RC Strasbourg</v>
      </c>
      <c r="R11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Lens</v>
      </c>
      <c r="S1108" s="132" t="e">
        <f>LEFT(base[[#This Row],[Evento / Mercado]],FIND("/",base[[#This Row],[Evento / Mercado]])-2)</f>
        <v>#VALUE!</v>
      </c>
      <c r="U1108" s="9"/>
    </row>
    <row r="1109" spans="2:21" ht="15" customHeight="1">
      <c r="B1109" s="128" t="s">
        <v>937</v>
      </c>
      <c r="C1109" s="128" t="s">
        <v>2982</v>
      </c>
      <c r="D1109" s="129">
        <v>46080.77002314815</v>
      </c>
      <c r="E1109" s="130">
        <v>53.48</v>
      </c>
      <c r="F1109" s="131">
        <v>4.4999999999999998E-2</v>
      </c>
      <c r="G1109" s="126">
        <f t="shared" si="18"/>
        <v>56</v>
      </c>
      <c r="H1109" s="126" t="s">
        <v>231</v>
      </c>
      <c r="I1109" s="127" t="s">
        <v>266</v>
      </c>
      <c r="J1109" s="126">
        <v>1.7</v>
      </c>
      <c r="K1109" s="126">
        <v>80</v>
      </c>
      <c r="L1109" s="129">
        <f>INT(base[[#This Row],[Data de liquidação]])</f>
        <v>46080</v>
      </c>
      <c r="M1109" s="126">
        <f>base[[#This Row],[L/P Bruto]]-base[[#This Row],[L/P Líquido]]</f>
        <v>2.5200000000000031</v>
      </c>
      <c r="N1109" s="126">
        <f>base[[#This Row],[L/P Líquido]]/base[[#This Row],[Stake/Responsabilidade]]</f>
        <v>0.66849999999999998</v>
      </c>
      <c r="O1109" s="132">
        <f>IF(base[[#This Row],[L/P Líquido]]&gt;0,1,0)</f>
        <v>1</v>
      </c>
      <c r="P1109" s="132"/>
      <c r="Q1109" s="132" t="str">
        <f>LEFT(base[[#This Row],[Evento / Mercado]],FIND("vs",base[[#This Row],[Evento / Mercado]])-2)</f>
        <v>Albacete Balompié</v>
      </c>
      <c r="R11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Almería</v>
      </c>
      <c r="S1109" s="132" t="e">
        <f>LEFT(base[[#This Row],[Evento / Mercado]],FIND("/",base[[#This Row],[Evento / Mercado]])-2)</f>
        <v>#VALUE!</v>
      </c>
      <c r="U1109" s="9"/>
    </row>
    <row r="1110" spans="2:21" ht="15" customHeight="1">
      <c r="B1110" s="128" t="s">
        <v>936</v>
      </c>
      <c r="C1110" s="128" t="s">
        <v>2982</v>
      </c>
      <c r="D1110" s="129">
        <v>46080.822060185186</v>
      </c>
      <c r="E1110" s="130">
        <v>19.11</v>
      </c>
      <c r="F1110" s="131">
        <v>4.4999999999999998E-2</v>
      </c>
      <c r="G1110" s="126">
        <f t="shared" si="18"/>
        <v>20.01047120418848</v>
      </c>
      <c r="H1110" s="126" t="s">
        <v>145</v>
      </c>
      <c r="I1110" s="127" t="s">
        <v>301</v>
      </c>
      <c r="J1110" s="126">
        <v>16.5</v>
      </c>
      <c r="K1110" s="126">
        <v>330</v>
      </c>
      <c r="L1110" s="129">
        <f>INT(base[[#This Row],[Data de liquidação]])</f>
        <v>46080</v>
      </c>
      <c r="M1110" s="126">
        <f>base[[#This Row],[L/P Bruto]]-base[[#This Row],[L/P Líquido]]</f>
        <v>0.90047120418848081</v>
      </c>
      <c r="N1110" s="126">
        <f>base[[#This Row],[L/P Líquido]]/base[[#This Row],[Stake/Responsabilidade]]</f>
        <v>5.790909090909091E-2</v>
      </c>
      <c r="O1110" s="132">
        <f>IF(base[[#This Row],[L/P Líquido]]&gt;0,1,0)</f>
        <v>1</v>
      </c>
      <c r="P1110" s="132" t="s">
        <v>965</v>
      </c>
      <c r="Q1110" s="132" t="str">
        <f>LEFT(base[[#This Row],[Evento / Mercado]],FIND("vs",base[[#This Row],[Evento / Mercado]])-2)</f>
        <v>Sporting CP</v>
      </c>
      <c r="R11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Estoril-Praia</v>
      </c>
      <c r="S1110" s="132" t="e">
        <f>LEFT(base[[#This Row],[Evento / Mercado]],FIND("/",base[[#This Row],[Evento / Mercado]])-2)</f>
        <v>#VALUE!</v>
      </c>
      <c r="U1110" s="9"/>
    </row>
    <row r="1111" spans="2:21" ht="15" customHeight="1">
      <c r="B1111" s="128" t="s">
        <v>958</v>
      </c>
      <c r="C1111" s="128" t="s">
        <v>2982</v>
      </c>
      <c r="D1111" s="129">
        <v>46081.459803240738</v>
      </c>
      <c r="E1111" s="130">
        <v>-80</v>
      </c>
      <c r="F1111" s="131">
        <v>4.4999999999999998E-2</v>
      </c>
      <c r="G1111" s="126">
        <f t="shared" si="18"/>
        <v>-80</v>
      </c>
      <c r="H1111" s="126" t="s">
        <v>231</v>
      </c>
      <c r="I1111" s="127" t="s">
        <v>232</v>
      </c>
      <c r="J1111" s="126">
        <v>1.78</v>
      </c>
      <c r="K1111" s="126">
        <v>80</v>
      </c>
      <c r="L1111" s="129">
        <f>INT(base[[#This Row],[Data de liquidação]])</f>
        <v>46081</v>
      </c>
      <c r="M1111" s="126">
        <f>base[[#This Row],[L/P Bruto]]-base[[#This Row],[L/P Líquido]]</f>
        <v>0</v>
      </c>
      <c r="N1111" s="126">
        <f>base[[#This Row],[L/P Líquido]]/base[[#This Row],[Stake/Responsabilidade]]</f>
        <v>-1</v>
      </c>
      <c r="O1111" s="132">
        <f>IF(base[[#This Row],[L/P Líquido]]&gt;0,1,0)</f>
        <v>0</v>
      </c>
      <c r="P1111" s="132"/>
      <c r="Q1111" s="132" t="str">
        <f>LEFT(base[[#This Row],[Evento / Mercado]],FIND("vs",base[[#This Row],[Evento / Mercado]])-2)</f>
        <v>Arminia Bielefeld</v>
      </c>
      <c r="R11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Hannover 96</v>
      </c>
      <c r="S1111" s="132" t="e">
        <f>LEFT(base[[#This Row],[Evento / Mercado]],FIND("/",base[[#This Row],[Evento / Mercado]])-2)</f>
        <v>#VALUE!</v>
      </c>
      <c r="U1111" s="9"/>
    </row>
    <row r="1112" spans="2:21" ht="15" customHeight="1">
      <c r="B1112" s="128" t="s">
        <v>957</v>
      </c>
      <c r="C1112" s="128" t="s">
        <v>2982</v>
      </c>
      <c r="D1112" s="129">
        <v>46081.475104166668</v>
      </c>
      <c r="E1112" s="130">
        <v>59.59</v>
      </c>
      <c r="F1112" s="131">
        <v>4.4999999999999998E-2</v>
      </c>
      <c r="G1112" s="126">
        <f t="shared" si="18"/>
        <v>62.397905759162313</v>
      </c>
      <c r="H1112" s="126" t="s">
        <v>231</v>
      </c>
      <c r="I1112" s="127" t="s">
        <v>232</v>
      </c>
      <c r="J1112" s="126">
        <v>1.78</v>
      </c>
      <c r="K1112" s="126">
        <v>80</v>
      </c>
      <c r="L1112" s="129">
        <f>INT(base[[#This Row],[Data de liquidação]])</f>
        <v>46081</v>
      </c>
      <c r="M1112" s="126">
        <f>base[[#This Row],[L/P Bruto]]-base[[#This Row],[L/P Líquido]]</f>
        <v>2.8079057591623098</v>
      </c>
      <c r="N1112" s="126">
        <f>base[[#This Row],[L/P Líquido]]/base[[#This Row],[Stake/Responsabilidade]]</f>
        <v>0.74487500000000006</v>
      </c>
      <c r="O1112" s="132">
        <f>IF(base[[#This Row],[L/P Líquido]]&gt;0,1,0)</f>
        <v>1</v>
      </c>
      <c r="P1112" s="132"/>
      <c r="Q1112" s="132" t="str">
        <f>LEFT(base[[#This Row],[Evento / Mercado]],FIND("vs",base[[#This Row],[Evento / Mercado]])-2)</f>
        <v>Hansa Rostock</v>
      </c>
      <c r="R11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Rot-Weiss Essen</v>
      </c>
      <c r="S1112" s="132" t="e">
        <f>LEFT(base[[#This Row],[Evento / Mercado]],FIND("/",base[[#This Row],[Evento / Mercado]])-2)</f>
        <v>#VALUE!</v>
      </c>
      <c r="U1112" s="9"/>
    </row>
    <row r="1113" spans="2:21" ht="15" customHeight="1">
      <c r="B1113" s="128" t="s">
        <v>956</v>
      </c>
      <c r="C1113" s="128" t="s">
        <v>2982</v>
      </c>
      <c r="D1113" s="129">
        <v>46081.476145833331</v>
      </c>
      <c r="E1113" s="130">
        <v>-80</v>
      </c>
      <c r="F1113" s="131">
        <v>4.4999999999999998E-2</v>
      </c>
      <c r="G1113" s="126">
        <f t="shared" si="18"/>
        <v>-80</v>
      </c>
      <c r="H1113" s="126" t="s">
        <v>231</v>
      </c>
      <c r="I1113" s="127" t="s">
        <v>232</v>
      </c>
      <c r="J1113" s="126">
        <v>1.91</v>
      </c>
      <c r="K1113" s="126">
        <v>80</v>
      </c>
      <c r="L1113" s="129">
        <f>INT(base[[#This Row],[Data de liquidação]])</f>
        <v>46081</v>
      </c>
      <c r="M1113" s="126">
        <f>base[[#This Row],[L/P Bruto]]-base[[#This Row],[L/P Líquido]]</f>
        <v>0</v>
      </c>
      <c r="N1113" s="126">
        <f>base[[#This Row],[L/P Líquido]]/base[[#This Row],[Stake/Responsabilidade]]</f>
        <v>-1</v>
      </c>
      <c r="O1113" s="132">
        <f>IF(base[[#This Row],[L/P Líquido]]&gt;0,1,0)</f>
        <v>0</v>
      </c>
      <c r="P1113" s="132"/>
      <c r="Q1113" s="132" t="str">
        <f>LEFT(base[[#This Row],[Evento / Mercado]],FIND("vs",base[[#This Row],[Evento / Mercado]])-2)</f>
        <v>Leicester City</v>
      </c>
      <c r="R11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1113" s="132" t="e">
        <f>LEFT(base[[#This Row],[Evento / Mercado]],FIND("/",base[[#This Row],[Evento / Mercado]])-2)</f>
        <v>#VALUE!</v>
      </c>
      <c r="U1113" s="9"/>
    </row>
    <row r="1114" spans="2:21" ht="15" customHeight="1">
      <c r="B1114" s="128" t="s">
        <v>955</v>
      </c>
      <c r="C1114" s="128" t="s">
        <v>2982</v>
      </c>
      <c r="D1114" s="129">
        <v>46081.510081018518</v>
      </c>
      <c r="E1114" s="130">
        <v>71.819999999999993</v>
      </c>
      <c r="F1114" s="131">
        <v>4.4999999999999998E-2</v>
      </c>
      <c r="G1114" s="126">
        <f t="shared" si="18"/>
        <v>75.204188481675388</v>
      </c>
      <c r="H1114" s="126" t="s">
        <v>231</v>
      </c>
      <c r="I1114" s="127" t="s">
        <v>266</v>
      </c>
      <c r="J1114" s="126">
        <v>1.94</v>
      </c>
      <c r="K1114" s="126">
        <v>80</v>
      </c>
      <c r="L1114" s="129">
        <f>INT(base[[#This Row],[Data de liquidação]])</f>
        <v>46081</v>
      </c>
      <c r="M1114" s="126">
        <f>base[[#This Row],[L/P Bruto]]-base[[#This Row],[L/P Líquido]]</f>
        <v>3.3841884816753947</v>
      </c>
      <c r="N1114" s="126">
        <f>base[[#This Row],[L/P Líquido]]/base[[#This Row],[Stake/Responsabilidade]]</f>
        <v>0.89774999999999994</v>
      </c>
      <c r="O1114" s="132">
        <f>IF(base[[#This Row],[L/P Líquido]]&gt;0,1,0)</f>
        <v>1</v>
      </c>
      <c r="P1114" s="132"/>
      <c r="Q1114" s="132" t="str">
        <f>LEFT(base[[#This Row],[Evento / Mercado]],FIND("vs",base[[#This Row],[Evento / Mercado]])-2)</f>
        <v>Mansfield Town</v>
      </c>
      <c r="R11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Wimbledon</v>
      </c>
      <c r="S1114" s="132" t="e">
        <f>LEFT(base[[#This Row],[Evento / Mercado]],FIND("/",base[[#This Row],[Evento / Mercado]])-2)</f>
        <v>#VALUE!</v>
      </c>
      <c r="U1114" s="9"/>
    </row>
    <row r="1115" spans="2:21" ht="15" customHeight="1">
      <c r="B1115" s="128" t="s">
        <v>954</v>
      </c>
      <c r="C1115" s="128" t="s">
        <v>2982</v>
      </c>
      <c r="D1115" s="129">
        <v>46081.553715277776</v>
      </c>
      <c r="E1115" s="130">
        <v>55.77</v>
      </c>
      <c r="F1115" s="131">
        <v>4.4999999999999998E-2</v>
      </c>
      <c r="G1115" s="126">
        <f t="shared" si="18"/>
        <v>58.397905759162306</v>
      </c>
      <c r="H1115" s="126" t="s">
        <v>231</v>
      </c>
      <c r="I1115" s="127" t="s">
        <v>232</v>
      </c>
      <c r="J1115" s="126">
        <v>1.73</v>
      </c>
      <c r="K1115" s="126">
        <v>80</v>
      </c>
      <c r="L1115" s="129">
        <f>INT(base[[#This Row],[Data de liquidação]])</f>
        <v>46081</v>
      </c>
      <c r="M1115" s="126">
        <f>base[[#This Row],[L/P Bruto]]-base[[#This Row],[L/P Líquido]]</f>
        <v>2.627905759162303</v>
      </c>
      <c r="N1115" s="126">
        <f>base[[#This Row],[L/P Líquido]]/base[[#This Row],[Stake/Responsabilidade]]</f>
        <v>0.69712499999999999</v>
      </c>
      <c r="O1115" s="132">
        <f>IF(base[[#This Row],[L/P Líquido]]&gt;0,1,0)</f>
        <v>1</v>
      </c>
      <c r="P1115" s="132"/>
      <c r="Q1115" s="132" t="str">
        <f>LEFT(base[[#This Row],[Evento / Mercado]],FIND("vs",base[[#This Row],[Evento / Mercado]])-2)</f>
        <v>Doncaster Rovers</v>
      </c>
      <c r="R11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Cardiff City</v>
      </c>
      <c r="S1115" s="132" t="e">
        <f>LEFT(base[[#This Row],[Evento / Mercado]],FIND("/",base[[#This Row],[Evento / Mercado]])-2)</f>
        <v>#VALUE!</v>
      </c>
      <c r="U1115" s="9"/>
    </row>
    <row r="1116" spans="2:21" ht="15" customHeight="1">
      <c r="B1116" s="128" t="s">
        <v>953</v>
      </c>
      <c r="C1116" s="128" t="s">
        <v>2982</v>
      </c>
      <c r="D1116" s="129">
        <v>46081.55940972222</v>
      </c>
      <c r="E1116" s="130">
        <v>-171</v>
      </c>
      <c r="F1116" s="131">
        <v>4.4999999999999998E-2</v>
      </c>
      <c r="G1116" s="126">
        <f t="shared" si="18"/>
        <v>-171</v>
      </c>
      <c r="H1116" s="126" t="s">
        <v>145</v>
      </c>
      <c r="I1116" s="127" t="s">
        <v>301</v>
      </c>
      <c r="J1116" s="126">
        <v>7.2</v>
      </c>
      <c r="K1116" s="126">
        <v>349.99</v>
      </c>
      <c r="L1116" s="129">
        <f>INT(base[[#This Row],[Data de liquidação]])</f>
        <v>46081</v>
      </c>
      <c r="M1116" s="126">
        <f>base[[#This Row],[L/P Bruto]]-base[[#This Row],[L/P Líquido]]</f>
        <v>0</v>
      </c>
      <c r="N1116" s="126">
        <f>base[[#This Row],[L/P Líquido]]/base[[#This Row],[Stake/Responsabilidade]]</f>
        <v>-0.48858538815394725</v>
      </c>
      <c r="O1116" s="132">
        <f>IF(base[[#This Row],[L/P Líquido]]&gt;0,1,0)</f>
        <v>0</v>
      </c>
      <c r="P1116" s="132" t="s">
        <v>962</v>
      </c>
      <c r="Q1116" s="132" t="str">
        <f>LEFT(base[[#This Row],[Evento / Mercado]],FIND("vs",base[[#This Row],[Evento / Mercado]])-2)</f>
        <v>1899 Hoffenheim</v>
      </c>
      <c r="R11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Pauli</v>
      </c>
      <c r="S1116" s="132" t="e">
        <f>LEFT(base[[#This Row],[Evento / Mercado]],FIND("/",base[[#This Row],[Evento / Mercado]])-2)</f>
        <v>#VALUE!</v>
      </c>
      <c r="U1116" s="9">
        <f>-350+171</f>
        <v>-179</v>
      </c>
    </row>
    <row r="1117" spans="2:21" ht="15" customHeight="1">
      <c r="B1117" s="128" t="s">
        <v>953</v>
      </c>
      <c r="C1117" s="128" t="s">
        <v>2982</v>
      </c>
      <c r="D1117" s="129">
        <v>46081.559525462966</v>
      </c>
      <c r="E1117" s="130">
        <v>-80</v>
      </c>
      <c r="F1117" s="131">
        <v>4.4999999999999998E-2</v>
      </c>
      <c r="G1117" s="126">
        <f t="shared" si="18"/>
        <v>-80</v>
      </c>
      <c r="H1117" s="126" t="s">
        <v>231</v>
      </c>
      <c r="I1117" s="127" t="s">
        <v>232</v>
      </c>
      <c r="J1117" s="126">
        <v>1.85</v>
      </c>
      <c r="K1117" s="126">
        <v>80</v>
      </c>
      <c r="L1117" s="129">
        <f>INT(base[[#This Row],[Data de liquidação]])</f>
        <v>46081</v>
      </c>
      <c r="M1117" s="126">
        <f>base[[#This Row],[L/P Bruto]]-base[[#This Row],[L/P Líquido]]</f>
        <v>0</v>
      </c>
      <c r="N1117" s="126">
        <f>base[[#This Row],[L/P Líquido]]/base[[#This Row],[Stake/Responsabilidade]]</f>
        <v>-1</v>
      </c>
      <c r="O1117" s="132">
        <f>IF(base[[#This Row],[L/P Líquido]]&gt;0,1,0)</f>
        <v>0</v>
      </c>
      <c r="P1117" s="132"/>
      <c r="Q1117" s="132" t="str">
        <f>LEFT(base[[#This Row],[Evento / Mercado]],FIND("vs",base[[#This Row],[Evento / Mercado]])-2)</f>
        <v>1899 Hoffenheim</v>
      </c>
      <c r="R11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Pauli</v>
      </c>
      <c r="S1117" s="132" t="e">
        <f>LEFT(base[[#This Row],[Evento / Mercado]],FIND("/",base[[#This Row],[Evento / Mercado]])-2)</f>
        <v>#VALUE!</v>
      </c>
      <c r="U1117" s="9"/>
    </row>
    <row r="1118" spans="2:21" ht="15" customHeight="1">
      <c r="B1118" s="128" t="s">
        <v>952</v>
      </c>
      <c r="C1118" s="128" t="s">
        <v>2982</v>
      </c>
      <c r="D1118" s="129">
        <v>46081.562916666669</v>
      </c>
      <c r="E1118" s="130">
        <v>-197.37</v>
      </c>
      <c r="F1118" s="131">
        <v>4.4999999999999998E-2</v>
      </c>
      <c r="G1118" s="126">
        <f t="shared" si="18"/>
        <v>-197.37</v>
      </c>
      <c r="H1118" s="126" t="s">
        <v>74</v>
      </c>
      <c r="I1118" s="127" t="s">
        <v>476</v>
      </c>
      <c r="J1118" s="126">
        <v>22</v>
      </c>
      <c r="K1118" s="126">
        <v>409.92</v>
      </c>
      <c r="L1118" s="129">
        <f>INT(base[[#This Row],[Data de liquidação]])</f>
        <v>46081</v>
      </c>
      <c r="M1118" s="126">
        <f>base[[#This Row],[L/P Bruto]]-base[[#This Row],[L/P Líquido]]</f>
        <v>0</v>
      </c>
      <c r="N1118" s="126">
        <f>base[[#This Row],[L/P Líquido]]/base[[#This Row],[Stake/Responsabilidade]]</f>
        <v>-0.48148419203747073</v>
      </c>
      <c r="O1118" s="132">
        <f>IF(base[[#This Row],[L/P Líquido]]&gt;0,1,0)</f>
        <v>0</v>
      </c>
      <c r="P1118" s="132" t="s">
        <v>962</v>
      </c>
      <c r="Q1118" s="132" t="str">
        <f>LEFT(base[[#This Row],[Evento / Mercado]],FIND("vs",base[[#This Row],[Evento / Mercado]])-2)</f>
        <v>Bayer 04 Leverkusen</v>
      </c>
      <c r="R11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1118" s="132" t="e">
        <f>LEFT(base[[#This Row],[Evento / Mercado]],FIND("/",base[[#This Row],[Evento / Mercado]])-2)</f>
        <v>#VALUE!</v>
      </c>
      <c r="U1118" s="9"/>
    </row>
    <row r="1119" spans="2:21" ht="15" customHeight="1">
      <c r="B1119" s="128" t="s">
        <v>951</v>
      </c>
      <c r="C1119" s="128" t="s">
        <v>2982</v>
      </c>
      <c r="D1119" s="129">
        <v>46081.592916666668</v>
      </c>
      <c r="E1119" s="130">
        <v>21.16</v>
      </c>
      <c r="F1119" s="131">
        <v>4.4999999999999998E-2</v>
      </c>
      <c r="G1119" s="126">
        <f t="shared" si="18"/>
        <v>22.157068062827225</v>
      </c>
      <c r="H1119" s="126" t="s">
        <v>74</v>
      </c>
      <c r="I1119" s="127" t="s">
        <v>477</v>
      </c>
      <c r="J1119" s="126">
        <v>19.5</v>
      </c>
      <c r="K1119" s="126">
        <v>409.96</v>
      </c>
      <c r="L1119" s="129">
        <f>INT(base[[#This Row],[Data de liquidação]])</f>
        <v>46081</v>
      </c>
      <c r="M1119" s="126">
        <f>base[[#This Row],[L/P Bruto]]-base[[#This Row],[L/P Líquido]]</f>
        <v>0.99706806282722482</v>
      </c>
      <c r="N1119" s="126">
        <f>base[[#This Row],[L/P Líquido]]/base[[#This Row],[Stake/Responsabilidade]]</f>
        <v>5.1614791686993858E-2</v>
      </c>
      <c r="O1119" s="132">
        <f>IF(base[[#This Row],[L/P Líquido]]&gt;0,1,0)</f>
        <v>1</v>
      </c>
      <c r="P1119" s="132" t="s">
        <v>964</v>
      </c>
      <c r="Q1119" s="132" t="str">
        <f>LEFT(base[[#This Row],[Evento / Mercado]],FIND("vs",base[[#This Row],[Evento / Mercado]])-2)</f>
        <v>FC Barcelona</v>
      </c>
      <c r="R11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1119" s="132" t="e">
        <f>LEFT(base[[#This Row],[Evento / Mercado]],FIND("/",base[[#This Row],[Evento / Mercado]])-2)</f>
        <v>#VALUE!</v>
      </c>
      <c r="U1119" s="9"/>
    </row>
    <row r="1120" spans="2:21" ht="15" customHeight="1">
      <c r="B1120" s="128" t="s">
        <v>951</v>
      </c>
      <c r="C1120" s="128" t="s">
        <v>2982</v>
      </c>
      <c r="D1120" s="129">
        <v>46081.592986111114</v>
      </c>
      <c r="E1120" s="130">
        <v>46.13</v>
      </c>
      <c r="F1120" s="131">
        <v>4.4999999999999998E-2</v>
      </c>
      <c r="G1120" s="126">
        <f t="shared" si="18"/>
        <v>48.303664921465973</v>
      </c>
      <c r="H1120" s="126" t="s">
        <v>145</v>
      </c>
      <c r="I1120" s="127" t="s">
        <v>301</v>
      </c>
      <c r="J1120" s="126">
        <v>7.6</v>
      </c>
      <c r="K1120" s="126">
        <v>350</v>
      </c>
      <c r="L1120" s="129">
        <f>INT(base[[#This Row],[Data de liquidação]])</f>
        <v>46081</v>
      </c>
      <c r="M1120" s="126">
        <f>base[[#This Row],[L/P Bruto]]-base[[#This Row],[L/P Líquido]]</f>
        <v>2.1736649214659707</v>
      </c>
      <c r="N1120" s="126">
        <f>base[[#This Row],[L/P Líquido]]/base[[#This Row],[Stake/Responsabilidade]]</f>
        <v>0.1318</v>
      </c>
      <c r="O1120" s="132">
        <f>IF(base[[#This Row],[L/P Líquido]]&gt;0,1,0)</f>
        <v>1</v>
      </c>
      <c r="P1120" s="132" t="s">
        <v>964</v>
      </c>
      <c r="Q1120" s="132" t="str">
        <f>LEFT(base[[#This Row],[Evento / Mercado]],FIND("vs",base[[#This Row],[Evento / Mercado]])-2)</f>
        <v>FC Barcelona</v>
      </c>
      <c r="R11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1120" s="132" t="e">
        <f>LEFT(base[[#This Row],[Evento / Mercado]],FIND("/",base[[#This Row],[Evento / Mercado]])-2)</f>
        <v>#VALUE!</v>
      </c>
      <c r="U1120" s="9"/>
    </row>
    <row r="1121" spans="2:21" ht="15" customHeight="1">
      <c r="B1121" s="128" t="s">
        <v>950</v>
      </c>
      <c r="C1121" s="128" t="s">
        <v>2982</v>
      </c>
      <c r="D1121" s="129">
        <v>46081.665590277778</v>
      </c>
      <c r="E1121" s="130">
        <v>27.35</v>
      </c>
      <c r="F1121" s="131">
        <v>4.4999999999999998E-2</v>
      </c>
      <c r="G1121" s="126">
        <f t="shared" si="18"/>
        <v>28.638743455497384</v>
      </c>
      <c r="H1121" s="126" t="s">
        <v>145</v>
      </c>
      <c r="I1121" s="127" t="s">
        <v>301</v>
      </c>
      <c r="J1121" s="126">
        <v>12</v>
      </c>
      <c r="K1121" s="126">
        <v>350.02</v>
      </c>
      <c r="L1121" s="129">
        <f>INT(base[[#This Row],[Data de liquidação]])</f>
        <v>46081</v>
      </c>
      <c r="M1121" s="126">
        <f>base[[#This Row],[L/P Bruto]]-base[[#This Row],[L/P Líquido]]</f>
        <v>1.2887434554973822</v>
      </c>
      <c r="N1121" s="126">
        <f>base[[#This Row],[L/P Líquido]]/base[[#This Row],[Stake/Responsabilidade]]</f>
        <v>7.8138392091880476E-2</v>
      </c>
      <c r="O1121" s="132">
        <f>IF(base[[#This Row],[L/P Líquido]]&gt;0,1,0)</f>
        <v>1</v>
      </c>
      <c r="P1121" s="132" t="s">
        <v>966</v>
      </c>
      <c r="Q1121" s="132" t="str">
        <f>LEFT(base[[#This Row],[Evento / Mercado]],FIND("vs",base[[#This Row],[Evento / Mercado]])-2)</f>
        <v>Galatasaray SK</v>
      </c>
      <c r="R11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Alanyaspor</v>
      </c>
      <c r="S1121" s="132" t="e">
        <f>LEFT(base[[#This Row],[Evento / Mercado]],FIND("/",base[[#This Row],[Evento / Mercado]])-2)</f>
        <v>#VALUE!</v>
      </c>
      <c r="U1121" s="9"/>
    </row>
    <row r="1122" spans="2:21" ht="15" customHeight="1">
      <c r="B1122" s="128" t="s">
        <v>949</v>
      </c>
      <c r="C1122" s="128" t="s">
        <v>2982</v>
      </c>
      <c r="D1122" s="129">
        <v>46081.68246527778</v>
      </c>
      <c r="E1122" s="130">
        <v>-80</v>
      </c>
      <c r="F1122" s="131">
        <v>4.4999999999999998E-2</v>
      </c>
      <c r="G1122" s="126">
        <f t="shared" si="18"/>
        <v>-80</v>
      </c>
      <c r="H1122" s="126" t="s">
        <v>231</v>
      </c>
      <c r="I1122" s="127" t="s">
        <v>266</v>
      </c>
      <c r="J1122" s="126">
        <v>1.98</v>
      </c>
      <c r="K1122" s="126">
        <v>80</v>
      </c>
      <c r="L1122" s="129">
        <f>INT(base[[#This Row],[Data de liquidação]])</f>
        <v>46081</v>
      </c>
      <c r="M1122" s="126">
        <f>base[[#This Row],[L/P Bruto]]-base[[#This Row],[L/P Líquido]]</f>
        <v>0</v>
      </c>
      <c r="N1122" s="126">
        <f>base[[#This Row],[L/P Líquido]]/base[[#This Row],[Stake/Responsabilidade]]</f>
        <v>-1</v>
      </c>
      <c r="O1122" s="132">
        <f>IF(base[[#This Row],[L/P Líquido]]&gt;0,1,0)</f>
        <v>0</v>
      </c>
      <c r="P1122" s="132"/>
      <c r="Q1122" s="132" t="str">
        <f>LEFT(base[[#This Row],[Evento / Mercado]],FIND("vs",base[[#This Row],[Evento / Mercado]])-2)</f>
        <v>Real Mallorca</v>
      </c>
      <c r="R11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1122" s="132" t="e">
        <f>LEFT(base[[#This Row],[Evento / Mercado]],FIND("/",base[[#This Row],[Evento / Mercado]])-2)</f>
        <v>#VALUE!</v>
      </c>
      <c r="U1122" s="9"/>
    </row>
    <row r="1123" spans="2:21" ht="15" customHeight="1">
      <c r="B1123" s="128" t="s">
        <v>948</v>
      </c>
      <c r="C1123" s="128" t="s">
        <v>2982</v>
      </c>
      <c r="D1123" s="129">
        <v>46081.684594907405</v>
      </c>
      <c r="E1123" s="130">
        <v>19.579999999999998</v>
      </c>
      <c r="F1123" s="131">
        <v>4.4999999999999998E-2</v>
      </c>
      <c r="G1123" s="126">
        <f t="shared" si="18"/>
        <v>20.502617801047119</v>
      </c>
      <c r="H1123" s="126" t="s">
        <v>74</v>
      </c>
      <c r="I1123" s="127" t="s">
        <v>542</v>
      </c>
      <c r="J1123" s="126">
        <v>21</v>
      </c>
      <c r="K1123" s="126">
        <v>410</v>
      </c>
      <c r="L1123" s="129">
        <f>INT(base[[#This Row],[Data de liquidação]])</f>
        <v>46081</v>
      </c>
      <c r="M1123" s="126">
        <f>base[[#This Row],[L/P Bruto]]-base[[#This Row],[L/P Líquido]]</f>
        <v>0.92261780104712088</v>
      </c>
      <c r="N1123" s="126">
        <f>base[[#This Row],[L/P Líquido]]/base[[#This Row],[Stake/Responsabilidade]]</f>
        <v>4.7756097560975604E-2</v>
      </c>
      <c r="O1123" s="132">
        <f>IF(base[[#This Row],[L/P Líquido]]&gt;0,1,0)</f>
        <v>1</v>
      </c>
      <c r="P1123" s="132" t="s">
        <v>963</v>
      </c>
      <c r="Q1123" s="132" t="str">
        <f>LEFT(base[[#This Row],[Evento / Mercado]],FIND("vs",base[[#This Row],[Evento / Mercado]])-2)</f>
        <v>Leeds United</v>
      </c>
      <c r="R11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123" s="132" t="e">
        <f>LEFT(base[[#This Row],[Evento / Mercado]],FIND("/",base[[#This Row],[Evento / Mercado]])-2)</f>
        <v>#VALUE!</v>
      </c>
      <c r="U1123" s="9"/>
    </row>
    <row r="1124" spans="2:21" ht="15" customHeight="1">
      <c r="B1124" s="128" t="s">
        <v>948</v>
      </c>
      <c r="C1124" s="128" t="s">
        <v>2982</v>
      </c>
      <c r="D1124" s="129">
        <v>46081.684999999998</v>
      </c>
      <c r="E1124" s="130">
        <v>-80</v>
      </c>
      <c r="F1124" s="131">
        <v>4.4999999999999998E-2</v>
      </c>
      <c r="G1124" s="126">
        <f t="shared" si="18"/>
        <v>-80</v>
      </c>
      <c r="H1124" s="126" t="s">
        <v>231</v>
      </c>
      <c r="I1124" s="127" t="s">
        <v>266</v>
      </c>
      <c r="J1124" s="126">
        <v>1.85</v>
      </c>
      <c r="K1124" s="126">
        <v>80</v>
      </c>
      <c r="L1124" s="129">
        <f>INT(base[[#This Row],[Data de liquidação]])</f>
        <v>46081</v>
      </c>
      <c r="M1124" s="126">
        <f>base[[#This Row],[L/P Bruto]]-base[[#This Row],[L/P Líquido]]</f>
        <v>0</v>
      </c>
      <c r="N1124" s="126">
        <f>base[[#This Row],[L/P Líquido]]/base[[#This Row],[Stake/Responsabilidade]]</f>
        <v>-1</v>
      </c>
      <c r="O1124" s="132">
        <f>IF(base[[#This Row],[L/P Líquido]]&gt;0,1,0)</f>
        <v>0</v>
      </c>
      <c r="P1124" s="132"/>
      <c r="Q1124" s="132" t="str">
        <f>LEFT(base[[#This Row],[Evento / Mercado]],FIND("vs",base[[#This Row],[Evento / Mercado]])-2)</f>
        <v>Leeds United</v>
      </c>
      <c r="R11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124" s="132" t="e">
        <f>LEFT(base[[#This Row],[Evento / Mercado]],FIND("/",base[[#This Row],[Evento / Mercado]])-2)</f>
        <v>#VALUE!</v>
      </c>
      <c r="U1124" s="9"/>
    </row>
    <row r="1125" spans="2:21" ht="15" customHeight="1">
      <c r="B1125" s="128" t="s">
        <v>947</v>
      </c>
      <c r="C1125" s="128" t="s">
        <v>2982</v>
      </c>
      <c r="D1125" s="129">
        <v>46081.687280092592</v>
      </c>
      <c r="E1125" s="130">
        <v>20.61</v>
      </c>
      <c r="F1125" s="131">
        <v>4.4999999999999998E-2</v>
      </c>
      <c r="G1125" s="126">
        <f t="shared" si="18"/>
        <v>21.581151832460733</v>
      </c>
      <c r="H1125" s="126" t="s">
        <v>74</v>
      </c>
      <c r="I1125" s="127" t="s">
        <v>541</v>
      </c>
      <c r="J1125" s="126">
        <v>20</v>
      </c>
      <c r="K1125" s="126">
        <v>410.02</v>
      </c>
      <c r="L1125" s="129">
        <f>INT(base[[#This Row],[Data de liquidação]])</f>
        <v>46081</v>
      </c>
      <c r="M1125" s="126">
        <f>base[[#This Row],[L/P Bruto]]-base[[#This Row],[L/P Líquido]]</f>
        <v>0.971151832460734</v>
      </c>
      <c r="N1125" s="126">
        <f>base[[#This Row],[L/P Líquido]]/base[[#This Row],[Stake/Responsabilidade]]</f>
        <v>5.0265840690698019E-2</v>
      </c>
      <c r="O1125" s="132">
        <f>IF(base[[#This Row],[L/P Líquido]]&gt;0,1,0)</f>
        <v>1</v>
      </c>
      <c r="P1125" s="132" t="s">
        <v>962</v>
      </c>
      <c r="Q1125" s="132" t="str">
        <f>LEFT(base[[#This Row],[Evento / Mercado]],FIND("vs",base[[#This Row],[Evento / Mercado]])-2)</f>
        <v>Borussia Dortmund</v>
      </c>
      <c r="R11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125" s="132" t="e">
        <f>LEFT(base[[#This Row],[Evento / Mercado]],FIND("/",base[[#This Row],[Evento / Mercado]])-2)</f>
        <v>#VALUE!</v>
      </c>
      <c r="U1125" s="9"/>
    </row>
    <row r="1126" spans="2:21" ht="15" customHeight="1">
      <c r="B1126" s="128" t="s">
        <v>946</v>
      </c>
      <c r="C1126" s="128" t="s">
        <v>2982</v>
      </c>
      <c r="D1126" s="129">
        <v>46081.729305555556</v>
      </c>
      <c r="E1126" s="130">
        <v>55.77</v>
      </c>
      <c r="F1126" s="131">
        <v>4.4999999999999998E-2</v>
      </c>
      <c r="G1126" s="126">
        <f t="shared" si="18"/>
        <v>58.397905759162306</v>
      </c>
      <c r="H1126" s="126" t="s">
        <v>231</v>
      </c>
      <c r="I1126" s="127" t="s">
        <v>266</v>
      </c>
      <c r="J1126" s="126">
        <v>1.73</v>
      </c>
      <c r="K1126" s="126">
        <v>80</v>
      </c>
      <c r="L1126" s="129">
        <f>INT(base[[#This Row],[Data de liquidação]])</f>
        <v>46081</v>
      </c>
      <c r="M1126" s="126">
        <f>base[[#This Row],[L/P Bruto]]-base[[#This Row],[L/P Líquido]]</f>
        <v>2.627905759162303</v>
      </c>
      <c r="N1126" s="126">
        <f>base[[#This Row],[L/P Líquido]]/base[[#This Row],[Stake/Responsabilidade]]</f>
        <v>0.69712499999999999</v>
      </c>
      <c r="O1126" s="132">
        <f>IF(base[[#This Row],[L/P Líquido]]&gt;0,1,0)</f>
        <v>1</v>
      </c>
      <c r="P1126" s="132"/>
      <c r="Q1126" s="132" t="str">
        <f>LEFT(base[[#This Row],[Evento / Mercado]],FIND("vs",base[[#This Row],[Evento / Mercado]])-2)</f>
        <v>NEC</v>
      </c>
      <c r="R11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Sittard</v>
      </c>
      <c r="S1126" s="132" t="e">
        <f>LEFT(base[[#This Row],[Evento / Mercado]],FIND("/",base[[#This Row],[Evento / Mercado]])-2)</f>
        <v>#VALUE!</v>
      </c>
      <c r="U1126" s="9"/>
    </row>
    <row r="1127" spans="2:21" ht="15" customHeight="1">
      <c r="B1127" s="128" t="s">
        <v>945</v>
      </c>
      <c r="C1127" s="128" t="s">
        <v>2982</v>
      </c>
      <c r="D1127" s="129">
        <v>46081.777696759258</v>
      </c>
      <c r="E1127" s="130">
        <v>31.83</v>
      </c>
      <c r="F1127" s="131">
        <v>4.4999999999999998E-2</v>
      </c>
      <c r="G1127" s="126">
        <f t="shared" si="18"/>
        <v>33.329842931937172</v>
      </c>
      <c r="H1127" s="126" t="s">
        <v>145</v>
      </c>
      <c r="I1127" s="127" t="s">
        <v>301</v>
      </c>
      <c r="J1127" s="126">
        <v>11.5</v>
      </c>
      <c r="K1127" s="126">
        <v>349.97</v>
      </c>
      <c r="L1127" s="129">
        <f>INT(base[[#This Row],[Data de liquidação]])</f>
        <v>46081</v>
      </c>
      <c r="M1127" s="126">
        <f>base[[#This Row],[L/P Bruto]]-base[[#This Row],[L/P Líquido]]</f>
        <v>1.4998429319371738</v>
      </c>
      <c r="N1127" s="126">
        <f>base[[#This Row],[L/P Líquido]]/base[[#This Row],[Stake/Responsabilidade]]</f>
        <v>9.0950652913106819E-2</v>
      </c>
      <c r="O1127" s="132">
        <f>IF(base[[#This Row],[L/P Líquido]]&gt;0,1,0)</f>
        <v>1</v>
      </c>
      <c r="P1127" s="132" t="s">
        <v>971</v>
      </c>
      <c r="Q1127" s="132" t="str">
        <f>LEFT(base[[#This Row],[Evento / Mercado]],FIND("vs",base[[#This Row],[Evento / Mercado]])-2)</f>
        <v>Internazionale</v>
      </c>
      <c r="R11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1127" s="132" t="e">
        <f>LEFT(base[[#This Row],[Evento / Mercado]],FIND("/",base[[#This Row],[Evento / Mercado]])-2)</f>
        <v>#VALUE!</v>
      </c>
      <c r="U1127" s="9"/>
    </row>
    <row r="1128" spans="2:21" ht="15" customHeight="1">
      <c r="B1128" s="128" t="s">
        <v>944</v>
      </c>
      <c r="C1128" s="128" t="s">
        <v>2982</v>
      </c>
      <c r="D1128" s="129">
        <v>46081.780763888892</v>
      </c>
      <c r="E1128" s="130">
        <v>56.54</v>
      </c>
      <c r="F1128" s="131">
        <v>4.4999999999999998E-2</v>
      </c>
      <c r="G1128" s="126">
        <f t="shared" si="18"/>
        <v>59.204188481675395</v>
      </c>
      <c r="H1128" s="126" t="s">
        <v>231</v>
      </c>
      <c r="I1128" s="127" t="s">
        <v>266</v>
      </c>
      <c r="J1128" s="126">
        <v>1.74</v>
      </c>
      <c r="K1128" s="126">
        <v>80</v>
      </c>
      <c r="L1128" s="129">
        <f>INT(base[[#This Row],[Data de liquidação]])</f>
        <v>46081</v>
      </c>
      <c r="M1128" s="126">
        <f>base[[#This Row],[L/P Bruto]]-base[[#This Row],[L/P Líquido]]</f>
        <v>2.6641884816753958</v>
      </c>
      <c r="N1128" s="126">
        <f>base[[#This Row],[L/P Líquido]]/base[[#This Row],[Stake/Responsabilidade]]</f>
        <v>0.70674999999999999</v>
      </c>
      <c r="O1128" s="132">
        <f>IF(base[[#This Row],[L/P Líquido]]&gt;0,1,0)</f>
        <v>1</v>
      </c>
      <c r="P1128" s="132"/>
      <c r="Q1128" s="132" t="str">
        <f>LEFT(base[[#This Row],[Evento / Mercado]],FIND("vs",base[[#This Row],[Evento / Mercado]])-2)</f>
        <v>CD Castellon</v>
      </c>
      <c r="R11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1128" s="132" t="e">
        <f>LEFT(base[[#This Row],[Evento / Mercado]],FIND("/",base[[#This Row],[Evento / Mercado]])-2)</f>
        <v>#VALUE!</v>
      </c>
      <c r="U1128" s="9"/>
    </row>
    <row r="1129" spans="2:21" ht="15" customHeight="1">
      <c r="B1129" s="128" t="s">
        <v>994</v>
      </c>
      <c r="C1129" s="128" t="s">
        <v>2982</v>
      </c>
      <c r="D1129" s="129">
        <v>46082.426724537036</v>
      </c>
      <c r="E1129" s="130">
        <v>63.51</v>
      </c>
      <c r="F1129" s="131">
        <v>4.4999999999999998E-2</v>
      </c>
      <c r="G1129" s="126">
        <f t="shared" si="18"/>
        <v>66.502617801047123</v>
      </c>
      <c r="H1129" s="126" t="s">
        <v>231</v>
      </c>
      <c r="I1129" s="127" t="s">
        <v>232</v>
      </c>
      <c r="J1129" s="126">
        <v>1.7</v>
      </c>
      <c r="K1129" s="126">
        <v>95</v>
      </c>
      <c r="L1129" s="129">
        <f>INT(base[[#This Row],[Data de liquidação]])</f>
        <v>46082</v>
      </c>
      <c r="M1129" s="126">
        <f>base[[#This Row],[L/P Bruto]]-base[[#This Row],[L/P Líquido]]</f>
        <v>2.9926178010471247</v>
      </c>
      <c r="N1129" s="126">
        <f>base[[#This Row],[L/P Líquido]]/base[[#This Row],[Stake/Responsabilidade]]</f>
        <v>0.66852631578947364</v>
      </c>
      <c r="O1129" s="132">
        <f>IF(base[[#This Row],[L/P Líquido]]&gt;0,1,0)</f>
        <v>1</v>
      </c>
      <c r="P1129" s="132"/>
      <c r="Q1129" s="132" t="str">
        <f>LEFT(base[[#This Row],[Evento / Mercado]],FIND("vs",base[[#This Row],[Evento / Mercado]])-2)</f>
        <v>Rangers</v>
      </c>
      <c r="R11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1129" s="132" t="e">
        <f>LEFT(base[[#This Row],[Evento / Mercado]],FIND("/",base[[#This Row],[Evento / Mercado]])-2)</f>
        <v>#VALUE!</v>
      </c>
      <c r="U1129" s="9"/>
    </row>
    <row r="1130" spans="2:21" ht="15" customHeight="1">
      <c r="B1130" s="128" t="s">
        <v>993</v>
      </c>
      <c r="C1130" s="128" t="s">
        <v>2982</v>
      </c>
      <c r="D1130" s="129">
        <v>46082.448206018518</v>
      </c>
      <c r="E1130" s="130">
        <v>60.79</v>
      </c>
      <c r="F1130" s="131">
        <v>4.4999999999999998E-2</v>
      </c>
      <c r="G1130" s="126">
        <f t="shared" si="18"/>
        <v>63.654450261780106</v>
      </c>
      <c r="H1130" s="126" t="s">
        <v>231</v>
      </c>
      <c r="I1130" s="127" t="s">
        <v>232</v>
      </c>
      <c r="J1130" s="126">
        <v>1.67</v>
      </c>
      <c r="K1130" s="126">
        <v>95</v>
      </c>
      <c r="L1130" s="129">
        <f>INT(base[[#This Row],[Data de liquidação]])</f>
        <v>46082</v>
      </c>
      <c r="M1130" s="126">
        <f>base[[#This Row],[L/P Bruto]]-base[[#This Row],[L/P Líquido]]</f>
        <v>2.8644502617801066</v>
      </c>
      <c r="N1130" s="126">
        <f>base[[#This Row],[L/P Líquido]]/base[[#This Row],[Stake/Responsabilidade]]</f>
        <v>0.63989473684210529</v>
      </c>
      <c r="O1130" s="132">
        <f>IF(base[[#This Row],[L/P Líquido]]&gt;0,1,0)</f>
        <v>1</v>
      </c>
      <c r="P1130" s="132"/>
      <c r="Q1130" s="132" t="str">
        <f>LEFT(base[[#This Row],[Evento / Mercado]],FIND("vs",base[[#This Row],[Evento / Mercado]])-2)</f>
        <v>Waldhof Mannheim</v>
      </c>
      <c r="R11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Alemannia Aachen</v>
      </c>
      <c r="S1130" s="132" t="e">
        <f>LEFT(base[[#This Row],[Evento / Mercado]],FIND("/",base[[#This Row],[Evento / Mercado]])-2)</f>
        <v>#VALUE!</v>
      </c>
      <c r="U1130" s="9"/>
    </row>
    <row r="1131" spans="2:21" ht="15" customHeight="1">
      <c r="B1131" s="128" t="s">
        <v>992</v>
      </c>
      <c r="C1131" s="128" t="s">
        <v>2982</v>
      </c>
      <c r="D1131" s="129">
        <v>46082.518206018518</v>
      </c>
      <c r="E1131" s="130">
        <v>70.77</v>
      </c>
      <c r="F1131" s="131">
        <v>4.4999999999999998E-2</v>
      </c>
      <c r="G1131" s="126">
        <f t="shared" si="18"/>
        <v>74.10471204188481</v>
      </c>
      <c r="H1131" s="126" t="s">
        <v>231</v>
      </c>
      <c r="I1131" s="127" t="s">
        <v>266</v>
      </c>
      <c r="J1131" s="126">
        <v>1.78</v>
      </c>
      <c r="K1131" s="126">
        <v>95</v>
      </c>
      <c r="L1131" s="129">
        <f>INT(base[[#This Row],[Data de liquidação]])</f>
        <v>46082</v>
      </c>
      <c r="M1131" s="126">
        <f>base[[#This Row],[L/P Bruto]]-base[[#This Row],[L/P Líquido]]</f>
        <v>3.3347120418848135</v>
      </c>
      <c r="N1131" s="126">
        <f>base[[#This Row],[L/P Líquido]]/base[[#This Row],[Stake/Responsabilidade]]</f>
        <v>0.74494736842105258</v>
      </c>
      <c r="O1131" s="132">
        <f>IF(base[[#This Row],[L/P Líquido]]&gt;0,1,0)</f>
        <v>1</v>
      </c>
      <c r="P1131" s="132"/>
      <c r="Q1131" s="132" t="str">
        <f>LEFT(base[[#This Row],[Evento / Mercado]],FIND("vs",base[[#This Row],[Evento / Mercado]])-2)</f>
        <v>Fulham</v>
      </c>
      <c r="R11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1131" s="132" t="e">
        <f>LEFT(base[[#This Row],[Evento / Mercado]],FIND("/",base[[#This Row],[Evento / Mercado]])-2)</f>
        <v>#VALUE!</v>
      </c>
      <c r="U1131" s="9"/>
    </row>
    <row r="1132" spans="2:21" ht="15" customHeight="1">
      <c r="B1132" s="128" t="s">
        <v>991</v>
      </c>
      <c r="C1132" s="128" t="s">
        <v>2982</v>
      </c>
      <c r="D1132" s="129">
        <v>46082.558611111112</v>
      </c>
      <c r="E1132" s="130">
        <v>39.72</v>
      </c>
      <c r="F1132" s="131">
        <v>4.4999999999999998E-2</v>
      </c>
      <c r="G1132" s="126">
        <f t="shared" si="18"/>
        <v>41.591623036649217</v>
      </c>
      <c r="H1132" s="126" t="s">
        <v>145</v>
      </c>
      <c r="I1132" s="127" t="s">
        <v>301</v>
      </c>
      <c r="J1132" s="126">
        <v>7.8</v>
      </c>
      <c r="K1132" s="126">
        <v>300.02</v>
      </c>
      <c r="L1132" s="129">
        <f>INT(base[[#This Row],[Data de liquidação]])</f>
        <v>46082</v>
      </c>
      <c r="M1132" s="126">
        <f>base[[#This Row],[L/P Bruto]]-base[[#This Row],[L/P Líquido]]</f>
        <v>1.8716230366492184</v>
      </c>
      <c r="N1132" s="126">
        <f>base[[#This Row],[L/P Líquido]]/base[[#This Row],[Stake/Responsabilidade]]</f>
        <v>0.13239117392173855</v>
      </c>
      <c r="O1132" s="132">
        <f>IF(base[[#This Row],[L/P Líquido]]&gt;0,1,0)</f>
        <v>1</v>
      </c>
      <c r="P1132" s="132" t="s">
        <v>962</v>
      </c>
      <c r="Q1132" s="132" t="str">
        <f>LEFT(base[[#This Row],[Evento / Mercado]],FIND("vs",base[[#This Row],[Evento / Mercado]])-2)</f>
        <v>VfB Stuttgart</v>
      </c>
      <c r="R11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1132" s="132" t="e">
        <f>LEFT(base[[#This Row],[Evento / Mercado]],FIND("/",base[[#This Row],[Evento / Mercado]])-2)</f>
        <v>#VALUE!</v>
      </c>
      <c r="U1132" s="9"/>
    </row>
    <row r="1133" spans="2:21" ht="15" customHeight="1">
      <c r="B1133" s="128" t="s">
        <v>990</v>
      </c>
      <c r="C1133" s="128" t="s">
        <v>2982</v>
      </c>
      <c r="D1133" s="129">
        <v>46082.595358796294</v>
      </c>
      <c r="E1133" s="130">
        <v>-95</v>
      </c>
      <c r="F1133" s="131">
        <v>4.4999999999999998E-2</v>
      </c>
      <c r="G1133" s="126">
        <f t="shared" si="18"/>
        <v>-95</v>
      </c>
      <c r="H1133" s="126" t="s">
        <v>231</v>
      </c>
      <c r="I1133" s="127" t="s">
        <v>266</v>
      </c>
      <c r="J1133" s="126">
        <v>2.02</v>
      </c>
      <c r="K1133" s="126">
        <v>95</v>
      </c>
      <c r="L1133" s="129">
        <f>INT(base[[#This Row],[Data de liquidação]])</f>
        <v>46082</v>
      </c>
      <c r="M1133" s="126">
        <f>base[[#This Row],[L/P Bruto]]-base[[#This Row],[L/P Líquido]]</f>
        <v>0</v>
      </c>
      <c r="N1133" s="126">
        <f>base[[#This Row],[L/P Líquido]]/base[[#This Row],[Stake/Responsabilidade]]</f>
        <v>-1</v>
      </c>
      <c r="O1133" s="132">
        <f>IF(base[[#This Row],[L/P Líquido]]&gt;0,1,0)</f>
        <v>0</v>
      </c>
      <c r="P1133" s="132"/>
      <c r="Q1133" s="132" t="str">
        <f>LEFT(base[[#This Row],[Evento / Mercado]],FIND("vs",base[[#This Row],[Evento / Mercado]])-2)</f>
        <v>Valencia</v>
      </c>
      <c r="R11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1133" s="132" t="e">
        <f>LEFT(base[[#This Row],[Evento / Mercado]],FIND("/",base[[#This Row],[Evento / Mercado]])-2)</f>
        <v>#VALUE!</v>
      </c>
      <c r="U1133" s="9"/>
    </row>
    <row r="1134" spans="2:21" ht="15" customHeight="1">
      <c r="B1134" s="128" t="s">
        <v>989</v>
      </c>
      <c r="C1134" s="128" t="s">
        <v>2982</v>
      </c>
      <c r="D1134" s="129">
        <v>46082.600497685184</v>
      </c>
      <c r="E1134" s="130">
        <v>-1.04</v>
      </c>
      <c r="F1134" s="131">
        <v>4.4999999999999998E-2</v>
      </c>
      <c r="G1134" s="126">
        <f t="shared" si="18"/>
        <v>-1.04</v>
      </c>
      <c r="H1134" s="126" t="s">
        <v>145</v>
      </c>
      <c r="I1134" s="127" t="s">
        <v>301</v>
      </c>
      <c r="J1134" s="126">
        <v>8.1999999999999993</v>
      </c>
      <c r="K1134" s="126">
        <v>300.02</v>
      </c>
      <c r="L1134" s="129">
        <f>INT(base[[#This Row],[Data de liquidação]])</f>
        <v>46082</v>
      </c>
      <c r="M1134" s="126">
        <f>base[[#This Row],[L/P Bruto]]-base[[#This Row],[L/P Líquido]]</f>
        <v>0</v>
      </c>
      <c r="N1134" s="126">
        <f>base[[#This Row],[L/P Líquido]]/base[[#This Row],[Stake/Responsabilidade]]</f>
        <v>-3.4664355709619361E-3</v>
      </c>
      <c r="O1134" s="132">
        <f>IF(base[[#This Row],[L/P Líquido]]&gt;0,1,0)</f>
        <v>0</v>
      </c>
      <c r="P1134" s="132" t="s">
        <v>975</v>
      </c>
      <c r="Q1134" s="132" t="str">
        <f>LEFT(base[[#This Row],[Evento / Mercado]],FIND("vs",base[[#This Row],[Evento / Mercado]])-2)</f>
        <v>MSV Duisburg</v>
      </c>
      <c r="R11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1134" s="132" t="e">
        <f>LEFT(base[[#This Row],[Evento / Mercado]],FIND("/",base[[#This Row],[Evento / Mercado]])-2)</f>
        <v>#VALUE!</v>
      </c>
      <c r="U1134" s="9">
        <f>300/(8.2-1)*0.955+1</f>
        <v>40.791666666666671</v>
      </c>
    </row>
    <row r="1135" spans="2:21" ht="15" customHeight="1">
      <c r="B1135" s="128" t="s">
        <v>988</v>
      </c>
      <c r="C1135" s="128" t="s">
        <v>2982</v>
      </c>
      <c r="D1135" s="129">
        <v>46082.621192129627</v>
      </c>
      <c r="E1135" s="130">
        <v>-95</v>
      </c>
      <c r="F1135" s="131">
        <v>4.4999999999999998E-2</v>
      </c>
      <c r="G1135" s="126">
        <f t="shared" si="18"/>
        <v>-95</v>
      </c>
      <c r="H1135" s="126" t="s">
        <v>231</v>
      </c>
      <c r="I1135" s="127" t="s">
        <v>232</v>
      </c>
      <c r="J1135" s="126">
        <v>1.66</v>
      </c>
      <c r="K1135" s="126">
        <v>95</v>
      </c>
      <c r="L1135" s="129">
        <f>INT(base[[#This Row],[Data de liquidação]])</f>
        <v>46082</v>
      </c>
      <c r="M1135" s="126">
        <f>base[[#This Row],[L/P Bruto]]-base[[#This Row],[L/P Líquido]]</f>
        <v>0</v>
      </c>
      <c r="N1135" s="126">
        <f>base[[#This Row],[L/P Líquido]]/base[[#This Row],[Stake/Responsabilidade]]</f>
        <v>-1</v>
      </c>
      <c r="O1135" s="132">
        <f>IF(base[[#This Row],[L/P Líquido]]&gt;0,1,0)</f>
        <v>0</v>
      </c>
      <c r="P1135" s="132"/>
      <c r="Q1135" s="132" t="str">
        <f>LEFT(base[[#This Row],[Evento / Mercado]],FIND("vs",base[[#This Row],[Evento / Mercado]])-2)</f>
        <v>FC Midtjylland</v>
      </c>
      <c r="R11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Brøndby IF</v>
      </c>
      <c r="S1135" s="132" t="e">
        <f>LEFT(base[[#This Row],[Evento / Mercado]],FIND("/",base[[#This Row],[Evento / Mercado]])-2)</f>
        <v>#VALUE!</v>
      </c>
    </row>
    <row r="1136" spans="2:21" ht="15" customHeight="1">
      <c r="B1136" s="128" t="s">
        <v>987</v>
      </c>
      <c r="C1136" s="128" t="s">
        <v>2982</v>
      </c>
      <c r="D1136" s="129">
        <v>46082.642650462964</v>
      </c>
      <c r="E1136" s="130">
        <v>-95</v>
      </c>
      <c r="F1136" s="131">
        <v>4.4999999999999998E-2</v>
      </c>
      <c r="G1136" s="126">
        <f t="shared" si="18"/>
        <v>-95</v>
      </c>
      <c r="H1136" s="126" t="s">
        <v>231</v>
      </c>
      <c r="I1136" s="127" t="s">
        <v>232</v>
      </c>
      <c r="J1136" s="126">
        <v>1.88</v>
      </c>
      <c r="K1136" s="126">
        <v>95</v>
      </c>
      <c r="L1136" s="129">
        <f>INT(base[[#This Row],[Data de liquidação]])</f>
        <v>46082</v>
      </c>
      <c r="M1136" s="126">
        <f>base[[#This Row],[L/P Bruto]]-base[[#This Row],[L/P Líquido]]</f>
        <v>0</v>
      </c>
      <c r="N1136" s="126">
        <f>base[[#This Row],[L/P Líquido]]/base[[#This Row],[Stake/Responsabilidade]]</f>
        <v>-1</v>
      </c>
      <c r="O1136" s="132">
        <f>IF(base[[#This Row],[L/P Líquido]]&gt;0,1,0)</f>
        <v>0</v>
      </c>
      <c r="P1136" s="132"/>
      <c r="Q1136" s="132" t="str">
        <f>LEFT(base[[#This Row],[Evento / Mercado]],FIND("vs",base[[#This Row],[Evento / Mercado]])-2)</f>
        <v>Eintracht Frankfurt</v>
      </c>
      <c r="R11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1136" s="132" t="e">
        <f>LEFT(base[[#This Row],[Evento / Mercado]],FIND("/",base[[#This Row],[Evento / Mercado]])-2)</f>
        <v>#VALUE!</v>
      </c>
    </row>
    <row r="1137" spans="2:19" ht="15" customHeight="1">
      <c r="B1137" s="128" t="s">
        <v>986</v>
      </c>
      <c r="C1137" s="128" t="s">
        <v>2982</v>
      </c>
      <c r="D1137" s="129">
        <v>46082.644120370373</v>
      </c>
      <c r="E1137" s="130">
        <v>13.03</v>
      </c>
      <c r="F1137" s="131">
        <v>4.4999999999999998E-2</v>
      </c>
      <c r="G1137" s="126">
        <f t="shared" si="18"/>
        <v>13.643979057591624</v>
      </c>
      <c r="H1137" s="126" t="s">
        <v>74</v>
      </c>
      <c r="I1137" s="127" t="s">
        <v>476</v>
      </c>
      <c r="J1137" s="126">
        <v>23</v>
      </c>
      <c r="K1137" s="126">
        <v>300.08</v>
      </c>
      <c r="L1137" s="129">
        <f>INT(base[[#This Row],[Data de liquidação]])</f>
        <v>46082</v>
      </c>
      <c r="M1137" s="126">
        <f>base[[#This Row],[L/P Bruto]]-base[[#This Row],[L/P Líquido]]</f>
        <v>0.61397905759162441</v>
      </c>
      <c r="N1137" s="126">
        <f>base[[#This Row],[L/P Líquido]]/base[[#This Row],[Stake/Responsabilidade]]</f>
        <v>4.3421754198880301E-2</v>
      </c>
      <c r="O1137" s="132">
        <f>IF(base[[#This Row],[L/P Líquido]]&gt;0,1,0)</f>
        <v>1</v>
      </c>
      <c r="P1137" s="132" t="s">
        <v>963</v>
      </c>
      <c r="Q1137" s="132" t="str">
        <f>LEFT(base[[#This Row],[Evento / Mercado]],FIND("vs",base[[#This Row],[Evento / Mercado]])-2)</f>
        <v>Arsenal</v>
      </c>
      <c r="R11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1137" s="132" t="e">
        <f>LEFT(base[[#This Row],[Evento / Mercado]],FIND("/",base[[#This Row],[Evento / Mercado]])-2)</f>
        <v>#VALUE!</v>
      </c>
    </row>
    <row r="1138" spans="2:19" ht="15" customHeight="1">
      <c r="B1138" s="128" t="s">
        <v>985</v>
      </c>
      <c r="C1138" s="128" t="s">
        <v>2982</v>
      </c>
      <c r="D1138" s="129">
        <v>46082.666990740741</v>
      </c>
      <c r="E1138" s="130">
        <v>-226.11</v>
      </c>
      <c r="F1138" s="131">
        <v>4.4999999999999998E-2</v>
      </c>
      <c r="G1138" s="126">
        <f t="shared" si="18"/>
        <v>-226.11</v>
      </c>
      <c r="H1138" s="126" t="s">
        <v>145</v>
      </c>
      <c r="I1138" s="127" t="s">
        <v>300</v>
      </c>
      <c r="J1138" s="126">
        <v>6.8</v>
      </c>
      <c r="K1138" s="126">
        <v>340</v>
      </c>
      <c r="L1138" s="129">
        <f>INT(base[[#This Row],[Data de liquidação]])</f>
        <v>46082</v>
      </c>
      <c r="M1138" s="126">
        <f>base[[#This Row],[L/P Bruto]]-base[[#This Row],[L/P Líquido]]</f>
        <v>0</v>
      </c>
      <c r="N1138" s="126">
        <f>base[[#This Row],[L/P Líquido]]/base[[#This Row],[Stake/Responsabilidade]]</f>
        <v>-0.66502941176470587</v>
      </c>
      <c r="O1138" s="132">
        <f>IF(base[[#This Row],[L/P Líquido]]&gt;0,1,0)</f>
        <v>0</v>
      </c>
      <c r="P1138" s="132" t="s">
        <v>966</v>
      </c>
      <c r="Q1138" s="132" t="str">
        <f>LEFT(base[[#This Row],[Evento / Mercado]],FIND("vs",base[[#This Row],[Evento / Mercado]])-2)</f>
        <v>Antalyaspor</v>
      </c>
      <c r="R11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Fenerbahçe SK</v>
      </c>
      <c r="S1138" s="132" t="e">
        <f>LEFT(base[[#This Row],[Evento / Mercado]],FIND("/",base[[#This Row],[Evento / Mercado]])-2)</f>
        <v>#VALUE!</v>
      </c>
    </row>
    <row r="1139" spans="2:19" ht="15" customHeight="1">
      <c r="B1139" s="128" t="s">
        <v>984</v>
      </c>
      <c r="C1139" s="128" t="s">
        <v>2982</v>
      </c>
      <c r="D1139" s="129">
        <v>46082.727314814816</v>
      </c>
      <c r="E1139" s="130">
        <v>14.33</v>
      </c>
      <c r="F1139" s="131">
        <v>4.4999999999999998E-2</v>
      </c>
      <c r="G1139" s="126">
        <f t="shared" si="18"/>
        <v>15.005235602094242</v>
      </c>
      <c r="H1139" s="126" t="s">
        <v>74</v>
      </c>
      <c r="I1139" s="127" t="s">
        <v>542</v>
      </c>
      <c r="J1139" s="126">
        <v>21</v>
      </c>
      <c r="K1139" s="126">
        <v>300</v>
      </c>
      <c r="L1139" s="129">
        <f>INT(base[[#This Row],[Data de liquidação]])</f>
        <v>46082</v>
      </c>
      <c r="M1139" s="126">
        <f>base[[#This Row],[L/P Bruto]]-base[[#This Row],[L/P Líquido]]</f>
        <v>0.67523560209424183</v>
      </c>
      <c r="N1139" s="126">
        <f>base[[#This Row],[L/P Líquido]]/base[[#This Row],[Stake/Responsabilidade]]</f>
        <v>4.7766666666666666E-2</v>
      </c>
      <c r="O1139" s="132">
        <f>IF(base[[#This Row],[L/P Líquido]]&gt;0,1,0)</f>
        <v>1</v>
      </c>
      <c r="P1139" s="132" t="s">
        <v>962</v>
      </c>
      <c r="Q1139" s="132" t="str">
        <f>LEFT(base[[#This Row],[Evento / Mercado]],FIND("vs",base[[#This Row],[Evento / Mercado]])-2)</f>
        <v>Hamburger SV</v>
      </c>
      <c r="R11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RB Leipzig</v>
      </c>
      <c r="S1139" s="132" t="e">
        <f>LEFT(base[[#This Row],[Evento / Mercado]],FIND("/",base[[#This Row],[Evento / Mercado]])-2)</f>
        <v>#VALUE!</v>
      </c>
    </row>
    <row r="1140" spans="2:19" ht="15" customHeight="1">
      <c r="B1140" s="128" t="s">
        <v>983</v>
      </c>
      <c r="C1140" s="128" t="s">
        <v>2982</v>
      </c>
      <c r="D1140" s="129">
        <v>46082.762418981481</v>
      </c>
      <c r="E1140" s="130">
        <v>71.67</v>
      </c>
      <c r="F1140" s="131">
        <v>4.4999999999999998E-2</v>
      </c>
      <c r="G1140" s="126">
        <f t="shared" si="18"/>
        <v>75.047120418848166</v>
      </c>
      <c r="H1140" s="126" t="s">
        <v>231</v>
      </c>
      <c r="I1140" s="127" t="s">
        <v>266</v>
      </c>
      <c r="J1140" s="126">
        <v>1.79</v>
      </c>
      <c r="K1140" s="126">
        <v>95</v>
      </c>
      <c r="L1140" s="129">
        <f>INT(base[[#This Row],[Data de liquidação]])</f>
        <v>46082</v>
      </c>
      <c r="M1140" s="126">
        <f>base[[#This Row],[L/P Bruto]]-base[[#This Row],[L/P Líquido]]</f>
        <v>3.3771204188481647</v>
      </c>
      <c r="N1140" s="126">
        <f>base[[#This Row],[L/P Líquido]]/base[[#This Row],[Stake/Responsabilidade]]</f>
        <v>0.75442105263157899</v>
      </c>
      <c r="O1140" s="132">
        <f>IF(base[[#This Row],[L/P Líquido]]&gt;0,1,0)</f>
        <v>1</v>
      </c>
      <c r="P1140" s="132"/>
      <c r="Q1140" s="132" t="str">
        <f>LEFT(base[[#This Row],[Evento / Mercado]],FIND("vs",base[[#This Row],[Evento / Mercado]])-2)</f>
        <v>Girona</v>
      </c>
      <c r="R11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140" s="132" t="e">
        <f>LEFT(base[[#This Row],[Evento / Mercado]],FIND("/",base[[#This Row],[Evento / Mercado]])-2)</f>
        <v>#VALUE!</v>
      </c>
    </row>
    <row r="1141" spans="2:19" ht="15" customHeight="1">
      <c r="B1141" s="128" t="s">
        <v>995</v>
      </c>
      <c r="C1141" s="128" t="s">
        <v>2982</v>
      </c>
      <c r="D1141" s="129">
        <v>46083.794305555559</v>
      </c>
      <c r="E1141" s="130">
        <v>-134.9</v>
      </c>
      <c r="F1141" s="131">
        <v>4.4999999999999998E-2</v>
      </c>
      <c r="G1141" s="126">
        <f t="shared" si="18"/>
        <v>-134.9</v>
      </c>
      <c r="H1141" s="126" t="s">
        <v>74</v>
      </c>
      <c r="I1141" s="127" t="s">
        <v>476</v>
      </c>
      <c r="J1141" s="126">
        <v>27</v>
      </c>
      <c r="K1141" s="126">
        <v>329.94</v>
      </c>
      <c r="L1141" s="129">
        <f>INT(base[[#This Row],[Data de liquidação]])</f>
        <v>46083</v>
      </c>
      <c r="M1141" s="126">
        <f>base[[#This Row],[L/P Bruto]]-base[[#This Row],[L/P Líquido]]</f>
        <v>0</v>
      </c>
      <c r="N1141" s="126">
        <f>base[[#This Row],[L/P Líquido]]/base[[#This Row],[Stake/Responsabilidade]]</f>
        <v>-0.40886221737285566</v>
      </c>
      <c r="O1141" s="132">
        <f>IF(base[[#This Row],[L/P Líquido]]&gt;0,1,0)</f>
        <v>0</v>
      </c>
      <c r="P1141" s="132" t="s">
        <v>964</v>
      </c>
      <c r="Q1141" s="132" t="str">
        <f>LEFT(base[[#This Row],[Evento / Mercado]],FIND("vs",base[[#This Row],[Evento / Mercado]])-2)</f>
        <v>Real Madrid</v>
      </c>
      <c r="R11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Getafe</v>
      </c>
      <c r="S1141" s="132" t="e">
        <f>LEFT(base[[#This Row],[Evento / Mercado]],FIND("/",base[[#This Row],[Evento / Mercado]])-2)</f>
        <v>#VALUE!</v>
      </c>
    </row>
    <row r="1142" spans="2:19" ht="15" customHeight="1">
      <c r="B1142" s="128" t="s">
        <v>995</v>
      </c>
      <c r="C1142" s="128" t="s">
        <v>2982</v>
      </c>
      <c r="D1142" s="129">
        <v>46083.79446759259</v>
      </c>
      <c r="E1142" s="130">
        <v>-162.44999999999999</v>
      </c>
      <c r="F1142" s="131">
        <v>4.4999999999999998E-2</v>
      </c>
      <c r="G1142" s="126">
        <f t="shared" si="18"/>
        <v>-162.44999999999999</v>
      </c>
      <c r="H1142" s="126" t="s">
        <v>145</v>
      </c>
      <c r="I1142" s="127" t="s">
        <v>301</v>
      </c>
      <c r="J1142" s="126">
        <v>11.5</v>
      </c>
      <c r="K1142" s="126">
        <v>299.99</v>
      </c>
      <c r="L1142" s="129">
        <f>INT(base[[#This Row],[Data de liquidação]])</f>
        <v>46083</v>
      </c>
      <c r="M1142" s="126">
        <f>base[[#This Row],[L/P Bruto]]-base[[#This Row],[L/P Líquido]]</f>
        <v>0</v>
      </c>
      <c r="N1142" s="126">
        <f>base[[#This Row],[L/P Líquido]]/base[[#This Row],[Stake/Responsabilidade]]</f>
        <v>-0.54151805060168667</v>
      </c>
      <c r="O1142" s="132">
        <f>IF(base[[#This Row],[L/P Líquido]]&gt;0,1,0)</f>
        <v>0</v>
      </c>
      <c r="P1142" s="132" t="s">
        <v>964</v>
      </c>
      <c r="Q1142" s="132" t="str">
        <f>LEFT(base[[#This Row],[Evento / Mercado]],FIND("vs",base[[#This Row],[Evento / Mercado]])-2)</f>
        <v>Real Madrid</v>
      </c>
      <c r="R11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Getafe</v>
      </c>
      <c r="S1142" s="132" t="e">
        <f>LEFT(base[[#This Row],[Evento / Mercado]],FIND("/",base[[#This Row],[Evento / Mercado]])-2)</f>
        <v>#VALUE!</v>
      </c>
    </row>
    <row r="1143" spans="2:19" ht="15" customHeight="1">
      <c r="B1143" s="128" t="s">
        <v>1002</v>
      </c>
      <c r="C1143" s="128" t="s">
        <v>2982</v>
      </c>
      <c r="D1143" s="129">
        <v>46084.63349537037</v>
      </c>
      <c r="E1143" s="130">
        <v>64.41</v>
      </c>
      <c r="F1143" s="131">
        <v>4.4999999999999998E-2</v>
      </c>
      <c r="G1143" s="126">
        <f t="shared" si="18"/>
        <v>67.445026178010465</v>
      </c>
      <c r="H1143" s="126" t="s">
        <v>231</v>
      </c>
      <c r="I1143" s="127" t="s">
        <v>266</v>
      </c>
      <c r="J1143" s="126">
        <v>1.71</v>
      </c>
      <c r="K1143" s="126">
        <v>95</v>
      </c>
      <c r="L1143" s="129">
        <f>INT(base[[#This Row],[Data de liquidação]])</f>
        <v>46084</v>
      </c>
      <c r="M1143" s="126">
        <f>base[[#This Row],[L/P Bruto]]-base[[#This Row],[L/P Líquido]]</f>
        <v>3.0350261780104688</v>
      </c>
      <c r="N1143" s="126">
        <f>base[[#This Row],[L/P Líquido]]/base[[#This Row],[Stake/Responsabilidade]]</f>
        <v>0.67799999999999994</v>
      </c>
      <c r="O1143" s="132">
        <f>IF(base[[#This Row],[L/P Líquido]]&gt;0,1,0)</f>
        <v>1</v>
      </c>
      <c r="P1143" s="132"/>
      <c r="Q1143" s="132" t="str">
        <f>LEFT(base[[#This Row],[Evento / Mercado]],FIND("vs",base[[#This Row],[Evento / Mercado]])-2)</f>
        <v>TSV 1860 München</v>
      </c>
      <c r="R11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Erzgebirge Aue</v>
      </c>
      <c r="S1143" s="132" t="e">
        <f>LEFT(base[[#This Row],[Evento / Mercado]],FIND("/",base[[#This Row],[Evento / Mercado]])-2)</f>
        <v>#VALUE!</v>
      </c>
    </row>
    <row r="1144" spans="2:19" ht="15" customHeight="1">
      <c r="B1144" s="128" t="s">
        <v>1001</v>
      </c>
      <c r="C1144" s="128" t="s">
        <v>2982</v>
      </c>
      <c r="D1144" s="129">
        <v>46084.704895833333</v>
      </c>
      <c r="E1144" s="130">
        <v>-206.58</v>
      </c>
      <c r="F1144" s="131">
        <v>4.4999999999999998E-2</v>
      </c>
      <c r="G1144" s="126">
        <f t="shared" si="18"/>
        <v>-206.58</v>
      </c>
      <c r="H1144" s="126" t="s">
        <v>145</v>
      </c>
      <c r="I1144" s="127" t="s">
        <v>301</v>
      </c>
      <c r="J1144" s="126">
        <v>5</v>
      </c>
      <c r="K1144" s="126">
        <v>299.45999999999998</v>
      </c>
      <c r="L1144" s="129">
        <f>INT(base[[#This Row],[Data de liquidação]])</f>
        <v>46084</v>
      </c>
      <c r="M1144" s="126">
        <f>base[[#This Row],[L/P Bruto]]-base[[#This Row],[L/P Líquido]]</f>
        <v>0</v>
      </c>
      <c r="N1144" s="126">
        <f>base[[#This Row],[L/P Líquido]]/base[[#This Row],[Stake/Responsabilidade]]</f>
        <v>-0.68984171508715697</v>
      </c>
      <c r="O1144" s="132">
        <f>IF(base[[#This Row],[L/P Líquido]]&gt;0,1,0)</f>
        <v>0</v>
      </c>
      <c r="P1144" s="132" t="s">
        <v>975</v>
      </c>
      <c r="Q1144" s="132" t="str">
        <f>LEFT(base[[#This Row],[Evento / Mercado]],FIND("vs",base[[#This Row],[Evento / Mercado]])-2)</f>
        <v>SC Verl</v>
      </c>
      <c r="R11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SSV Jahn Regensburg</v>
      </c>
      <c r="S1144" s="132" t="e">
        <f>LEFT(base[[#This Row],[Evento / Mercado]],FIND("/",base[[#This Row],[Evento / Mercado]])-2)</f>
        <v>#VALUE!</v>
      </c>
    </row>
    <row r="1145" spans="2:19" ht="15" customHeight="1">
      <c r="B1145" s="128" t="s">
        <v>1000</v>
      </c>
      <c r="C1145" s="128" t="s">
        <v>2982</v>
      </c>
      <c r="D1145" s="129">
        <v>46084.743576388886</v>
      </c>
      <c r="E1145" s="130">
        <v>26.04</v>
      </c>
      <c r="F1145" s="131">
        <v>4.4999999999999998E-2</v>
      </c>
      <c r="G1145" s="126">
        <f t="shared" si="18"/>
        <v>27.267015706806284</v>
      </c>
      <c r="H1145" s="126" t="s">
        <v>145</v>
      </c>
      <c r="I1145" s="127" t="s">
        <v>301</v>
      </c>
      <c r="J1145" s="126">
        <v>12</v>
      </c>
      <c r="K1145" s="126">
        <v>299.97000000000003</v>
      </c>
      <c r="L1145" s="129">
        <f>INT(base[[#This Row],[Data de liquidação]])</f>
        <v>46084</v>
      </c>
      <c r="M1145" s="126">
        <f>base[[#This Row],[L/P Bruto]]-base[[#This Row],[L/P Líquido]]</f>
        <v>1.2270157068062844</v>
      </c>
      <c r="N1145" s="126">
        <f>base[[#This Row],[L/P Líquido]]/base[[#This Row],[Stake/Responsabilidade]]</f>
        <v>8.6808680868086796E-2</v>
      </c>
      <c r="O1145" s="132">
        <f>IF(base[[#This Row],[L/P Líquido]]&gt;0,1,0)</f>
        <v>1</v>
      </c>
      <c r="P1145" s="132" t="s">
        <v>971</v>
      </c>
      <c r="Q1145" s="132" t="str">
        <f>LEFT(base[[#This Row],[Evento / Mercado]],FIND("vs",base[[#This Row],[Evento / Mercado]])-2)</f>
        <v>Venezia</v>
      </c>
      <c r="R11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Avellino</v>
      </c>
      <c r="S1145" s="132" t="e">
        <f>LEFT(base[[#This Row],[Evento / Mercado]],FIND("/",base[[#This Row],[Evento / Mercado]])-2)</f>
        <v>#VALUE!</v>
      </c>
    </row>
    <row r="1146" spans="2:19" ht="15" customHeight="1">
      <c r="B1146" s="128" t="s">
        <v>999</v>
      </c>
      <c r="C1146" s="128" t="s">
        <v>2982</v>
      </c>
      <c r="D1146" s="129">
        <v>46084.766793981478</v>
      </c>
      <c r="E1146" s="130">
        <v>-95</v>
      </c>
      <c r="F1146" s="131">
        <v>4.4999999999999998E-2</v>
      </c>
      <c r="G1146" s="126">
        <f t="shared" si="18"/>
        <v>-95</v>
      </c>
      <c r="H1146" s="126" t="s">
        <v>231</v>
      </c>
      <c r="I1146" s="127" t="s">
        <v>232</v>
      </c>
      <c r="J1146" s="126">
        <v>1.68</v>
      </c>
      <c r="K1146" s="126">
        <v>95</v>
      </c>
      <c r="L1146" s="129">
        <f>INT(base[[#This Row],[Data de liquidação]])</f>
        <v>46084</v>
      </c>
      <c r="M1146" s="126">
        <f>base[[#This Row],[L/P Bruto]]-base[[#This Row],[L/P Líquido]]</f>
        <v>0</v>
      </c>
      <c r="N1146" s="126">
        <f>base[[#This Row],[L/P Líquido]]/base[[#This Row],[Stake/Responsabilidade]]</f>
        <v>-1</v>
      </c>
      <c r="O1146" s="132">
        <f>IF(base[[#This Row],[L/P Líquido]]&gt;0,1,0)</f>
        <v>0</v>
      </c>
      <c r="P1146" s="132"/>
      <c r="Q1146" s="132" t="str">
        <f>LEFT(base[[#This Row],[Evento / Mercado]],FIND("vs",base[[#This Row],[Evento / Mercado]])-2)</f>
        <v>AFC Bournemouth</v>
      </c>
      <c r="R11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1146" s="132" t="e">
        <f>LEFT(base[[#This Row],[Evento / Mercado]],FIND("/",base[[#This Row],[Evento / Mercado]])-2)</f>
        <v>#VALUE!</v>
      </c>
    </row>
    <row r="1147" spans="2:19" ht="15" customHeight="1">
      <c r="B1147" s="128" t="s">
        <v>998</v>
      </c>
      <c r="C1147" s="128" t="s">
        <v>2982</v>
      </c>
      <c r="D1147" s="129">
        <v>46084.777881944443</v>
      </c>
      <c r="E1147" s="130">
        <v>-95</v>
      </c>
      <c r="F1147" s="131">
        <v>4.4999999999999998E-2</v>
      </c>
      <c r="G1147" s="126">
        <f t="shared" si="18"/>
        <v>-95</v>
      </c>
      <c r="H1147" s="126" t="s">
        <v>231</v>
      </c>
      <c r="I1147" s="127" t="s">
        <v>232</v>
      </c>
      <c r="J1147" s="126">
        <v>1.77</v>
      </c>
      <c r="K1147" s="126">
        <v>95</v>
      </c>
      <c r="L1147" s="129">
        <f>INT(base[[#This Row],[Data de liquidação]])</f>
        <v>46084</v>
      </c>
      <c r="M1147" s="126">
        <f>base[[#This Row],[L/P Bruto]]-base[[#This Row],[L/P Líquido]]</f>
        <v>0</v>
      </c>
      <c r="N1147" s="126">
        <f>base[[#This Row],[L/P Líquido]]/base[[#This Row],[Stake/Responsabilidade]]</f>
        <v>-1</v>
      </c>
      <c r="O1147" s="132">
        <f>IF(base[[#This Row],[L/P Líquido]]&gt;0,1,0)</f>
        <v>0</v>
      </c>
      <c r="P1147" s="132"/>
      <c r="Q1147" s="132" t="str">
        <f>LEFT(base[[#This Row],[Evento / Mercado]],FIND("vs",base[[#This Row],[Evento / Mercado]])-2)</f>
        <v>Barnsley</v>
      </c>
      <c r="R11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Wycombe Wanderers</v>
      </c>
      <c r="S1147" s="132" t="e">
        <f>LEFT(base[[#This Row],[Evento / Mercado]],FIND("/",base[[#This Row],[Evento / Mercado]])-2)</f>
        <v>#VALUE!</v>
      </c>
    </row>
    <row r="1148" spans="2:19" ht="15" customHeight="1">
      <c r="B1148" s="128" t="s">
        <v>997</v>
      </c>
      <c r="C1148" s="128" t="s">
        <v>2982</v>
      </c>
      <c r="D1148" s="129">
        <v>46084.778599537036</v>
      </c>
      <c r="E1148" s="130">
        <v>-105.7</v>
      </c>
      <c r="F1148" s="131">
        <v>4.4999999999999998E-2</v>
      </c>
      <c r="G1148" s="126">
        <f t="shared" si="18"/>
        <v>-105.7</v>
      </c>
      <c r="H1148" s="126" t="s">
        <v>231</v>
      </c>
      <c r="I1148" s="127" t="s">
        <v>266</v>
      </c>
      <c r="J1148" s="126">
        <f>(1.9*92.67+1.89*13.03)/base[[#This Row],[Stake/Responsabilidade]]</f>
        <v>1.8987672658467361</v>
      </c>
      <c r="K1148" s="126">
        <f>92.67+13.03</f>
        <v>105.7</v>
      </c>
      <c r="L1148" s="129">
        <f>INT(base[[#This Row],[Data de liquidação]])</f>
        <v>46084</v>
      </c>
      <c r="M1148" s="126">
        <f>base[[#This Row],[L/P Bruto]]-base[[#This Row],[L/P Líquido]]</f>
        <v>0</v>
      </c>
      <c r="N1148" s="126">
        <f>base[[#This Row],[L/P Líquido]]/base[[#This Row],[Stake/Responsabilidade]]</f>
        <v>-1</v>
      </c>
      <c r="O1148" s="132">
        <f>IF(base[[#This Row],[L/P Líquido]]&gt;0,1,0)</f>
        <v>0</v>
      </c>
      <c r="P1148" s="132"/>
      <c r="Q1148" s="132" t="str">
        <f>LEFT(base[[#This Row],[Evento / Mercado]],FIND("vs",base[[#This Row],[Evento / Mercado]])-2)</f>
        <v>Ipswich Town</v>
      </c>
      <c r="R11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Hull City</v>
      </c>
      <c r="S1148" s="132" t="e">
        <f>LEFT(base[[#This Row],[Evento / Mercado]],FIND("/",base[[#This Row],[Evento / Mercado]])-2)</f>
        <v>#VALUE!</v>
      </c>
    </row>
    <row r="1149" spans="2:19" ht="15" customHeight="1">
      <c r="B1149" s="128" t="s">
        <v>996</v>
      </c>
      <c r="C1149" s="128" t="s">
        <v>2982</v>
      </c>
      <c r="D1149" s="129">
        <v>46084.799097222225</v>
      </c>
      <c r="E1149" s="130">
        <v>-161.33000000000001</v>
      </c>
      <c r="F1149" s="131">
        <v>4.4999999999999998E-2</v>
      </c>
      <c r="G1149" s="126">
        <f t="shared" si="18"/>
        <v>-161.33000000000001</v>
      </c>
      <c r="H1149" s="126" t="s">
        <v>74</v>
      </c>
      <c r="I1149" s="127" t="s">
        <v>542</v>
      </c>
      <c r="J1149" s="126">
        <v>26</v>
      </c>
      <c r="K1149" s="126">
        <v>300</v>
      </c>
      <c r="L1149" s="129">
        <f>INT(base[[#This Row],[Data de liquidação]])</f>
        <v>46084</v>
      </c>
      <c r="M1149" s="126">
        <f>base[[#This Row],[L/P Bruto]]-base[[#This Row],[L/P Líquido]]</f>
        <v>0</v>
      </c>
      <c r="N1149" s="126">
        <f>base[[#This Row],[L/P Líquido]]/base[[#This Row],[Stake/Responsabilidade]]</f>
        <v>-0.53776666666666673</v>
      </c>
      <c r="O1149" s="132">
        <f>IF(base[[#This Row],[L/P Líquido]]&gt;0,1,0)</f>
        <v>0</v>
      </c>
      <c r="P1149" s="132" t="s">
        <v>963</v>
      </c>
      <c r="Q1149" s="132" t="str">
        <f>LEFT(base[[#This Row],[Evento / Mercado]],FIND("vs",base[[#This Row],[Evento / Mercado]])-2)</f>
        <v>Wolverhampton Wanderers</v>
      </c>
      <c r="R11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1149" s="132" t="e">
        <f>LEFT(base[[#This Row],[Evento / Mercado]],FIND("/",base[[#This Row],[Evento / Mercado]])-2)</f>
        <v>#VALUE!</v>
      </c>
    </row>
    <row r="1150" spans="2:19" ht="15" customHeight="1">
      <c r="B1150" s="128" t="s">
        <v>1009</v>
      </c>
      <c r="C1150" s="128" t="s">
        <v>2982</v>
      </c>
      <c r="D1150" s="129">
        <v>46085.646979166668</v>
      </c>
      <c r="E1150" s="130">
        <v>63.51</v>
      </c>
      <c r="F1150" s="131">
        <v>4.4999999999999998E-2</v>
      </c>
      <c r="G1150" s="126">
        <f t="shared" si="18"/>
        <v>66.502617801047123</v>
      </c>
      <c r="H1150" s="126" t="s">
        <v>231</v>
      </c>
      <c r="I1150" s="127" t="s">
        <v>266</v>
      </c>
      <c r="J1150" s="126">
        <v>1.7</v>
      </c>
      <c r="K1150" s="126">
        <v>95</v>
      </c>
      <c r="L1150" s="129">
        <f>INT(base[[#This Row],[Data de liquidação]])</f>
        <v>46085</v>
      </c>
      <c r="M1150" s="126">
        <f>base[[#This Row],[L/P Bruto]]-base[[#This Row],[L/P Líquido]]</f>
        <v>2.9926178010471247</v>
      </c>
      <c r="N1150" s="126">
        <f>base[[#This Row],[L/P Líquido]]/base[[#This Row],[Stake/Responsabilidade]]</f>
        <v>0.66852631578947364</v>
      </c>
      <c r="O1150" s="132">
        <f>IF(base[[#This Row],[L/P Líquido]]&gt;0,1,0)</f>
        <v>1</v>
      </c>
      <c r="P1150" s="132"/>
      <c r="Q1150" s="132" t="str">
        <f>LEFT(base[[#This Row],[Evento / Mercado]],FIND("vs",base[[#This Row],[Evento / Mercado]])-2)</f>
        <v>TSV Havelse</v>
      </c>
      <c r="R11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Hansa Rostock</v>
      </c>
      <c r="S1150" s="132" t="e">
        <f>LEFT(base[[#This Row],[Evento / Mercado]],FIND("/",base[[#This Row],[Evento / Mercado]])-2)</f>
        <v>#VALUE!</v>
      </c>
    </row>
    <row r="1151" spans="2:19" ht="15" customHeight="1">
      <c r="B1151" s="128" t="s">
        <v>1008</v>
      </c>
      <c r="C1151" s="128" t="s">
        <v>2982</v>
      </c>
      <c r="D1151" s="129">
        <v>46085.684398148151</v>
      </c>
      <c r="E1151" s="130">
        <v>99.8</v>
      </c>
      <c r="F1151" s="131">
        <v>4.4999999999999998E-2</v>
      </c>
      <c r="G1151" s="126">
        <f t="shared" si="18"/>
        <v>104.50261780104712</v>
      </c>
      <c r="H1151" s="126" t="s">
        <v>231</v>
      </c>
      <c r="I1151" s="127" t="s">
        <v>266</v>
      </c>
      <c r="J1151" s="126">
        <v>2.1</v>
      </c>
      <c r="K1151" s="126">
        <v>95</v>
      </c>
      <c r="L1151" s="129">
        <f>INT(base[[#This Row],[Data de liquidação]])</f>
        <v>46085</v>
      </c>
      <c r="M1151" s="126">
        <f>base[[#This Row],[L/P Bruto]]-base[[#This Row],[L/P Líquido]]</f>
        <v>4.7026178010471256</v>
      </c>
      <c r="N1151" s="126">
        <f>base[[#This Row],[L/P Líquido]]/base[[#This Row],[Stake/Responsabilidade]]</f>
        <v>1.0505263157894738</v>
      </c>
      <c r="O1151" s="132">
        <f>IF(base[[#This Row],[L/P Líquido]]&gt;0,1,0)</f>
        <v>1</v>
      </c>
      <c r="P1151" s="132"/>
      <c r="Q1151" s="132" t="str">
        <f>LEFT(base[[#This Row],[Evento / Mercado]],FIND("vs",base[[#This Row],[Evento / Mercado]])-2)</f>
        <v>Kifisia FC</v>
      </c>
      <c r="R11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PAOK</v>
      </c>
      <c r="S1151" s="132" t="e">
        <f>LEFT(base[[#This Row],[Evento / Mercado]],FIND("/",base[[#This Row],[Evento / Mercado]])-2)</f>
        <v>#VALUE!</v>
      </c>
    </row>
    <row r="1152" spans="2:19" ht="15" customHeight="1">
      <c r="B1152" s="128" t="s">
        <v>1007</v>
      </c>
      <c r="C1152" s="128" t="s">
        <v>2982</v>
      </c>
      <c r="D1152" s="129">
        <v>46085.729120370372</v>
      </c>
      <c r="E1152" s="130">
        <v>77.12</v>
      </c>
      <c r="F1152" s="131">
        <v>4.4999999999999998E-2</v>
      </c>
      <c r="G1152" s="126">
        <f t="shared" si="18"/>
        <v>80.753926701570691</v>
      </c>
      <c r="H1152" s="126" t="s">
        <v>231</v>
      </c>
      <c r="I1152" s="127" t="s">
        <v>232</v>
      </c>
      <c r="J1152" s="126">
        <v>1.85</v>
      </c>
      <c r="K1152" s="126">
        <v>95</v>
      </c>
      <c r="L1152" s="129">
        <f>INT(base[[#This Row],[Data de liquidação]])</f>
        <v>46085</v>
      </c>
      <c r="M1152" s="126">
        <f>base[[#This Row],[L/P Bruto]]-base[[#This Row],[L/P Líquido]]</f>
        <v>3.6339267015706866</v>
      </c>
      <c r="N1152" s="126">
        <f>base[[#This Row],[L/P Líquido]]/base[[#This Row],[Stake/Responsabilidade]]</f>
        <v>0.81178947368421062</v>
      </c>
      <c r="O1152" s="132">
        <f>IF(base[[#This Row],[L/P Líquido]]&gt;0,1,0)</f>
        <v>1</v>
      </c>
      <c r="P1152" s="132"/>
      <c r="Q1152" s="132" t="str">
        <f>LEFT(base[[#This Row],[Evento / Mercado]],FIND("vs",base[[#This Row],[Evento / Mercado]])-2)</f>
        <v>Palermo</v>
      </c>
      <c r="R11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Mantova</v>
      </c>
      <c r="S1152" s="132" t="e">
        <f>LEFT(base[[#This Row],[Evento / Mercado]],FIND("/",base[[#This Row],[Evento / Mercado]])-2)</f>
        <v>#VALUE!</v>
      </c>
    </row>
    <row r="1153" spans="2:19" ht="15" customHeight="1">
      <c r="B1153" s="128" t="s">
        <v>1006</v>
      </c>
      <c r="C1153" s="128" t="s">
        <v>2982</v>
      </c>
      <c r="D1153" s="129">
        <v>46085.770057870373</v>
      </c>
      <c r="E1153" s="130">
        <v>-95</v>
      </c>
      <c r="F1153" s="131">
        <v>4.4999999999999998E-2</v>
      </c>
      <c r="G1153" s="126">
        <f t="shared" si="18"/>
        <v>-95</v>
      </c>
      <c r="H1153" s="126" t="s">
        <v>231</v>
      </c>
      <c r="I1153" s="127" t="s">
        <v>232</v>
      </c>
      <c r="J1153" s="126">
        <v>2</v>
      </c>
      <c r="K1153" s="126">
        <v>95</v>
      </c>
      <c r="L1153" s="129">
        <f>INT(base[[#This Row],[Data de liquidação]])</f>
        <v>46085</v>
      </c>
      <c r="M1153" s="126">
        <f>base[[#This Row],[L/P Bruto]]-base[[#This Row],[L/P Líquido]]</f>
        <v>0</v>
      </c>
      <c r="N1153" s="126">
        <f>base[[#This Row],[L/P Líquido]]/base[[#This Row],[Stake/Responsabilidade]]</f>
        <v>-1</v>
      </c>
      <c r="O1153" s="132">
        <f>IF(base[[#This Row],[L/P Líquido]]&gt;0,1,0)</f>
        <v>0</v>
      </c>
      <c r="P1153" s="132"/>
      <c r="Q1153" s="132" t="str">
        <f>LEFT(base[[#This Row],[Evento / Mercado]],FIND("vs",base[[#This Row],[Evento / Mercado]])-2)</f>
        <v>Brighton &amp; Hove Albion</v>
      </c>
      <c r="R11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1153" s="132" t="e">
        <f>LEFT(base[[#This Row],[Evento / Mercado]],FIND("/",base[[#This Row],[Evento / Mercado]])-2)</f>
        <v>#VALUE!</v>
      </c>
    </row>
    <row r="1154" spans="2:19" ht="15" customHeight="1">
      <c r="B1154" s="128" t="s">
        <v>1005</v>
      </c>
      <c r="C1154" s="128" t="s">
        <v>2982</v>
      </c>
      <c r="D1154" s="129">
        <v>46085.770474537036</v>
      </c>
      <c r="E1154" s="130">
        <v>38.72</v>
      </c>
      <c r="F1154" s="131">
        <v>4.4999999999999998E-2</v>
      </c>
      <c r="G1154" s="126">
        <f t="shared" si="18"/>
        <v>40.544502617801051</v>
      </c>
      <c r="H1154" s="126" t="s">
        <v>145</v>
      </c>
      <c r="I1154" s="127" t="s">
        <v>301</v>
      </c>
      <c r="J1154" s="126">
        <v>8.4</v>
      </c>
      <c r="K1154" s="126">
        <v>300</v>
      </c>
      <c r="L1154" s="129">
        <f>INT(base[[#This Row],[Data de liquidação]])</f>
        <v>46085</v>
      </c>
      <c r="M1154" s="126">
        <f>base[[#This Row],[L/P Bruto]]-base[[#This Row],[L/P Líquido]]</f>
        <v>1.8245026178010519</v>
      </c>
      <c r="N1154" s="126">
        <f>base[[#This Row],[L/P Líquido]]/base[[#This Row],[Stake/Responsabilidade]]</f>
        <v>0.12906666666666666</v>
      </c>
      <c r="O1154" s="132">
        <f>IF(base[[#This Row],[L/P Líquido]]&gt;0,1,0)</f>
        <v>1</v>
      </c>
      <c r="P1154" s="132" t="s">
        <v>963</v>
      </c>
      <c r="Q1154" s="132" t="str">
        <f>LEFT(base[[#This Row],[Evento / Mercado]],FIND("vs",base[[#This Row],[Evento / Mercado]])-2)</f>
        <v>Manchester City</v>
      </c>
      <c r="R11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Nottingham Forest</v>
      </c>
      <c r="S1154" s="132" t="e">
        <f>LEFT(base[[#This Row],[Evento / Mercado]],FIND("/",base[[#This Row],[Evento / Mercado]])-2)</f>
        <v>#VALUE!</v>
      </c>
    </row>
    <row r="1155" spans="2:19" ht="15" customHeight="1">
      <c r="B1155" s="128" t="s">
        <v>1004</v>
      </c>
      <c r="C1155" s="128" t="s">
        <v>2982</v>
      </c>
      <c r="D1155" s="129">
        <v>46085.774108796293</v>
      </c>
      <c r="E1155" s="130">
        <v>24.92</v>
      </c>
      <c r="F1155" s="131">
        <v>4.4999999999999998E-2</v>
      </c>
      <c r="G1155" s="126">
        <f t="shared" ref="G1155:G1218" si="19">IF(E1155&gt;0,E1155/(1-F1155),E1155)</f>
        <v>26.094240837696336</v>
      </c>
      <c r="H1155" s="126" t="s">
        <v>122</v>
      </c>
      <c r="I1155" s="127" t="s">
        <v>542</v>
      </c>
      <c r="J1155" s="126">
        <v>12.5</v>
      </c>
      <c r="K1155" s="126">
        <v>300.04000000000002</v>
      </c>
      <c r="L1155" s="129">
        <f>INT(base[[#This Row],[Data de liquidação]])</f>
        <v>46085</v>
      </c>
      <c r="M1155" s="126">
        <f>base[[#This Row],[L/P Bruto]]-base[[#This Row],[L/P Líquido]]</f>
        <v>1.1742408376963347</v>
      </c>
      <c r="N1155" s="126">
        <f>base[[#This Row],[L/P Líquido]]/base[[#This Row],[Stake/Responsabilidade]]</f>
        <v>8.3055592587654978E-2</v>
      </c>
      <c r="O1155" s="132">
        <f>IF(base[[#This Row],[L/P Líquido]]&gt;0,1,0)</f>
        <v>1</v>
      </c>
      <c r="P1155" s="132" t="s">
        <v>963</v>
      </c>
      <c r="Q1155" s="132" t="str">
        <f>LEFT(base[[#This Row],[Evento / Mercado]],FIND("vs",base[[#This Row],[Evento / Mercado]])-2)</f>
        <v>Aston Villa</v>
      </c>
      <c r="R11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1155" s="132" t="e">
        <f>LEFT(base[[#This Row],[Evento / Mercado]],FIND("/",base[[#This Row],[Evento / Mercado]])-2)</f>
        <v>#VALUE!</v>
      </c>
    </row>
    <row r="1156" spans="2:19" ht="15" customHeight="1">
      <c r="B1156" s="128" t="s">
        <v>1003</v>
      </c>
      <c r="C1156" s="128" t="s">
        <v>2982</v>
      </c>
      <c r="D1156" s="129">
        <v>46085.804375</v>
      </c>
      <c r="E1156" s="130">
        <v>17.91</v>
      </c>
      <c r="F1156" s="131">
        <v>4.4999999999999998E-2</v>
      </c>
      <c r="G1156" s="126">
        <f t="shared" si="19"/>
        <v>18.753926701570681</v>
      </c>
      <c r="H1156" s="126" t="s">
        <v>122</v>
      </c>
      <c r="I1156" s="127" t="s">
        <v>542</v>
      </c>
      <c r="J1156" s="126">
        <v>17</v>
      </c>
      <c r="K1156" s="126">
        <v>300</v>
      </c>
      <c r="L1156" s="129">
        <f>INT(base[[#This Row],[Data de liquidação]])</f>
        <v>46085</v>
      </c>
      <c r="M1156" s="126">
        <f>base[[#This Row],[L/P Bruto]]-base[[#This Row],[L/P Líquido]]</f>
        <v>0.84392670157068039</v>
      </c>
      <c r="N1156" s="126">
        <f>base[[#This Row],[L/P Líquido]]/base[[#This Row],[Stake/Responsabilidade]]</f>
        <v>5.9700000000000003E-2</v>
      </c>
      <c r="O1156" s="132">
        <f>IF(base[[#This Row],[L/P Líquido]]&gt;0,1,0)</f>
        <v>1</v>
      </c>
      <c r="P1156" s="132" t="s">
        <v>963</v>
      </c>
      <c r="Q1156" s="132" t="str">
        <f>LEFT(base[[#This Row],[Evento / Mercado]],FIND("vs",base[[#This Row],[Evento / Mercado]])-2)</f>
        <v>Newcastle United</v>
      </c>
      <c r="R11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1156" s="132" t="e">
        <f>LEFT(base[[#This Row],[Evento / Mercado]],FIND("/",base[[#This Row],[Evento / Mercado]])-2)</f>
        <v>#VALUE!</v>
      </c>
    </row>
    <row r="1157" spans="2:19" ht="15" customHeight="1">
      <c r="B1157" s="128" t="s">
        <v>1026</v>
      </c>
      <c r="C1157" s="128" t="s">
        <v>2982</v>
      </c>
      <c r="D1157" s="129">
        <v>46087.699618055558</v>
      </c>
      <c r="E1157" s="130">
        <v>-95</v>
      </c>
      <c r="F1157" s="131">
        <v>4.4999999999999998E-2</v>
      </c>
      <c r="G1157" s="126">
        <f t="shared" si="19"/>
        <v>-95</v>
      </c>
      <c r="H1157" s="126" t="s">
        <v>231</v>
      </c>
      <c r="I1157" s="127" t="s">
        <v>233</v>
      </c>
      <c r="J1157" s="126">
        <v>1.96</v>
      </c>
      <c r="K1157" s="126">
        <v>95</v>
      </c>
      <c r="L1157" s="129">
        <f>INT(base[[#This Row],[Data de liquidação]])</f>
        <v>46087</v>
      </c>
      <c r="M1157" s="126">
        <f>base[[#This Row],[L/P Bruto]]-base[[#This Row],[L/P Líquido]]</f>
        <v>0</v>
      </c>
      <c r="N1157" s="126">
        <f>base[[#This Row],[L/P Líquido]]/base[[#This Row],[Stake/Responsabilidade]]</f>
        <v>-1</v>
      </c>
      <c r="O1157" s="132">
        <f>IF(base[[#This Row],[L/P Líquido]]&gt;0,1,0)</f>
        <v>0</v>
      </c>
      <c r="P1157" s="132"/>
      <c r="Q1157" s="132" t="str">
        <f>LEFT(base[[#This Row],[Evento / Mercado]],FIND("vs",base[[#This Row],[Evento / Mercado]])-2)</f>
        <v>Roda JC</v>
      </c>
      <c r="R11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PSV Eindhoven</v>
      </c>
      <c r="S1157" s="132" t="e">
        <f>LEFT(base[[#This Row],[Evento / Mercado]],FIND("/",base[[#This Row],[Evento / Mercado]])-2)</f>
        <v>#VALUE!</v>
      </c>
    </row>
    <row r="1158" spans="2:19" ht="15" customHeight="1">
      <c r="B1158" s="128" t="s">
        <v>1025</v>
      </c>
      <c r="C1158" s="128" t="s">
        <v>2982</v>
      </c>
      <c r="D1158" s="129">
        <v>46087.748599537037</v>
      </c>
      <c r="E1158" s="130">
        <v>17.34</v>
      </c>
      <c r="F1158" s="131">
        <v>4.4999999999999998E-2</v>
      </c>
      <c r="G1158" s="126">
        <f t="shared" si="19"/>
        <v>18.157068062827225</v>
      </c>
      <c r="H1158" s="126" t="s">
        <v>74</v>
      </c>
      <c r="I1158" s="127" t="s">
        <v>476</v>
      </c>
      <c r="J1158" s="126">
        <v>20</v>
      </c>
      <c r="K1158" s="126">
        <v>345.04</v>
      </c>
      <c r="L1158" s="129">
        <f>INT(base[[#This Row],[Data de liquidação]])</f>
        <v>46087</v>
      </c>
      <c r="M1158" s="126">
        <f>base[[#This Row],[L/P Bruto]]-base[[#This Row],[L/P Líquido]]</f>
        <v>0.81706806282722511</v>
      </c>
      <c r="N1158" s="126">
        <f>base[[#This Row],[L/P Líquido]]/base[[#This Row],[Stake/Responsabilidade]]</f>
        <v>5.0255042893577552E-2</v>
      </c>
      <c r="O1158" s="132">
        <f>IF(base[[#This Row],[L/P Líquido]]&gt;0,1,0)</f>
        <v>1</v>
      </c>
      <c r="P1158" s="132" t="s">
        <v>973</v>
      </c>
      <c r="Q1158" s="132" t="str">
        <f>LEFT(base[[#This Row],[Evento / Mercado]],FIND("vs",base[[#This Row],[Evento / Mercado]])-2)</f>
        <v>Al Ahli Jeddah</v>
      </c>
      <c r="R11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Jeddah</v>
      </c>
      <c r="S1158" s="132" t="e">
        <f>LEFT(base[[#This Row],[Evento / Mercado]],FIND("/",base[[#This Row],[Evento / Mercado]])-2)</f>
        <v>#VALUE!</v>
      </c>
    </row>
    <row r="1159" spans="2:19" ht="15" customHeight="1">
      <c r="B1159" s="128" t="s">
        <v>1024</v>
      </c>
      <c r="C1159" s="128" t="s">
        <v>2982</v>
      </c>
      <c r="D1159" s="129">
        <v>46087.763067129628</v>
      </c>
      <c r="E1159" s="130">
        <v>70.12</v>
      </c>
      <c r="F1159" s="131">
        <v>4.4999999999999998E-2</v>
      </c>
      <c r="G1159" s="126">
        <f t="shared" si="19"/>
        <v>73.424083769633512</v>
      </c>
      <c r="H1159" s="126" t="s">
        <v>231</v>
      </c>
      <c r="I1159" s="127" t="s">
        <v>266</v>
      </c>
      <c r="J1159" s="126">
        <f>(1.77*67.35+1.78*27.65)/base[[#This Row],[Stake/Responsabilidade]]</f>
        <v>1.7729105263157892</v>
      </c>
      <c r="K1159" s="126">
        <f>67.35+27.65</f>
        <v>95</v>
      </c>
      <c r="L1159" s="129">
        <f>INT(base[[#This Row],[Data de liquidação]])</f>
        <v>46087</v>
      </c>
      <c r="M1159" s="126">
        <f>base[[#This Row],[L/P Bruto]]-base[[#This Row],[L/P Líquido]]</f>
        <v>3.3040837696335075</v>
      </c>
      <c r="N1159" s="126">
        <f>base[[#This Row],[L/P Líquido]]/base[[#This Row],[Stake/Responsabilidade]]</f>
        <v>0.73810526315789482</v>
      </c>
      <c r="O1159" s="132">
        <f>IF(base[[#This Row],[L/P Líquido]]&gt;0,1,0)</f>
        <v>1</v>
      </c>
      <c r="P1159" s="132"/>
      <c r="Q1159" s="132" t="str">
        <f>LEFT(base[[#This Row],[Evento / Mercado]],FIND("vs",base[[#This Row],[Evento / Mercado]])-2)</f>
        <v>FC Bayern München</v>
      </c>
      <c r="R11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1159" s="132" t="e">
        <f>LEFT(base[[#This Row],[Evento / Mercado]],FIND("/",base[[#This Row],[Evento / Mercado]])-2)</f>
        <v>#VALUE!</v>
      </c>
    </row>
    <row r="1160" spans="2:19" ht="15" customHeight="1">
      <c r="B1160" s="128" t="s">
        <v>1023</v>
      </c>
      <c r="C1160" s="128" t="s">
        <v>2982</v>
      </c>
      <c r="D1160" s="129">
        <v>46087.781828703701</v>
      </c>
      <c r="E1160" s="130">
        <v>-329.98</v>
      </c>
      <c r="F1160" s="131">
        <v>4.4999999999999998E-2</v>
      </c>
      <c r="G1160" s="126">
        <f t="shared" si="19"/>
        <v>-329.98</v>
      </c>
      <c r="H1160" s="126" t="s">
        <v>145</v>
      </c>
      <c r="I1160" s="127" t="s">
        <v>301</v>
      </c>
      <c r="J1160" s="126">
        <v>8.1999999999999993</v>
      </c>
      <c r="K1160" s="126">
        <v>329.98</v>
      </c>
      <c r="L1160" s="129">
        <f>INT(base[[#This Row],[Data de liquidação]])</f>
        <v>46087</v>
      </c>
      <c r="M1160" s="126">
        <f>base[[#This Row],[L/P Bruto]]-base[[#This Row],[L/P Líquido]]</f>
        <v>0</v>
      </c>
      <c r="N1160" s="126">
        <f>base[[#This Row],[L/P Líquido]]/base[[#This Row],[Stake/Responsabilidade]]</f>
        <v>-1</v>
      </c>
      <c r="O1160" s="132">
        <f>IF(base[[#This Row],[L/P Líquido]]&gt;0,1,0)</f>
        <v>0</v>
      </c>
      <c r="P1160" s="132" t="s">
        <v>970</v>
      </c>
      <c r="Q1160" s="132" t="str">
        <f>LEFT(base[[#This Row],[Evento / Mercado]],FIND("vs",base[[#This Row],[Evento / Mercado]])-2)</f>
        <v>Paris Saint-Germain</v>
      </c>
      <c r="R11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 Monaco</v>
      </c>
      <c r="S1160" s="132" t="e">
        <f>LEFT(base[[#This Row],[Evento / Mercado]],FIND("/",base[[#This Row],[Evento / Mercado]])-2)</f>
        <v>#VALUE!</v>
      </c>
    </row>
    <row r="1161" spans="2:19" ht="15" customHeight="1">
      <c r="B1161" s="128" t="s">
        <v>1022</v>
      </c>
      <c r="C1161" s="128" t="s">
        <v>2982</v>
      </c>
      <c r="D1161" s="129">
        <v>46087.788807870369</v>
      </c>
      <c r="E1161" s="130">
        <v>101.61</v>
      </c>
      <c r="F1161" s="131">
        <v>4.4999999999999998E-2</v>
      </c>
      <c r="G1161" s="126">
        <f t="shared" si="19"/>
        <v>106.39790575916231</v>
      </c>
      <c r="H1161" s="126" t="s">
        <v>231</v>
      </c>
      <c r="I1161" s="127" t="s">
        <v>232</v>
      </c>
      <c r="J1161" s="126">
        <v>2.12</v>
      </c>
      <c r="K1161" s="126">
        <v>95</v>
      </c>
      <c r="L1161" s="129">
        <f>INT(base[[#This Row],[Data de liquidação]])</f>
        <v>46087</v>
      </c>
      <c r="M1161" s="126">
        <f>base[[#This Row],[L/P Bruto]]-base[[#This Row],[L/P Líquido]]</f>
        <v>4.7879057591623138</v>
      </c>
      <c r="N1161" s="126">
        <f>base[[#This Row],[L/P Líquido]]/base[[#This Row],[Stake/Responsabilidade]]</f>
        <v>1.069578947368421</v>
      </c>
      <c r="O1161" s="132">
        <f>IF(base[[#This Row],[L/P Líquido]]&gt;0,1,0)</f>
        <v>1</v>
      </c>
      <c r="P1161" s="132"/>
      <c r="Q1161" s="132" t="str">
        <f>LEFT(base[[#This Row],[Evento / Mercado]],FIND("vs",base[[#This Row],[Evento / Mercado]])-2)</f>
        <v>Celta de Vigo</v>
      </c>
      <c r="R11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1161" s="132" t="e">
        <f>LEFT(base[[#This Row],[Evento / Mercado]],FIND("/",base[[#This Row],[Evento / Mercado]])-2)</f>
        <v>#VALUE!</v>
      </c>
    </row>
    <row r="1162" spans="2:19" ht="15" customHeight="1">
      <c r="B1162" s="128" t="s">
        <v>1021</v>
      </c>
      <c r="C1162" s="128" t="s">
        <v>2982</v>
      </c>
      <c r="D1162" s="129">
        <v>46088.45517361111</v>
      </c>
      <c r="E1162" s="130">
        <v>-95</v>
      </c>
      <c r="F1162" s="131">
        <v>4.4999999999999998E-2</v>
      </c>
      <c r="G1162" s="126">
        <f t="shared" si="19"/>
        <v>-95</v>
      </c>
      <c r="H1162" s="126" t="s">
        <v>231</v>
      </c>
      <c r="I1162" s="127" t="s">
        <v>266</v>
      </c>
      <c r="J1162" s="126">
        <v>1.66</v>
      </c>
      <c r="K1162" s="126">
        <v>95</v>
      </c>
      <c r="L1162" s="129">
        <f>INT(base[[#This Row],[Data de liquidação]])</f>
        <v>46088</v>
      </c>
      <c r="M1162" s="126">
        <f>base[[#This Row],[L/P Bruto]]-base[[#This Row],[L/P Líquido]]</f>
        <v>0</v>
      </c>
      <c r="N1162" s="126">
        <f>base[[#This Row],[L/P Líquido]]/base[[#This Row],[Stake/Responsabilidade]]</f>
        <v>-1</v>
      </c>
      <c r="O1162" s="132">
        <f>IF(base[[#This Row],[L/P Líquido]]&gt;0,1,0)</f>
        <v>0</v>
      </c>
      <c r="P1162" s="132"/>
      <c r="Q1162" s="132" t="str">
        <f>LEFT(base[[#This Row],[Evento / Mercado]],FIND("vs",base[[#This Row],[Evento / Mercado]])-2)</f>
        <v>1. FC Nürnberg</v>
      </c>
      <c r="R11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Düsseldorf</v>
      </c>
      <c r="S1162" s="132" t="e">
        <f>LEFT(base[[#This Row],[Evento / Mercado]],FIND("/",base[[#This Row],[Evento / Mercado]])-2)</f>
        <v>#VALUE!</v>
      </c>
    </row>
    <row r="1163" spans="2:19" ht="15" customHeight="1">
      <c r="B1163" s="128" t="s">
        <v>1020</v>
      </c>
      <c r="C1163" s="128" t="s">
        <v>2982</v>
      </c>
      <c r="D1163" s="129">
        <v>46088.456655092596</v>
      </c>
      <c r="E1163" s="130">
        <v>-95</v>
      </c>
      <c r="F1163" s="131">
        <v>4.4999999999999998E-2</v>
      </c>
      <c r="G1163" s="126">
        <f t="shared" si="19"/>
        <v>-95</v>
      </c>
      <c r="H1163" s="126" t="s">
        <v>231</v>
      </c>
      <c r="I1163" s="127" t="s">
        <v>232</v>
      </c>
      <c r="J1163" s="126">
        <v>1.71</v>
      </c>
      <c r="K1163" s="126">
        <v>95</v>
      </c>
      <c r="L1163" s="129">
        <f>INT(base[[#This Row],[Data de liquidação]])</f>
        <v>46088</v>
      </c>
      <c r="M1163" s="126">
        <f>base[[#This Row],[L/P Bruto]]-base[[#This Row],[L/P Líquido]]</f>
        <v>0</v>
      </c>
      <c r="N1163" s="126">
        <f>base[[#This Row],[L/P Líquido]]/base[[#This Row],[Stake/Responsabilidade]]</f>
        <v>-1</v>
      </c>
      <c r="O1163" s="132">
        <f>IF(base[[#This Row],[L/P Líquido]]&gt;0,1,0)</f>
        <v>0</v>
      </c>
      <c r="P1163" s="132"/>
      <c r="Q1163" s="132" t="str">
        <f>LEFT(base[[#This Row],[Evento / Mercado]],FIND("vs",base[[#This Row],[Evento / Mercado]])-2)</f>
        <v>SV Darmstadt 98</v>
      </c>
      <c r="R11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1163" s="132" t="e">
        <f>LEFT(base[[#This Row],[Evento / Mercado]],FIND("/",base[[#This Row],[Evento / Mercado]])-2)</f>
        <v>#VALUE!</v>
      </c>
    </row>
    <row r="1164" spans="2:19" ht="15" customHeight="1">
      <c r="B1164" s="128" t="s">
        <v>1019</v>
      </c>
      <c r="C1164" s="128" t="s">
        <v>2982</v>
      </c>
      <c r="D1164" s="129">
        <v>46088.463750000003</v>
      </c>
      <c r="E1164" s="130">
        <v>60.79</v>
      </c>
      <c r="F1164" s="131">
        <v>4.4999999999999998E-2</v>
      </c>
      <c r="G1164" s="126">
        <f t="shared" si="19"/>
        <v>63.654450261780106</v>
      </c>
      <c r="H1164" s="126" t="s">
        <v>231</v>
      </c>
      <c r="I1164" s="127" t="s">
        <v>266</v>
      </c>
      <c r="J1164" s="126">
        <v>1.67</v>
      </c>
      <c r="K1164" s="126">
        <v>95</v>
      </c>
      <c r="L1164" s="129">
        <f>INT(base[[#This Row],[Data de liquidação]])</f>
        <v>46088</v>
      </c>
      <c r="M1164" s="126">
        <f>base[[#This Row],[L/P Bruto]]-base[[#This Row],[L/P Líquido]]</f>
        <v>2.8644502617801066</v>
      </c>
      <c r="N1164" s="126">
        <f>base[[#This Row],[L/P Líquido]]/base[[#This Row],[Stake/Responsabilidade]]</f>
        <v>0.63989473684210529</v>
      </c>
      <c r="O1164" s="132">
        <f>IF(base[[#This Row],[L/P Líquido]]&gt;0,1,0)</f>
        <v>1</v>
      </c>
      <c r="P1164" s="132"/>
      <c r="Q1164" s="132" t="str">
        <f>LEFT(base[[#This Row],[Evento / Mercado]],FIND("vs",base[[#This Row],[Evento / Mercado]])-2)</f>
        <v>FC Erzgebirge Aue</v>
      </c>
      <c r="R11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Alemannia Aachen</v>
      </c>
      <c r="S1164" s="132" t="e">
        <f>LEFT(base[[#This Row],[Evento / Mercado]],FIND("/",base[[#This Row],[Evento / Mercado]])-2)</f>
        <v>#VALUE!</v>
      </c>
    </row>
    <row r="1165" spans="2:19" ht="15" customHeight="1">
      <c r="B1165" s="128" t="s">
        <v>1018</v>
      </c>
      <c r="C1165" s="128" t="s">
        <v>2982</v>
      </c>
      <c r="D1165" s="129">
        <v>46088.478321759256</v>
      </c>
      <c r="E1165" s="130">
        <v>-95</v>
      </c>
      <c r="F1165" s="131">
        <v>4.4999999999999998E-2</v>
      </c>
      <c r="G1165" s="126">
        <f t="shared" si="19"/>
        <v>-95</v>
      </c>
      <c r="H1165" s="126" t="s">
        <v>231</v>
      </c>
      <c r="I1165" s="127" t="s">
        <v>266</v>
      </c>
      <c r="J1165" s="126">
        <v>1.75</v>
      </c>
      <c r="K1165" s="126">
        <v>95</v>
      </c>
      <c r="L1165" s="129">
        <f>INT(base[[#This Row],[Data de liquidação]])</f>
        <v>46088</v>
      </c>
      <c r="M1165" s="126">
        <f>base[[#This Row],[L/P Bruto]]-base[[#This Row],[L/P Líquido]]</f>
        <v>0</v>
      </c>
      <c r="N1165" s="126">
        <f>base[[#This Row],[L/P Líquido]]/base[[#This Row],[Stake/Responsabilidade]]</f>
        <v>-1</v>
      </c>
      <c r="O1165" s="132">
        <f>IF(base[[#This Row],[L/P Líquido]]&gt;0,1,0)</f>
        <v>0</v>
      </c>
      <c r="P1165" s="132"/>
      <c r="Q1165" s="132" t="str">
        <f>LEFT(base[[#This Row],[Evento / Mercado]],FIND("vs",base[[#This Row],[Evento / Mercado]])-2)</f>
        <v>Cardiff City</v>
      </c>
      <c r="R11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Lincoln City</v>
      </c>
      <c r="S1165" s="132" t="e">
        <f>LEFT(base[[#This Row],[Evento / Mercado]],FIND("/",base[[#This Row],[Evento / Mercado]])-2)</f>
        <v>#VALUE!</v>
      </c>
    </row>
    <row r="1166" spans="2:19" ht="15" customHeight="1">
      <c r="B1166" s="128" t="s">
        <v>1017</v>
      </c>
      <c r="C1166" s="128" t="s">
        <v>2982</v>
      </c>
      <c r="D1166" s="129">
        <v>46088.516041666669</v>
      </c>
      <c r="E1166" s="130">
        <v>69.86</v>
      </c>
      <c r="F1166" s="131">
        <v>4.4999999999999998E-2</v>
      </c>
      <c r="G1166" s="126">
        <f t="shared" si="19"/>
        <v>73.15183246073299</v>
      </c>
      <c r="H1166" s="126" t="s">
        <v>231</v>
      </c>
      <c r="I1166" s="127" t="s">
        <v>266</v>
      </c>
      <c r="J1166" s="126">
        <v>1.77</v>
      </c>
      <c r="K1166" s="126">
        <v>95</v>
      </c>
      <c r="L1166" s="129">
        <f>INT(base[[#This Row],[Data de liquidação]])</f>
        <v>46088</v>
      </c>
      <c r="M1166" s="126">
        <f>base[[#This Row],[L/P Bruto]]-base[[#This Row],[L/P Líquido]]</f>
        <v>3.2918324607329907</v>
      </c>
      <c r="N1166" s="126">
        <f>base[[#This Row],[L/P Líquido]]/base[[#This Row],[Stake/Responsabilidade]]</f>
        <v>0.73536842105263156</v>
      </c>
      <c r="O1166" s="132">
        <f>IF(base[[#This Row],[L/P Líquido]]&gt;0,1,0)</f>
        <v>1</v>
      </c>
      <c r="P1166" s="132"/>
      <c r="Q1166" s="132" t="str">
        <f>LEFT(base[[#This Row],[Evento / Mercado]],FIND("vs",base[[#This Row],[Evento / Mercado]])-2)</f>
        <v>Real Sociedad B</v>
      </c>
      <c r="R11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Castellon</v>
      </c>
      <c r="S1166" s="132" t="e">
        <f>LEFT(base[[#This Row],[Evento / Mercado]],FIND("/",base[[#This Row],[Evento / Mercado]])-2)</f>
        <v>#VALUE!</v>
      </c>
    </row>
    <row r="1167" spans="2:19" ht="15" customHeight="1">
      <c r="B1167" s="128" t="s">
        <v>1016</v>
      </c>
      <c r="C1167" s="128" t="s">
        <v>2982</v>
      </c>
      <c r="D1167" s="129">
        <v>46088.536516203705</v>
      </c>
      <c r="E1167" s="130">
        <v>71.67</v>
      </c>
      <c r="F1167" s="131">
        <v>4.4999999999999998E-2</v>
      </c>
      <c r="G1167" s="126">
        <f t="shared" si="19"/>
        <v>75.047120418848166</v>
      </c>
      <c r="H1167" s="126" t="s">
        <v>231</v>
      </c>
      <c r="I1167" s="127" t="s">
        <v>232</v>
      </c>
      <c r="J1167" s="126">
        <v>1.79</v>
      </c>
      <c r="K1167" s="126">
        <v>95</v>
      </c>
      <c r="L1167" s="129">
        <f>INT(base[[#This Row],[Data de liquidação]])</f>
        <v>46088</v>
      </c>
      <c r="M1167" s="126">
        <f>base[[#This Row],[L/P Bruto]]-base[[#This Row],[L/P Líquido]]</f>
        <v>3.3771204188481647</v>
      </c>
      <c r="N1167" s="126">
        <f>base[[#This Row],[L/P Líquido]]/base[[#This Row],[Stake/Responsabilidade]]</f>
        <v>0.75442105263157899</v>
      </c>
      <c r="O1167" s="132">
        <f>IF(base[[#This Row],[L/P Líquido]]&gt;0,1,0)</f>
        <v>1</v>
      </c>
      <c r="P1167" s="132"/>
      <c r="Q1167" s="132" t="str">
        <f>LEFT(base[[#This Row],[Evento / Mercado]],FIND("vs",base[[#This Row],[Evento / Mercado]])-2)</f>
        <v>VfL Wolfsburg</v>
      </c>
      <c r="R11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167" s="132" t="e">
        <f>LEFT(base[[#This Row],[Evento / Mercado]],FIND("/",base[[#This Row],[Evento / Mercado]])-2)</f>
        <v>#VALUE!</v>
      </c>
    </row>
    <row r="1168" spans="2:19" ht="15" customHeight="1">
      <c r="B1168" s="128" t="s">
        <v>1015</v>
      </c>
      <c r="C1168" s="128" t="s">
        <v>2982</v>
      </c>
      <c r="D1168" s="129">
        <v>46088.559837962966</v>
      </c>
      <c r="E1168" s="130">
        <v>33.200000000000003</v>
      </c>
      <c r="F1168" s="131">
        <v>4.4999999999999998E-2</v>
      </c>
      <c r="G1168" s="126">
        <f t="shared" si="19"/>
        <v>34.764397905759168</v>
      </c>
      <c r="H1168" s="126" t="s">
        <v>122</v>
      </c>
      <c r="I1168" s="127" t="s">
        <v>541</v>
      </c>
      <c r="J1168" s="126">
        <v>11.5</v>
      </c>
      <c r="K1168" s="126">
        <v>364.98</v>
      </c>
      <c r="L1168" s="129">
        <f>INT(base[[#This Row],[Data de liquidação]])</f>
        <v>46088</v>
      </c>
      <c r="M1168" s="126">
        <f>base[[#This Row],[L/P Bruto]]-base[[#This Row],[L/P Líquido]]</f>
        <v>1.564397905759165</v>
      </c>
      <c r="N1168" s="126">
        <f>base[[#This Row],[L/P Líquido]]/base[[#This Row],[Stake/Responsabilidade]]</f>
        <v>9.0963888432242859E-2</v>
      </c>
      <c r="O1168" s="132">
        <f>IF(base[[#This Row],[L/P Líquido]]&gt;0,1,0)</f>
        <v>1</v>
      </c>
      <c r="P1168" s="132" t="s">
        <v>962</v>
      </c>
      <c r="Q1168" s="132" t="str">
        <f>LEFT(base[[#This Row],[Evento / Mercado]],FIND("vs",base[[#This Row],[Evento / Mercado]])-2)</f>
        <v>SC Freiburg</v>
      </c>
      <c r="R11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Bayer 04 Leverkusen</v>
      </c>
      <c r="S1168" s="132" t="e">
        <f>LEFT(base[[#This Row],[Evento / Mercado]],FIND("/",base[[#This Row],[Evento / Mercado]])-2)</f>
        <v>#VALUE!</v>
      </c>
    </row>
    <row r="1169" spans="2:19" ht="15" customHeight="1">
      <c r="B1169" s="128" t="s">
        <v>1014</v>
      </c>
      <c r="C1169" s="128" t="s">
        <v>2982</v>
      </c>
      <c r="D1169" s="129">
        <v>46088.566203703704</v>
      </c>
      <c r="E1169" s="130">
        <v>68.040000000000006</v>
      </c>
      <c r="F1169" s="131">
        <v>4.4999999999999998E-2</v>
      </c>
      <c r="G1169" s="126">
        <f t="shared" si="19"/>
        <v>71.246073298429323</v>
      </c>
      <c r="H1169" s="126" t="s">
        <v>231</v>
      </c>
      <c r="I1169" s="127" t="s">
        <v>232</v>
      </c>
      <c r="J1169" s="126">
        <v>1.75</v>
      </c>
      <c r="K1169" s="126">
        <v>95</v>
      </c>
      <c r="L1169" s="129">
        <f>INT(base[[#This Row],[Data de liquidação]])</f>
        <v>46088</v>
      </c>
      <c r="M1169" s="126">
        <f>base[[#This Row],[L/P Bruto]]-base[[#This Row],[L/P Líquido]]</f>
        <v>3.2060732984293168</v>
      </c>
      <c r="N1169" s="126">
        <f>base[[#This Row],[L/P Líquido]]/base[[#This Row],[Stake/Responsabilidade]]</f>
        <v>0.71621052631578952</v>
      </c>
      <c r="O1169" s="132">
        <f>IF(base[[#This Row],[L/P Líquido]]&gt;0,1,0)</f>
        <v>1</v>
      </c>
      <c r="P1169" s="132"/>
      <c r="Q1169" s="132" t="str">
        <f>LEFT(base[[#This Row],[Evento / Mercado]],FIND("vs",base[[#This Row],[Evento / Mercado]])-2)</f>
        <v>Plymouth Argyle</v>
      </c>
      <c r="R11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Doncaster Rovers</v>
      </c>
      <c r="S1169" s="132" t="e">
        <f>LEFT(base[[#This Row],[Evento / Mercado]],FIND("/",base[[#This Row],[Evento / Mercado]])-2)</f>
        <v>#VALUE!</v>
      </c>
    </row>
    <row r="1170" spans="2:19" ht="15" customHeight="1">
      <c r="B1170" s="128" t="s">
        <v>1013</v>
      </c>
      <c r="C1170" s="128" t="s">
        <v>2982</v>
      </c>
      <c r="D1170" s="129">
        <v>46088.601643518516</v>
      </c>
      <c r="E1170" s="130">
        <v>21.78</v>
      </c>
      <c r="F1170" s="131">
        <v>4.4999999999999998E-2</v>
      </c>
      <c r="G1170" s="126">
        <f t="shared" si="19"/>
        <v>22.806282722513092</v>
      </c>
      <c r="H1170" s="126" t="s">
        <v>122</v>
      </c>
      <c r="I1170" s="127" t="s">
        <v>541</v>
      </c>
      <c r="J1170" s="126">
        <v>17</v>
      </c>
      <c r="K1170" s="126">
        <v>364.96</v>
      </c>
      <c r="L1170" s="129">
        <f>INT(base[[#This Row],[Data de liquidação]])</f>
        <v>46088</v>
      </c>
      <c r="M1170" s="126">
        <f>base[[#This Row],[L/P Bruto]]-base[[#This Row],[L/P Líquido]]</f>
        <v>1.0262827225130913</v>
      </c>
      <c r="N1170" s="126">
        <f>base[[#This Row],[L/P Líquido]]/base[[#This Row],[Stake/Responsabilidade]]</f>
        <v>5.9677772906619908E-2</v>
      </c>
      <c r="O1170" s="132">
        <f>IF(base[[#This Row],[L/P Líquido]]&gt;0,1,0)</f>
        <v>1</v>
      </c>
      <c r="P1170" s="132" t="s">
        <v>967</v>
      </c>
      <c r="Q1170" s="132" t="str">
        <f>LEFT(base[[#This Row],[Evento / Mercado]],FIND("vs",base[[#This Row],[Evento / Mercado]])-2)</f>
        <v>FC Groningen</v>
      </c>
      <c r="R11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1170" s="132" t="e">
        <f>LEFT(base[[#This Row],[Evento / Mercado]],FIND("/",base[[#This Row],[Evento / Mercado]])-2)</f>
        <v>#VALUE!</v>
      </c>
    </row>
    <row r="1171" spans="2:19" ht="15" customHeight="1">
      <c r="B1171" s="128" t="s">
        <v>1012</v>
      </c>
      <c r="C1171" s="128" t="s">
        <v>2982</v>
      </c>
      <c r="D1171" s="129">
        <v>46088.688344907408</v>
      </c>
      <c r="E1171" s="130">
        <v>29.05</v>
      </c>
      <c r="F1171" s="131">
        <v>4.4999999999999998E-2</v>
      </c>
      <c r="G1171" s="126">
        <f t="shared" si="19"/>
        <v>30.41884816753927</v>
      </c>
      <c r="H1171" s="126" t="s">
        <v>122</v>
      </c>
      <c r="I1171" s="127" t="s">
        <v>541</v>
      </c>
      <c r="J1171" s="126">
        <v>13</v>
      </c>
      <c r="K1171" s="126">
        <v>365.04</v>
      </c>
      <c r="L1171" s="129">
        <f>INT(base[[#This Row],[Data de liquidação]])</f>
        <v>46088</v>
      </c>
      <c r="M1171" s="126">
        <f>base[[#This Row],[L/P Bruto]]-base[[#This Row],[L/P Líquido]]</f>
        <v>1.3688481675392694</v>
      </c>
      <c r="N1171" s="126">
        <f>base[[#This Row],[L/P Líquido]]/base[[#This Row],[Stake/Responsabilidade]]</f>
        <v>7.958031996493535E-2</v>
      </c>
      <c r="O1171" s="132">
        <f>IF(base[[#This Row],[L/P Líquido]]&gt;0,1,0)</f>
        <v>1</v>
      </c>
      <c r="P1171" s="132" t="s">
        <v>962</v>
      </c>
      <c r="Q1171" s="132" t="str">
        <f>LEFT(base[[#This Row],[Evento / Mercado]],FIND("vs",base[[#This Row],[Evento / Mercado]])-2)</f>
        <v>1. FC Köln</v>
      </c>
      <c r="R11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1171" s="132" t="e">
        <f>LEFT(base[[#This Row],[Evento / Mercado]],FIND("/",base[[#This Row],[Evento / Mercado]])-2)</f>
        <v>#VALUE!</v>
      </c>
    </row>
    <row r="1172" spans="2:19" ht="15" customHeight="1">
      <c r="B1172" s="128" t="s">
        <v>1011</v>
      </c>
      <c r="C1172" s="128" t="s">
        <v>2982</v>
      </c>
      <c r="D1172" s="129">
        <v>46088.773576388892</v>
      </c>
      <c r="E1172" s="130">
        <v>68.95</v>
      </c>
      <c r="F1172" s="131">
        <v>4.4999999999999998E-2</v>
      </c>
      <c r="G1172" s="126">
        <f t="shared" si="19"/>
        <v>72.198952879581157</v>
      </c>
      <c r="H1172" s="126" t="s">
        <v>231</v>
      </c>
      <c r="I1172" s="127" t="s">
        <v>232</v>
      </c>
      <c r="J1172" s="126">
        <v>1.76</v>
      </c>
      <c r="K1172" s="126">
        <v>95</v>
      </c>
      <c r="L1172" s="129">
        <f>INT(base[[#This Row],[Data de liquidação]])</f>
        <v>46088</v>
      </c>
      <c r="M1172" s="126">
        <f>base[[#This Row],[L/P Bruto]]-base[[#This Row],[L/P Líquido]]</f>
        <v>3.2489528795811538</v>
      </c>
      <c r="N1172" s="126">
        <f>base[[#This Row],[L/P Líquido]]/base[[#This Row],[Stake/Responsabilidade]]</f>
        <v>0.72578947368421054</v>
      </c>
      <c r="O1172" s="132">
        <f>IF(base[[#This Row],[L/P Líquido]]&gt;0,1,0)</f>
        <v>1</v>
      </c>
      <c r="P1172" s="132"/>
      <c r="Q1172" s="132" t="str">
        <f>LEFT(base[[#This Row],[Evento / Mercado]],FIND("vs",base[[#This Row],[Evento / Mercado]])-2)</f>
        <v>Excelsior Rotterdam</v>
      </c>
      <c r="R11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1172" s="132" t="e">
        <f>LEFT(base[[#This Row],[Evento / Mercado]],FIND("/",base[[#This Row],[Evento / Mercado]])-2)</f>
        <v>#VALUE!</v>
      </c>
    </row>
    <row r="1173" spans="2:19" ht="15" customHeight="1">
      <c r="B1173" s="128" t="s">
        <v>1010</v>
      </c>
      <c r="C1173" s="128" t="s">
        <v>2982</v>
      </c>
      <c r="D1173" s="129">
        <v>46088.788530092592</v>
      </c>
      <c r="E1173" s="130">
        <v>14.53</v>
      </c>
      <c r="F1173" s="131">
        <v>4.4999999999999998E-2</v>
      </c>
      <c r="G1173" s="126">
        <f t="shared" si="19"/>
        <v>15.214659685863875</v>
      </c>
      <c r="H1173" s="126" t="s">
        <v>74</v>
      </c>
      <c r="I1173" s="127" t="s">
        <v>542</v>
      </c>
      <c r="J1173" s="126">
        <v>25</v>
      </c>
      <c r="K1173" s="126">
        <v>365.04</v>
      </c>
      <c r="L1173" s="129">
        <f>INT(base[[#This Row],[Data de liquidação]])</f>
        <v>46088</v>
      </c>
      <c r="M1173" s="126">
        <f>base[[#This Row],[L/P Bruto]]-base[[#This Row],[L/P Líquido]]</f>
        <v>0.68465968586387582</v>
      </c>
      <c r="N1173" s="126">
        <f>base[[#This Row],[L/P Líquido]]/base[[#This Row],[Stake/Responsabilidade]]</f>
        <v>3.9803857111549414E-2</v>
      </c>
      <c r="O1173" s="132">
        <f>IF(base[[#This Row],[L/P Líquido]]&gt;0,1,0)</f>
        <v>1</v>
      </c>
      <c r="P1173" s="132" t="s">
        <v>964</v>
      </c>
      <c r="Q1173" s="132" t="str">
        <f>LEFT(base[[#This Row],[Evento / Mercado]],FIND("vs",base[[#This Row],[Evento / Mercado]])-2)</f>
        <v>Athletic Bilbao</v>
      </c>
      <c r="R11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173" s="132" t="e">
        <f>LEFT(base[[#This Row],[Evento / Mercado]],FIND("/",base[[#This Row],[Evento / Mercado]])-2)</f>
        <v>#VALUE!</v>
      </c>
    </row>
    <row r="1174" spans="2:19" ht="15" customHeight="1">
      <c r="B1174" s="128" t="s">
        <v>1035</v>
      </c>
      <c r="C1174" s="128" t="s">
        <v>2982</v>
      </c>
      <c r="D1174" s="129">
        <v>46089.415868055556</v>
      </c>
      <c r="E1174" s="130">
        <v>72.58</v>
      </c>
      <c r="F1174" s="131">
        <v>4.4999999999999998E-2</v>
      </c>
      <c r="G1174" s="126">
        <f t="shared" si="19"/>
        <v>76</v>
      </c>
      <c r="H1174" s="126" t="s">
        <v>231</v>
      </c>
      <c r="I1174" s="127" t="s">
        <v>232</v>
      </c>
      <c r="J1174" s="126">
        <v>1.8</v>
      </c>
      <c r="K1174" s="126">
        <v>95</v>
      </c>
      <c r="L1174" s="129">
        <f>INT(base[[#This Row],[Data de liquidação]])</f>
        <v>46089</v>
      </c>
      <c r="M1174" s="126">
        <f>base[[#This Row],[L/P Bruto]]-base[[#This Row],[L/P Líquido]]</f>
        <v>3.4200000000000017</v>
      </c>
      <c r="N1174" s="126">
        <f>base[[#This Row],[L/P Líquido]]/base[[#This Row],[Stake/Responsabilidade]]</f>
        <v>0.76400000000000001</v>
      </c>
      <c r="O1174" s="132">
        <f>IF(base[[#This Row],[L/P Líquido]]&gt;0,1,0)</f>
        <v>1</v>
      </c>
      <c r="P1174" s="132"/>
      <c r="Q1174" s="132" t="str">
        <f>LEFT(base[[#This Row],[Evento / Mercado]],FIND("vs",base[[#This Row],[Evento / Mercado]])-2)</f>
        <v>Karlsruher SC</v>
      </c>
      <c r="R11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1174" s="132" t="e">
        <f>LEFT(base[[#This Row],[Evento / Mercado]],FIND("/",base[[#This Row],[Evento / Mercado]])-2)</f>
        <v>#VALUE!</v>
      </c>
    </row>
    <row r="1175" spans="2:19" ht="15" customHeight="1">
      <c r="B1175" s="128" t="s">
        <v>1034</v>
      </c>
      <c r="C1175" s="128" t="s">
        <v>2982</v>
      </c>
      <c r="D1175" s="129">
        <v>46089.445613425924</v>
      </c>
      <c r="E1175" s="130">
        <v>59.88</v>
      </c>
      <c r="F1175" s="131">
        <v>4.4999999999999998E-2</v>
      </c>
      <c r="G1175" s="126">
        <f t="shared" si="19"/>
        <v>62.701570680628279</v>
      </c>
      <c r="H1175" s="126" t="s">
        <v>231</v>
      </c>
      <c r="I1175" s="127" t="s">
        <v>266</v>
      </c>
      <c r="J1175" s="126">
        <v>1.66</v>
      </c>
      <c r="K1175" s="126">
        <v>95</v>
      </c>
      <c r="L1175" s="129">
        <f>INT(base[[#This Row],[Data de liquidação]])</f>
        <v>46089</v>
      </c>
      <c r="M1175" s="126">
        <f>base[[#This Row],[L/P Bruto]]-base[[#This Row],[L/P Líquido]]</f>
        <v>2.8215706806282768</v>
      </c>
      <c r="N1175" s="126">
        <f>base[[#This Row],[L/P Líquido]]/base[[#This Row],[Stake/Responsabilidade]]</f>
        <v>0.63031578947368427</v>
      </c>
      <c r="O1175" s="132">
        <f>IF(base[[#This Row],[L/P Líquido]]&gt;0,1,0)</f>
        <v>1</v>
      </c>
      <c r="P1175" s="132"/>
      <c r="Q1175" s="132" t="str">
        <f>LEFT(base[[#This Row],[Evento / Mercado]],FIND("vs",base[[#This Row],[Evento / Mercado]])-2)</f>
        <v>Preußen Münster</v>
      </c>
      <c r="R11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Hertha BSC</v>
      </c>
      <c r="S1175" s="132" t="e">
        <f>LEFT(base[[#This Row],[Evento / Mercado]],FIND("/",base[[#This Row],[Evento / Mercado]])-2)</f>
        <v>#VALUE!</v>
      </c>
    </row>
    <row r="1176" spans="2:19" ht="15" customHeight="1">
      <c r="B1176" s="128" t="s">
        <v>1033</v>
      </c>
      <c r="C1176" s="128" t="s">
        <v>2982</v>
      </c>
      <c r="D1176" s="129">
        <v>46089.448587962965</v>
      </c>
      <c r="E1176" s="130">
        <v>59.88</v>
      </c>
      <c r="F1176" s="131">
        <v>4.4999999999999998E-2</v>
      </c>
      <c r="G1176" s="126">
        <f t="shared" si="19"/>
        <v>62.701570680628279</v>
      </c>
      <c r="H1176" s="126" t="s">
        <v>231</v>
      </c>
      <c r="I1176" s="127" t="s">
        <v>266</v>
      </c>
      <c r="J1176" s="126">
        <v>1.66</v>
      </c>
      <c r="K1176" s="126">
        <v>95</v>
      </c>
      <c r="L1176" s="129">
        <f>INT(base[[#This Row],[Data de liquidação]])</f>
        <v>46089</v>
      </c>
      <c r="M1176" s="126">
        <f>base[[#This Row],[L/P Bruto]]-base[[#This Row],[L/P Líquido]]</f>
        <v>2.8215706806282768</v>
      </c>
      <c r="N1176" s="126">
        <f>base[[#This Row],[L/P Líquido]]/base[[#This Row],[Stake/Responsabilidade]]</f>
        <v>0.63031578947368427</v>
      </c>
      <c r="O1176" s="132">
        <f>IF(base[[#This Row],[L/P Líquido]]&gt;0,1,0)</f>
        <v>1</v>
      </c>
      <c r="P1176" s="132"/>
      <c r="Q1176" s="132" t="str">
        <f>LEFT(base[[#This Row],[Evento / Mercado]],FIND("vs",base[[#This Row],[Evento / Mercado]])-2)</f>
        <v>Waldhof Mannheim</v>
      </c>
      <c r="R11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1176" s="132" t="e">
        <f>LEFT(base[[#This Row],[Evento / Mercado]],FIND("/",base[[#This Row],[Evento / Mercado]])-2)</f>
        <v>#VALUE!</v>
      </c>
    </row>
    <row r="1177" spans="2:19" ht="15" customHeight="1">
      <c r="B1177" s="128" t="s">
        <v>1032</v>
      </c>
      <c r="C1177" s="128" t="s">
        <v>2982</v>
      </c>
      <c r="D1177" s="129">
        <v>46089.455196759256</v>
      </c>
      <c r="E1177" s="130">
        <v>66.23</v>
      </c>
      <c r="F1177" s="131">
        <v>4.4999999999999998E-2</v>
      </c>
      <c r="G1177" s="126">
        <f t="shared" si="19"/>
        <v>69.350785340314147</v>
      </c>
      <c r="H1177" s="126" t="s">
        <v>231</v>
      </c>
      <c r="I1177" s="127" t="s">
        <v>232</v>
      </c>
      <c r="J1177" s="126">
        <v>1.73</v>
      </c>
      <c r="K1177" s="126">
        <v>95</v>
      </c>
      <c r="L1177" s="129">
        <f>INT(base[[#This Row],[Data de liquidação]])</f>
        <v>46089</v>
      </c>
      <c r="M1177" s="126">
        <f>base[[#This Row],[L/P Bruto]]-base[[#This Row],[L/P Líquido]]</f>
        <v>3.1207853403141428</v>
      </c>
      <c r="N1177" s="126">
        <f>base[[#This Row],[L/P Líquido]]/base[[#This Row],[Stake/Responsabilidade]]</f>
        <v>0.6971578947368422</v>
      </c>
      <c r="O1177" s="132">
        <f>IF(base[[#This Row],[L/P Líquido]]&gt;0,1,0)</f>
        <v>1</v>
      </c>
      <c r="P1177" s="132"/>
      <c r="Q1177" s="132" t="str">
        <f>LEFT(base[[#This Row],[Evento / Mercado]],FIND("vs",base[[#This Row],[Evento / Mercado]])-2)</f>
        <v>Fortuna Sittard</v>
      </c>
      <c r="R11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Telstar</v>
      </c>
      <c r="S1177" s="132" t="e">
        <f>LEFT(base[[#This Row],[Evento / Mercado]],FIND("/",base[[#This Row],[Evento / Mercado]])-2)</f>
        <v>#VALUE!</v>
      </c>
    </row>
    <row r="1178" spans="2:19" ht="15" customHeight="1">
      <c r="B1178" s="128" t="s">
        <v>1031</v>
      </c>
      <c r="C1178" s="128" t="s">
        <v>2982</v>
      </c>
      <c r="D1178" s="129">
        <v>46089.495844907404</v>
      </c>
      <c r="E1178" s="130">
        <v>44.77</v>
      </c>
      <c r="F1178" s="131">
        <v>4.4999999999999998E-2</v>
      </c>
      <c r="G1178" s="126">
        <f t="shared" si="19"/>
        <v>46.879581151832468</v>
      </c>
      <c r="H1178" s="126" t="s">
        <v>145</v>
      </c>
      <c r="I1178" s="127" t="s">
        <v>301</v>
      </c>
      <c r="J1178" s="126">
        <v>7.4</v>
      </c>
      <c r="K1178" s="126">
        <v>300.02999999999997</v>
      </c>
      <c r="L1178" s="129">
        <f>INT(base[[#This Row],[Data de liquidação]])</f>
        <v>46089</v>
      </c>
      <c r="M1178" s="126">
        <f>base[[#This Row],[L/P Bruto]]-base[[#This Row],[L/P Líquido]]</f>
        <v>2.1095811518324652</v>
      </c>
      <c r="N1178" s="126">
        <f>base[[#This Row],[L/P Líquido]]/base[[#This Row],[Stake/Responsabilidade]]</f>
        <v>0.14921841149218415</v>
      </c>
      <c r="O1178" s="132">
        <f>IF(base[[#This Row],[L/P Líquido]]&gt;0,1,0)</f>
        <v>1</v>
      </c>
      <c r="P1178" s="132" t="s">
        <v>964</v>
      </c>
      <c r="Q1178" s="132" t="str">
        <f>LEFT(base[[#This Row],[Evento / Mercado]],FIND("vs",base[[#This Row],[Evento / Mercado]])-2)</f>
        <v>Villarreal</v>
      </c>
      <c r="R11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1178" s="132" t="e">
        <f>LEFT(base[[#This Row],[Evento / Mercado]],FIND("/",base[[#This Row],[Evento / Mercado]])-2)</f>
        <v>#VALUE!</v>
      </c>
    </row>
    <row r="1179" spans="2:19" ht="15" customHeight="1">
      <c r="B1179" s="128" t="s">
        <v>1030</v>
      </c>
      <c r="C1179" s="128" t="s">
        <v>2982</v>
      </c>
      <c r="D1179" s="129">
        <v>46089.539282407408</v>
      </c>
      <c r="E1179" s="130">
        <v>24.92</v>
      </c>
      <c r="F1179" s="131">
        <v>4.4999999999999998E-2</v>
      </c>
      <c r="G1179" s="126">
        <f t="shared" si="19"/>
        <v>26.094240837696336</v>
      </c>
      <c r="H1179" s="126" t="s">
        <v>145</v>
      </c>
      <c r="I1179" s="127" t="s">
        <v>301</v>
      </c>
      <c r="J1179" s="126">
        <v>12.5</v>
      </c>
      <c r="K1179" s="126">
        <v>300.04000000000002</v>
      </c>
      <c r="L1179" s="129">
        <f>INT(base[[#This Row],[Data de liquidação]])</f>
        <v>46089</v>
      </c>
      <c r="M1179" s="126">
        <f>base[[#This Row],[L/P Bruto]]-base[[#This Row],[L/P Líquido]]</f>
        <v>1.1742408376963347</v>
      </c>
      <c r="N1179" s="126">
        <f>base[[#This Row],[L/P Líquido]]/base[[#This Row],[Stake/Responsabilidade]]</f>
        <v>8.3055592587654978E-2</v>
      </c>
      <c r="O1179" s="132">
        <f>IF(base[[#This Row],[L/P Líquido]]&gt;0,1,0)</f>
        <v>1</v>
      </c>
      <c r="P1179" s="132" t="s">
        <v>970</v>
      </c>
      <c r="Q1179" s="132" t="str">
        <f>LEFT(base[[#This Row],[Evento / Mercado]],FIND("vs",base[[#This Row],[Evento / Mercado]])-2)</f>
        <v>RC Lens</v>
      </c>
      <c r="R11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Metz</v>
      </c>
      <c r="S1179" s="132" t="e">
        <f>LEFT(base[[#This Row],[Evento / Mercado]],FIND("/",base[[#This Row],[Evento / Mercado]])-2)</f>
        <v>#VALUE!</v>
      </c>
    </row>
    <row r="1180" spans="2:19" ht="15" customHeight="1">
      <c r="B1180" s="128" t="s">
        <v>1029</v>
      </c>
      <c r="C1180" s="128" t="s">
        <v>2982</v>
      </c>
      <c r="D1180" s="129">
        <v>46089.618171296293</v>
      </c>
      <c r="E1180" s="130">
        <v>15.92</v>
      </c>
      <c r="F1180" s="131">
        <v>4.4999999999999998E-2</v>
      </c>
      <c r="G1180" s="126">
        <f t="shared" si="19"/>
        <v>16.670157068062828</v>
      </c>
      <c r="H1180" s="126" t="s">
        <v>74</v>
      </c>
      <c r="I1180" s="127" t="s">
        <v>542</v>
      </c>
      <c r="J1180" s="126">
        <v>19</v>
      </c>
      <c r="K1180" s="126">
        <v>300.05</v>
      </c>
      <c r="L1180" s="129">
        <f>INT(base[[#This Row],[Data de liquidação]])</f>
        <v>46089</v>
      </c>
      <c r="M1180" s="126">
        <f>base[[#This Row],[L/P Bruto]]-base[[#This Row],[L/P Líquido]]</f>
        <v>0.750157068062828</v>
      </c>
      <c r="N1180" s="126">
        <f>base[[#This Row],[L/P Líquido]]/base[[#This Row],[Stake/Responsabilidade]]</f>
        <v>5.3057823696050659E-2</v>
      </c>
      <c r="O1180" s="132">
        <f>IF(base[[#This Row],[L/P Líquido]]&gt;0,1,0)</f>
        <v>1</v>
      </c>
      <c r="P1180" s="132" t="s">
        <v>967</v>
      </c>
      <c r="Q1180" s="132" t="str">
        <f>LEFT(base[[#This Row],[Evento / Mercado]],FIND("vs",base[[#This Row],[Evento / Mercado]])-2)</f>
        <v>NAC Breda</v>
      </c>
      <c r="R11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1180" s="132" t="e">
        <f>LEFT(base[[#This Row],[Evento / Mercado]],FIND("/",base[[#This Row],[Evento / Mercado]])-2)</f>
        <v>#VALUE!</v>
      </c>
    </row>
    <row r="1181" spans="2:19" ht="15" customHeight="1">
      <c r="B1181" s="128" t="s">
        <v>1028</v>
      </c>
      <c r="C1181" s="128" t="s">
        <v>2982</v>
      </c>
      <c r="D1181" s="129">
        <v>46089.653356481482</v>
      </c>
      <c r="E1181" s="130">
        <v>65.319999999999993</v>
      </c>
      <c r="F1181" s="131">
        <v>4.4999999999999998E-2</v>
      </c>
      <c r="G1181" s="126">
        <f t="shared" si="19"/>
        <v>68.397905759162299</v>
      </c>
      <c r="H1181" s="126" t="s">
        <v>231</v>
      </c>
      <c r="I1181" s="127" t="s">
        <v>232</v>
      </c>
      <c r="J1181" s="126">
        <v>1.72</v>
      </c>
      <c r="K1181" s="126">
        <v>95</v>
      </c>
      <c r="L1181" s="129">
        <f>INT(base[[#This Row],[Data de liquidação]])</f>
        <v>46089</v>
      </c>
      <c r="M1181" s="126">
        <f>base[[#This Row],[L/P Bruto]]-base[[#This Row],[L/P Líquido]]</f>
        <v>3.0779057591623058</v>
      </c>
      <c r="N1181" s="126">
        <f>base[[#This Row],[L/P Líquido]]/base[[#This Row],[Stake/Responsabilidade]]</f>
        <v>0.68757894736842096</v>
      </c>
      <c r="O1181" s="132">
        <f>IF(base[[#This Row],[L/P Líquido]]&gt;0,1,0)</f>
        <v>1</v>
      </c>
      <c r="P1181" s="132"/>
      <c r="Q1181" s="132" t="str">
        <f>LEFT(base[[#This Row],[Evento / Mercado]],FIND("vs",base[[#This Row],[Evento / Mercado]])-2)</f>
        <v>Racing Santander</v>
      </c>
      <c r="R11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Córdoba CF</v>
      </c>
      <c r="S1181" s="132" t="e">
        <f>LEFT(base[[#This Row],[Evento / Mercado]],FIND("/",base[[#This Row],[Evento / Mercado]])-2)</f>
        <v>#VALUE!</v>
      </c>
    </row>
    <row r="1182" spans="2:19" ht="15" customHeight="1">
      <c r="B1182" s="128" t="s">
        <v>1027</v>
      </c>
      <c r="C1182" s="128" t="s">
        <v>2982</v>
      </c>
      <c r="D1182" s="129">
        <v>46089.779872685183</v>
      </c>
      <c r="E1182" s="130">
        <v>-95</v>
      </c>
      <c r="F1182" s="131">
        <v>4.4999999999999998E-2</v>
      </c>
      <c r="G1182" s="126">
        <f t="shared" si="19"/>
        <v>-95</v>
      </c>
      <c r="H1182" s="126" t="s">
        <v>231</v>
      </c>
      <c r="I1182" s="127" t="s">
        <v>266</v>
      </c>
      <c r="J1182" s="126">
        <v>1.86</v>
      </c>
      <c r="K1182" s="126">
        <v>95</v>
      </c>
      <c r="L1182" s="129">
        <f>INT(base[[#This Row],[Data de liquidação]])</f>
        <v>46089</v>
      </c>
      <c r="M1182" s="126">
        <f>base[[#This Row],[L/P Bruto]]-base[[#This Row],[L/P Líquido]]</f>
        <v>0</v>
      </c>
      <c r="N1182" s="126">
        <f>base[[#This Row],[L/P Líquido]]/base[[#This Row],[Stake/Responsabilidade]]</f>
        <v>-1</v>
      </c>
      <c r="O1182" s="132">
        <f>IF(base[[#This Row],[L/P Líquido]]&gt;0,1,0)</f>
        <v>0</v>
      </c>
      <c r="P1182" s="132"/>
      <c r="Q1182" s="132" t="str">
        <f>LEFT(base[[#This Row],[Evento / Mercado]],FIND("vs",base[[#This Row],[Evento / Mercado]])-2)</f>
        <v>AC Milan</v>
      </c>
      <c r="R11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Internazionale</v>
      </c>
      <c r="S1182" s="132" t="e">
        <f>LEFT(base[[#This Row],[Evento / Mercado]],FIND("/",base[[#This Row],[Evento / Mercado]])-2)</f>
        <v>#VALUE!</v>
      </c>
    </row>
    <row r="1183" spans="2:19" ht="15" customHeight="1">
      <c r="B1183" s="128" t="s">
        <v>1036</v>
      </c>
      <c r="C1183" s="128" t="s">
        <v>2982</v>
      </c>
      <c r="D1183" s="129">
        <v>46090.667349537034</v>
      </c>
      <c r="E1183" s="130">
        <v>18.23</v>
      </c>
      <c r="F1183" s="131">
        <v>4.4999999999999998E-2</v>
      </c>
      <c r="G1183" s="126">
        <f t="shared" si="19"/>
        <v>19.089005235602095</v>
      </c>
      <c r="H1183" s="126" t="s">
        <v>74</v>
      </c>
      <c r="I1183" s="127" t="s">
        <v>542</v>
      </c>
      <c r="J1183" s="126">
        <v>17.5</v>
      </c>
      <c r="K1183" s="126">
        <v>314.99</v>
      </c>
      <c r="L1183" s="129">
        <f>INT(base[[#This Row],[Data de liquidação]])</f>
        <v>46090</v>
      </c>
      <c r="M1183" s="126">
        <f>base[[#This Row],[L/P Bruto]]-base[[#This Row],[L/P Líquido]]</f>
        <v>0.85900523560209407</v>
      </c>
      <c r="N1183" s="126">
        <f>base[[#This Row],[L/P Líquido]]/base[[#This Row],[Stake/Responsabilidade]]</f>
        <v>5.7874853169941905E-2</v>
      </c>
      <c r="O1183" s="132">
        <f>IF(base[[#This Row],[L/P Líquido]]&gt;0,1,0)</f>
        <v>1</v>
      </c>
      <c r="P1183" s="132" t="s">
        <v>966</v>
      </c>
      <c r="Q1183" s="132" t="str">
        <f>LEFT(base[[#This Row],[Evento / Mercado]],FIND("vs",base[[#This Row],[Evento / Mercado]])-2)</f>
        <v>Kayserispor</v>
      </c>
      <c r="R11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Trabzonspor</v>
      </c>
      <c r="S1183" s="132" t="e">
        <f>LEFT(base[[#This Row],[Evento / Mercado]],FIND("/",base[[#This Row],[Evento / Mercado]])-2)</f>
        <v>#VALUE!</v>
      </c>
    </row>
    <row r="1184" spans="2:19" ht="15" customHeight="1">
      <c r="B1184" s="128" t="s">
        <v>1044</v>
      </c>
      <c r="C1184" s="128" t="s">
        <v>2982</v>
      </c>
      <c r="D1184" s="129">
        <v>46091.647997685184</v>
      </c>
      <c r="E1184" s="130">
        <v>-25</v>
      </c>
      <c r="F1184" s="131">
        <v>4.4999999999999998E-2</v>
      </c>
      <c r="G1184" s="126">
        <f t="shared" si="19"/>
        <v>-25</v>
      </c>
      <c r="H1184" s="126" t="s">
        <v>211</v>
      </c>
      <c r="I1184" s="127" t="s">
        <v>201</v>
      </c>
      <c r="J1184" s="126">
        <v>1.74</v>
      </c>
      <c r="K1184" s="126">
        <v>25</v>
      </c>
      <c r="L1184" s="129">
        <f>INT(base[[#This Row],[Data de liquidação]])</f>
        <v>46091</v>
      </c>
      <c r="M1184" s="126">
        <f>base[[#This Row],[L/P Bruto]]-base[[#This Row],[L/P Líquido]]</f>
        <v>0</v>
      </c>
      <c r="N1184" s="126">
        <f>base[[#This Row],[L/P Líquido]]/base[[#This Row],[Stake/Responsabilidade]]</f>
        <v>-1</v>
      </c>
      <c r="O1184" s="132">
        <f>IF(base[[#This Row],[L/P Líquido]]&gt;0,1,0)</f>
        <v>0</v>
      </c>
      <c r="P1184" s="132"/>
      <c r="Q1184" s="132" t="str">
        <f>LEFT(base[[#This Row],[Evento / Mercado]],FIND("vs",base[[#This Row],[Evento / Mercado]])-2)</f>
        <v>Galatasaray SK</v>
      </c>
      <c r="R11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1184" s="132" t="e">
        <f>LEFT(base[[#This Row],[Evento / Mercado]],FIND("/",base[[#This Row],[Evento / Mercado]])-2)</f>
        <v>#VALUE!</v>
      </c>
    </row>
    <row r="1185" spans="2:21" ht="15" customHeight="1">
      <c r="B1185" s="128" t="s">
        <v>1044</v>
      </c>
      <c r="C1185" s="128" t="s">
        <v>2982</v>
      </c>
      <c r="D1185" s="129">
        <v>46091.694166666668</v>
      </c>
      <c r="E1185" s="130">
        <v>-10.54</v>
      </c>
      <c r="F1185" s="131">
        <v>4.4999999999999998E-2</v>
      </c>
      <c r="G1185" s="126">
        <f t="shared" si="19"/>
        <v>-10.54</v>
      </c>
      <c r="H1185" s="126" t="s">
        <v>211</v>
      </c>
      <c r="I1185" s="127" t="s">
        <v>1045</v>
      </c>
      <c r="J1185" s="126">
        <v>1.7</v>
      </c>
      <c r="K1185" s="126">
        <v>25</v>
      </c>
      <c r="L1185" s="129">
        <f>INT(base[[#This Row],[Data de liquidação]])</f>
        <v>46091</v>
      </c>
      <c r="M1185" s="126">
        <f>base[[#This Row],[L/P Bruto]]-base[[#This Row],[L/P Líquido]]</f>
        <v>0</v>
      </c>
      <c r="N1185" s="126">
        <f>base[[#This Row],[L/P Líquido]]/base[[#This Row],[Stake/Responsabilidade]]</f>
        <v>-0.42159999999999997</v>
      </c>
      <c r="O1185" s="132">
        <f>IF(base[[#This Row],[L/P Líquido]]&gt;0,1,0)</f>
        <v>0</v>
      </c>
      <c r="P1185" s="132"/>
      <c r="Q1185" s="132" t="str">
        <f>LEFT(base[[#This Row],[Evento / Mercado]],FIND("vs",base[[#This Row],[Evento / Mercado]])-2)</f>
        <v>Galatasaray SK</v>
      </c>
      <c r="R11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1185" s="132" t="e">
        <f>LEFT(base[[#This Row],[Evento / Mercado]],FIND("/",base[[#This Row],[Evento / Mercado]])-2)</f>
        <v>#VALUE!</v>
      </c>
    </row>
    <row r="1186" spans="2:21" ht="15" customHeight="1">
      <c r="B1186" s="128" t="s">
        <v>1043</v>
      </c>
      <c r="C1186" s="128" t="s">
        <v>2982</v>
      </c>
      <c r="D1186" s="129">
        <v>46091.753472222219</v>
      </c>
      <c r="E1186" s="130">
        <v>67.14</v>
      </c>
      <c r="F1186" s="131">
        <v>4.4999999999999998E-2</v>
      </c>
      <c r="G1186" s="126">
        <f t="shared" si="19"/>
        <v>70.303664921465966</v>
      </c>
      <c r="H1186" s="126" t="s">
        <v>231</v>
      </c>
      <c r="I1186" s="127" t="s">
        <v>266</v>
      </c>
      <c r="J1186" s="126">
        <v>1.74</v>
      </c>
      <c r="K1186" s="126">
        <v>95</v>
      </c>
      <c r="L1186" s="129">
        <f>INT(base[[#This Row],[Data de liquidação]])</f>
        <v>46091</v>
      </c>
      <c r="M1186" s="126">
        <f>base[[#This Row],[L/P Bruto]]-base[[#This Row],[L/P Líquido]]</f>
        <v>3.1636649214659656</v>
      </c>
      <c r="N1186" s="126">
        <f>base[[#This Row],[L/P Líquido]]/base[[#This Row],[Stake/Responsabilidade]]</f>
        <v>0.70673684210526322</v>
      </c>
      <c r="O1186" s="132">
        <f>IF(base[[#This Row],[L/P Líquido]]&gt;0,1,0)</f>
        <v>1</v>
      </c>
      <c r="P1186" s="132"/>
      <c r="Q1186" s="132" t="str">
        <f>LEFT(base[[#This Row],[Evento / Mercado]],FIND("vs",base[[#This Row],[Evento / Mercado]])-2)</f>
        <v>Doncaster Rovers</v>
      </c>
      <c r="R11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Luton Town</v>
      </c>
      <c r="S1186" s="132" t="e">
        <f>LEFT(base[[#This Row],[Evento / Mercado]],FIND("/",base[[#This Row],[Evento / Mercado]])-2)</f>
        <v>#VALUE!</v>
      </c>
    </row>
    <row r="1187" spans="2:21" ht="15" customHeight="1">
      <c r="B1187" s="128" t="s">
        <v>1042</v>
      </c>
      <c r="C1187" s="128" t="s">
        <v>2982</v>
      </c>
      <c r="D1187" s="129">
        <v>46091.776516203703</v>
      </c>
      <c r="E1187" s="130">
        <v>-94.88</v>
      </c>
      <c r="F1187" s="131">
        <v>4.4999999999999998E-2</v>
      </c>
      <c r="G1187" s="126">
        <f t="shared" si="19"/>
        <v>-94.88</v>
      </c>
      <c r="H1187" s="126" t="s">
        <v>231</v>
      </c>
      <c r="I1187" s="127" t="s">
        <v>266</v>
      </c>
      <c r="J1187" s="126">
        <v>1.79</v>
      </c>
      <c r="K1187" s="126">
        <v>94.88</v>
      </c>
      <c r="L1187" s="129">
        <f>INT(base[[#This Row],[Data de liquidação]])</f>
        <v>46091</v>
      </c>
      <c r="M1187" s="126">
        <f>base[[#This Row],[L/P Bruto]]-base[[#This Row],[L/P Líquido]]</f>
        <v>0</v>
      </c>
      <c r="N1187" s="126">
        <f>base[[#This Row],[L/P Líquido]]/base[[#This Row],[Stake/Responsabilidade]]</f>
        <v>-1</v>
      </c>
      <c r="O1187" s="132">
        <f>IF(base[[#This Row],[L/P Líquido]]&gt;0,1,0)</f>
        <v>0</v>
      </c>
      <c r="P1187" s="132"/>
      <c r="Q1187" s="132" t="str">
        <f>LEFT(base[[#This Row],[Evento / Mercado]],FIND("vs",base[[#This Row],[Evento / Mercado]])-2)</f>
        <v>Mansfield Town</v>
      </c>
      <c r="R11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Reading</v>
      </c>
      <c r="S1187" s="132" t="e">
        <f>LEFT(base[[#This Row],[Evento / Mercado]],FIND("/",base[[#This Row],[Evento / Mercado]])-2)</f>
        <v>#VALUE!</v>
      </c>
    </row>
    <row r="1188" spans="2:21" ht="15" customHeight="1">
      <c r="B1188" s="128" t="s">
        <v>1041</v>
      </c>
      <c r="C1188" s="128" t="s">
        <v>2982</v>
      </c>
      <c r="D1188" s="129">
        <v>46091.776574074072</v>
      </c>
      <c r="E1188" s="130">
        <v>-94.74</v>
      </c>
      <c r="F1188" s="131">
        <v>4.4999999999999998E-2</v>
      </c>
      <c r="G1188" s="126">
        <f t="shared" si="19"/>
        <v>-94.74</v>
      </c>
      <c r="H1188" s="126" t="s">
        <v>231</v>
      </c>
      <c r="I1188" s="127" t="s">
        <v>232</v>
      </c>
      <c r="J1188" s="126">
        <v>1.72</v>
      </c>
      <c r="K1188" s="126">
        <v>94.74</v>
      </c>
      <c r="L1188" s="129">
        <f>INT(base[[#This Row],[Data de liquidação]])</f>
        <v>46091</v>
      </c>
      <c r="M1188" s="126">
        <f>base[[#This Row],[L/P Bruto]]-base[[#This Row],[L/P Líquido]]</f>
        <v>0</v>
      </c>
      <c r="N1188" s="126">
        <f>base[[#This Row],[L/P Líquido]]/base[[#This Row],[Stake/Responsabilidade]]</f>
        <v>-1</v>
      </c>
      <c r="O1188" s="132">
        <f>IF(base[[#This Row],[L/P Líquido]]&gt;0,1,0)</f>
        <v>0</v>
      </c>
      <c r="P1188" s="132"/>
      <c r="Q1188" s="132" t="str">
        <f>LEFT(base[[#This Row],[Evento / Mercado]],FIND("vs",base[[#This Row],[Evento / Mercado]])-2)</f>
        <v>Aldershot Town</v>
      </c>
      <c r="R11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Carlisle United</v>
      </c>
      <c r="S1188" s="132" t="e">
        <f>LEFT(base[[#This Row],[Evento / Mercado]],FIND("/",base[[#This Row],[Evento / Mercado]])-2)</f>
        <v>#VALUE!</v>
      </c>
    </row>
    <row r="1189" spans="2:21" ht="15" customHeight="1">
      <c r="B1189" s="128" t="s">
        <v>1039</v>
      </c>
      <c r="C1189" s="128" t="s">
        <v>2982</v>
      </c>
      <c r="D1189" s="129">
        <v>46091.78665509259</v>
      </c>
      <c r="E1189" s="130">
        <v>19.71</v>
      </c>
      <c r="F1189" s="131">
        <v>0</v>
      </c>
      <c r="G1189" s="126">
        <f t="shared" si="19"/>
        <v>19.71</v>
      </c>
      <c r="H1189" s="126" t="s">
        <v>74</v>
      </c>
      <c r="I1189" s="127" t="s">
        <v>541</v>
      </c>
      <c r="J1189" s="126">
        <v>18</v>
      </c>
      <c r="K1189" s="126">
        <v>335.07</v>
      </c>
      <c r="L1189" s="129">
        <f>INT(base[[#This Row],[Data de liquidação]])</f>
        <v>46091</v>
      </c>
      <c r="M1189" s="126">
        <f>base[[#This Row],[L/P Bruto]]-base[[#This Row],[L/P Líquido]]</f>
        <v>0</v>
      </c>
      <c r="N1189" s="126">
        <f>base[[#This Row],[L/P Líquido]]/base[[#This Row],[Stake/Responsabilidade]]</f>
        <v>5.8823529411764712E-2</v>
      </c>
      <c r="O1189" s="132">
        <f>IF(base[[#This Row],[L/P Líquido]]&gt;0,1,0)</f>
        <v>1</v>
      </c>
      <c r="P1189" s="132" t="s">
        <v>972</v>
      </c>
      <c r="Q1189" s="132" t="str">
        <f>LEFT(base[[#This Row],[Evento / Mercado]],FIND("vs",base[[#This Row],[Evento / Mercado]])-2)</f>
        <v>Newcastle United</v>
      </c>
      <c r="R11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189" s="132" t="e">
        <f>LEFT(base[[#This Row],[Evento / Mercado]],FIND("/",base[[#This Row],[Evento / Mercado]])-2)</f>
        <v>#VALUE!</v>
      </c>
      <c r="U1189" s="9"/>
    </row>
    <row r="1190" spans="2:21" ht="15" customHeight="1">
      <c r="B1190" s="128" t="s">
        <v>1039</v>
      </c>
      <c r="C1190" s="128" t="s">
        <v>2982</v>
      </c>
      <c r="D1190" s="129">
        <v>46091.78665509259</v>
      </c>
      <c r="E1190" s="130">
        <f>-68.24+33.5</f>
        <v>-34.739999999999995</v>
      </c>
      <c r="F1190" s="131">
        <v>0</v>
      </c>
      <c r="G1190" s="126">
        <f t="shared" si="19"/>
        <v>-34.739999999999995</v>
      </c>
      <c r="H1190" s="126" t="s">
        <v>122</v>
      </c>
      <c r="I1190" s="127" t="s">
        <v>542</v>
      </c>
      <c r="J1190" s="126">
        <v>11</v>
      </c>
      <c r="K1190" s="126">
        <v>335</v>
      </c>
      <c r="L1190" s="129">
        <f>INT(base[[#This Row],[Data de liquidação]])</f>
        <v>46091</v>
      </c>
      <c r="M1190" s="126">
        <f>base[[#This Row],[L/P Bruto]]-base[[#This Row],[L/P Líquido]]</f>
        <v>0</v>
      </c>
      <c r="N1190" s="126">
        <f>base[[#This Row],[L/P Líquido]]/base[[#This Row],[Stake/Responsabilidade]]</f>
        <v>-0.10370149253731342</v>
      </c>
      <c r="O1190" s="132">
        <f>IF(base[[#This Row],[L/P Líquido]]&gt;0,1,0)</f>
        <v>0</v>
      </c>
      <c r="P1190" s="132" t="s">
        <v>972</v>
      </c>
      <c r="Q1190" s="132" t="str">
        <f>LEFT(base[[#This Row],[Evento / Mercado]],FIND("vs",base[[#This Row],[Evento / Mercado]])-2)</f>
        <v>Newcastle United</v>
      </c>
      <c r="R11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190" s="132" t="e">
        <f>LEFT(base[[#This Row],[Evento / Mercado]],FIND("/",base[[#This Row],[Evento / Mercado]])-2)</f>
        <v>#VALUE!</v>
      </c>
      <c r="U1190" s="9"/>
    </row>
    <row r="1191" spans="2:21" ht="15" customHeight="1">
      <c r="B1191" s="128" t="s">
        <v>1040</v>
      </c>
      <c r="C1191" s="128" t="s">
        <v>2982</v>
      </c>
      <c r="D1191" s="129">
        <v>46091.78670138889</v>
      </c>
      <c r="E1191" s="130">
        <v>25.59</v>
      </c>
      <c r="F1191" s="131">
        <v>4.4999999999999998E-2</v>
      </c>
      <c r="G1191" s="126">
        <f t="shared" si="19"/>
        <v>26.795811518324609</v>
      </c>
      <c r="H1191" s="126" t="s">
        <v>74</v>
      </c>
      <c r="I1191" s="127" t="s">
        <v>541</v>
      </c>
      <c r="J1191" s="126">
        <v>13.5</v>
      </c>
      <c r="K1191" s="126">
        <v>335</v>
      </c>
      <c r="L1191" s="129">
        <f>INT(base[[#This Row],[Data de liquidação]])</f>
        <v>46091</v>
      </c>
      <c r="M1191" s="126">
        <f>base[[#This Row],[L/P Bruto]]-base[[#This Row],[L/P Líquido]]</f>
        <v>1.2058115183246088</v>
      </c>
      <c r="N1191" s="126">
        <f>base[[#This Row],[L/P Líquido]]/base[[#This Row],[Stake/Responsabilidade]]</f>
        <v>7.6388059701492539E-2</v>
      </c>
      <c r="O1191" s="132">
        <f>IF(base[[#This Row],[L/P Líquido]]&gt;0,1,0)</f>
        <v>1</v>
      </c>
      <c r="P1191" s="132" t="s">
        <v>972</v>
      </c>
      <c r="Q1191" s="132" t="str">
        <f>LEFT(base[[#This Row],[Evento / Mercado]],FIND("vs",base[[#This Row],[Evento / Mercado]])-2)</f>
        <v>Atalanta</v>
      </c>
      <c r="R11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191" s="132" t="e">
        <f>LEFT(base[[#This Row],[Evento / Mercado]],FIND("/",base[[#This Row],[Evento / Mercado]])-2)</f>
        <v>#VALUE!</v>
      </c>
    </row>
    <row r="1192" spans="2:21" ht="15" customHeight="1">
      <c r="B1192" s="128" t="s">
        <v>1039</v>
      </c>
      <c r="C1192" s="128" t="s">
        <v>2982</v>
      </c>
      <c r="D1192" s="129">
        <v>46091.787083333336</v>
      </c>
      <c r="E1192" s="130">
        <v>37.72</v>
      </c>
      <c r="F1192" s="131">
        <v>4.4999999999999998E-2</v>
      </c>
      <c r="G1192" s="126">
        <f t="shared" si="19"/>
        <v>39.497382198952877</v>
      </c>
      <c r="H1192" s="126" t="s">
        <v>211</v>
      </c>
      <c r="I1192" s="127" t="s">
        <v>78</v>
      </c>
      <c r="J1192" s="126">
        <v>1.79</v>
      </c>
      <c r="K1192" s="126">
        <v>50</v>
      </c>
      <c r="L1192" s="129">
        <f>INT(base[[#This Row],[Data de liquidação]])</f>
        <v>46091</v>
      </c>
      <c r="M1192" s="126">
        <f>base[[#This Row],[L/P Bruto]]-base[[#This Row],[L/P Líquido]]</f>
        <v>1.7773821989528784</v>
      </c>
      <c r="N1192" s="126">
        <f>base[[#This Row],[L/P Líquido]]/base[[#This Row],[Stake/Responsabilidade]]</f>
        <v>0.75439999999999996</v>
      </c>
      <c r="O1192" s="132">
        <f>IF(base[[#This Row],[L/P Líquido]]&gt;0,1,0)</f>
        <v>1</v>
      </c>
      <c r="P1192" s="132"/>
      <c r="Q1192" s="132" t="str">
        <f>LEFT(base[[#This Row],[Evento / Mercado]],FIND("vs",base[[#This Row],[Evento / Mercado]])-2)</f>
        <v>Newcastle United</v>
      </c>
      <c r="R11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192" s="132" t="e">
        <f>LEFT(base[[#This Row],[Evento / Mercado]],FIND("/",base[[#This Row],[Evento / Mercado]])-2)</f>
        <v>#VALUE!</v>
      </c>
    </row>
    <row r="1193" spans="2:21" ht="15" customHeight="1">
      <c r="B1193" s="128" t="s">
        <v>1038</v>
      </c>
      <c r="C1193" s="128" t="s">
        <v>2982</v>
      </c>
      <c r="D1193" s="129">
        <v>46091.790462962963</v>
      </c>
      <c r="E1193" s="130">
        <v>20</v>
      </c>
      <c r="F1193" s="131">
        <v>4.4999999999999998E-2</v>
      </c>
      <c r="G1193" s="126">
        <f t="shared" si="19"/>
        <v>20.942408376963353</v>
      </c>
      <c r="H1193" s="126" t="s">
        <v>74</v>
      </c>
      <c r="I1193" s="127" t="s">
        <v>476</v>
      </c>
      <c r="J1193" s="126">
        <v>17</v>
      </c>
      <c r="K1193" s="126">
        <v>335.04</v>
      </c>
      <c r="L1193" s="129">
        <f>INT(base[[#This Row],[Data de liquidação]])</f>
        <v>46091</v>
      </c>
      <c r="M1193" s="126">
        <f>base[[#This Row],[L/P Bruto]]-base[[#This Row],[L/P Líquido]]</f>
        <v>0.94240837696335333</v>
      </c>
      <c r="N1193" s="126">
        <f>base[[#This Row],[L/P Líquido]]/base[[#This Row],[Stake/Responsabilidade]]</f>
        <v>5.9694364851957969E-2</v>
      </c>
      <c r="O1193" s="132">
        <f>IF(base[[#This Row],[L/P Líquido]]&gt;0,1,0)</f>
        <v>1</v>
      </c>
      <c r="P1193" s="132" t="s">
        <v>972</v>
      </c>
      <c r="Q1193" s="132" t="str">
        <f>LEFT(base[[#This Row],[Evento / Mercado]],FIND("vs",base[[#This Row],[Evento / Mercado]])-2)</f>
        <v>Atlético de Madrid</v>
      </c>
      <c r="R11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1193" s="132" t="e">
        <f>LEFT(base[[#This Row],[Evento / Mercado]],FIND("/",base[[#This Row],[Evento / Mercado]])-2)</f>
        <v>#VALUE!</v>
      </c>
    </row>
    <row r="1194" spans="2:21" ht="15" customHeight="1">
      <c r="B1194" s="128" t="s">
        <v>1037</v>
      </c>
      <c r="C1194" s="128" t="s">
        <v>2982</v>
      </c>
      <c r="D1194" s="129">
        <v>46091.96670138889</v>
      </c>
      <c r="E1194" s="130">
        <v>83.47</v>
      </c>
      <c r="F1194" s="131">
        <v>4.4999999999999998E-2</v>
      </c>
      <c r="G1194" s="126">
        <f t="shared" si="19"/>
        <v>87.403141361256544</v>
      </c>
      <c r="H1194" s="126" t="s">
        <v>231</v>
      </c>
      <c r="I1194" s="127" t="s">
        <v>232</v>
      </c>
      <c r="J1194" s="126">
        <v>1.92</v>
      </c>
      <c r="K1194" s="126">
        <v>95</v>
      </c>
      <c r="L1194" s="129">
        <f>INT(base[[#This Row],[Data de liquidação]])</f>
        <v>46091</v>
      </c>
      <c r="M1194" s="126">
        <f>base[[#This Row],[L/P Bruto]]-base[[#This Row],[L/P Líquido]]</f>
        <v>3.9331413612565456</v>
      </c>
      <c r="N1194" s="126">
        <f>base[[#This Row],[L/P Líquido]]/base[[#This Row],[Stake/Responsabilidade]]</f>
        <v>0.87863157894736843</v>
      </c>
      <c r="O1194" s="132">
        <f>IF(base[[#This Row],[L/P Líquido]]&gt;0,1,0)</f>
        <v>1</v>
      </c>
      <c r="P1194" s="132"/>
      <c r="Q1194" s="132" t="str">
        <f>LEFT(base[[#This Row],[Evento / Mercado]],FIND("vs",base[[#This Row],[Evento / Mercado]])-2)</f>
        <v>Mirassol FC</v>
      </c>
      <c r="R11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194" s="132" t="e">
        <f>LEFT(base[[#This Row],[Evento / Mercado]],FIND("/",base[[#This Row],[Evento / Mercado]])-2)</f>
        <v>#VALUE!</v>
      </c>
    </row>
    <row r="1195" spans="2:21" ht="15" customHeight="1">
      <c r="B1195" s="128" t="s">
        <v>1049</v>
      </c>
      <c r="C1195" s="128" t="s">
        <v>2982</v>
      </c>
      <c r="D1195" s="129">
        <v>46092.737916666665</v>
      </c>
      <c r="E1195" s="130">
        <v>63.51</v>
      </c>
      <c r="F1195" s="131">
        <v>4.4999999999999998E-2</v>
      </c>
      <c r="G1195" s="126">
        <f t="shared" si="19"/>
        <v>66.502617801047123</v>
      </c>
      <c r="H1195" s="126" t="s">
        <v>231</v>
      </c>
      <c r="I1195" s="127" t="s">
        <v>232</v>
      </c>
      <c r="J1195" s="126">
        <v>1.7</v>
      </c>
      <c r="K1195" s="126">
        <v>95</v>
      </c>
      <c r="L1195" s="129">
        <f>INT(base[[#This Row],[Data de liquidação]])</f>
        <v>46092</v>
      </c>
      <c r="M1195" s="126">
        <f>base[[#This Row],[L/P Bruto]]-base[[#This Row],[L/P Líquido]]</f>
        <v>2.9926178010471247</v>
      </c>
      <c r="N1195" s="126">
        <f>base[[#This Row],[L/P Líquido]]/base[[#This Row],[Stake/Responsabilidade]]</f>
        <v>0.66852631578947364</v>
      </c>
      <c r="O1195" s="132">
        <f>IF(base[[#This Row],[L/P Líquido]]&gt;0,1,0)</f>
        <v>1</v>
      </c>
      <c r="P1195" s="132"/>
      <c r="Q1195" s="132" t="str">
        <f>LEFT(base[[#This Row],[Evento / Mercado]],FIND("vs",base[[#This Row],[Evento / Mercado]])-2)</f>
        <v>Paris Saint-Germain</v>
      </c>
      <c r="R11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1195" s="132" t="e">
        <f>LEFT(base[[#This Row],[Evento / Mercado]],FIND("/",base[[#This Row],[Evento / Mercado]])-2)</f>
        <v>#VALUE!</v>
      </c>
    </row>
    <row r="1196" spans="2:21" ht="15" customHeight="1">
      <c r="B1196" s="128" t="s">
        <v>1052</v>
      </c>
      <c r="C1196" s="128" t="s">
        <v>2982</v>
      </c>
      <c r="D1196" s="129">
        <v>46092.756203703706</v>
      </c>
      <c r="E1196" s="130">
        <v>70.59</v>
      </c>
      <c r="F1196" s="131">
        <v>4.4999999999999998E-2</v>
      </c>
      <c r="G1196" s="126">
        <f t="shared" si="19"/>
        <v>73.916230366492158</v>
      </c>
      <c r="H1196" s="126" t="s">
        <v>231</v>
      </c>
      <c r="I1196" s="127" t="s">
        <v>232</v>
      </c>
      <c r="J1196" s="126">
        <v>1.77</v>
      </c>
      <c r="K1196" s="126">
        <v>96</v>
      </c>
      <c r="L1196" s="129">
        <f>INT(base[[#This Row],[Data de liquidação]])</f>
        <v>46092</v>
      </c>
      <c r="M1196" s="126">
        <f>base[[#This Row],[L/P Bruto]]-base[[#This Row],[L/P Líquido]]</f>
        <v>3.3262303664921546</v>
      </c>
      <c r="N1196" s="126">
        <f>base[[#This Row],[L/P Líquido]]/base[[#This Row],[Stake/Responsabilidade]]</f>
        <v>0.73531250000000004</v>
      </c>
      <c r="O1196" s="132">
        <f>IF(base[[#This Row],[L/P Líquido]]&gt;0,1,0)</f>
        <v>1</v>
      </c>
      <c r="P1196" s="132"/>
      <c r="Q1196" s="132" t="str">
        <f>LEFT(base[[#This Row],[Evento / Mercado]],FIND("vs",base[[#This Row],[Evento / Mercado]])-2)</f>
        <v>Coventry City</v>
      </c>
      <c r="R11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Preston North End</v>
      </c>
      <c r="S1196" s="132" t="e">
        <f>LEFT(base[[#This Row],[Evento / Mercado]],FIND("/",base[[#This Row],[Evento / Mercado]])-2)</f>
        <v>#VALUE!</v>
      </c>
    </row>
    <row r="1197" spans="2:21" ht="15" customHeight="1">
      <c r="B1197" s="128" t="s">
        <v>1048</v>
      </c>
      <c r="C1197" s="128" t="s">
        <v>2982</v>
      </c>
      <c r="D1197" s="129">
        <v>46092.773032407407</v>
      </c>
      <c r="E1197" s="130">
        <v>63.51</v>
      </c>
      <c r="F1197" s="131">
        <v>4.4999999999999998E-2</v>
      </c>
      <c r="G1197" s="126">
        <f t="shared" si="19"/>
        <v>66.502617801047123</v>
      </c>
      <c r="H1197" s="126" t="s">
        <v>231</v>
      </c>
      <c r="I1197" s="127" t="s">
        <v>232</v>
      </c>
      <c r="J1197" s="126">
        <v>1.7</v>
      </c>
      <c r="K1197" s="126">
        <v>95</v>
      </c>
      <c r="L1197" s="129">
        <f>INT(base[[#This Row],[Data de liquidação]])</f>
        <v>46092</v>
      </c>
      <c r="M1197" s="126">
        <f>base[[#This Row],[L/P Bruto]]-base[[#This Row],[L/P Líquido]]</f>
        <v>2.9926178010471247</v>
      </c>
      <c r="N1197" s="126">
        <f>base[[#This Row],[L/P Líquido]]/base[[#This Row],[Stake/Responsabilidade]]</f>
        <v>0.66852631578947364</v>
      </c>
      <c r="O1197" s="132">
        <f>IF(base[[#This Row],[L/P Líquido]]&gt;0,1,0)</f>
        <v>1</v>
      </c>
      <c r="P1197" s="132"/>
      <c r="Q1197" s="132" t="str">
        <f>LEFT(base[[#This Row],[Evento / Mercado]],FIND("vs",base[[#This Row],[Evento / Mercado]])-2)</f>
        <v>Bodø/Glimt</v>
      </c>
      <c r="R1197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1197" s="132" t="str">
        <f>LEFT(base[[#This Row],[Evento / Mercado]],FIND("/",base[[#This Row],[Evento / Mercado]])-2)</f>
        <v>Bod</v>
      </c>
    </row>
    <row r="1198" spans="2:21" ht="15" customHeight="1">
      <c r="B1198" s="128" t="s">
        <v>1051</v>
      </c>
      <c r="C1198" s="128" t="s">
        <v>2982</v>
      </c>
      <c r="D1198" s="129">
        <v>46092.77752314815</v>
      </c>
      <c r="E1198" s="130">
        <v>-365.02</v>
      </c>
      <c r="F1198" s="131">
        <v>4.4999999999999998E-2</v>
      </c>
      <c r="G1198" s="126">
        <f t="shared" si="19"/>
        <v>-365.02</v>
      </c>
      <c r="H1198" s="126" t="s">
        <v>145</v>
      </c>
      <c r="I1198" s="127" t="s">
        <v>301</v>
      </c>
      <c r="J1198" s="126">
        <v>9.8000000000000007</v>
      </c>
      <c r="K1198" s="126">
        <v>365.02</v>
      </c>
      <c r="L1198" s="129">
        <f>INT(base[[#This Row],[Data de liquidação]])</f>
        <v>46092</v>
      </c>
      <c r="M1198" s="126">
        <f>base[[#This Row],[L/P Bruto]]-base[[#This Row],[L/P Líquido]]</f>
        <v>0</v>
      </c>
      <c r="N1198" s="126">
        <f>base[[#This Row],[L/P Líquido]]/base[[#This Row],[Stake/Responsabilidade]]</f>
        <v>-1</v>
      </c>
      <c r="O1198" s="132">
        <f>IF(base[[#This Row],[L/P Líquido]]&gt;0,1,0)</f>
        <v>0</v>
      </c>
      <c r="P1198" s="132" t="s">
        <v>968</v>
      </c>
      <c r="Q1198" s="132" t="str">
        <f>LEFT(base[[#This Row],[Evento / Mercado]],FIND("vs",base[[#This Row],[Evento / Mercado]])-2)</f>
        <v>Middlesbrough</v>
      </c>
      <c r="R11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Charlton Athletic</v>
      </c>
      <c r="S1198" s="132" t="e">
        <f>LEFT(base[[#This Row],[Evento / Mercado]],FIND("/",base[[#This Row],[Evento / Mercado]])-2)</f>
        <v>#VALUE!</v>
      </c>
    </row>
    <row r="1199" spans="2:21" ht="15" customHeight="1">
      <c r="B1199" s="128" t="s">
        <v>1050</v>
      </c>
      <c r="C1199" s="128" t="s">
        <v>2982</v>
      </c>
      <c r="D1199" s="129">
        <v>46092.78638888889</v>
      </c>
      <c r="E1199" s="130">
        <v>30.31</v>
      </c>
      <c r="F1199" s="131">
        <v>4.4999999999999998E-2</v>
      </c>
      <c r="G1199" s="126">
        <f t="shared" si="19"/>
        <v>31.738219895287958</v>
      </c>
      <c r="H1199" s="126" t="s">
        <v>74</v>
      </c>
      <c r="I1199" s="127" t="s">
        <v>541</v>
      </c>
      <c r="J1199" s="126">
        <v>12.5</v>
      </c>
      <c r="K1199" s="126">
        <v>365.01</v>
      </c>
      <c r="L1199" s="129">
        <f>INT(base[[#This Row],[Data de liquidação]])</f>
        <v>46092</v>
      </c>
      <c r="M1199" s="126">
        <f>base[[#This Row],[L/P Bruto]]-base[[#This Row],[L/P Líquido]]</f>
        <v>1.4282198952879597</v>
      </c>
      <c r="N1199" s="126">
        <f>base[[#This Row],[L/P Líquido]]/base[[#This Row],[Stake/Responsabilidade]]</f>
        <v>8.3038820854223164E-2</v>
      </c>
      <c r="O1199" s="132">
        <f>IF(base[[#This Row],[L/P Líquido]]&gt;0,1,0)</f>
        <v>1</v>
      </c>
      <c r="P1199" s="132" t="s">
        <v>972</v>
      </c>
      <c r="Q1199" s="132" t="str">
        <f>LEFT(base[[#This Row],[Evento / Mercado]],FIND("vs",base[[#This Row],[Evento / Mercado]])-2)</f>
        <v>Real Madrid</v>
      </c>
      <c r="R11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199" s="132" t="e">
        <f>LEFT(base[[#This Row],[Evento / Mercado]],FIND("/",base[[#This Row],[Evento / Mercado]])-2)</f>
        <v>#VALUE!</v>
      </c>
    </row>
    <row r="1200" spans="2:21" ht="15" customHeight="1">
      <c r="B1200" s="128" t="s">
        <v>1049</v>
      </c>
      <c r="C1200" s="128" t="s">
        <v>2982</v>
      </c>
      <c r="D1200" s="129">
        <v>46092.78769675926</v>
      </c>
      <c r="E1200" s="130">
        <v>21.12</v>
      </c>
      <c r="F1200" s="131">
        <v>4.4999999999999998E-2</v>
      </c>
      <c r="G1200" s="126">
        <f t="shared" si="19"/>
        <v>22.1151832460733</v>
      </c>
      <c r="H1200" s="126" t="s">
        <v>74</v>
      </c>
      <c r="I1200" s="127" t="s">
        <v>476</v>
      </c>
      <c r="J1200" s="126">
        <v>17.5</v>
      </c>
      <c r="K1200" s="126">
        <v>364.98</v>
      </c>
      <c r="L1200" s="129">
        <f>INT(base[[#This Row],[Data de liquidação]])</f>
        <v>46092</v>
      </c>
      <c r="M1200" s="126">
        <f>base[[#This Row],[L/P Bruto]]-base[[#This Row],[L/P Líquido]]</f>
        <v>0.99518324607329944</v>
      </c>
      <c r="N1200" s="126">
        <f>base[[#This Row],[L/P Líquido]]/base[[#This Row],[Stake/Responsabilidade]]</f>
        <v>5.7866184448462928E-2</v>
      </c>
      <c r="O1200" s="132">
        <f>IF(base[[#This Row],[L/P Líquido]]&gt;0,1,0)</f>
        <v>1</v>
      </c>
      <c r="P1200" s="132" t="s">
        <v>972</v>
      </c>
      <c r="Q1200" s="132" t="str">
        <f>LEFT(base[[#This Row],[Evento / Mercado]],FIND("vs",base[[#This Row],[Evento / Mercado]])-2)</f>
        <v>Paris Saint-Germain</v>
      </c>
      <c r="R12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1200" s="132" t="e">
        <f>LEFT(base[[#This Row],[Evento / Mercado]],FIND("/",base[[#This Row],[Evento / Mercado]])-2)</f>
        <v>#VALUE!</v>
      </c>
    </row>
    <row r="1201" spans="2:19" ht="15" customHeight="1">
      <c r="B1201" s="128" t="s">
        <v>1048</v>
      </c>
      <c r="C1201" s="128" t="s">
        <v>2982</v>
      </c>
      <c r="D1201" s="129">
        <v>46092.787951388891</v>
      </c>
      <c r="E1201" s="130">
        <v>22.49</v>
      </c>
      <c r="F1201" s="131">
        <v>4.4999999999999998E-2</v>
      </c>
      <c r="G1201" s="126">
        <f t="shared" si="19"/>
        <v>23.549738219895286</v>
      </c>
      <c r="H1201" s="126" t="s">
        <v>74</v>
      </c>
      <c r="I1201" s="127" t="s">
        <v>476</v>
      </c>
      <c r="J1201" s="126">
        <v>16.5</v>
      </c>
      <c r="K1201" s="126">
        <v>365.03</v>
      </c>
      <c r="L1201" s="129">
        <f>INT(base[[#This Row],[Data de liquidação]])</f>
        <v>46092</v>
      </c>
      <c r="M1201" s="126">
        <f>base[[#This Row],[L/P Bruto]]-base[[#This Row],[L/P Líquido]]</f>
        <v>1.0597382198952872</v>
      </c>
      <c r="N1201" s="126">
        <f>base[[#This Row],[L/P Líquido]]/base[[#This Row],[Stake/Responsabilidade]]</f>
        <v>6.1611374407582936E-2</v>
      </c>
      <c r="O1201" s="132">
        <f>IF(base[[#This Row],[L/P Líquido]]&gt;0,1,0)</f>
        <v>1</v>
      </c>
      <c r="P1201" s="132" t="s">
        <v>972</v>
      </c>
      <c r="Q1201" s="132" t="str">
        <f>LEFT(base[[#This Row],[Evento / Mercado]],FIND("vs",base[[#This Row],[Evento / Mercado]])-2)</f>
        <v>Bodø/Glimt</v>
      </c>
      <c r="R1201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1201" s="132" t="str">
        <f>LEFT(base[[#This Row],[Evento / Mercado]],FIND("/",base[[#This Row],[Evento / Mercado]])-2)</f>
        <v>Bod</v>
      </c>
    </row>
    <row r="1202" spans="2:19" ht="15" customHeight="1">
      <c r="B1202" s="128" t="s">
        <v>1047</v>
      </c>
      <c r="C1202" s="128" t="s">
        <v>2982</v>
      </c>
      <c r="D1202" s="129">
        <v>46092.869953703703</v>
      </c>
      <c r="E1202" s="130">
        <v>97.98</v>
      </c>
      <c r="F1202" s="131">
        <v>4.4999999999999998E-2</v>
      </c>
      <c r="G1202" s="126">
        <f t="shared" si="19"/>
        <v>102.59685863874347</v>
      </c>
      <c r="H1202" s="126" t="s">
        <v>231</v>
      </c>
      <c r="I1202" s="127" t="s">
        <v>266</v>
      </c>
      <c r="J1202" s="126">
        <v>2.08</v>
      </c>
      <c r="K1202" s="126">
        <v>95</v>
      </c>
      <c r="L1202" s="129">
        <f>INT(base[[#This Row],[Data de liquidação]])</f>
        <v>46092</v>
      </c>
      <c r="M1202" s="126">
        <f>base[[#This Row],[L/P Bruto]]-base[[#This Row],[L/P Líquido]]</f>
        <v>4.6168586387434658</v>
      </c>
      <c r="N1202" s="126">
        <f>base[[#This Row],[L/P Líquido]]/base[[#This Row],[Stake/Responsabilidade]]</f>
        <v>1.0313684210526317</v>
      </c>
      <c r="O1202" s="132">
        <f>IF(base[[#This Row],[L/P Líquido]]&gt;0,1,0)</f>
        <v>1</v>
      </c>
      <c r="P1202" s="132"/>
      <c r="Q1202" s="132" t="str">
        <f>LEFT(base[[#This Row],[Evento / Mercado]],FIND("vs",base[[#This Row],[Evento / Mercado]])-2)</f>
        <v>Esporte Clube Bahia</v>
      </c>
      <c r="R12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1202" s="132" t="e">
        <f>LEFT(base[[#This Row],[Evento / Mercado]],FIND("/",base[[#This Row],[Evento / Mercado]])-2)</f>
        <v>#VALUE!</v>
      </c>
    </row>
    <row r="1203" spans="2:19" ht="15" customHeight="1">
      <c r="B1203" s="128" t="s">
        <v>1046</v>
      </c>
      <c r="C1203" s="128" t="s">
        <v>2982</v>
      </c>
      <c r="D1203" s="129">
        <v>46092.875439814816</v>
      </c>
      <c r="E1203" s="130">
        <v>-95</v>
      </c>
      <c r="F1203" s="131">
        <v>4.4999999999999998E-2</v>
      </c>
      <c r="G1203" s="126">
        <f t="shared" si="19"/>
        <v>-95</v>
      </c>
      <c r="H1203" s="126" t="s">
        <v>231</v>
      </c>
      <c r="I1203" s="127" t="s">
        <v>266</v>
      </c>
      <c r="J1203" s="126">
        <v>1.83</v>
      </c>
      <c r="K1203" s="126">
        <v>95</v>
      </c>
      <c r="L1203" s="129">
        <f>INT(base[[#This Row],[Data de liquidação]])</f>
        <v>46092</v>
      </c>
      <c r="M1203" s="126">
        <f>base[[#This Row],[L/P Bruto]]-base[[#This Row],[L/P Líquido]]</f>
        <v>0</v>
      </c>
      <c r="N1203" s="126">
        <f>base[[#This Row],[L/P Líquido]]/base[[#This Row],[Stake/Responsabilidade]]</f>
        <v>-1</v>
      </c>
      <c r="O1203" s="132">
        <f>IF(base[[#This Row],[L/P Líquido]]&gt;0,1,0)</f>
        <v>0</v>
      </c>
      <c r="P1203" s="132"/>
      <c r="Q1203" s="132" t="str">
        <f>LEFT(base[[#This Row],[Evento / Mercado]],FIND("vs",base[[#This Row],[Evento / Mercado]])-2)</f>
        <v>Atlético Mineiro</v>
      </c>
      <c r="R12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1203" s="132" t="e">
        <f>LEFT(base[[#This Row],[Evento / Mercado]],FIND("/",base[[#This Row],[Evento / Mercado]])-2)</f>
        <v>#VALUE!</v>
      </c>
    </row>
    <row r="1204" spans="2:19" ht="15" customHeight="1">
      <c r="B1204" s="128" t="s">
        <v>1055</v>
      </c>
      <c r="C1204" s="128" t="s">
        <v>2982</v>
      </c>
      <c r="D1204" s="129">
        <v>46093.873680555553</v>
      </c>
      <c r="E1204" s="130">
        <v>36.729999999999997</v>
      </c>
      <c r="F1204" s="131">
        <v>4.4999999999999998E-2</v>
      </c>
      <c r="G1204" s="126">
        <f t="shared" si="19"/>
        <v>38.460732984293195</v>
      </c>
      <c r="H1204" s="126" t="s">
        <v>145</v>
      </c>
      <c r="I1204" s="127" t="s">
        <v>1056</v>
      </c>
      <c r="J1204" s="126">
        <v>8.8000000000000007</v>
      </c>
      <c r="K1204" s="126">
        <v>299.99</v>
      </c>
      <c r="L1204" s="129">
        <f>INT(base[[#This Row],[Data de liquidação]])</f>
        <v>46093</v>
      </c>
      <c r="M1204" s="126">
        <f>base[[#This Row],[L/P Bruto]]-base[[#This Row],[L/P Líquido]]</f>
        <v>1.7307329842931978</v>
      </c>
      <c r="N1204" s="126">
        <f>base[[#This Row],[L/P Líquido]]/base[[#This Row],[Stake/Responsabilidade]]</f>
        <v>0.122437414580486</v>
      </c>
      <c r="O1204" s="132">
        <f>IF(base[[#This Row],[L/P Líquido]]&gt;0,1,0)</f>
        <v>1</v>
      </c>
      <c r="P1204" s="132" t="s">
        <v>1058</v>
      </c>
      <c r="Q1204" s="132" t="str">
        <f>LEFT(base[[#This Row],[Evento / Mercado]],FIND("vs",base[[#This Row],[Evento / Mercado]])-2)</f>
        <v>Clube do Remo</v>
      </c>
      <c r="R12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1204" s="132" t="e">
        <f>LEFT(base[[#This Row],[Evento / Mercado]],FIND("/",base[[#This Row],[Evento / Mercado]])-2)</f>
        <v>#VALUE!</v>
      </c>
    </row>
    <row r="1205" spans="2:19" ht="15" customHeight="1">
      <c r="B1205" s="128" t="s">
        <v>1054</v>
      </c>
      <c r="C1205" s="128" t="s">
        <v>2982</v>
      </c>
      <c r="D1205" s="129">
        <v>46093.918599537035</v>
      </c>
      <c r="E1205" s="130">
        <v>51.16</v>
      </c>
      <c r="F1205" s="131">
        <v>4.4999999999999998E-2</v>
      </c>
      <c r="G1205" s="126">
        <f t="shared" si="19"/>
        <v>53.57068062827225</v>
      </c>
      <c r="H1205" s="126" t="s">
        <v>74</v>
      </c>
      <c r="I1205" s="127" t="s">
        <v>1057</v>
      </c>
      <c r="J1205" s="126">
        <v>6.6</v>
      </c>
      <c r="K1205" s="126">
        <v>299.99</v>
      </c>
      <c r="L1205" s="129">
        <f>INT(base[[#This Row],[Data de liquidação]])</f>
        <v>46093</v>
      </c>
      <c r="M1205" s="126">
        <f>base[[#This Row],[L/P Bruto]]-base[[#This Row],[L/P Líquido]]</f>
        <v>2.410680628272253</v>
      </c>
      <c r="N1205" s="126">
        <f>base[[#This Row],[L/P Líquido]]/base[[#This Row],[Stake/Responsabilidade]]</f>
        <v>0.17053901796726556</v>
      </c>
      <c r="O1205" s="132">
        <f>IF(base[[#This Row],[L/P Líquido]]&gt;0,1,0)</f>
        <v>1</v>
      </c>
      <c r="P1205" s="132" t="s">
        <v>1058</v>
      </c>
      <c r="Q1205" s="132" t="str">
        <f>LEFT(base[[#This Row],[Evento / Mercado]],FIND("vs",base[[#This Row],[Evento / Mercado]])-2)</f>
        <v>São Paulo</v>
      </c>
      <c r="R12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1205" s="132" t="e">
        <f>LEFT(base[[#This Row],[Evento / Mercado]],FIND("/",base[[#This Row],[Evento / Mercado]])-2)</f>
        <v>#VALUE!</v>
      </c>
    </row>
    <row r="1206" spans="2:19" ht="15" customHeight="1">
      <c r="B1206" s="128" t="s">
        <v>1053</v>
      </c>
      <c r="C1206" s="128" t="s">
        <v>2982</v>
      </c>
      <c r="D1206" s="129">
        <v>46093.980358796296</v>
      </c>
      <c r="E1206" s="130">
        <v>36.380000000000003</v>
      </c>
      <c r="F1206" s="131">
        <v>4.4999999999999998E-2</v>
      </c>
      <c r="G1206" s="126">
        <f t="shared" si="19"/>
        <v>38.09424083769634</v>
      </c>
      <c r="H1206" s="126" t="s">
        <v>74</v>
      </c>
      <c r="I1206" s="127" t="s">
        <v>476</v>
      </c>
      <c r="J1206" s="126">
        <v>12.5</v>
      </c>
      <c r="K1206" s="126">
        <v>438.04</v>
      </c>
      <c r="L1206" s="129">
        <f>INT(base[[#This Row],[Data de liquidação]])</f>
        <v>46093</v>
      </c>
      <c r="M1206" s="126">
        <f>base[[#This Row],[L/P Bruto]]-base[[#This Row],[L/P Líquido]]</f>
        <v>1.7142408376963374</v>
      </c>
      <c r="N1206" s="126">
        <f>base[[#This Row],[L/P Líquido]]/base[[#This Row],[Stake/Responsabilidade]]</f>
        <v>8.3051776093507446E-2</v>
      </c>
      <c r="O1206" s="132">
        <f>IF(base[[#This Row],[L/P Líquido]]&gt;0,1,0)</f>
        <v>1</v>
      </c>
      <c r="P1206" s="132" t="s">
        <v>1058</v>
      </c>
      <c r="Q1206" s="132" t="str">
        <f>LEFT(base[[#This Row],[Evento / Mercado]],FIND("vs",base[[#This Row],[Evento / Mercado]])-2)</f>
        <v>Grêmio FBPA</v>
      </c>
      <c r="R12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1206" s="132" t="e">
        <f>LEFT(base[[#This Row],[Evento / Mercado]],FIND("/",base[[#This Row],[Evento / Mercado]])-2)</f>
        <v>#VALUE!</v>
      </c>
    </row>
    <row r="1207" spans="2:19" ht="15" customHeight="1">
      <c r="B1207" s="128" t="s">
        <v>1076</v>
      </c>
      <c r="C1207" s="128" t="s">
        <v>2982</v>
      </c>
      <c r="D1207" s="129">
        <v>46094.68613425926</v>
      </c>
      <c r="E1207" s="130">
        <v>-95</v>
      </c>
      <c r="F1207" s="131">
        <v>4.4999999999999998E-2</v>
      </c>
      <c r="G1207" s="126">
        <f t="shared" si="19"/>
        <v>-95</v>
      </c>
      <c r="H1207" s="126" t="s">
        <v>231</v>
      </c>
      <c r="I1207" s="127" t="s">
        <v>232</v>
      </c>
      <c r="J1207" s="126">
        <v>1.68</v>
      </c>
      <c r="K1207" s="126">
        <v>95</v>
      </c>
      <c r="L1207" s="129">
        <f>INT(base[[#This Row],[Data de liquidação]])</f>
        <v>46094</v>
      </c>
      <c r="M1207" s="126">
        <f>base[[#This Row],[L/P Bruto]]-base[[#This Row],[L/P Líquido]]</f>
        <v>0</v>
      </c>
      <c r="N1207" s="126">
        <f>base[[#This Row],[L/P Líquido]]/base[[#This Row],[Stake/Responsabilidade]]</f>
        <v>-1</v>
      </c>
      <c r="O1207" s="132">
        <f>IF(base[[#This Row],[L/P Líquido]]&gt;0,1,0)</f>
        <v>0</v>
      </c>
      <c r="P1207" s="132"/>
      <c r="Q1207" s="132" t="str">
        <f>LEFT(base[[#This Row],[Evento / Mercado]],FIND("vs",base[[#This Row],[Evento / Mercado]])-2)</f>
        <v>SpVgg Greuther Fürth</v>
      </c>
      <c r="R12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Elversberg</v>
      </c>
      <c r="S1207" s="132" t="e">
        <f>LEFT(base[[#This Row],[Evento / Mercado]],FIND("/",base[[#This Row],[Evento / Mercado]])-2)</f>
        <v>#VALUE!</v>
      </c>
    </row>
    <row r="1208" spans="2:19" ht="15" customHeight="1">
      <c r="B1208" s="128" t="s">
        <v>1075</v>
      </c>
      <c r="C1208" s="128" t="s">
        <v>2982</v>
      </c>
      <c r="D1208" s="129">
        <v>46094.69902777778</v>
      </c>
      <c r="E1208" s="130">
        <v>-95</v>
      </c>
      <c r="F1208" s="131">
        <v>4.4999999999999998E-2</v>
      </c>
      <c r="G1208" s="126">
        <f t="shared" si="19"/>
        <v>-95</v>
      </c>
      <c r="H1208" s="126" t="s">
        <v>231</v>
      </c>
      <c r="I1208" s="127" t="s">
        <v>233</v>
      </c>
      <c r="J1208" s="126">
        <v>2.12</v>
      </c>
      <c r="K1208" s="126">
        <v>95</v>
      </c>
      <c r="L1208" s="129">
        <f>INT(base[[#This Row],[Data de liquidação]])</f>
        <v>46094</v>
      </c>
      <c r="M1208" s="126">
        <f>base[[#This Row],[L/P Bruto]]-base[[#This Row],[L/P Líquido]]</f>
        <v>0</v>
      </c>
      <c r="N1208" s="126">
        <f>base[[#This Row],[L/P Líquido]]/base[[#This Row],[Stake/Responsabilidade]]</f>
        <v>-1</v>
      </c>
      <c r="O1208" s="132">
        <f>IF(base[[#This Row],[L/P Líquido]]&gt;0,1,0)</f>
        <v>0</v>
      </c>
      <c r="P1208" s="132"/>
      <c r="Q1208" s="132" t="str">
        <f>LEFT(base[[#This Row],[Evento / Mercado]],FIND("vs",base[[#This Row],[Evento / Mercado]])-2)</f>
        <v>Jong PSV Eindhoven</v>
      </c>
      <c r="R12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1208" s="132" t="e">
        <f>LEFT(base[[#This Row],[Evento / Mercado]],FIND("/",base[[#This Row],[Evento / Mercado]])-2)</f>
        <v>#VALUE!</v>
      </c>
    </row>
    <row r="1209" spans="2:19" ht="15" customHeight="1">
      <c r="B1209" s="128" t="s">
        <v>1074</v>
      </c>
      <c r="C1209" s="128" t="s">
        <v>2982</v>
      </c>
      <c r="D1209" s="129">
        <v>46094.777650462966</v>
      </c>
      <c r="E1209" s="130">
        <v>42.1</v>
      </c>
      <c r="F1209" s="131">
        <v>4.4999999999999998E-2</v>
      </c>
      <c r="G1209" s="126">
        <f t="shared" si="19"/>
        <v>44.083769633507856</v>
      </c>
      <c r="H1209" s="126" t="s">
        <v>145</v>
      </c>
      <c r="I1209" s="127" t="s">
        <v>301</v>
      </c>
      <c r="J1209" s="126">
        <v>8.6</v>
      </c>
      <c r="K1209" s="126">
        <v>335.01</v>
      </c>
      <c r="L1209" s="129">
        <f>INT(base[[#This Row],[Data de liquidação]])</f>
        <v>46094</v>
      </c>
      <c r="M1209" s="126">
        <f>base[[#This Row],[L/P Bruto]]-base[[#This Row],[L/P Líquido]]</f>
        <v>1.9837696335078547</v>
      </c>
      <c r="N1209" s="126">
        <f>base[[#This Row],[L/P Líquido]]/base[[#This Row],[Stake/Responsabilidade]]</f>
        <v>0.12566789051073102</v>
      </c>
      <c r="O1209" s="132">
        <f>IF(base[[#This Row],[L/P Líquido]]&gt;0,1,0)</f>
        <v>1</v>
      </c>
      <c r="P1209" s="132" t="s">
        <v>970</v>
      </c>
      <c r="Q1209" s="132" t="str">
        <f>LEFT(base[[#This Row],[Evento / Mercado]],FIND("vs",base[[#This Row],[Evento / Mercado]])-2)</f>
        <v>Olympique Marseille</v>
      </c>
      <c r="R12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1209" s="132" t="e">
        <f>LEFT(base[[#This Row],[Evento / Mercado]],FIND("/",base[[#This Row],[Evento / Mercado]])-2)</f>
        <v>#VALUE!</v>
      </c>
    </row>
    <row r="1210" spans="2:19" ht="15" customHeight="1">
      <c r="B1210" s="128" t="s">
        <v>1073</v>
      </c>
      <c r="C1210" s="128" t="s">
        <v>2982</v>
      </c>
      <c r="D1210" s="129">
        <v>46094.786921296298</v>
      </c>
      <c r="E1210" s="130">
        <v>-95</v>
      </c>
      <c r="F1210" s="131">
        <v>4.4999999999999998E-2</v>
      </c>
      <c r="G1210" s="126">
        <f t="shared" si="19"/>
        <v>-95</v>
      </c>
      <c r="H1210" s="126" t="s">
        <v>231</v>
      </c>
      <c r="I1210" s="127" t="s">
        <v>266</v>
      </c>
      <c r="J1210" s="126">
        <v>1.84</v>
      </c>
      <c r="K1210" s="126">
        <v>95</v>
      </c>
      <c r="L1210" s="129">
        <f>INT(base[[#This Row],[Data de liquidação]])</f>
        <v>46094</v>
      </c>
      <c r="M1210" s="126">
        <f>base[[#This Row],[L/P Bruto]]-base[[#This Row],[L/P Líquido]]</f>
        <v>0</v>
      </c>
      <c r="N1210" s="126">
        <f>base[[#This Row],[L/P Líquido]]/base[[#This Row],[Stake/Responsabilidade]]</f>
        <v>-1</v>
      </c>
      <c r="O1210" s="132">
        <f>IF(base[[#This Row],[L/P Líquido]]&gt;0,1,0)</f>
        <v>0</v>
      </c>
      <c r="P1210" s="132"/>
      <c r="Q1210" s="132" t="str">
        <f>LEFT(base[[#This Row],[Evento / Mercado]],FIND("vs",base[[#This Row],[Evento / Mercado]])-2)</f>
        <v>Wrexham</v>
      </c>
      <c r="R12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Swansea City</v>
      </c>
      <c r="S1210" s="132" t="e">
        <f>LEFT(base[[#This Row],[Evento / Mercado]],FIND("/",base[[#This Row],[Evento / Mercado]])-2)</f>
        <v>#VALUE!</v>
      </c>
    </row>
    <row r="1211" spans="2:19" ht="15" customHeight="1">
      <c r="B1211" s="128" t="s">
        <v>1072</v>
      </c>
      <c r="C1211" s="128" t="s">
        <v>2982</v>
      </c>
      <c r="D1211" s="129">
        <v>46095.434351851851</v>
      </c>
      <c r="E1211" s="130">
        <v>83.47</v>
      </c>
      <c r="F1211" s="131">
        <v>4.4999999999999998E-2</v>
      </c>
      <c r="G1211" s="126">
        <f t="shared" si="19"/>
        <v>87.403141361256544</v>
      </c>
      <c r="H1211" s="126" t="s">
        <v>231</v>
      </c>
      <c r="I1211" s="127" t="s">
        <v>232</v>
      </c>
      <c r="J1211" s="126">
        <v>1.92</v>
      </c>
      <c r="K1211" s="126">
        <v>95</v>
      </c>
      <c r="L1211" s="129">
        <f>INT(base[[#This Row],[Data de liquidação]])</f>
        <v>46095</v>
      </c>
      <c r="M1211" s="126">
        <f>base[[#This Row],[L/P Bruto]]-base[[#This Row],[L/P Líquido]]</f>
        <v>3.9331413612565456</v>
      </c>
      <c r="N1211" s="126">
        <f>base[[#This Row],[L/P Líquido]]/base[[#This Row],[Stake/Responsabilidade]]</f>
        <v>0.87863157894736843</v>
      </c>
      <c r="O1211" s="132">
        <f>IF(base[[#This Row],[L/P Líquido]]&gt;0,1,0)</f>
        <v>1</v>
      </c>
      <c r="P1211" s="132"/>
      <c r="Q1211" s="132" t="str">
        <f>LEFT(base[[#This Row],[Evento / Mercado]],FIND("vs",base[[#This Row],[Evento / Mercado]])-2)</f>
        <v>Hansa Rostock</v>
      </c>
      <c r="R12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MSV Duisburg</v>
      </c>
      <c r="S1211" s="132" t="e">
        <f>LEFT(base[[#This Row],[Evento / Mercado]],FIND("/",base[[#This Row],[Evento / Mercado]])-2)</f>
        <v>#VALUE!</v>
      </c>
    </row>
    <row r="1212" spans="2:19" ht="15" customHeight="1">
      <c r="B1212" s="128" t="s">
        <v>1071</v>
      </c>
      <c r="C1212" s="128" t="s">
        <v>2982</v>
      </c>
      <c r="D1212" s="129">
        <v>46095.457511574074</v>
      </c>
      <c r="E1212" s="130">
        <v>-95</v>
      </c>
      <c r="F1212" s="131">
        <v>4.4999999999999998E-2</v>
      </c>
      <c r="G1212" s="126">
        <f t="shared" si="19"/>
        <v>-95</v>
      </c>
      <c r="H1212" s="126" t="s">
        <v>231</v>
      </c>
      <c r="I1212" s="127" t="s">
        <v>232</v>
      </c>
      <c r="J1212" s="126">
        <v>1.9</v>
      </c>
      <c r="K1212" s="126">
        <v>95</v>
      </c>
      <c r="L1212" s="129">
        <f>INT(base[[#This Row],[Data de liquidação]])</f>
        <v>46095</v>
      </c>
      <c r="M1212" s="126">
        <f>base[[#This Row],[L/P Bruto]]-base[[#This Row],[L/P Líquido]]</f>
        <v>0</v>
      </c>
      <c r="N1212" s="126">
        <f>base[[#This Row],[L/P Líquido]]/base[[#This Row],[Stake/Responsabilidade]]</f>
        <v>-1</v>
      </c>
      <c r="O1212" s="132">
        <f>IF(base[[#This Row],[L/P Líquido]]&gt;0,1,0)</f>
        <v>0</v>
      </c>
      <c r="P1212" s="132"/>
      <c r="Q1212" s="132" t="str">
        <f>LEFT(base[[#This Row],[Evento / Mercado]],FIND("vs",base[[#This Row],[Evento / Mercado]])-2)</f>
        <v>Eintracht Braunschweig</v>
      </c>
      <c r="R12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Düsseldorf</v>
      </c>
      <c r="S1212" s="132" t="e">
        <f>LEFT(base[[#This Row],[Evento / Mercado]],FIND("/",base[[#This Row],[Evento / Mercado]])-2)</f>
        <v>#VALUE!</v>
      </c>
    </row>
    <row r="1213" spans="2:19" ht="15" customHeight="1">
      <c r="B1213" s="128" t="s">
        <v>1070</v>
      </c>
      <c r="C1213" s="128" t="s">
        <v>2982</v>
      </c>
      <c r="D1213" s="129">
        <v>46095.471631944441</v>
      </c>
      <c r="E1213" s="130">
        <v>68.040000000000006</v>
      </c>
      <c r="F1213" s="131">
        <v>4.4999999999999998E-2</v>
      </c>
      <c r="G1213" s="126">
        <f t="shared" si="19"/>
        <v>71.246073298429323</v>
      </c>
      <c r="H1213" s="126" t="s">
        <v>231</v>
      </c>
      <c r="I1213" s="127" t="s">
        <v>232</v>
      </c>
      <c r="J1213" s="126">
        <v>1.75</v>
      </c>
      <c r="K1213" s="126">
        <v>95</v>
      </c>
      <c r="L1213" s="129">
        <f>INT(base[[#This Row],[Data de liquidação]])</f>
        <v>46095</v>
      </c>
      <c r="M1213" s="126">
        <f>base[[#This Row],[L/P Bruto]]-base[[#This Row],[L/P Líquido]]</f>
        <v>3.2060732984293168</v>
      </c>
      <c r="N1213" s="126">
        <f>base[[#This Row],[L/P Líquido]]/base[[#This Row],[Stake/Responsabilidade]]</f>
        <v>0.71621052631578952</v>
      </c>
      <c r="O1213" s="132">
        <f>IF(base[[#This Row],[L/P Líquido]]&gt;0,1,0)</f>
        <v>1</v>
      </c>
      <c r="P1213" s="132"/>
      <c r="Q1213" s="132" t="str">
        <f>LEFT(base[[#This Row],[Evento / Mercado]],FIND("vs",base[[#This Row],[Evento / Mercado]])-2)</f>
        <v>Coventry City</v>
      </c>
      <c r="R12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Southampton</v>
      </c>
      <c r="S1213" s="132" t="e">
        <f>LEFT(base[[#This Row],[Evento / Mercado]],FIND("/",base[[#This Row],[Evento / Mercado]])-2)</f>
        <v>#VALUE!</v>
      </c>
    </row>
    <row r="1214" spans="2:19" ht="15" customHeight="1">
      <c r="B1214" s="128" t="s">
        <v>1069</v>
      </c>
      <c r="C1214" s="128" t="s">
        <v>2982</v>
      </c>
      <c r="D1214" s="129">
        <v>46095.494513888887</v>
      </c>
      <c r="E1214" s="130">
        <v>-95</v>
      </c>
      <c r="F1214" s="131">
        <v>4.4999999999999998E-2</v>
      </c>
      <c r="G1214" s="126">
        <f t="shared" si="19"/>
        <v>-95</v>
      </c>
      <c r="H1214" s="126" t="s">
        <v>231</v>
      </c>
      <c r="I1214" s="127" t="s">
        <v>266</v>
      </c>
      <c r="J1214" s="126">
        <v>1.83</v>
      </c>
      <c r="K1214" s="126">
        <v>95</v>
      </c>
      <c r="L1214" s="129">
        <f>INT(base[[#This Row],[Data de liquidação]])</f>
        <v>46095</v>
      </c>
      <c r="M1214" s="126">
        <f>base[[#This Row],[L/P Bruto]]-base[[#This Row],[L/P Líquido]]</f>
        <v>0</v>
      </c>
      <c r="N1214" s="126">
        <f>base[[#This Row],[L/P Líquido]]/base[[#This Row],[Stake/Responsabilidade]]</f>
        <v>-1</v>
      </c>
      <c r="O1214" s="132">
        <f>IF(base[[#This Row],[L/P Líquido]]&gt;0,1,0)</f>
        <v>0</v>
      </c>
      <c r="P1214" s="132"/>
      <c r="Q1214" s="132" t="str">
        <f>LEFT(base[[#This Row],[Evento / Mercado]],FIND("vs",base[[#This Row],[Evento / Mercado]])-2)</f>
        <v>Girona</v>
      </c>
      <c r="R12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Bilbao</v>
      </c>
      <c r="S1214" s="132" t="e">
        <f>LEFT(base[[#This Row],[Evento / Mercado]],FIND("/",base[[#This Row],[Evento / Mercado]])-2)</f>
        <v>#VALUE!</v>
      </c>
    </row>
    <row r="1215" spans="2:19" ht="15" customHeight="1">
      <c r="B1215" s="128" t="s">
        <v>1068</v>
      </c>
      <c r="C1215" s="128" t="s">
        <v>2982</v>
      </c>
      <c r="D1215" s="129">
        <v>46095.513368055559</v>
      </c>
      <c r="E1215" s="130">
        <v>76.209999999999994</v>
      </c>
      <c r="F1215" s="131">
        <v>4.4999999999999998E-2</v>
      </c>
      <c r="G1215" s="126">
        <f t="shared" si="19"/>
        <v>79.801047120418843</v>
      </c>
      <c r="H1215" s="126" t="s">
        <v>231</v>
      </c>
      <c r="I1215" s="127" t="s">
        <v>232</v>
      </c>
      <c r="J1215" s="126">
        <v>1.84</v>
      </c>
      <c r="K1215" s="126">
        <v>95</v>
      </c>
      <c r="L1215" s="129">
        <f>INT(base[[#This Row],[Data de liquidação]])</f>
        <v>46095</v>
      </c>
      <c r="M1215" s="126">
        <f>base[[#This Row],[L/P Bruto]]-base[[#This Row],[L/P Líquido]]</f>
        <v>3.5910471204188497</v>
      </c>
      <c r="N1215" s="126">
        <f>base[[#This Row],[L/P Líquido]]/base[[#This Row],[Stake/Responsabilidade]]</f>
        <v>0.80221052631578937</v>
      </c>
      <c r="O1215" s="132">
        <f>IF(base[[#This Row],[L/P Líquido]]&gt;0,1,0)</f>
        <v>1</v>
      </c>
      <c r="P1215" s="132"/>
      <c r="Q1215" s="132" t="str">
        <f>LEFT(base[[#This Row],[Evento / Mercado]],FIND("vs",base[[#This Row],[Evento / Mercado]])-2)</f>
        <v>Reading</v>
      </c>
      <c r="R12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Plymouth Argyle</v>
      </c>
      <c r="S1215" s="132" t="e">
        <f>LEFT(base[[#This Row],[Evento / Mercado]],FIND("/",base[[#This Row],[Evento / Mercado]])-2)</f>
        <v>#VALUE!</v>
      </c>
    </row>
    <row r="1216" spans="2:19" ht="15" customHeight="1">
      <c r="B1216" s="128" t="s">
        <v>1067</v>
      </c>
      <c r="C1216" s="128" t="s">
        <v>2982</v>
      </c>
      <c r="D1216" s="129">
        <v>46095.531608796293</v>
      </c>
      <c r="E1216" s="130">
        <v>78.02</v>
      </c>
      <c r="F1216" s="131">
        <v>4.4999999999999998E-2</v>
      </c>
      <c r="G1216" s="126">
        <f t="shared" si="19"/>
        <v>81.696335078534034</v>
      </c>
      <c r="H1216" s="126" t="s">
        <v>231</v>
      </c>
      <c r="I1216" s="127" t="s">
        <v>266</v>
      </c>
      <c r="J1216" s="126">
        <v>1.86</v>
      </c>
      <c r="K1216" s="126">
        <v>95</v>
      </c>
      <c r="L1216" s="129">
        <f>INT(base[[#This Row],[Data de liquidação]])</f>
        <v>46095</v>
      </c>
      <c r="M1216" s="126">
        <f>base[[#This Row],[L/P Bruto]]-base[[#This Row],[L/P Líquido]]</f>
        <v>3.6763350785340378</v>
      </c>
      <c r="N1216" s="126">
        <f>base[[#This Row],[L/P Líquido]]/base[[#This Row],[Stake/Responsabilidade]]</f>
        <v>0.82126315789473681</v>
      </c>
      <c r="O1216" s="132">
        <f>IF(base[[#This Row],[L/P Líquido]]&gt;0,1,0)</f>
        <v>1</v>
      </c>
      <c r="P1216" s="132"/>
      <c r="Q1216" s="132" t="str">
        <f>LEFT(base[[#This Row],[Evento / Mercado]],FIND("vs",base[[#This Row],[Evento / Mercado]])-2)</f>
        <v>Leicester City</v>
      </c>
      <c r="R12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Queens Park Rangers</v>
      </c>
      <c r="S1216" s="132" t="e">
        <f>LEFT(base[[#This Row],[Evento / Mercado]],FIND("/",base[[#This Row],[Evento / Mercado]])-2)</f>
        <v>#VALUE!</v>
      </c>
    </row>
    <row r="1217" spans="2:19" ht="15" customHeight="1">
      <c r="B1217" s="128" t="s">
        <v>1066</v>
      </c>
      <c r="C1217" s="128" t="s">
        <v>2982</v>
      </c>
      <c r="D1217" s="129">
        <v>46095.551180555558</v>
      </c>
      <c r="E1217" s="130">
        <v>58.97</v>
      </c>
      <c r="F1217" s="131">
        <v>4.4999999999999998E-2</v>
      </c>
      <c r="G1217" s="126">
        <f t="shared" si="19"/>
        <v>61.748691099476439</v>
      </c>
      <c r="H1217" s="126" t="s">
        <v>231</v>
      </c>
      <c r="I1217" s="127" t="s">
        <v>266</v>
      </c>
      <c r="J1217" s="126">
        <v>1.65</v>
      </c>
      <c r="K1217" s="126">
        <v>95</v>
      </c>
      <c r="L1217" s="129">
        <f>INT(base[[#This Row],[Data de liquidação]])</f>
        <v>46095</v>
      </c>
      <c r="M1217" s="126">
        <f>base[[#This Row],[L/P Bruto]]-base[[#This Row],[L/P Líquido]]</f>
        <v>2.7786910994764398</v>
      </c>
      <c r="N1217" s="126">
        <f>base[[#This Row],[L/P Líquido]]/base[[#This Row],[Stake/Responsabilidade]]</f>
        <v>0.62073684210526314</v>
      </c>
      <c r="O1217" s="132">
        <f>IF(base[[#This Row],[L/P Líquido]]&gt;0,1,0)</f>
        <v>1</v>
      </c>
      <c r="P1217" s="132"/>
      <c r="Q1217" s="132" t="str">
        <f>LEFT(base[[#This Row],[Evento / Mercado]],FIND("vs",base[[#This Row],[Evento / Mercado]])-2)</f>
        <v>1899 Hoffenheim</v>
      </c>
      <c r="R12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1217" s="132" t="e">
        <f>LEFT(base[[#This Row],[Evento / Mercado]],FIND("/",base[[#This Row],[Evento / Mercado]])-2)</f>
        <v>#VALUE!</v>
      </c>
    </row>
    <row r="1218" spans="2:19" ht="15" customHeight="1">
      <c r="B1218" s="128" t="s">
        <v>1065</v>
      </c>
      <c r="C1218" s="128" t="s">
        <v>2982</v>
      </c>
      <c r="D1218" s="129">
        <v>46095.552488425928</v>
      </c>
      <c r="E1218" s="130">
        <v>59.88</v>
      </c>
      <c r="F1218" s="131">
        <v>4.4999999999999998E-2</v>
      </c>
      <c r="G1218" s="126">
        <f t="shared" si="19"/>
        <v>62.701570680628279</v>
      </c>
      <c r="H1218" s="126" t="s">
        <v>231</v>
      </c>
      <c r="I1218" s="127" t="s">
        <v>266</v>
      </c>
      <c r="J1218" s="126">
        <v>1.66</v>
      </c>
      <c r="K1218" s="126">
        <v>95</v>
      </c>
      <c r="L1218" s="129">
        <f>INT(base[[#This Row],[Data de liquidação]])</f>
        <v>46095</v>
      </c>
      <c r="M1218" s="126">
        <f>base[[#This Row],[L/P Bruto]]-base[[#This Row],[L/P Líquido]]</f>
        <v>2.8215706806282768</v>
      </c>
      <c r="N1218" s="126">
        <f>base[[#This Row],[L/P Líquido]]/base[[#This Row],[Stake/Responsabilidade]]</f>
        <v>0.63031578947368427</v>
      </c>
      <c r="O1218" s="132">
        <f>IF(base[[#This Row],[L/P Líquido]]&gt;0,1,0)</f>
        <v>1</v>
      </c>
      <c r="P1218" s="132"/>
      <c r="Q1218" s="132" t="str">
        <f>LEFT(base[[#This Row],[Evento / Mercado]],FIND("vs",base[[#This Row],[Evento / Mercado]])-2)</f>
        <v>Mansfield Town</v>
      </c>
      <c r="R12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Barnsley</v>
      </c>
      <c r="S1218" s="132" t="e">
        <f>LEFT(base[[#This Row],[Evento / Mercado]],FIND("/",base[[#This Row],[Evento / Mercado]])-2)</f>
        <v>#VALUE!</v>
      </c>
    </row>
    <row r="1219" spans="2:19" ht="15" customHeight="1">
      <c r="B1219" s="128" t="s">
        <v>1064</v>
      </c>
      <c r="C1219" s="128" t="s">
        <v>2982</v>
      </c>
      <c r="D1219" s="129">
        <v>46095.55773148148</v>
      </c>
      <c r="E1219" s="130">
        <v>33.67</v>
      </c>
      <c r="F1219" s="131">
        <v>4.4999999999999998E-2</v>
      </c>
      <c r="G1219" s="126">
        <f t="shared" ref="G1219:G1282" si="20">IF(E1219&gt;0,E1219/(1-F1219),E1219)</f>
        <v>35.256544502617807</v>
      </c>
      <c r="H1219" s="126" t="s">
        <v>122</v>
      </c>
      <c r="I1219" s="127" t="s">
        <v>477</v>
      </c>
      <c r="J1219" s="126">
        <v>10.5</v>
      </c>
      <c r="K1219" s="126">
        <v>334.97</v>
      </c>
      <c r="L1219" s="129">
        <f>INT(base[[#This Row],[Data de liquidação]])</f>
        <v>46095</v>
      </c>
      <c r="M1219" s="126">
        <f>base[[#This Row],[L/P Bruto]]-base[[#This Row],[L/P Líquido]]</f>
        <v>1.5865445026178051</v>
      </c>
      <c r="N1219" s="126">
        <f>base[[#This Row],[L/P Líquido]]/base[[#This Row],[Stake/Responsabilidade]]</f>
        <v>0.10051646416096964</v>
      </c>
      <c r="O1219" s="132">
        <f>IF(base[[#This Row],[L/P Líquido]]&gt;0,1,0)</f>
        <v>1</v>
      </c>
      <c r="P1219" s="132" t="s">
        <v>962</v>
      </c>
      <c r="Q1219" s="132" t="str">
        <f>LEFT(base[[#This Row],[Evento / Mercado]],FIND("vs",base[[#This Row],[Evento / Mercado]])-2)</f>
        <v>Borussia Dortmund</v>
      </c>
      <c r="R12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Augsburg</v>
      </c>
      <c r="S1219" s="132" t="e">
        <f>LEFT(base[[#This Row],[Evento / Mercado]],FIND("/",base[[#This Row],[Evento / Mercado]])-2)</f>
        <v>#VALUE!</v>
      </c>
    </row>
    <row r="1220" spans="2:19" ht="15" customHeight="1">
      <c r="B1220" s="128" t="s">
        <v>1063</v>
      </c>
      <c r="C1220" s="128" t="s">
        <v>2982</v>
      </c>
      <c r="D1220" s="129">
        <v>46095.562777777777</v>
      </c>
      <c r="E1220" s="130">
        <v>20</v>
      </c>
      <c r="F1220" s="131">
        <v>4.4999999999999998E-2</v>
      </c>
      <c r="G1220" s="126">
        <f t="shared" si="20"/>
        <v>20.942408376963353</v>
      </c>
      <c r="H1220" s="126" t="s">
        <v>74</v>
      </c>
      <c r="I1220" s="127" t="s">
        <v>541</v>
      </c>
      <c r="J1220" s="126">
        <v>17</v>
      </c>
      <c r="K1220" s="126">
        <v>335.04</v>
      </c>
      <c r="L1220" s="129">
        <f>INT(base[[#This Row],[Data de liquidação]])</f>
        <v>46095</v>
      </c>
      <c r="M1220" s="126">
        <f>base[[#This Row],[L/P Bruto]]-base[[#This Row],[L/P Líquido]]</f>
        <v>0.94240837696335333</v>
      </c>
      <c r="N1220" s="126">
        <f>base[[#This Row],[L/P Líquido]]/base[[#This Row],[Stake/Responsabilidade]]</f>
        <v>5.9694364851957969E-2</v>
      </c>
      <c r="O1220" s="132">
        <f>IF(base[[#This Row],[L/P Líquido]]&gt;0,1,0)</f>
        <v>1</v>
      </c>
      <c r="P1220" s="132" t="s">
        <v>962</v>
      </c>
      <c r="Q1220" s="132" t="str">
        <f>LEFT(base[[#This Row],[Evento / Mercado]],FIND("vs",base[[#This Row],[Evento / Mercado]])-2)</f>
        <v>Bayer 04 Leverkusen</v>
      </c>
      <c r="R12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220" s="132" t="e">
        <f>LEFT(base[[#This Row],[Evento / Mercado]],FIND("/",base[[#This Row],[Evento / Mercado]])-2)</f>
        <v>#VALUE!</v>
      </c>
    </row>
    <row r="1221" spans="2:19" ht="15" customHeight="1">
      <c r="B1221" s="128" t="s">
        <v>1062</v>
      </c>
      <c r="C1221" s="128" t="s">
        <v>2982</v>
      </c>
      <c r="D1221" s="129">
        <v>46095.663495370369</v>
      </c>
      <c r="E1221" s="130">
        <v>17.079999999999998</v>
      </c>
      <c r="F1221" s="131">
        <v>4.4999999999999998E-2</v>
      </c>
      <c r="G1221" s="126">
        <f t="shared" si="20"/>
        <v>17.8848167539267</v>
      </c>
      <c r="H1221" s="126" t="s">
        <v>74</v>
      </c>
      <c r="I1221" s="127" t="s">
        <v>476</v>
      </c>
      <c r="J1221" s="126">
        <f>+(21*53+23*335.06)/base[[#This Row],[Stake/Responsabilidade]]</f>
        <v>22.726846363964338</v>
      </c>
      <c r="K1221" s="126">
        <f>53+335.06</f>
        <v>388.06</v>
      </c>
      <c r="L1221" s="129">
        <f>INT(base[[#This Row],[Data de liquidação]])</f>
        <v>46095</v>
      </c>
      <c r="M1221" s="126">
        <f>base[[#This Row],[L/P Bruto]]-base[[#This Row],[L/P Líquido]]</f>
        <v>0.80481675392670127</v>
      </c>
      <c r="N1221" s="126">
        <f>base[[#This Row],[L/P Líquido]]/base[[#This Row],[Stake/Responsabilidade]]</f>
        <v>4.401381229706746E-2</v>
      </c>
      <c r="O1221" s="132">
        <f>IF(base[[#This Row],[L/P Líquido]]&gt;0,1,0)</f>
        <v>1</v>
      </c>
      <c r="P1221" s="132" t="s">
        <v>966</v>
      </c>
      <c r="Q1221" s="132" t="str">
        <f>LEFT(base[[#This Row],[Evento / Mercado]],FIND("vs",base[[#This Row],[Evento / Mercado]])-2)</f>
        <v>Trabzonspor</v>
      </c>
      <c r="R12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Caykur Rizespor</v>
      </c>
      <c r="S1221" s="132" t="e">
        <f>LEFT(base[[#This Row],[Evento / Mercado]],FIND("/",base[[#This Row],[Evento / Mercado]])-2)</f>
        <v>#VALUE!</v>
      </c>
    </row>
    <row r="1222" spans="2:19" ht="15" customHeight="1">
      <c r="B1222" s="128" t="s">
        <v>1061</v>
      </c>
      <c r="C1222" s="128" t="s">
        <v>2982</v>
      </c>
      <c r="D1222" s="129">
        <v>46095.728449074071</v>
      </c>
      <c r="E1222" s="130">
        <v>72.58</v>
      </c>
      <c r="F1222" s="131">
        <v>4.4999999999999998E-2</v>
      </c>
      <c r="G1222" s="126">
        <f t="shared" si="20"/>
        <v>76</v>
      </c>
      <c r="H1222" s="126" t="s">
        <v>231</v>
      </c>
      <c r="I1222" s="127" t="s">
        <v>266</v>
      </c>
      <c r="J1222" s="126">
        <v>1.8</v>
      </c>
      <c r="K1222" s="126">
        <v>95</v>
      </c>
      <c r="L1222" s="129">
        <f>INT(base[[#This Row],[Data de liquidação]])</f>
        <v>46095</v>
      </c>
      <c r="M1222" s="126">
        <f>base[[#This Row],[L/P Bruto]]-base[[#This Row],[L/P Líquido]]</f>
        <v>3.4200000000000017</v>
      </c>
      <c r="N1222" s="126">
        <f>base[[#This Row],[L/P Líquido]]/base[[#This Row],[Stake/Responsabilidade]]</f>
        <v>0.76400000000000001</v>
      </c>
      <c r="O1222" s="132">
        <f>IF(base[[#This Row],[L/P Líquido]]&gt;0,1,0)</f>
        <v>1</v>
      </c>
      <c r="P1222" s="132"/>
      <c r="Q1222" s="132" t="str">
        <f>LEFT(base[[#This Row],[Evento / Mercado]],FIND("vs",base[[#This Row],[Evento / Mercado]])-2)</f>
        <v>AD Ceuta FC</v>
      </c>
      <c r="R12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La Coruña</v>
      </c>
      <c r="S1222" s="132" t="e">
        <f>LEFT(base[[#This Row],[Evento / Mercado]],FIND("/",base[[#This Row],[Evento / Mercado]])-2)</f>
        <v>#VALUE!</v>
      </c>
    </row>
    <row r="1223" spans="2:19" ht="15" customHeight="1">
      <c r="B1223" s="128" t="s">
        <v>1060</v>
      </c>
      <c r="C1223" s="128" t="s">
        <v>2982</v>
      </c>
      <c r="D1223" s="129">
        <v>46095.733287037037</v>
      </c>
      <c r="E1223" s="130">
        <v>61.69</v>
      </c>
      <c r="F1223" s="131">
        <v>4.4999999999999998E-2</v>
      </c>
      <c r="G1223" s="126">
        <f t="shared" si="20"/>
        <v>64.596858638743456</v>
      </c>
      <c r="H1223" s="126" t="s">
        <v>231</v>
      </c>
      <c r="I1223" s="127" t="s">
        <v>266</v>
      </c>
      <c r="J1223" s="126">
        <v>1.68</v>
      </c>
      <c r="K1223" s="126">
        <v>95</v>
      </c>
      <c r="L1223" s="129">
        <f>INT(base[[#This Row],[Data de liquidação]])</f>
        <v>46095</v>
      </c>
      <c r="M1223" s="126">
        <f>base[[#This Row],[L/P Bruto]]-base[[#This Row],[L/P Líquido]]</f>
        <v>2.9068586387434578</v>
      </c>
      <c r="N1223" s="126">
        <f>base[[#This Row],[L/P Líquido]]/base[[#This Row],[Stake/Responsabilidade]]</f>
        <v>0.64936842105263159</v>
      </c>
      <c r="O1223" s="132">
        <f>IF(base[[#This Row],[L/P Líquido]]&gt;0,1,0)</f>
        <v>1</v>
      </c>
      <c r="P1223" s="132"/>
      <c r="Q1223" s="132" t="str">
        <f>LEFT(base[[#This Row],[Evento / Mercado]],FIND("vs",base[[#This Row],[Evento / Mercado]])-2)</f>
        <v>West Ham</v>
      </c>
      <c r="R12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223" s="132" t="e">
        <f>LEFT(base[[#This Row],[Evento / Mercado]],FIND("/",base[[#This Row],[Evento / Mercado]])-2)</f>
        <v>#VALUE!</v>
      </c>
    </row>
    <row r="1224" spans="2:19" ht="15" customHeight="1">
      <c r="B1224" s="128" t="s">
        <v>1059</v>
      </c>
      <c r="C1224" s="128" t="s">
        <v>2982</v>
      </c>
      <c r="D1224" s="129">
        <v>46095.79078703704</v>
      </c>
      <c r="E1224" s="130">
        <v>44.25</v>
      </c>
      <c r="F1224" s="131">
        <v>4.4999999999999998E-2</v>
      </c>
      <c r="G1224" s="126">
        <f t="shared" si="20"/>
        <v>46.335078534031418</v>
      </c>
      <c r="H1224" s="126" t="s">
        <v>145</v>
      </c>
      <c r="I1224" s="127" t="s">
        <v>301</v>
      </c>
      <c r="J1224" s="126">
        <v>9.1999999999999993</v>
      </c>
      <c r="K1224" s="126">
        <v>379.99</v>
      </c>
      <c r="L1224" s="129">
        <f>INT(base[[#This Row],[Data de liquidação]])</f>
        <v>46095</v>
      </c>
      <c r="M1224" s="126">
        <f>base[[#This Row],[L/P Bruto]]-base[[#This Row],[L/P Líquido]]</f>
        <v>2.0850785340314175</v>
      </c>
      <c r="N1224" s="126">
        <f>base[[#This Row],[L/P Líquido]]/base[[#This Row],[Stake/Responsabilidade]]</f>
        <v>0.11645043290612911</v>
      </c>
      <c r="O1224" s="132">
        <f>IF(base[[#This Row],[L/P Líquido]]&gt;0,1,0)</f>
        <v>1</v>
      </c>
      <c r="P1224" s="132" t="s">
        <v>964</v>
      </c>
      <c r="Q1224" s="132" t="str">
        <f>LEFT(base[[#This Row],[Evento / Mercado]],FIND("vs",base[[#This Row],[Evento / Mercado]])-2)</f>
        <v>Real Madrid</v>
      </c>
      <c r="R12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1224" s="132" t="e">
        <f>LEFT(base[[#This Row],[Evento / Mercado]],FIND("/",base[[#This Row],[Evento / Mercado]])-2)</f>
        <v>#VALUE!</v>
      </c>
    </row>
    <row r="1225" spans="2:19" ht="15" customHeight="1">
      <c r="B1225" s="128" t="s">
        <v>1086</v>
      </c>
      <c r="C1225" s="128" t="s">
        <v>2982</v>
      </c>
      <c r="D1225" s="129">
        <v>46096.501481481479</v>
      </c>
      <c r="E1225" s="130">
        <v>-95</v>
      </c>
      <c r="F1225" s="131">
        <v>4.4999999999999998E-2</v>
      </c>
      <c r="G1225" s="126">
        <f t="shared" si="20"/>
        <v>-95</v>
      </c>
      <c r="H1225" s="126" t="s">
        <v>231</v>
      </c>
      <c r="I1225" s="127" t="s">
        <v>266</v>
      </c>
      <c r="J1225" s="126">
        <v>1.63</v>
      </c>
      <c r="K1225" s="126">
        <v>95</v>
      </c>
      <c r="L1225" s="129">
        <f>INT(base[[#This Row],[Data de liquidação]])</f>
        <v>46096</v>
      </c>
      <c r="M1225" s="126">
        <f>base[[#This Row],[L/P Bruto]]-base[[#This Row],[L/P Líquido]]</f>
        <v>0</v>
      </c>
      <c r="N1225" s="126">
        <f>base[[#This Row],[L/P Líquido]]/base[[#This Row],[Stake/Responsabilidade]]</f>
        <v>-1</v>
      </c>
      <c r="O1225" s="132">
        <f>IF(base[[#This Row],[L/P Líquido]]&gt;0,1,0)</f>
        <v>0</v>
      </c>
      <c r="P1225" s="132"/>
      <c r="Q1225" s="132" t="str">
        <f>LEFT(base[[#This Row],[Evento / Mercado]],FIND("vs",base[[#This Row],[Evento / Mercado]])-2)</f>
        <v>Córdoba CF</v>
      </c>
      <c r="R12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 B</v>
      </c>
      <c r="S1225" s="132" t="e">
        <f>LEFT(base[[#This Row],[Evento / Mercado]],FIND("/",base[[#This Row],[Evento / Mercado]])-2)</f>
        <v>#VALUE!</v>
      </c>
    </row>
    <row r="1226" spans="2:19" ht="15" customHeight="1">
      <c r="B1226" s="128" t="s">
        <v>1085</v>
      </c>
      <c r="C1226" s="128" t="s">
        <v>2982</v>
      </c>
      <c r="D1226" s="129">
        <v>46096.578449074077</v>
      </c>
      <c r="E1226" s="130">
        <v>62.6</v>
      </c>
      <c r="F1226" s="131">
        <v>4.4999999999999998E-2</v>
      </c>
      <c r="G1226" s="126">
        <f t="shared" si="20"/>
        <v>65.549738219895289</v>
      </c>
      <c r="H1226" s="126" t="s">
        <v>231</v>
      </c>
      <c r="I1226" s="127" t="s">
        <v>266</v>
      </c>
      <c r="J1226" s="126">
        <v>1.69</v>
      </c>
      <c r="K1226" s="126">
        <v>95</v>
      </c>
      <c r="L1226" s="129">
        <f>INT(base[[#This Row],[Data de liquidação]])</f>
        <v>46096</v>
      </c>
      <c r="M1226" s="126">
        <f>base[[#This Row],[L/P Bruto]]-base[[#This Row],[L/P Líquido]]</f>
        <v>2.9497382198952877</v>
      </c>
      <c r="N1226" s="126">
        <f>base[[#This Row],[L/P Líquido]]/base[[#This Row],[Stake/Responsabilidade]]</f>
        <v>0.65894736842105261</v>
      </c>
      <c r="O1226" s="132">
        <f>IF(base[[#This Row],[L/P Líquido]]&gt;0,1,0)</f>
        <v>1</v>
      </c>
      <c r="P1226" s="132"/>
      <c r="Q1226" s="132" t="str">
        <f>LEFT(base[[#This Row],[Evento / Mercado]],FIND("vs",base[[#This Row],[Evento / Mercado]])-2)</f>
        <v>SønderjyskE</v>
      </c>
      <c r="R12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AGF Aarhus</v>
      </c>
      <c r="S1226" s="132" t="e">
        <f>LEFT(base[[#This Row],[Evento / Mercado]],FIND("/",base[[#This Row],[Evento / Mercado]])-2)</f>
        <v>#VALUE!</v>
      </c>
    </row>
    <row r="1227" spans="2:19" ht="15" customHeight="1">
      <c r="B1227" s="128" t="s">
        <v>1084</v>
      </c>
      <c r="C1227" s="128" t="s">
        <v>2982</v>
      </c>
      <c r="D1227" s="129">
        <v>46096.591921296298</v>
      </c>
      <c r="E1227" s="130">
        <v>26.67</v>
      </c>
      <c r="F1227" s="131">
        <v>4.4999999999999998E-2</v>
      </c>
      <c r="G1227" s="126">
        <f t="shared" si="20"/>
        <v>27.926701570680631</v>
      </c>
      <c r="H1227" s="126" t="s">
        <v>122</v>
      </c>
      <c r="I1227" s="127" t="s">
        <v>477</v>
      </c>
      <c r="J1227" s="126">
        <v>15.5</v>
      </c>
      <c r="K1227" s="126">
        <f>334.95+70.04</f>
        <v>404.99</v>
      </c>
      <c r="L1227" s="129">
        <f>INT(base[[#This Row],[Data de liquidação]])</f>
        <v>46096</v>
      </c>
      <c r="M1227" s="126">
        <f>base[[#This Row],[L/P Bruto]]-base[[#This Row],[L/P Líquido]]</f>
        <v>1.2567015706806295</v>
      </c>
      <c r="N1227" s="126">
        <f>base[[#This Row],[L/P Líquido]]/base[[#This Row],[Stake/Responsabilidade]]</f>
        <v>6.5853477863650964E-2</v>
      </c>
      <c r="O1227" s="132">
        <f>IF(base[[#This Row],[L/P Líquido]]&gt;0,1,0)</f>
        <v>1</v>
      </c>
      <c r="P1227" s="132" t="s">
        <v>964</v>
      </c>
      <c r="Q1227" s="132" t="str">
        <f>LEFT(base[[#This Row],[Evento / Mercado]],FIND("vs",base[[#This Row],[Evento / Mercado]])-2)</f>
        <v>FC Barcelona</v>
      </c>
      <c r="R12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</v>
      </c>
      <c r="S1227" s="132" t="e">
        <f>LEFT(base[[#This Row],[Evento / Mercado]],FIND("/",base[[#This Row],[Evento / Mercado]])-2)</f>
        <v>#VALUE!</v>
      </c>
    </row>
    <row r="1228" spans="2:19" ht="15" customHeight="1">
      <c r="B1228" s="128" t="s">
        <v>1083</v>
      </c>
      <c r="C1228" s="128" t="s">
        <v>2982</v>
      </c>
      <c r="D1228" s="129">
        <v>46096.664687500001</v>
      </c>
      <c r="E1228" s="130">
        <v>0.15</v>
      </c>
      <c r="F1228" s="131">
        <v>4.4999999999999998E-2</v>
      </c>
      <c r="G1228" s="126">
        <f t="shared" si="20"/>
        <v>0.15706806282722513</v>
      </c>
      <c r="H1228" s="126" t="s">
        <v>74</v>
      </c>
      <c r="I1228" s="127" t="s">
        <v>1057</v>
      </c>
      <c r="J1228" s="126">
        <v>26</v>
      </c>
      <c r="K1228" s="126">
        <v>29.92</v>
      </c>
      <c r="L1228" s="129">
        <f>INT(base[[#This Row],[Data de liquidação]])</f>
        <v>46096</v>
      </c>
      <c r="M1228" s="126">
        <f>base[[#This Row],[L/P Bruto]]-base[[#This Row],[L/P Líquido]]</f>
        <v>7.0680628272251356E-3</v>
      </c>
      <c r="N1228" s="126">
        <f>base[[#This Row],[L/P Líquido]]/base[[#This Row],[Stake/Responsabilidade]]</f>
        <v>5.0133689839572185E-3</v>
      </c>
      <c r="O1228" s="132">
        <f>IF(base[[#This Row],[L/P Líquido]]&gt;0,1,0)</f>
        <v>1</v>
      </c>
      <c r="P1228" s="132" t="s">
        <v>969</v>
      </c>
      <c r="Q1228" s="132" t="str">
        <f>LEFT(base[[#This Row],[Evento / Mercado]],FIND("vs",base[[#This Row],[Evento / Mercado]])-2)</f>
        <v>Como</v>
      </c>
      <c r="R12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 Roma</v>
      </c>
      <c r="S1228" s="132" t="e">
        <f>LEFT(base[[#This Row],[Evento / Mercado]],FIND("/",base[[#This Row],[Evento / Mercado]])-2)</f>
        <v>#VALUE!</v>
      </c>
    </row>
    <row r="1229" spans="2:19" ht="15" customHeight="1">
      <c r="B1229" s="128" t="s">
        <v>1082</v>
      </c>
      <c r="C1229" s="128" t="s">
        <v>2982</v>
      </c>
      <c r="D1229" s="129">
        <v>46096.726365740738</v>
      </c>
      <c r="E1229" s="130">
        <v>-431.93</v>
      </c>
      <c r="F1229" s="131">
        <v>4.4999999999999998E-2</v>
      </c>
      <c r="G1229" s="126">
        <f t="shared" si="20"/>
        <v>-431.93</v>
      </c>
      <c r="H1229" s="126" t="s">
        <v>122</v>
      </c>
      <c r="I1229" s="127" t="s">
        <v>477</v>
      </c>
      <c r="J1229" s="126">
        <f>+(23*(335.06+69.96)+24*26.91)/base[[#This Row],[Stake/Responsabilidade]]</f>
        <v>23.062301761859558</v>
      </c>
      <c r="K1229" s="126">
        <f>335.06+26.91+69.96</f>
        <v>431.93</v>
      </c>
      <c r="L1229" s="129">
        <f>INT(base[[#This Row],[Data de liquidação]])</f>
        <v>46096</v>
      </c>
      <c r="M1229" s="126">
        <f>base[[#This Row],[L/P Bruto]]-base[[#This Row],[L/P Líquido]]</f>
        <v>0</v>
      </c>
      <c r="N1229" s="126">
        <f>base[[#This Row],[L/P Líquido]]/base[[#This Row],[Stake/Responsabilidade]]</f>
        <v>-1</v>
      </c>
      <c r="O1229" s="132">
        <f>IF(base[[#This Row],[L/P Líquido]]&gt;0,1,0)</f>
        <v>0</v>
      </c>
      <c r="P1229" s="132" t="s">
        <v>962</v>
      </c>
      <c r="Q1229" s="132" t="str">
        <f>LEFT(base[[#This Row],[Evento / Mercado]],FIND("vs",base[[#This Row],[Evento / Mercado]])-2)</f>
        <v>VfB Stuttgart</v>
      </c>
      <c r="R12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RB Leipzig</v>
      </c>
      <c r="S1229" s="132" t="e">
        <f>LEFT(base[[#This Row],[Evento / Mercado]],FIND("/",base[[#This Row],[Evento / Mercado]])-2)</f>
        <v>#VALUE!</v>
      </c>
    </row>
    <row r="1230" spans="2:19" ht="15" customHeight="1">
      <c r="B1230" s="128" t="s">
        <v>1081</v>
      </c>
      <c r="C1230" s="128" t="s">
        <v>2982</v>
      </c>
      <c r="D1230" s="129">
        <v>46096.750763888886</v>
      </c>
      <c r="E1230" s="130">
        <v>2.61</v>
      </c>
      <c r="F1230" s="131">
        <v>4.4999999999999998E-2</v>
      </c>
      <c r="G1230" s="126">
        <f t="shared" si="20"/>
        <v>2.7329842931937174</v>
      </c>
      <c r="H1230" s="126" t="s">
        <v>74</v>
      </c>
      <c r="I1230" s="127" t="s">
        <v>1057</v>
      </c>
      <c r="J1230" s="126">
        <v>12</v>
      </c>
      <c r="K1230" s="126">
        <v>30.03</v>
      </c>
      <c r="L1230" s="129">
        <f>INT(base[[#This Row],[Data de liquidação]])</f>
        <v>46096</v>
      </c>
      <c r="M1230" s="126">
        <f>base[[#This Row],[L/P Bruto]]-base[[#This Row],[L/P Líquido]]</f>
        <v>0.12298429319371751</v>
      </c>
      <c r="N1230" s="126">
        <f>base[[#This Row],[L/P Líquido]]/base[[#This Row],[Stake/Responsabilidade]]</f>
        <v>8.6913086913086912E-2</v>
      </c>
      <c r="O1230" s="132">
        <f>IF(base[[#This Row],[L/P Líquido]]&gt;0,1,0)</f>
        <v>1</v>
      </c>
      <c r="P1230" s="132" t="s">
        <v>1058</v>
      </c>
      <c r="Q1230" s="132" t="str">
        <f>LEFT(base[[#This Row],[Evento / Mercado]],FIND("vs",base[[#This Row],[Evento / Mercado]])-2)</f>
        <v>SC Internacional</v>
      </c>
      <c r="R12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1230" s="132" t="e">
        <f>LEFT(base[[#This Row],[Evento / Mercado]],FIND("/",base[[#This Row],[Evento / Mercado]])-2)</f>
        <v>#VALUE!</v>
      </c>
    </row>
    <row r="1231" spans="2:19" ht="15" customHeight="1">
      <c r="B1231" s="128" t="s">
        <v>1080</v>
      </c>
      <c r="C1231" s="128" t="s">
        <v>2982</v>
      </c>
      <c r="D1231" s="129">
        <v>46096.754062499997</v>
      </c>
      <c r="E1231" s="130">
        <v>2.21</v>
      </c>
      <c r="F1231" s="131">
        <v>4.4999999999999998E-2</v>
      </c>
      <c r="G1231" s="126">
        <f t="shared" si="20"/>
        <v>2.3141361256544504</v>
      </c>
      <c r="H1231" s="126" t="s">
        <v>74</v>
      </c>
      <c r="I1231" s="127" t="s">
        <v>1057</v>
      </c>
      <c r="J1231" s="126">
        <v>14</v>
      </c>
      <c r="K1231" s="126">
        <v>30.03</v>
      </c>
      <c r="L1231" s="129">
        <f>INT(base[[#This Row],[Data de liquidação]])</f>
        <v>46096</v>
      </c>
      <c r="M1231" s="126">
        <f>base[[#This Row],[L/P Bruto]]-base[[#This Row],[L/P Líquido]]</f>
        <v>0.10413612565445041</v>
      </c>
      <c r="N1231" s="126">
        <f>base[[#This Row],[L/P Líquido]]/base[[#This Row],[Stake/Responsabilidade]]</f>
        <v>7.3593073593073585E-2</v>
      </c>
      <c r="O1231" s="132">
        <f>IF(base[[#This Row],[L/P Líquido]]&gt;0,1,0)</f>
        <v>1</v>
      </c>
      <c r="P1231" s="132" t="s">
        <v>1058</v>
      </c>
      <c r="Q1231" s="132" t="str">
        <f>LEFT(base[[#This Row],[Evento / Mercado]],FIND("vs",base[[#This Row],[Evento / Mercado]])-2)</f>
        <v>Fluminense FC</v>
      </c>
      <c r="R12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1231" s="132" t="e">
        <f>LEFT(base[[#This Row],[Evento / Mercado]],FIND("/",base[[#This Row],[Evento / Mercado]])-2)</f>
        <v>#VALUE!</v>
      </c>
    </row>
    <row r="1232" spans="2:19" ht="15" customHeight="1">
      <c r="B1232" s="128" t="s">
        <v>1079</v>
      </c>
      <c r="C1232" s="128" t="s">
        <v>2982</v>
      </c>
      <c r="D1232" s="129">
        <v>46096.755266203705</v>
      </c>
      <c r="E1232" s="130">
        <v>1.1499999999999999</v>
      </c>
      <c r="F1232" s="131">
        <v>4.4999999999999998E-2</v>
      </c>
      <c r="G1232" s="126">
        <f t="shared" si="20"/>
        <v>1.2041884816753927</v>
      </c>
      <c r="H1232" s="126" t="s">
        <v>74</v>
      </c>
      <c r="I1232" s="127" t="s">
        <v>1057</v>
      </c>
      <c r="J1232" s="126">
        <v>26</v>
      </c>
      <c r="K1232" s="126">
        <v>30</v>
      </c>
      <c r="L1232" s="129">
        <f>INT(base[[#This Row],[Data de liquidação]])</f>
        <v>46096</v>
      </c>
      <c r="M1232" s="126">
        <f>base[[#This Row],[L/P Bruto]]-base[[#This Row],[L/P Líquido]]</f>
        <v>5.4188481675392808E-2</v>
      </c>
      <c r="N1232" s="126">
        <f>base[[#This Row],[L/P Líquido]]/base[[#This Row],[Stake/Responsabilidade]]</f>
        <v>3.833333333333333E-2</v>
      </c>
      <c r="O1232" s="132">
        <f>IF(base[[#This Row],[L/P Líquido]]&gt;0,1,0)</f>
        <v>1</v>
      </c>
      <c r="P1232" s="132" t="s">
        <v>1058</v>
      </c>
      <c r="Q1232" s="132" t="str">
        <f>LEFT(base[[#This Row],[Evento / Mercado]],FIND("vs",base[[#This Row],[Evento / Mercado]])-2)</f>
        <v>Santos FC</v>
      </c>
      <c r="R12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Corinthians</v>
      </c>
      <c r="S1232" s="132" t="e">
        <f>LEFT(base[[#This Row],[Evento / Mercado]],FIND("/",base[[#This Row],[Evento / Mercado]])-2)</f>
        <v>#VALUE!</v>
      </c>
    </row>
    <row r="1233" spans="2:19" ht="15" customHeight="1">
      <c r="B1233" s="128" t="s">
        <v>1078</v>
      </c>
      <c r="C1233" s="128" t="s">
        <v>2982</v>
      </c>
      <c r="D1233" s="129">
        <v>46096.76189814815</v>
      </c>
      <c r="E1233" s="130">
        <v>88.91</v>
      </c>
      <c r="F1233" s="131">
        <v>4.4999999999999998E-2</v>
      </c>
      <c r="G1233" s="126">
        <f t="shared" si="20"/>
        <v>93.099476439790578</v>
      </c>
      <c r="H1233" s="126" t="s">
        <v>231</v>
      </c>
      <c r="I1233" s="127" t="s">
        <v>232</v>
      </c>
      <c r="J1233" s="126">
        <v>1.98</v>
      </c>
      <c r="K1233" s="126">
        <v>95</v>
      </c>
      <c r="L1233" s="129">
        <f>INT(base[[#This Row],[Data de liquidação]])</f>
        <v>46096</v>
      </c>
      <c r="M1233" s="126">
        <f>base[[#This Row],[L/P Bruto]]-base[[#This Row],[L/P Líquido]]</f>
        <v>4.1894764397905817</v>
      </c>
      <c r="N1233" s="126">
        <f>base[[#This Row],[L/P Líquido]]/base[[#This Row],[Stake/Responsabilidade]]</f>
        <v>0.93589473684210522</v>
      </c>
      <c r="O1233" s="132">
        <f>IF(base[[#This Row],[L/P Líquido]]&gt;0,1,0)</f>
        <v>1</v>
      </c>
      <c r="P1233" s="132"/>
      <c r="Q1233" s="132" t="str">
        <f>LEFT(base[[#This Row],[Evento / Mercado]],FIND("vs",base[[#This Row],[Evento / Mercado]])-2)</f>
        <v>Real Sociedad</v>
      </c>
      <c r="R12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1233" s="132" t="e">
        <f>LEFT(base[[#This Row],[Evento / Mercado]],FIND("/",base[[#This Row],[Evento / Mercado]])-2)</f>
        <v>#VALUE!</v>
      </c>
    </row>
    <row r="1234" spans="2:19" ht="15" customHeight="1">
      <c r="B1234" s="128" t="s">
        <v>1077</v>
      </c>
      <c r="C1234" s="128" t="s">
        <v>2982</v>
      </c>
      <c r="D1234" s="129">
        <v>46096.855416666665</v>
      </c>
      <c r="E1234" s="130">
        <v>13.65</v>
      </c>
      <c r="F1234" s="131">
        <v>4.4999999999999998E-2</v>
      </c>
      <c r="G1234" s="126">
        <f t="shared" si="20"/>
        <v>14.293193717277488</v>
      </c>
      <c r="H1234" s="126" t="s">
        <v>74</v>
      </c>
      <c r="I1234" s="127" t="s">
        <v>476</v>
      </c>
      <c r="J1234" s="126">
        <v>22</v>
      </c>
      <c r="K1234" s="126">
        <v>300.08999999999997</v>
      </c>
      <c r="L1234" s="129">
        <f>INT(base[[#This Row],[Data de liquidação]])</f>
        <v>46096</v>
      </c>
      <c r="M1234" s="126">
        <f>base[[#This Row],[L/P Bruto]]-base[[#This Row],[L/P Líquido]]</f>
        <v>0.64319371727748731</v>
      </c>
      <c r="N1234" s="126">
        <f>base[[#This Row],[L/P Líquido]]/base[[#This Row],[Stake/Responsabilidade]]</f>
        <v>4.5486354093771872E-2</v>
      </c>
      <c r="O1234" s="132">
        <f>IF(base[[#This Row],[L/P Líquido]]&gt;0,1,0)</f>
        <v>1</v>
      </c>
      <c r="P1234" s="132" t="s">
        <v>1058</v>
      </c>
      <c r="Q1234" s="132" t="str">
        <f>LEFT(base[[#This Row],[Evento / Mercado]],FIND("vs",base[[#This Row],[Evento / Mercado]])-2)</f>
        <v>Palmeiras</v>
      </c>
      <c r="R12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1234" s="132" t="e">
        <f>LEFT(base[[#This Row],[Evento / Mercado]],FIND("/",base[[#This Row],[Evento / Mercado]])-2)</f>
        <v>#VALUE!</v>
      </c>
    </row>
    <row r="1235" spans="2:19" ht="15" customHeight="1">
      <c r="B1235" s="128" t="s">
        <v>1077</v>
      </c>
      <c r="C1235" s="128" t="s">
        <v>2982</v>
      </c>
      <c r="D1235" s="129">
        <v>46096.855578703704</v>
      </c>
      <c r="E1235" s="130">
        <v>-95</v>
      </c>
      <c r="F1235" s="131">
        <v>4.4999999999999998E-2</v>
      </c>
      <c r="G1235" s="126">
        <f t="shared" si="20"/>
        <v>-95</v>
      </c>
      <c r="H1235" s="126" t="s">
        <v>231</v>
      </c>
      <c r="I1235" s="127" t="s">
        <v>232</v>
      </c>
      <c r="J1235" s="126">
        <v>1.86</v>
      </c>
      <c r="K1235" s="126">
        <v>95</v>
      </c>
      <c r="L1235" s="129">
        <f>INT(base[[#This Row],[Data de liquidação]])</f>
        <v>46096</v>
      </c>
      <c r="M1235" s="126">
        <f>base[[#This Row],[L/P Bruto]]-base[[#This Row],[L/P Líquido]]</f>
        <v>0</v>
      </c>
      <c r="N1235" s="126">
        <f>base[[#This Row],[L/P Líquido]]/base[[#This Row],[Stake/Responsabilidade]]</f>
        <v>-1</v>
      </c>
      <c r="O1235" s="132">
        <f>IF(base[[#This Row],[L/P Líquido]]&gt;0,1,0)</f>
        <v>0</v>
      </c>
      <c r="P1235" s="132"/>
      <c r="Q1235" s="132" t="str">
        <f>LEFT(base[[#This Row],[Evento / Mercado]],FIND("vs",base[[#This Row],[Evento / Mercado]])-2)</f>
        <v>Palmeiras</v>
      </c>
      <c r="R12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1235" s="132" t="e">
        <f>LEFT(base[[#This Row],[Evento / Mercado]],FIND("/",base[[#This Row],[Evento / Mercado]])-2)</f>
        <v>#VALUE!</v>
      </c>
    </row>
    <row r="1236" spans="2:19" ht="15" customHeight="1">
      <c r="B1236" s="128" t="s">
        <v>1087</v>
      </c>
      <c r="C1236" s="128" t="s">
        <v>2982</v>
      </c>
      <c r="D1236" s="129">
        <v>46097.868020833332</v>
      </c>
      <c r="E1236" s="130">
        <v>73.34</v>
      </c>
      <c r="F1236" s="131">
        <v>4.4999999999999998E-2</v>
      </c>
      <c r="G1236" s="126">
        <f t="shared" si="20"/>
        <v>76.795811518324612</v>
      </c>
      <c r="H1236" s="126" t="s">
        <v>231</v>
      </c>
      <c r="I1236" s="127" t="s">
        <v>266</v>
      </c>
      <c r="J1236" s="126">
        <v>1.8</v>
      </c>
      <c r="K1236" s="126">
        <v>96</v>
      </c>
      <c r="L1236" s="129">
        <f>INT(base[[#This Row],[Data de liquidação]])</f>
        <v>46097</v>
      </c>
      <c r="M1236" s="126">
        <f>base[[#This Row],[L/P Bruto]]-base[[#This Row],[L/P Líquido]]</f>
        <v>3.4558115183246088</v>
      </c>
      <c r="N1236" s="126">
        <f>base[[#This Row],[L/P Líquido]]/base[[#This Row],[Stake/Responsabilidade]]</f>
        <v>0.76395833333333341</v>
      </c>
      <c r="O1236" s="132">
        <f>IF(base[[#This Row],[L/P Líquido]]&gt;0,1,0)</f>
        <v>1</v>
      </c>
      <c r="P1236" s="132"/>
      <c r="Q1236" s="132" t="str">
        <f>LEFT(base[[#This Row],[Evento / Mercado]],FIND("vs",base[[#This Row],[Evento / Mercado]])-2)</f>
        <v>Chapecoense</v>
      </c>
      <c r="R12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236" s="132" t="e">
        <f>LEFT(base[[#This Row],[Evento / Mercado]],FIND("/",base[[#This Row],[Evento / Mercado]])-2)</f>
        <v>#VALUE!</v>
      </c>
    </row>
    <row r="1237" spans="2:19" ht="15" customHeight="1">
      <c r="B1237" s="128" t="s">
        <v>1093</v>
      </c>
      <c r="C1237" s="128" t="s">
        <v>2982</v>
      </c>
      <c r="D1237" s="129">
        <v>46098.693460648145</v>
      </c>
      <c r="E1237" s="130">
        <v>19.28</v>
      </c>
      <c r="F1237" s="131">
        <v>4.4999999999999998E-2</v>
      </c>
      <c r="G1237" s="126">
        <f t="shared" si="20"/>
        <v>20.188481675392673</v>
      </c>
      <c r="H1237" s="126" t="s">
        <v>74</v>
      </c>
      <c r="I1237" s="127" t="s">
        <v>477</v>
      </c>
      <c r="J1237" s="126">
        <v>16.5</v>
      </c>
      <c r="K1237" s="126">
        <v>312.95</v>
      </c>
      <c r="L1237" s="129">
        <f>INT(base[[#This Row],[Data de liquidação]])</f>
        <v>46098</v>
      </c>
      <c r="M1237" s="126">
        <f>base[[#This Row],[L/P Bruto]]-base[[#This Row],[L/P Líquido]]</f>
        <v>0.90848167539267166</v>
      </c>
      <c r="N1237" s="126">
        <f>base[[#This Row],[L/P Líquido]]/base[[#This Row],[Stake/Responsabilidade]]</f>
        <v>6.1607285508867238E-2</v>
      </c>
      <c r="O1237" s="132">
        <f>IF(base[[#This Row],[L/P Líquido]]&gt;0,1,0)</f>
        <v>1</v>
      </c>
      <c r="P1237" s="132" t="s">
        <v>972</v>
      </c>
      <c r="Q1237" s="132" t="str">
        <f>LEFT(base[[#This Row],[Evento / Mercado]],FIND("vs",base[[#This Row],[Evento / Mercado]])-2)</f>
        <v>Sporting CP</v>
      </c>
      <c r="R12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1237" s="132" t="str">
        <f>LEFT(base[[#This Row],[Evento / Mercado]],FIND("/",base[[#This Row],[Evento / Mercado]])-2)</f>
        <v>Sporting CP vs Bod</v>
      </c>
    </row>
    <row r="1238" spans="2:19" ht="15" customHeight="1">
      <c r="B1238" s="128" t="s">
        <v>1092</v>
      </c>
      <c r="C1238" s="128" t="s">
        <v>2982</v>
      </c>
      <c r="D1238" s="129">
        <v>46098.733206018522</v>
      </c>
      <c r="E1238" s="130">
        <v>57.16</v>
      </c>
      <c r="F1238" s="131">
        <v>4.4999999999999998E-2</v>
      </c>
      <c r="G1238" s="126">
        <f t="shared" si="20"/>
        <v>59.853403141361255</v>
      </c>
      <c r="H1238" s="126" t="s">
        <v>231</v>
      </c>
      <c r="I1238" s="127" t="s">
        <v>232</v>
      </c>
      <c r="J1238" s="126">
        <v>1.63</v>
      </c>
      <c r="K1238" s="126">
        <v>95</v>
      </c>
      <c r="L1238" s="129">
        <f>INT(base[[#This Row],[Data de liquidação]])</f>
        <v>46098</v>
      </c>
      <c r="M1238" s="126">
        <f>base[[#This Row],[L/P Bruto]]-base[[#This Row],[L/P Líquido]]</f>
        <v>2.6934031413612587</v>
      </c>
      <c r="N1238" s="126">
        <f>base[[#This Row],[L/P Líquido]]/base[[#This Row],[Stake/Responsabilidade]]</f>
        <v>0.60168421052631571</v>
      </c>
      <c r="O1238" s="132">
        <f>IF(base[[#This Row],[L/P Líquido]]&gt;0,1,0)</f>
        <v>1</v>
      </c>
      <c r="P1238" s="132"/>
      <c r="Q1238" s="132" t="str">
        <f>LEFT(base[[#This Row],[Evento / Mercado]],FIND("vs",base[[#This Row],[Evento / Mercado]])-2)</f>
        <v>Venezia</v>
      </c>
      <c r="R12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Padova</v>
      </c>
      <c r="S1238" s="132" t="e">
        <f>LEFT(base[[#This Row],[Evento / Mercado]],FIND("/",base[[#This Row],[Evento / Mercado]])-2)</f>
        <v>#VALUE!</v>
      </c>
    </row>
    <row r="1239" spans="2:19" ht="15" customHeight="1">
      <c r="B1239" s="128" t="s">
        <v>1091</v>
      </c>
      <c r="C1239" s="128" t="s">
        <v>2982</v>
      </c>
      <c r="D1239" s="129">
        <v>46098.77584490741</v>
      </c>
      <c r="E1239" s="130">
        <v>-95</v>
      </c>
      <c r="F1239" s="131">
        <v>4.4999999999999998E-2</v>
      </c>
      <c r="G1239" s="126">
        <f t="shared" si="20"/>
        <v>-95</v>
      </c>
      <c r="H1239" s="126" t="s">
        <v>231</v>
      </c>
      <c r="I1239" s="127" t="s">
        <v>232</v>
      </c>
      <c r="J1239" s="126">
        <v>1.73</v>
      </c>
      <c r="K1239" s="126">
        <v>95</v>
      </c>
      <c r="L1239" s="129">
        <f>INT(base[[#This Row],[Data de liquidação]])</f>
        <v>46098</v>
      </c>
      <c r="M1239" s="126">
        <f>base[[#This Row],[L/P Bruto]]-base[[#This Row],[L/P Líquido]]</f>
        <v>0</v>
      </c>
      <c r="N1239" s="126">
        <f>base[[#This Row],[L/P Líquido]]/base[[#This Row],[Stake/Responsabilidade]]</f>
        <v>-1</v>
      </c>
      <c r="O1239" s="132">
        <f>IF(base[[#This Row],[L/P Líquido]]&gt;0,1,0)</f>
        <v>0</v>
      </c>
      <c r="P1239" s="132"/>
      <c r="Q1239" s="132" t="str">
        <f>LEFT(base[[#This Row],[Evento / Mercado]],FIND("vs",base[[#This Row],[Evento / Mercado]])-2)</f>
        <v>Cardiff City</v>
      </c>
      <c r="R12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Wycombe Wanderers</v>
      </c>
      <c r="S1239" s="132" t="e">
        <f>LEFT(base[[#This Row],[Evento / Mercado]],FIND("/",base[[#This Row],[Evento / Mercado]])-2)</f>
        <v>#VALUE!</v>
      </c>
    </row>
    <row r="1240" spans="2:19" ht="15" customHeight="1">
      <c r="B1240" s="128" t="s">
        <v>1090</v>
      </c>
      <c r="C1240" s="128" t="s">
        <v>2982</v>
      </c>
      <c r="D1240" s="129">
        <v>46098.776979166665</v>
      </c>
      <c r="E1240" s="130">
        <v>-95</v>
      </c>
      <c r="F1240" s="131">
        <v>4.4999999999999998E-2</v>
      </c>
      <c r="G1240" s="126">
        <f t="shared" si="20"/>
        <v>-95</v>
      </c>
      <c r="H1240" s="126" t="s">
        <v>231</v>
      </c>
      <c r="I1240" s="127" t="s">
        <v>266</v>
      </c>
      <c r="J1240" s="126">
        <v>2.04</v>
      </c>
      <c r="K1240" s="126">
        <v>95</v>
      </c>
      <c r="L1240" s="129">
        <f>INT(base[[#This Row],[Data de liquidação]])</f>
        <v>46098</v>
      </c>
      <c r="M1240" s="126">
        <f>base[[#This Row],[L/P Bruto]]-base[[#This Row],[L/P Líquido]]</f>
        <v>0</v>
      </c>
      <c r="N1240" s="126">
        <f>base[[#This Row],[L/P Líquido]]/base[[#This Row],[Stake/Responsabilidade]]</f>
        <v>-1</v>
      </c>
      <c r="O1240" s="132">
        <f>IF(base[[#This Row],[L/P Líquido]]&gt;0,1,0)</f>
        <v>0</v>
      </c>
      <c r="P1240" s="132"/>
      <c r="Q1240" s="132" t="str">
        <f>LEFT(base[[#This Row],[Evento / Mercado]],FIND("vs",base[[#This Row],[Evento / Mercado]])-2)</f>
        <v>Plymouth Argyle</v>
      </c>
      <c r="R12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Stevenage</v>
      </c>
      <c r="S1240" s="132" t="e">
        <f>LEFT(base[[#This Row],[Evento / Mercado]],FIND("/",base[[#This Row],[Evento / Mercado]])-2)</f>
        <v>#VALUE!</v>
      </c>
    </row>
    <row r="1241" spans="2:19" ht="15" customHeight="1">
      <c r="B1241" s="128" t="s">
        <v>1089</v>
      </c>
      <c r="C1241" s="128" t="s">
        <v>2982</v>
      </c>
      <c r="D1241" s="129">
        <v>46098.78297453704</v>
      </c>
      <c r="E1241" s="130">
        <v>19.87</v>
      </c>
      <c r="F1241" s="131">
        <v>4.4999999999999998E-2</v>
      </c>
      <c r="G1241" s="126">
        <f t="shared" si="20"/>
        <v>20.806282722513092</v>
      </c>
      <c r="H1241" s="126" t="s">
        <v>74</v>
      </c>
      <c r="I1241" s="127" t="s">
        <v>477</v>
      </c>
      <c r="J1241" s="126">
        <v>17</v>
      </c>
      <c r="K1241" s="126">
        <v>332.96</v>
      </c>
      <c r="L1241" s="129">
        <f>INT(base[[#This Row],[Data de liquidação]])</f>
        <v>46098</v>
      </c>
      <c r="M1241" s="126">
        <f>base[[#This Row],[L/P Bruto]]-base[[#This Row],[L/P Líquido]]</f>
        <v>0.93628272251309141</v>
      </c>
      <c r="N1241" s="126">
        <f>base[[#This Row],[L/P Líquido]]/base[[#This Row],[Stake/Responsabilidade]]</f>
        <v>5.967683805862567E-2</v>
      </c>
      <c r="O1241" s="132">
        <f>IF(base[[#This Row],[L/P Líquido]]&gt;0,1,0)</f>
        <v>1</v>
      </c>
      <c r="P1241" s="132" t="s">
        <v>972</v>
      </c>
      <c r="Q1241" s="132" t="str">
        <f>LEFT(base[[#This Row],[Evento / Mercado]],FIND("vs",base[[#This Row],[Evento / Mercado]])-2)</f>
        <v>Chelsea</v>
      </c>
      <c r="R12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1241" s="132" t="e">
        <f>LEFT(base[[#This Row],[Evento / Mercado]],FIND("/",base[[#This Row],[Evento / Mercado]])-2)</f>
        <v>#VALUE!</v>
      </c>
    </row>
    <row r="1242" spans="2:19" ht="15" customHeight="1">
      <c r="B1242" s="128" t="s">
        <v>1088</v>
      </c>
      <c r="C1242" s="128" t="s">
        <v>2982</v>
      </c>
      <c r="D1242" s="129">
        <v>46098.785636574074</v>
      </c>
      <c r="E1242" s="130">
        <v>35.119999999999997</v>
      </c>
      <c r="F1242" s="131">
        <v>4.4999999999999998E-2</v>
      </c>
      <c r="G1242" s="126">
        <f t="shared" si="20"/>
        <v>36.774869109947645</v>
      </c>
      <c r="H1242" s="126" t="s">
        <v>145</v>
      </c>
      <c r="I1242" s="127" t="s">
        <v>301</v>
      </c>
      <c r="J1242" s="126">
        <v>12.5</v>
      </c>
      <c r="K1242" s="126">
        <v>422.97</v>
      </c>
      <c r="L1242" s="129">
        <f>INT(base[[#This Row],[Data de liquidação]])</f>
        <v>46098</v>
      </c>
      <c r="M1242" s="126">
        <f>base[[#This Row],[L/P Bruto]]-base[[#This Row],[L/P Líquido]]</f>
        <v>1.6548691099476471</v>
      </c>
      <c r="N1242" s="126">
        <f>base[[#This Row],[L/P Líquido]]/base[[#This Row],[Stake/Responsabilidade]]</f>
        <v>8.3031893514906488E-2</v>
      </c>
      <c r="O1242" s="132">
        <f>IF(base[[#This Row],[L/P Líquido]]&gt;0,1,0)</f>
        <v>1</v>
      </c>
      <c r="P1242" s="132" t="s">
        <v>972</v>
      </c>
      <c r="Q1242" s="132" t="str">
        <f>LEFT(base[[#This Row],[Evento / Mercado]],FIND("vs",base[[#This Row],[Evento / Mercado]])-2)</f>
        <v>Arsenal</v>
      </c>
      <c r="R12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Bayer 04 Leverkusen</v>
      </c>
      <c r="S1242" s="132" t="e">
        <f>LEFT(base[[#This Row],[Evento / Mercado]],FIND("/",base[[#This Row],[Evento / Mercado]])-2)</f>
        <v>#VALUE!</v>
      </c>
    </row>
    <row r="1243" spans="2:19" ht="15" customHeight="1">
      <c r="B1243" s="128" t="s">
        <v>1099</v>
      </c>
      <c r="C1243" s="128" t="s">
        <v>2982</v>
      </c>
      <c r="D1243" s="129">
        <v>46099.695138888892</v>
      </c>
      <c r="E1243" s="130">
        <v>25.56</v>
      </c>
      <c r="F1243" s="131">
        <v>4.4999999999999998E-2</v>
      </c>
      <c r="G1243" s="126">
        <f t="shared" si="20"/>
        <v>26.764397905759161</v>
      </c>
      <c r="H1243" s="126" t="s">
        <v>74</v>
      </c>
      <c r="I1243" s="127" t="s">
        <v>477</v>
      </c>
      <c r="J1243" s="126">
        <v>15.5</v>
      </c>
      <c r="K1243" s="126">
        <v>388.02</v>
      </c>
      <c r="L1243" s="129">
        <f>INT(base[[#This Row],[Data de liquidação]])</f>
        <v>46099</v>
      </c>
      <c r="M1243" s="126">
        <f>base[[#This Row],[L/P Bruto]]-base[[#This Row],[L/P Líquido]]</f>
        <v>1.2043979057591621</v>
      </c>
      <c r="N1243" s="126">
        <f>base[[#This Row],[L/P Líquido]]/base[[#This Row],[Stake/Responsabilidade]]</f>
        <v>6.587289314983763E-2</v>
      </c>
      <c r="O1243" s="132">
        <f>IF(base[[#This Row],[L/P Líquido]]&gt;0,1,0)</f>
        <v>1</v>
      </c>
      <c r="P1243" s="132" t="s">
        <v>972</v>
      </c>
      <c r="Q1243" s="132" t="str">
        <f>LEFT(base[[#This Row],[Evento / Mercado]],FIND("vs",base[[#This Row],[Evento / Mercado]])-2)</f>
        <v>FC Barcelona</v>
      </c>
      <c r="R12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1243" s="132" t="e">
        <f>LEFT(base[[#This Row],[Evento / Mercado]],FIND("/",base[[#This Row],[Evento / Mercado]])-2)</f>
        <v>#VALUE!</v>
      </c>
    </row>
    <row r="1244" spans="2:19" ht="15" customHeight="1">
      <c r="B1244" s="128" t="s">
        <v>1098</v>
      </c>
      <c r="C1244" s="128" t="s">
        <v>2982</v>
      </c>
      <c r="D1244" s="129">
        <v>46099.786863425928</v>
      </c>
      <c r="E1244" s="130">
        <v>26.36</v>
      </c>
      <c r="F1244" s="131">
        <v>4.4999999999999998E-2</v>
      </c>
      <c r="G1244" s="126">
        <f t="shared" si="20"/>
        <v>27.602094240837697</v>
      </c>
      <c r="H1244" s="126" t="s">
        <v>122</v>
      </c>
      <c r="I1244" s="127" t="s">
        <v>477</v>
      </c>
      <c r="J1244" s="126">
        <v>16</v>
      </c>
      <c r="K1244" s="126">
        <f>25.95+388.05</f>
        <v>414</v>
      </c>
      <c r="L1244" s="129">
        <f>INT(base[[#This Row],[Data de liquidação]])</f>
        <v>46099</v>
      </c>
      <c r="M1244" s="126">
        <f>base[[#This Row],[L/P Bruto]]-base[[#This Row],[L/P Líquido]]</f>
        <v>1.242094240837698</v>
      </c>
      <c r="N1244" s="126">
        <f>base[[#This Row],[L/P Líquido]]/base[[#This Row],[Stake/Responsabilidade]]</f>
        <v>6.3671497584541062E-2</v>
      </c>
      <c r="O1244" s="132">
        <f>IF(base[[#This Row],[L/P Líquido]]&gt;0,1,0)</f>
        <v>1</v>
      </c>
      <c r="P1244" s="132" t="s">
        <v>972</v>
      </c>
      <c r="Q1244" s="132" t="str">
        <f>LEFT(base[[#This Row],[Evento / Mercado]],FIND("vs",base[[#This Row],[Evento / Mercado]])-2)</f>
        <v>FC Bayern München</v>
      </c>
      <c r="R12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Atalanta</v>
      </c>
      <c r="S1244" s="132" t="e">
        <f>LEFT(base[[#This Row],[Evento / Mercado]],FIND("/",base[[#This Row],[Evento / Mercado]])-2)</f>
        <v>#VALUE!</v>
      </c>
    </row>
    <row r="1245" spans="2:19" ht="15" customHeight="1">
      <c r="B1245" s="128" t="s">
        <v>1097</v>
      </c>
      <c r="C1245" s="128" t="s">
        <v>2982</v>
      </c>
      <c r="D1245" s="129">
        <v>46099.874699074076</v>
      </c>
      <c r="E1245" s="130">
        <v>18.45</v>
      </c>
      <c r="F1245" s="131">
        <v>4.4999999999999998E-2</v>
      </c>
      <c r="G1245" s="126">
        <f t="shared" si="20"/>
        <v>19.319371727748692</v>
      </c>
      <c r="H1245" s="126" t="s">
        <v>74</v>
      </c>
      <c r="I1245" s="127" t="s">
        <v>476</v>
      </c>
      <c r="J1245" s="126">
        <v>23</v>
      </c>
      <c r="K1245" s="126">
        <v>425.04</v>
      </c>
      <c r="L1245" s="129">
        <f>INT(base[[#This Row],[Data de liquidação]])</f>
        <v>46099</v>
      </c>
      <c r="M1245" s="126">
        <f>base[[#This Row],[L/P Bruto]]-base[[#This Row],[L/P Líquido]]</f>
        <v>0.86937172774869254</v>
      </c>
      <c r="N1245" s="126">
        <f>base[[#This Row],[L/P Líquido]]/base[[#This Row],[Stake/Responsabilidade]]</f>
        <v>4.3407679277244489E-2</v>
      </c>
      <c r="O1245" s="132">
        <f>IF(base[[#This Row],[L/P Líquido]]&gt;0,1,0)</f>
        <v>1</v>
      </c>
      <c r="P1245" s="132" t="s">
        <v>1058</v>
      </c>
      <c r="Q1245" s="132" t="str">
        <f>LEFT(base[[#This Row],[Evento / Mercado]],FIND("vs",base[[#This Row],[Evento / Mercado]])-2)</f>
        <v>Palmeiras</v>
      </c>
      <c r="R12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1245" s="132" t="e">
        <f>LEFT(base[[#This Row],[Evento / Mercado]],FIND("/",base[[#This Row],[Evento / Mercado]])-2)</f>
        <v>#VALUE!</v>
      </c>
    </row>
    <row r="1246" spans="2:19" ht="15" customHeight="1">
      <c r="B1246" s="128" t="s">
        <v>1096</v>
      </c>
      <c r="C1246" s="128" t="s">
        <v>2982</v>
      </c>
      <c r="D1246" s="129">
        <v>46099.877164351848</v>
      </c>
      <c r="E1246" s="130">
        <v>2.57</v>
      </c>
      <c r="F1246" s="131">
        <v>4.4999999999999998E-2</v>
      </c>
      <c r="G1246" s="126">
        <f t="shared" si="20"/>
        <v>2.6910994764397906</v>
      </c>
      <c r="H1246" s="126" t="s">
        <v>74</v>
      </c>
      <c r="I1246" s="127" t="s">
        <v>1057</v>
      </c>
      <c r="J1246" s="126">
        <v>14</v>
      </c>
      <c r="K1246" s="126">
        <v>34.97</v>
      </c>
      <c r="L1246" s="129">
        <f>INT(base[[#This Row],[Data de liquidação]])</f>
        <v>46099</v>
      </c>
      <c r="M1246" s="126">
        <f>base[[#This Row],[L/P Bruto]]-base[[#This Row],[L/P Líquido]]</f>
        <v>0.1210994764397908</v>
      </c>
      <c r="N1246" s="126">
        <f>base[[#This Row],[L/P Líquido]]/base[[#This Row],[Stake/Responsabilidade]]</f>
        <v>7.3491564197883899E-2</v>
      </c>
      <c r="O1246" s="132">
        <f>IF(base[[#This Row],[L/P Líquido]]&gt;0,1,0)</f>
        <v>1</v>
      </c>
      <c r="P1246" s="132" t="s">
        <v>1058</v>
      </c>
      <c r="Q1246" s="132" t="str">
        <f>LEFT(base[[#This Row],[Evento / Mercado]],FIND("vs",base[[#This Row],[Evento / Mercado]])-2)</f>
        <v>Esporte Clube Bahia</v>
      </c>
      <c r="R12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1246" s="132" t="e">
        <f>LEFT(base[[#This Row],[Evento / Mercado]],FIND("/",base[[#This Row],[Evento / Mercado]])-2)</f>
        <v>#VALUE!</v>
      </c>
    </row>
    <row r="1247" spans="2:19" ht="15" customHeight="1">
      <c r="B1247" s="128" t="s">
        <v>1096</v>
      </c>
      <c r="C1247" s="128" t="s">
        <v>2982</v>
      </c>
      <c r="D1247" s="129">
        <v>46099.877210648148</v>
      </c>
      <c r="E1247" s="130">
        <v>-94.66</v>
      </c>
      <c r="F1247" s="131">
        <v>4.4999999999999998E-2</v>
      </c>
      <c r="G1247" s="126">
        <f t="shared" si="20"/>
        <v>-94.66</v>
      </c>
      <c r="H1247" s="126" t="s">
        <v>231</v>
      </c>
      <c r="I1247" s="127" t="s">
        <v>232</v>
      </c>
      <c r="J1247" s="126">
        <v>1.97</v>
      </c>
      <c r="K1247" s="126">
        <v>95</v>
      </c>
      <c r="L1247" s="129">
        <f>INT(base[[#This Row],[Data de liquidação]])</f>
        <v>46099</v>
      </c>
      <c r="M1247" s="126">
        <f>base[[#This Row],[L/P Bruto]]-base[[#This Row],[L/P Líquido]]</f>
        <v>0</v>
      </c>
      <c r="N1247" s="126">
        <f>base[[#This Row],[L/P Líquido]]/base[[#This Row],[Stake/Responsabilidade]]</f>
        <v>-0.99642105263157887</v>
      </c>
      <c r="O1247" s="132">
        <f>IF(base[[#This Row],[L/P Líquido]]&gt;0,1,0)</f>
        <v>0</v>
      </c>
      <c r="P1247" s="132"/>
      <c r="Q1247" s="132" t="str">
        <f>LEFT(base[[#This Row],[Evento / Mercado]],FIND("vs",base[[#This Row],[Evento / Mercado]])-2)</f>
        <v>Esporte Clube Bahia</v>
      </c>
      <c r="R12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1247" s="132" t="e">
        <f>LEFT(base[[#This Row],[Evento / Mercado]],FIND("/",base[[#This Row],[Evento / Mercado]])-2)</f>
        <v>#VALUE!</v>
      </c>
    </row>
    <row r="1248" spans="2:19" ht="15" customHeight="1">
      <c r="B1248" s="128" t="s">
        <v>1095</v>
      </c>
      <c r="C1248" s="128" t="s">
        <v>2982</v>
      </c>
      <c r="D1248" s="129">
        <v>46099.952916666669</v>
      </c>
      <c r="E1248" s="130">
        <v>86.19</v>
      </c>
      <c r="F1248" s="131">
        <v>4.4999999999999998E-2</v>
      </c>
      <c r="G1248" s="126">
        <f t="shared" si="20"/>
        <v>90.251308900523568</v>
      </c>
      <c r="H1248" s="126" t="s">
        <v>231</v>
      </c>
      <c r="I1248" s="127" t="s">
        <v>266</v>
      </c>
      <c r="J1248" s="126">
        <v>1.95</v>
      </c>
      <c r="K1248" s="126">
        <v>95</v>
      </c>
      <c r="L1248" s="129">
        <f>INT(base[[#This Row],[Data de liquidação]])</f>
        <v>46099</v>
      </c>
      <c r="M1248" s="126">
        <f>base[[#This Row],[L/P Bruto]]-base[[#This Row],[L/P Líquido]]</f>
        <v>4.0613089005235707</v>
      </c>
      <c r="N1248" s="126">
        <f>base[[#This Row],[L/P Líquido]]/base[[#This Row],[Stake/Responsabilidade]]</f>
        <v>0.90726315789473677</v>
      </c>
      <c r="O1248" s="132">
        <f>IF(base[[#This Row],[L/P Líquido]]&gt;0,1,0)</f>
        <v>1</v>
      </c>
      <c r="P1248" s="132"/>
      <c r="Q1248" s="132" t="str">
        <f>LEFT(base[[#This Row],[Evento / Mercado]],FIND("vs",base[[#This Row],[Evento / Mercado]])-2)</f>
        <v>Vasco da Gama</v>
      </c>
      <c r="R12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1248" s="132" t="e">
        <f>LEFT(base[[#This Row],[Evento / Mercado]],FIND("/",base[[#This Row],[Evento / Mercado]])-2)</f>
        <v>#VALUE!</v>
      </c>
    </row>
    <row r="1249" spans="2:19" ht="15" customHeight="1">
      <c r="B1249" s="128" t="s">
        <v>1094</v>
      </c>
      <c r="C1249" s="128" t="s">
        <v>2982</v>
      </c>
      <c r="D1249" s="129">
        <v>46099.98196759259</v>
      </c>
      <c r="E1249" s="130">
        <v>2.33</v>
      </c>
      <c r="F1249" s="131">
        <v>4.4999999999999998E-2</v>
      </c>
      <c r="G1249" s="126">
        <f t="shared" si="20"/>
        <v>2.4397905759162306</v>
      </c>
      <c r="H1249" s="126" t="s">
        <v>74</v>
      </c>
      <c r="I1249" s="127" t="s">
        <v>1057</v>
      </c>
      <c r="J1249" s="126">
        <v>17</v>
      </c>
      <c r="K1249" s="126">
        <v>39.04</v>
      </c>
      <c r="L1249" s="129">
        <f>INT(base[[#This Row],[Data de liquidação]])</f>
        <v>46099</v>
      </c>
      <c r="M1249" s="126">
        <f>base[[#This Row],[L/P Bruto]]-base[[#This Row],[L/P Líquido]]</f>
        <v>0.10979057591623054</v>
      </c>
      <c r="N1249" s="126">
        <f>base[[#This Row],[L/P Líquido]]/base[[#This Row],[Stake/Responsabilidade]]</f>
        <v>5.9682377049180328E-2</v>
      </c>
      <c r="O1249" s="132">
        <f>IF(base[[#This Row],[L/P Líquido]]&gt;0,1,0)</f>
        <v>1</v>
      </c>
      <c r="P1249" s="132" t="s">
        <v>1058</v>
      </c>
      <c r="Q1249" s="132" t="str">
        <f>LEFT(base[[#This Row],[Evento / Mercado]],FIND("vs",base[[#This Row],[Evento / Mercado]])-2)</f>
        <v>Santos FC</v>
      </c>
      <c r="R12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1249" s="132" t="e">
        <f>LEFT(base[[#This Row],[Evento / Mercado]],FIND("/",base[[#This Row],[Evento / Mercado]])-2)</f>
        <v>#VALUE!</v>
      </c>
    </row>
    <row r="1250" spans="2:19" ht="15" customHeight="1">
      <c r="B1250" s="128" t="s">
        <v>1102</v>
      </c>
      <c r="C1250" s="128" t="s">
        <v>2982</v>
      </c>
      <c r="D1250" s="129">
        <v>46100.674861111111</v>
      </c>
      <c r="E1250" s="130">
        <v>68.040000000000006</v>
      </c>
      <c r="F1250" s="131">
        <v>4.4999999999999998E-2</v>
      </c>
      <c r="G1250" s="126">
        <f t="shared" si="20"/>
        <v>71.246073298429323</v>
      </c>
      <c r="H1250" s="126" t="s">
        <v>231</v>
      </c>
      <c r="I1250" s="127" t="s">
        <v>266</v>
      </c>
      <c r="J1250" s="126">
        <v>1.75</v>
      </c>
      <c r="K1250" s="126">
        <v>95</v>
      </c>
      <c r="L1250" s="129">
        <f>INT(base[[#This Row],[Data de liquidação]])</f>
        <v>46100</v>
      </c>
      <c r="M1250" s="126">
        <f>base[[#This Row],[L/P Bruto]]-base[[#This Row],[L/P Líquido]]</f>
        <v>3.2060732984293168</v>
      </c>
      <c r="N1250" s="126">
        <f>base[[#This Row],[L/P Líquido]]/base[[#This Row],[Stake/Responsabilidade]]</f>
        <v>0.71621052631578952</v>
      </c>
      <c r="O1250" s="132">
        <f>IF(base[[#This Row],[L/P Líquido]]&gt;0,1,0)</f>
        <v>1</v>
      </c>
      <c r="P1250" s="132"/>
      <c r="Q1250" s="132" t="str">
        <f>LEFT(base[[#This Row],[Evento / Mercado]],FIND("vs",base[[#This Row],[Evento / Mercado]])-2)</f>
        <v>FC Midtjylland</v>
      </c>
      <c r="R12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Nottingham Forest</v>
      </c>
      <c r="S1250" s="132" t="e">
        <f>LEFT(base[[#This Row],[Evento / Mercado]],FIND("/",base[[#This Row],[Evento / Mercado]])-2)</f>
        <v>#VALUE!</v>
      </c>
    </row>
    <row r="1251" spans="2:19" ht="15" customHeight="1">
      <c r="B1251" s="128" t="s">
        <v>1101</v>
      </c>
      <c r="C1251" s="128" t="s">
        <v>2982</v>
      </c>
      <c r="D1251" s="129">
        <v>46100.763854166667</v>
      </c>
      <c r="E1251" s="130">
        <v>63.51</v>
      </c>
      <c r="F1251" s="131">
        <v>4.4999999999999998E-2</v>
      </c>
      <c r="G1251" s="126">
        <f t="shared" si="20"/>
        <v>66.502617801047123</v>
      </c>
      <c r="H1251" s="126" t="s">
        <v>231</v>
      </c>
      <c r="I1251" s="127" t="s">
        <v>232</v>
      </c>
      <c r="J1251" s="126">
        <v>1.7</v>
      </c>
      <c r="K1251" s="126">
        <v>95</v>
      </c>
      <c r="L1251" s="129">
        <f>INT(base[[#This Row],[Data de liquidação]])</f>
        <v>46100</v>
      </c>
      <c r="M1251" s="126">
        <f>base[[#This Row],[L/P Bruto]]-base[[#This Row],[L/P Líquido]]</f>
        <v>2.9926178010471247</v>
      </c>
      <c r="N1251" s="126">
        <f>base[[#This Row],[L/P Líquido]]/base[[#This Row],[Stake/Responsabilidade]]</f>
        <v>0.66852631578947364</v>
      </c>
      <c r="O1251" s="132">
        <f>IF(base[[#This Row],[L/P Líquido]]&gt;0,1,0)</f>
        <v>1</v>
      </c>
      <c r="P1251" s="132"/>
      <c r="Q1251" s="132" t="str">
        <f>LEFT(base[[#This Row],[Evento / Mercado]],FIND("vs",base[[#This Row],[Evento / Mercado]])-2)</f>
        <v>AC Sparta Praha</v>
      </c>
      <c r="R12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AZ Alkmaar</v>
      </c>
      <c r="S1251" s="132" t="e">
        <f>LEFT(base[[#This Row],[Evento / Mercado]],FIND("/",base[[#This Row],[Evento / Mercado]])-2)</f>
        <v>#VALUE!</v>
      </c>
    </row>
    <row r="1252" spans="2:19" ht="15" customHeight="1">
      <c r="B1252" s="128" t="s">
        <v>1100</v>
      </c>
      <c r="C1252" s="128" t="s">
        <v>2982</v>
      </c>
      <c r="D1252" s="129">
        <v>46100.877511574072</v>
      </c>
      <c r="E1252" s="130">
        <v>-95</v>
      </c>
      <c r="F1252" s="131">
        <v>4.4999999999999998E-2</v>
      </c>
      <c r="G1252" s="126">
        <f t="shared" si="20"/>
        <v>-95</v>
      </c>
      <c r="H1252" s="126" t="s">
        <v>231</v>
      </c>
      <c r="I1252" s="127" t="s">
        <v>266</v>
      </c>
      <c r="J1252" s="126">
        <v>1.91</v>
      </c>
      <c r="K1252" s="126">
        <v>95</v>
      </c>
      <c r="L1252" s="129">
        <f>INT(base[[#This Row],[Data de liquidação]])</f>
        <v>46100</v>
      </c>
      <c r="M1252" s="126">
        <f>base[[#This Row],[L/P Bruto]]-base[[#This Row],[L/P Líquido]]</f>
        <v>0</v>
      </c>
      <c r="N1252" s="126">
        <f>base[[#This Row],[L/P Líquido]]/base[[#This Row],[Stake/Responsabilidade]]</f>
        <v>-1</v>
      </c>
      <c r="O1252" s="132">
        <f>IF(base[[#This Row],[L/P Líquido]]&gt;0,1,0)</f>
        <v>0</v>
      </c>
      <c r="P1252" s="132"/>
      <c r="Q1252" s="132" t="str">
        <f>LEFT(base[[#This Row],[Evento / Mercado]],FIND("vs",base[[#This Row],[Evento / Mercado]])-2)</f>
        <v>Grêmio FBPA</v>
      </c>
      <c r="R12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1252" s="132" t="e">
        <f>LEFT(base[[#This Row],[Evento / Mercado]],FIND("/",base[[#This Row],[Evento / Mercado]])-2)</f>
        <v>#VALUE!</v>
      </c>
    </row>
    <row r="1253" spans="2:19" ht="15" customHeight="1">
      <c r="B1253" s="128" t="s">
        <v>1120</v>
      </c>
      <c r="C1253" s="128" t="s">
        <v>2982</v>
      </c>
      <c r="D1253" s="129">
        <v>46101.640196759261</v>
      </c>
      <c r="E1253" s="130">
        <v>74.39</v>
      </c>
      <c r="F1253" s="131">
        <v>4.4999999999999998E-2</v>
      </c>
      <c r="G1253" s="126">
        <f t="shared" si="20"/>
        <v>77.89528795811519</v>
      </c>
      <c r="H1253" s="126" t="s">
        <v>231</v>
      </c>
      <c r="I1253" s="127" t="s">
        <v>266</v>
      </c>
      <c r="J1253" s="126">
        <v>1.82</v>
      </c>
      <c r="K1253" s="126">
        <v>95</v>
      </c>
      <c r="L1253" s="129">
        <f>INT(base[[#This Row],[Data de liquidação]])</f>
        <v>46101</v>
      </c>
      <c r="M1253" s="126">
        <f>base[[#This Row],[L/P Bruto]]-base[[#This Row],[L/P Líquido]]</f>
        <v>3.5052879581151899</v>
      </c>
      <c r="N1253" s="126">
        <f>base[[#This Row],[L/P Líquido]]/base[[#This Row],[Stake/Responsabilidade]]</f>
        <v>0.78305263157894733</v>
      </c>
      <c r="O1253" s="132">
        <f>IF(base[[#This Row],[L/P Líquido]]&gt;0,1,0)</f>
        <v>1</v>
      </c>
      <c r="P1253" s="132"/>
      <c r="Q1253" s="132" t="str">
        <f>LEFT(base[[#This Row],[Evento / Mercado]],FIND("vs",base[[#This Row],[Evento / Mercado]])-2)</f>
        <v>NK Aluminij</v>
      </c>
      <c r="R12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Maribor</v>
      </c>
      <c r="S1253" s="132" t="e">
        <f>LEFT(base[[#This Row],[Evento / Mercado]],FIND("/",base[[#This Row],[Evento / Mercado]])-2)</f>
        <v>#VALUE!</v>
      </c>
    </row>
    <row r="1254" spans="2:19" ht="15" customHeight="1">
      <c r="B1254" s="128" t="s">
        <v>1119</v>
      </c>
      <c r="C1254" s="128" t="s">
        <v>2982</v>
      </c>
      <c r="D1254" s="129">
        <v>46101.683703703704</v>
      </c>
      <c r="E1254" s="130">
        <v>59.88</v>
      </c>
      <c r="F1254" s="131">
        <v>4.4999999999999998E-2</v>
      </c>
      <c r="G1254" s="126">
        <f t="shared" si="20"/>
        <v>62.701570680628279</v>
      </c>
      <c r="H1254" s="126" t="s">
        <v>231</v>
      </c>
      <c r="I1254" s="127" t="s">
        <v>232</v>
      </c>
      <c r="J1254" s="126">
        <v>1.66</v>
      </c>
      <c r="K1254" s="126">
        <v>95</v>
      </c>
      <c r="L1254" s="129">
        <f>INT(base[[#This Row],[Data de liquidação]])</f>
        <v>46101</v>
      </c>
      <c r="M1254" s="126">
        <f>base[[#This Row],[L/P Bruto]]-base[[#This Row],[L/P Líquido]]</f>
        <v>2.8215706806282768</v>
      </c>
      <c r="N1254" s="126">
        <f>base[[#This Row],[L/P Líquido]]/base[[#This Row],[Stake/Responsabilidade]]</f>
        <v>0.63031578947368427</v>
      </c>
      <c r="O1254" s="132">
        <f>IF(base[[#This Row],[L/P Líquido]]&gt;0,1,0)</f>
        <v>1</v>
      </c>
      <c r="P1254" s="132"/>
      <c r="Q1254" s="132" t="str">
        <f>LEFT(base[[#This Row],[Evento / Mercado]],FIND("vs",base[[#This Row],[Evento / Mercado]])-2)</f>
        <v>Karlsruher SC</v>
      </c>
      <c r="R12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SpVgg Greuther Fürth</v>
      </c>
      <c r="S1254" s="132" t="e">
        <f>LEFT(base[[#This Row],[Evento / Mercado]],FIND("/",base[[#This Row],[Evento / Mercado]])-2)</f>
        <v>#VALUE!</v>
      </c>
    </row>
    <row r="1255" spans="2:19" ht="15" customHeight="1">
      <c r="B1255" s="128" t="s">
        <v>1118</v>
      </c>
      <c r="C1255" s="128" t="s">
        <v>2982</v>
      </c>
      <c r="D1255" s="129">
        <v>46101.70385416667</v>
      </c>
      <c r="E1255" s="130">
        <v>62.59</v>
      </c>
      <c r="F1255" s="131">
        <v>4.4999999999999998E-2</v>
      </c>
      <c r="G1255" s="126">
        <f t="shared" si="20"/>
        <v>65.539267015706812</v>
      </c>
      <c r="H1255" s="126" t="s">
        <v>231</v>
      </c>
      <c r="I1255" s="127" t="s">
        <v>266</v>
      </c>
      <c r="J1255" s="126">
        <v>1.69</v>
      </c>
      <c r="K1255" s="126">
        <v>94.98</v>
      </c>
      <c r="L1255" s="129">
        <f>INT(base[[#This Row],[Data de liquidação]])</f>
        <v>46101</v>
      </c>
      <c r="M1255" s="126">
        <f>base[[#This Row],[L/P Bruto]]-base[[#This Row],[L/P Líquido]]</f>
        <v>2.949267015706809</v>
      </c>
      <c r="N1255" s="126">
        <f>base[[#This Row],[L/P Líquido]]/base[[#This Row],[Stake/Responsabilidade]]</f>
        <v>0.65898083807117291</v>
      </c>
      <c r="O1255" s="132">
        <f>IF(base[[#This Row],[L/P Líquido]]&gt;0,1,0)</f>
        <v>1</v>
      </c>
      <c r="P1255" s="132"/>
      <c r="Q1255" s="132" t="str">
        <f>LEFT(base[[#This Row],[Evento / Mercado]],FIND("vs",base[[#This Row],[Evento / Mercado]])-2)</f>
        <v>Vejle BK</v>
      </c>
      <c r="R12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Odense BK</v>
      </c>
      <c r="S1255" s="132" t="e">
        <f>LEFT(base[[#This Row],[Evento / Mercado]],FIND("/",base[[#This Row],[Evento / Mercado]])-2)</f>
        <v>#VALUE!</v>
      </c>
    </row>
    <row r="1256" spans="2:19" ht="15" customHeight="1">
      <c r="B1256" s="128" t="s">
        <v>1115</v>
      </c>
      <c r="C1256" s="128" t="s">
        <v>2982</v>
      </c>
      <c r="D1256" s="129">
        <v>46101.725601851853</v>
      </c>
      <c r="E1256" s="130">
        <v>73.489999999999995</v>
      </c>
      <c r="F1256" s="131">
        <v>4.4999999999999998E-2</v>
      </c>
      <c r="G1256" s="126">
        <f t="shared" si="20"/>
        <v>76.952879581151834</v>
      </c>
      <c r="H1256" s="126" t="s">
        <v>231</v>
      </c>
      <c r="I1256" s="127" t="s">
        <v>232</v>
      </c>
      <c r="J1256" s="126">
        <v>1.81</v>
      </c>
      <c r="K1256" s="126">
        <v>95</v>
      </c>
      <c r="L1256" s="129">
        <f>INT(base[[#This Row],[Data de liquidação]])</f>
        <v>46101</v>
      </c>
      <c r="M1256" s="126">
        <f>base[[#This Row],[L/P Bruto]]-base[[#This Row],[L/P Líquido]]</f>
        <v>3.4628795811518387</v>
      </c>
      <c r="N1256" s="126">
        <f>base[[#This Row],[L/P Líquido]]/base[[#This Row],[Stake/Responsabilidade]]</f>
        <v>0.77357894736842103</v>
      </c>
      <c r="O1256" s="132">
        <f>IF(base[[#This Row],[L/P Líquido]]&gt;0,1,0)</f>
        <v>1</v>
      </c>
      <c r="P1256" s="132"/>
      <c r="Q1256" s="132" t="str">
        <f>LEFT(base[[#This Row],[Evento / Mercado]],FIND("vs",base[[#This Row],[Evento / Mercado]])-2)</f>
        <v>Villarreal</v>
      </c>
      <c r="R12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1256" s="132" t="e">
        <f>LEFT(base[[#This Row],[Evento / Mercado]],FIND("/",base[[#This Row],[Evento / Mercado]])-2)</f>
        <v>#VALUE!</v>
      </c>
    </row>
    <row r="1257" spans="2:19" ht="15" customHeight="1">
      <c r="B1257" s="128" t="s">
        <v>1117</v>
      </c>
      <c r="C1257" s="128" t="s">
        <v>2982</v>
      </c>
      <c r="D1257" s="129">
        <v>46101.74664351852</v>
      </c>
      <c r="E1257" s="130">
        <v>15.08</v>
      </c>
      <c r="F1257" s="131">
        <v>4.4999999999999998E-2</v>
      </c>
      <c r="G1257" s="126">
        <f t="shared" si="20"/>
        <v>15.790575916230367</v>
      </c>
      <c r="H1257" s="126" t="s">
        <v>122</v>
      </c>
      <c r="I1257" s="127" t="s">
        <v>541</v>
      </c>
      <c r="J1257" s="126">
        <v>20</v>
      </c>
      <c r="K1257" s="126">
        <v>300.01</v>
      </c>
      <c r="L1257" s="129">
        <f>INT(base[[#This Row],[Data de liquidação]])</f>
        <v>46101</v>
      </c>
      <c r="M1257" s="126">
        <f>base[[#This Row],[L/P Bruto]]-base[[#This Row],[L/P Líquido]]</f>
        <v>0.71057591623036664</v>
      </c>
      <c r="N1257" s="126">
        <f>base[[#This Row],[L/P Líquido]]/base[[#This Row],[Stake/Responsabilidade]]</f>
        <v>5.02649911669611E-2</v>
      </c>
      <c r="O1257" s="132">
        <f>IF(base[[#This Row],[L/P Líquido]]&gt;0,1,0)</f>
        <v>1</v>
      </c>
      <c r="P1257" s="132" t="s">
        <v>960</v>
      </c>
      <c r="Q1257" s="132" t="str">
        <f>LEFT(base[[#This Row],[Evento / Mercado]],FIND("vs",base[[#This Row],[Evento / Mercado]])-2)</f>
        <v>Jong Ajax</v>
      </c>
      <c r="R12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Almere City</v>
      </c>
      <c r="S1257" s="132" t="e">
        <f>LEFT(base[[#This Row],[Evento / Mercado]],FIND("/",base[[#This Row],[Evento / Mercado]])-2)</f>
        <v>#VALUE!</v>
      </c>
    </row>
    <row r="1258" spans="2:19" ht="15" customHeight="1">
      <c r="B1258" s="128" t="s">
        <v>1116</v>
      </c>
      <c r="C1258" s="128" t="s">
        <v>2982</v>
      </c>
      <c r="D1258" s="129">
        <v>46101.769942129627</v>
      </c>
      <c r="E1258" s="130">
        <v>16.86</v>
      </c>
      <c r="F1258" s="131">
        <v>4.4999999999999998E-2</v>
      </c>
      <c r="G1258" s="126">
        <f t="shared" si="20"/>
        <v>17.654450261780106</v>
      </c>
      <c r="H1258" s="126" t="s">
        <v>74</v>
      </c>
      <c r="I1258" s="127" t="s">
        <v>477</v>
      </c>
      <c r="J1258" s="126">
        <v>16.5</v>
      </c>
      <c r="K1258" s="126">
        <v>300.05</v>
      </c>
      <c r="L1258" s="129">
        <f>INT(base[[#This Row],[Data de liquidação]])</f>
        <v>46101</v>
      </c>
      <c r="M1258" s="126">
        <f>base[[#This Row],[L/P Bruto]]-base[[#This Row],[L/P Líquido]]</f>
        <v>0.79445026178010636</v>
      </c>
      <c r="N1258" s="126">
        <f>base[[#This Row],[L/P Líquido]]/base[[#This Row],[Stake/Responsabilidade]]</f>
        <v>5.6190634894184299E-2</v>
      </c>
      <c r="O1258" s="132">
        <f>IF(base[[#This Row],[L/P Líquido]]&gt;0,1,0)</f>
        <v>1</v>
      </c>
      <c r="P1258" s="132" t="s">
        <v>962</v>
      </c>
      <c r="Q1258" s="132" t="str">
        <f>LEFT(base[[#This Row],[Evento / Mercado]],FIND("vs",base[[#This Row],[Evento / Mercado]])-2)</f>
        <v>RB Leipzig</v>
      </c>
      <c r="R12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1258" s="132" t="e">
        <f>LEFT(base[[#This Row],[Evento / Mercado]],FIND("/",base[[#This Row],[Evento / Mercado]])-2)</f>
        <v>#VALUE!</v>
      </c>
    </row>
    <row r="1259" spans="2:19" ht="15" customHeight="1">
      <c r="B1259" s="128" t="s">
        <v>1115</v>
      </c>
      <c r="C1259" s="128" t="s">
        <v>2982</v>
      </c>
      <c r="D1259" s="129">
        <v>46101.789247685185</v>
      </c>
      <c r="E1259" s="130">
        <v>18.48</v>
      </c>
      <c r="F1259" s="131">
        <v>4.4999999999999998E-2</v>
      </c>
      <c r="G1259" s="126">
        <f t="shared" si="20"/>
        <v>19.350785340314136</v>
      </c>
      <c r="H1259" s="126" t="s">
        <v>74</v>
      </c>
      <c r="I1259" s="127" t="s">
        <v>476</v>
      </c>
      <c r="J1259" s="126">
        <v>16.5</v>
      </c>
      <c r="K1259" s="126">
        <v>299.93</v>
      </c>
      <c r="L1259" s="129">
        <f>INT(base[[#This Row],[Data de liquidação]])</f>
        <v>46101</v>
      </c>
      <c r="M1259" s="126">
        <f>base[[#This Row],[L/P Bruto]]-base[[#This Row],[L/P Líquido]]</f>
        <v>0.87078534031413568</v>
      </c>
      <c r="N1259" s="126">
        <f>base[[#This Row],[L/P Líquido]]/base[[#This Row],[Stake/Responsabilidade]]</f>
        <v>6.1614376687893845E-2</v>
      </c>
      <c r="O1259" s="132">
        <f>IF(base[[#This Row],[L/P Líquido]]&gt;0,1,0)</f>
        <v>1</v>
      </c>
      <c r="P1259" s="132" t="s">
        <v>964</v>
      </c>
      <c r="Q1259" s="132" t="str">
        <f>LEFT(base[[#This Row],[Evento / Mercado]],FIND("vs",base[[#This Row],[Evento / Mercado]])-2)</f>
        <v>Villarreal</v>
      </c>
      <c r="R12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1259" s="132" t="e">
        <f>LEFT(base[[#This Row],[Evento / Mercado]],FIND("/",base[[#This Row],[Evento / Mercado]])-2)</f>
        <v>#VALUE!</v>
      </c>
    </row>
    <row r="1260" spans="2:19" ht="15" customHeight="1">
      <c r="B1260" s="128" t="s">
        <v>1114</v>
      </c>
      <c r="C1260" s="128" t="s">
        <v>2982</v>
      </c>
      <c r="D1260" s="129">
        <v>46102.443287037036</v>
      </c>
      <c r="E1260" s="130">
        <v>79.84</v>
      </c>
      <c r="F1260" s="131">
        <v>4.4999999999999998E-2</v>
      </c>
      <c r="G1260" s="126">
        <f t="shared" si="20"/>
        <v>83.602094240837701</v>
      </c>
      <c r="H1260" s="126" t="s">
        <v>231</v>
      </c>
      <c r="I1260" s="127" t="s">
        <v>266</v>
      </c>
      <c r="J1260" s="126">
        <v>1.88</v>
      </c>
      <c r="K1260" s="126">
        <v>95</v>
      </c>
      <c r="L1260" s="129">
        <f>INT(base[[#This Row],[Data de liquidação]])</f>
        <v>46102</v>
      </c>
      <c r="M1260" s="126">
        <f>base[[#This Row],[L/P Bruto]]-base[[#This Row],[L/P Líquido]]</f>
        <v>3.7620942408376976</v>
      </c>
      <c r="N1260" s="126">
        <f>base[[#This Row],[L/P Líquido]]/base[[#This Row],[Stake/Responsabilidade]]</f>
        <v>0.84042105263157896</v>
      </c>
      <c r="O1260" s="132">
        <f>IF(base[[#This Row],[L/P Líquido]]&gt;0,1,0)</f>
        <v>1</v>
      </c>
      <c r="P1260" s="132"/>
      <c r="Q1260" s="132" t="str">
        <f>LEFT(base[[#This Row],[Evento / Mercado]],FIND("vs",base[[#This Row],[Evento / Mercado]])-2)</f>
        <v>Ipswich Town</v>
      </c>
      <c r="R12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Millwall</v>
      </c>
      <c r="S1260" s="132" t="e">
        <f>LEFT(base[[#This Row],[Evento / Mercado]],FIND("/",base[[#This Row],[Evento / Mercado]])-2)</f>
        <v>#VALUE!</v>
      </c>
    </row>
    <row r="1261" spans="2:19" ht="15" customHeight="1">
      <c r="B1261" s="128" t="s">
        <v>1113</v>
      </c>
      <c r="C1261" s="128" t="s">
        <v>2982</v>
      </c>
      <c r="D1261" s="129">
        <v>46102.445763888885</v>
      </c>
      <c r="E1261" s="130">
        <v>61.69</v>
      </c>
      <c r="F1261" s="131">
        <v>4.4999999999999998E-2</v>
      </c>
      <c r="G1261" s="126">
        <f t="shared" si="20"/>
        <v>64.596858638743456</v>
      </c>
      <c r="H1261" s="126" t="s">
        <v>231</v>
      </c>
      <c r="I1261" s="127" t="s">
        <v>232</v>
      </c>
      <c r="J1261" s="126">
        <v>1.68</v>
      </c>
      <c r="K1261" s="126">
        <v>95</v>
      </c>
      <c r="L1261" s="129">
        <f>INT(base[[#This Row],[Data de liquidação]])</f>
        <v>46102</v>
      </c>
      <c r="M1261" s="126">
        <f>base[[#This Row],[L/P Bruto]]-base[[#This Row],[L/P Líquido]]</f>
        <v>2.9068586387434578</v>
      </c>
      <c r="N1261" s="126">
        <f>base[[#This Row],[L/P Líquido]]/base[[#This Row],[Stake/Responsabilidade]]</f>
        <v>0.64936842105263159</v>
      </c>
      <c r="O1261" s="132">
        <f>IF(base[[#This Row],[L/P Líquido]]&gt;0,1,0)</f>
        <v>1</v>
      </c>
      <c r="P1261" s="132"/>
      <c r="Q1261" s="132" t="str">
        <f>LEFT(base[[#This Row],[Evento / Mercado]],FIND("vs",base[[#This Row],[Evento / Mercado]])-2)</f>
        <v>1. FC Nürnberg</v>
      </c>
      <c r="R12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Kaiserslautern</v>
      </c>
      <c r="S1261" s="132" t="e">
        <f>LEFT(base[[#This Row],[Evento / Mercado]],FIND("/",base[[#This Row],[Evento / Mercado]])-2)</f>
        <v>#VALUE!</v>
      </c>
    </row>
    <row r="1262" spans="2:19" ht="15" customHeight="1">
      <c r="B1262" s="128" t="s">
        <v>1112</v>
      </c>
      <c r="C1262" s="128" t="s">
        <v>2982</v>
      </c>
      <c r="D1262" s="129">
        <v>46102.447754629633</v>
      </c>
      <c r="E1262" s="130">
        <v>67.14</v>
      </c>
      <c r="F1262" s="131">
        <v>4.4999999999999998E-2</v>
      </c>
      <c r="G1262" s="126">
        <f t="shared" si="20"/>
        <v>70.303664921465966</v>
      </c>
      <c r="H1262" s="126" t="s">
        <v>231</v>
      </c>
      <c r="I1262" s="127" t="s">
        <v>232</v>
      </c>
      <c r="J1262" s="126">
        <v>1.74</v>
      </c>
      <c r="K1262" s="126">
        <v>95</v>
      </c>
      <c r="L1262" s="129">
        <f>INT(base[[#This Row],[Data de liquidação]])</f>
        <v>46102</v>
      </c>
      <c r="M1262" s="126">
        <f>base[[#This Row],[L/P Bruto]]-base[[#This Row],[L/P Líquido]]</f>
        <v>3.1636649214659656</v>
      </c>
      <c r="N1262" s="126">
        <f>base[[#This Row],[L/P Líquido]]/base[[#This Row],[Stake/Responsabilidade]]</f>
        <v>0.70673684210526322</v>
      </c>
      <c r="O1262" s="132">
        <f>IF(base[[#This Row],[L/P Líquido]]&gt;0,1,0)</f>
        <v>1</v>
      </c>
      <c r="P1262" s="132"/>
      <c r="Q1262" s="132" t="str">
        <f>LEFT(base[[#This Row],[Evento / Mercado]],FIND("vs",base[[#This Row],[Evento / Mercado]])-2)</f>
        <v>SC Paderborn 07</v>
      </c>
      <c r="R12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1262" s="132" t="e">
        <f>LEFT(base[[#This Row],[Evento / Mercado]],FIND("/",base[[#This Row],[Evento / Mercado]])-2)</f>
        <v>#VALUE!</v>
      </c>
    </row>
    <row r="1263" spans="2:19" ht="15" customHeight="1">
      <c r="B1263" s="128" t="s">
        <v>1111</v>
      </c>
      <c r="C1263" s="128" t="s">
        <v>2982</v>
      </c>
      <c r="D1263" s="129">
        <v>46102.471342592595</v>
      </c>
      <c r="E1263" s="130">
        <v>58.97</v>
      </c>
      <c r="F1263" s="131">
        <v>4.4999999999999998E-2</v>
      </c>
      <c r="G1263" s="126">
        <f t="shared" si="20"/>
        <v>61.748691099476439</v>
      </c>
      <c r="H1263" s="126" t="s">
        <v>231</v>
      </c>
      <c r="I1263" s="127" t="s">
        <v>232</v>
      </c>
      <c r="J1263" s="126">
        <v>1.65</v>
      </c>
      <c r="K1263" s="126">
        <v>95</v>
      </c>
      <c r="L1263" s="129">
        <f>INT(base[[#This Row],[Data de liquidação]])</f>
        <v>46102</v>
      </c>
      <c r="M1263" s="126">
        <f>base[[#This Row],[L/P Bruto]]-base[[#This Row],[L/P Líquido]]</f>
        <v>2.7786910994764398</v>
      </c>
      <c r="N1263" s="126">
        <f>base[[#This Row],[L/P Líquido]]/base[[#This Row],[Stake/Responsabilidade]]</f>
        <v>0.62073684210526314</v>
      </c>
      <c r="O1263" s="132">
        <f>IF(base[[#This Row],[L/P Líquido]]&gt;0,1,0)</f>
        <v>1</v>
      </c>
      <c r="P1263" s="132"/>
      <c r="Q1263" s="132" t="str">
        <f>LEFT(base[[#This Row],[Evento / Mercado]],FIND("vs",base[[#This Row],[Evento / Mercado]])-2)</f>
        <v>FC Ingolstadt 04</v>
      </c>
      <c r="R12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Alemannia Aachen</v>
      </c>
      <c r="S1263" s="132" t="e">
        <f>LEFT(base[[#This Row],[Evento / Mercado]],FIND("/",base[[#This Row],[Evento / Mercado]])-2)</f>
        <v>#VALUE!</v>
      </c>
    </row>
    <row r="1264" spans="2:19" ht="15" customHeight="1">
      <c r="B1264" s="128" t="s">
        <v>1110</v>
      </c>
      <c r="C1264" s="128" t="s">
        <v>2982</v>
      </c>
      <c r="D1264" s="129">
        <v>46102.549456018518</v>
      </c>
      <c r="E1264" s="130">
        <v>68.95</v>
      </c>
      <c r="F1264" s="131">
        <v>4.4999999999999998E-2</v>
      </c>
      <c r="G1264" s="126">
        <f t="shared" si="20"/>
        <v>72.198952879581157</v>
      </c>
      <c r="H1264" s="126" t="s">
        <v>231</v>
      </c>
      <c r="I1264" s="127" t="s">
        <v>266</v>
      </c>
      <c r="J1264" s="126">
        <v>1.76</v>
      </c>
      <c r="K1264" s="126">
        <v>95</v>
      </c>
      <c r="L1264" s="129">
        <f>INT(base[[#This Row],[Data de liquidação]])</f>
        <v>46102</v>
      </c>
      <c r="M1264" s="126">
        <f>base[[#This Row],[L/P Bruto]]-base[[#This Row],[L/P Líquido]]</f>
        <v>3.2489528795811538</v>
      </c>
      <c r="N1264" s="126">
        <f>base[[#This Row],[L/P Líquido]]/base[[#This Row],[Stake/Responsabilidade]]</f>
        <v>0.72578947368421054</v>
      </c>
      <c r="O1264" s="132">
        <f>IF(base[[#This Row],[L/P Líquido]]&gt;0,1,0)</f>
        <v>1</v>
      </c>
      <c r="P1264" s="132"/>
      <c r="Q1264" s="132" t="str">
        <f>LEFT(base[[#This Row],[Evento / Mercado]],FIND("vs",base[[#This Row],[Evento / Mercado]])-2)</f>
        <v>Sheffield United</v>
      </c>
      <c r="R12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Wrexham</v>
      </c>
      <c r="S1264" s="132" t="e">
        <f>LEFT(base[[#This Row],[Evento / Mercado]],FIND("/",base[[#This Row],[Evento / Mercado]])-2)</f>
        <v>#VALUE!</v>
      </c>
    </row>
    <row r="1265" spans="2:19" ht="15" customHeight="1">
      <c r="B1265" s="128" t="s">
        <v>1109</v>
      </c>
      <c r="C1265" s="128" t="s">
        <v>2982</v>
      </c>
      <c r="D1265" s="129">
        <v>46102.55709490741</v>
      </c>
      <c r="E1265" s="130">
        <v>20.37</v>
      </c>
      <c r="F1265" s="131">
        <v>4.4999999999999998E-2</v>
      </c>
      <c r="G1265" s="126">
        <f t="shared" si="20"/>
        <v>21.329842931937176</v>
      </c>
      <c r="H1265" s="126" t="s">
        <v>122</v>
      </c>
      <c r="I1265" s="127" t="s">
        <v>477</v>
      </c>
      <c r="J1265" s="126">
        <v>17.5</v>
      </c>
      <c r="K1265" s="126">
        <v>351.95</v>
      </c>
      <c r="L1265" s="129">
        <f>INT(base[[#This Row],[Data de liquidação]])</f>
        <v>46102</v>
      </c>
      <c r="M1265" s="126">
        <f>base[[#This Row],[L/P Bruto]]-base[[#This Row],[L/P Líquido]]</f>
        <v>0.95984293193717463</v>
      </c>
      <c r="N1265" s="126">
        <f>base[[#This Row],[L/P Líquido]]/base[[#This Row],[Stake/Responsabilidade]]</f>
        <v>5.7877539423213532E-2</v>
      </c>
      <c r="O1265" s="132">
        <f>IF(base[[#This Row],[L/P Líquido]]&gt;0,1,0)</f>
        <v>1</v>
      </c>
      <c r="P1265" s="132" t="s">
        <v>962</v>
      </c>
      <c r="Q1265" s="132" t="str">
        <f>LEFT(base[[#This Row],[Evento / Mercado]],FIND("vs",base[[#This Row],[Evento / Mercado]])-2)</f>
        <v>FC Bayern München</v>
      </c>
      <c r="R12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1265" s="132" t="e">
        <f>LEFT(base[[#This Row],[Evento / Mercado]],FIND("/",base[[#This Row],[Evento / Mercado]])-2)</f>
        <v>#VALUE!</v>
      </c>
    </row>
    <row r="1266" spans="2:19" ht="15" customHeight="1">
      <c r="B1266" s="128" t="s">
        <v>1108</v>
      </c>
      <c r="C1266" s="128" t="s">
        <v>2982</v>
      </c>
      <c r="D1266" s="129">
        <v>46102.575983796298</v>
      </c>
      <c r="E1266" s="130">
        <v>64.41</v>
      </c>
      <c r="F1266" s="131">
        <v>4.4999999999999998E-2</v>
      </c>
      <c r="G1266" s="126">
        <f t="shared" si="20"/>
        <v>67.445026178010465</v>
      </c>
      <c r="H1266" s="126" t="s">
        <v>231</v>
      </c>
      <c r="I1266" s="127" t="s">
        <v>266</v>
      </c>
      <c r="J1266" s="126">
        <v>1.71</v>
      </c>
      <c r="K1266" s="126">
        <v>95</v>
      </c>
      <c r="L1266" s="129">
        <f>INT(base[[#This Row],[Data de liquidação]])</f>
        <v>46102</v>
      </c>
      <c r="M1266" s="126">
        <f>base[[#This Row],[L/P Bruto]]-base[[#This Row],[L/P Líquido]]</f>
        <v>3.0350261780104688</v>
      </c>
      <c r="N1266" s="126">
        <f>base[[#This Row],[L/P Líquido]]/base[[#This Row],[Stake/Responsabilidade]]</f>
        <v>0.67799999999999994</v>
      </c>
      <c r="O1266" s="132">
        <f>IF(base[[#This Row],[L/P Líquido]]&gt;0,1,0)</f>
        <v>1</v>
      </c>
      <c r="P1266" s="132"/>
      <c r="Q1266" s="132" t="str">
        <f>LEFT(base[[#This Row],[Evento / Mercado]],FIND("vs",base[[#This Row],[Evento / Mercado]])-2)</f>
        <v>Fortuna Sittard</v>
      </c>
      <c r="R12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1266" s="132" t="e">
        <f>LEFT(base[[#This Row],[Evento / Mercado]],FIND("/",base[[#This Row],[Evento / Mercado]])-2)</f>
        <v>#VALUE!</v>
      </c>
    </row>
    <row r="1267" spans="2:19" ht="15" customHeight="1">
      <c r="B1267" s="128" t="s">
        <v>1107</v>
      </c>
      <c r="C1267" s="128" t="s">
        <v>2982</v>
      </c>
      <c r="D1267" s="129">
        <v>46102.682569444441</v>
      </c>
      <c r="E1267" s="130">
        <v>-95</v>
      </c>
      <c r="F1267" s="131">
        <v>4.4999999999999998E-2</v>
      </c>
      <c r="G1267" s="126">
        <f t="shared" si="20"/>
        <v>-95</v>
      </c>
      <c r="H1267" s="126" t="s">
        <v>231</v>
      </c>
      <c r="I1267" s="127" t="s">
        <v>232</v>
      </c>
      <c r="J1267" s="126">
        <v>1.97</v>
      </c>
      <c r="K1267" s="126">
        <v>95</v>
      </c>
      <c r="L1267" s="129">
        <f>INT(base[[#This Row],[Data de liquidação]])</f>
        <v>46102</v>
      </c>
      <c r="M1267" s="126">
        <f>base[[#This Row],[L/P Bruto]]-base[[#This Row],[L/P Líquido]]</f>
        <v>0</v>
      </c>
      <c r="N1267" s="126">
        <f>base[[#This Row],[L/P Líquido]]/base[[#This Row],[Stake/Responsabilidade]]</f>
        <v>-1</v>
      </c>
      <c r="O1267" s="132">
        <f>IF(base[[#This Row],[L/P Líquido]]&gt;0,1,0)</f>
        <v>0</v>
      </c>
      <c r="P1267" s="132"/>
      <c r="Q1267" s="132" t="str">
        <f>LEFT(base[[#This Row],[Evento / Mercado]],FIND("vs",base[[#This Row],[Evento / Mercado]])-2)</f>
        <v>Osasuna</v>
      </c>
      <c r="R12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Girona</v>
      </c>
      <c r="S1267" s="132" t="e">
        <f>LEFT(base[[#This Row],[Evento / Mercado]],FIND("/",base[[#This Row],[Evento / Mercado]])-2)</f>
        <v>#VALUE!</v>
      </c>
    </row>
    <row r="1268" spans="2:19" ht="15" customHeight="1">
      <c r="B1268" s="128" t="s">
        <v>1106</v>
      </c>
      <c r="C1268" s="128" t="s">
        <v>2982</v>
      </c>
      <c r="D1268" s="129">
        <v>46102.684560185182</v>
      </c>
      <c r="E1268" s="130">
        <v>33.619999999999997</v>
      </c>
      <c r="F1268" s="131">
        <v>4.4999999999999998E-2</v>
      </c>
      <c r="G1268" s="126">
        <f t="shared" si="20"/>
        <v>35.204188481675395</v>
      </c>
      <c r="H1268" s="126" t="s">
        <v>122</v>
      </c>
      <c r="I1268" s="127" t="s">
        <v>477</v>
      </c>
      <c r="J1268" s="126">
        <v>11</v>
      </c>
      <c r="K1268" s="126">
        <v>352</v>
      </c>
      <c r="L1268" s="129">
        <f>INT(base[[#This Row],[Data de liquidação]])</f>
        <v>46102</v>
      </c>
      <c r="M1268" s="126">
        <f>base[[#This Row],[L/P Bruto]]-base[[#This Row],[L/P Líquido]]</f>
        <v>1.5841884816753975</v>
      </c>
      <c r="N1268" s="126">
        <f>base[[#This Row],[L/P Líquido]]/base[[#This Row],[Stake/Responsabilidade]]</f>
        <v>9.551136363636363E-2</v>
      </c>
      <c r="O1268" s="132">
        <f>IF(base[[#This Row],[L/P Líquido]]&gt;0,1,0)</f>
        <v>1</v>
      </c>
      <c r="P1268" s="132" t="s">
        <v>962</v>
      </c>
      <c r="Q1268" s="132" t="str">
        <f>LEFT(base[[#This Row],[Evento / Mercado]],FIND("vs",base[[#This Row],[Evento / Mercado]])-2)</f>
        <v>Borussia Dortmund</v>
      </c>
      <c r="R12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268" s="132" t="e">
        <f>LEFT(base[[#This Row],[Evento / Mercado]],FIND("/",base[[#This Row],[Evento / Mercado]])-2)</f>
        <v>#VALUE!</v>
      </c>
    </row>
    <row r="1269" spans="2:19" ht="15" customHeight="1">
      <c r="B1269" s="128" t="s">
        <v>1106</v>
      </c>
      <c r="C1269" s="128" t="s">
        <v>2982</v>
      </c>
      <c r="D1269" s="129">
        <v>46102.684606481482</v>
      </c>
      <c r="E1269" s="130">
        <v>54.59</v>
      </c>
      <c r="F1269" s="131">
        <v>4.4999999999999998E-2</v>
      </c>
      <c r="G1269" s="126">
        <f t="shared" si="20"/>
        <v>57.162303664921474</v>
      </c>
      <c r="H1269" s="126" t="s">
        <v>145</v>
      </c>
      <c r="I1269" s="127" t="s">
        <v>301</v>
      </c>
      <c r="J1269" s="126">
        <v>8.4</v>
      </c>
      <c r="K1269" s="126">
        <v>422.98</v>
      </c>
      <c r="L1269" s="129">
        <f>INT(base[[#This Row],[Data de liquidação]])</f>
        <v>46102</v>
      </c>
      <c r="M1269" s="126">
        <f>base[[#This Row],[L/P Bruto]]-base[[#This Row],[L/P Líquido]]</f>
        <v>2.5723036649214706</v>
      </c>
      <c r="N1269" s="126">
        <f>base[[#This Row],[L/P Líquido]]/base[[#This Row],[Stake/Responsabilidade]]</f>
        <v>0.12906047567260864</v>
      </c>
      <c r="O1269" s="132">
        <f>IF(base[[#This Row],[L/P Líquido]]&gt;0,1,0)</f>
        <v>1</v>
      </c>
      <c r="P1269" s="132" t="s">
        <v>962</v>
      </c>
      <c r="Q1269" s="132" t="str">
        <f>LEFT(base[[#This Row],[Evento / Mercado]],FIND("vs",base[[#This Row],[Evento / Mercado]])-2)</f>
        <v>Borussia Dortmund</v>
      </c>
      <c r="R12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269" s="132" t="e">
        <f>LEFT(base[[#This Row],[Evento / Mercado]],FIND("/",base[[#This Row],[Evento / Mercado]])-2)</f>
        <v>#VALUE!</v>
      </c>
    </row>
    <row r="1270" spans="2:19" ht="15" customHeight="1">
      <c r="B1270" s="128" t="s">
        <v>1105</v>
      </c>
      <c r="C1270" s="128" t="s">
        <v>2982</v>
      </c>
      <c r="D1270" s="129">
        <v>46102.704664351855</v>
      </c>
      <c r="E1270" s="130">
        <v>28.85</v>
      </c>
      <c r="F1270" s="131">
        <v>4.4999999999999998E-2</v>
      </c>
      <c r="G1270" s="126">
        <f t="shared" si="20"/>
        <v>30.209424083769637</v>
      </c>
      <c r="H1270" s="126" t="s">
        <v>145</v>
      </c>
      <c r="I1270" s="127" t="s">
        <v>301</v>
      </c>
      <c r="J1270" s="126">
        <v>15</v>
      </c>
      <c r="K1270" s="126">
        <v>422.94</v>
      </c>
      <c r="L1270" s="129">
        <f>INT(base[[#This Row],[Data de liquidação]])</f>
        <v>46102</v>
      </c>
      <c r="M1270" s="126">
        <f>base[[#This Row],[L/P Bruto]]-base[[#This Row],[L/P Líquido]]</f>
        <v>1.3594240837696354</v>
      </c>
      <c r="N1270" s="126">
        <f>base[[#This Row],[L/P Líquido]]/base[[#This Row],[Stake/Responsabilidade]]</f>
        <v>6.8212985293422235E-2</v>
      </c>
      <c r="O1270" s="132">
        <f>IF(base[[#This Row],[L/P Líquido]]&gt;0,1,0)</f>
        <v>1</v>
      </c>
      <c r="P1270" s="132" t="s">
        <v>965</v>
      </c>
      <c r="Q1270" s="132" t="str">
        <f>LEFT(base[[#This Row],[Evento / Mercado]],FIND("vs",base[[#This Row],[Evento / Mercado]])-2)</f>
        <v>Benfica</v>
      </c>
      <c r="R12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Vitoria de Guimaraes</v>
      </c>
      <c r="S1270" s="132" t="e">
        <f>LEFT(base[[#This Row],[Evento / Mercado]],FIND("/",base[[#This Row],[Evento / Mercado]])-2)</f>
        <v>#VALUE!</v>
      </c>
    </row>
    <row r="1271" spans="2:19" ht="15" customHeight="1">
      <c r="B1271" s="128" t="s">
        <v>1104</v>
      </c>
      <c r="C1271" s="128" t="s">
        <v>2982</v>
      </c>
      <c r="D1271" s="129">
        <v>46102.745532407411</v>
      </c>
      <c r="E1271" s="130">
        <v>20.5</v>
      </c>
      <c r="F1271" s="131">
        <v>4.4999999999999998E-2</v>
      </c>
      <c r="G1271" s="126">
        <f t="shared" si="20"/>
        <v>21.465968586387437</v>
      </c>
      <c r="H1271" s="126" t="s">
        <v>74</v>
      </c>
      <c r="I1271" s="127" t="s">
        <v>476</v>
      </c>
      <c r="J1271" s="126">
        <v>20</v>
      </c>
      <c r="K1271" s="126">
        <v>407.93</v>
      </c>
      <c r="L1271" s="129">
        <f>INT(base[[#This Row],[Data de liquidação]])</f>
        <v>46102</v>
      </c>
      <c r="M1271" s="126">
        <f>base[[#This Row],[L/P Bruto]]-base[[#This Row],[L/P Líquido]]</f>
        <v>0.96596858638743655</v>
      </c>
      <c r="N1271" s="126">
        <f>base[[#This Row],[L/P Líquido]]/base[[#This Row],[Stake/Responsabilidade]]</f>
        <v>5.0253720000980558E-2</v>
      </c>
      <c r="O1271" s="132">
        <f>IF(base[[#This Row],[L/P Líquido]]&gt;0,1,0)</f>
        <v>1</v>
      </c>
      <c r="P1271" s="132" t="s">
        <v>960</v>
      </c>
      <c r="Q1271" s="132" t="str">
        <f>LEFT(base[[#This Row],[Evento / Mercado]],FIND("vs",base[[#This Row],[Evento / Mercado]])-2)</f>
        <v>RKC Waalwijk</v>
      </c>
      <c r="R12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Den Bosch</v>
      </c>
      <c r="S1271" s="132" t="e">
        <f>LEFT(base[[#This Row],[Evento / Mercado]],FIND("/",base[[#This Row],[Evento / Mercado]])-2)</f>
        <v>#VALUE!</v>
      </c>
    </row>
    <row r="1272" spans="2:19" ht="15" customHeight="1">
      <c r="B1272" s="128" t="s">
        <v>1103</v>
      </c>
      <c r="C1272" s="128" t="s">
        <v>2982</v>
      </c>
      <c r="D1272" s="129">
        <v>46102.790451388886</v>
      </c>
      <c r="E1272" s="130">
        <v>-95</v>
      </c>
      <c r="F1272" s="131">
        <v>4.4999999999999998E-2</v>
      </c>
      <c r="G1272" s="126">
        <f t="shared" si="20"/>
        <v>-95</v>
      </c>
      <c r="H1272" s="126" t="s">
        <v>231</v>
      </c>
      <c r="I1272" s="127" t="s">
        <v>266</v>
      </c>
      <c r="J1272" s="126">
        <v>1.77</v>
      </c>
      <c r="K1272" s="126">
        <v>95</v>
      </c>
      <c r="L1272" s="129">
        <f>INT(base[[#This Row],[Data de liquidação]])</f>
        <v>46102</v>
      </c>
      <c r="M1272" s="126">
        <f>base[[#This Row],[L/P Bruto]]-base[[#This Row],[L/P Líquido]]</f>
        <v>0</v>
      </c>
      <c r="N1272" s="126">
        <f>base[[#This Row],[L/P Líquido]]/base[[#This Row],[Stake/Responsabilidade]]</f>
        <v>-1</v>
      </c>
      <c r="O1272" s="132">
        <f>IF(base[[#This Row],[L/P Líquido]]&gt;0,1,0)</f>
        <v>0</v>
      </c>
      <c r="P1272" s="132"/>
      <c r="Q1272" s="132" t="str">
        <f>LEFT(base[[#This Row],[Evento / Mercado]],FIND("vs",base[[#This Row],[Evento / Mercado]])-2)</f>
        <v>Leeds United</v>
      </c>
      <c r="R12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1272" s="132" t="e">
        <f>LEFT(base[[#This Row],[Evento / Mercado]],FIND("/",base[[#This Row],[Evento / Mercado]])-2)</f>
        <v>#VALUE!</v>
      </c>
    </row>
    <row r="1273" spans="2:19" ht="15" customHeight="1">
      <c r="B1273" s="128" t="s">
        <v>1132</v>
      </c>
      <c r="C1273" s="128" t="s">
        <v>2982</v>
      </c>
      <c r="D1273" s="129">
        <v>46103.40185185185</v>
      </c>
      <c r="E1273" s="130">
        <v>68.95</v>
      </c>
      <c r="F1273" s="131">
        <v>4.4999999999999998E-2</v>
      </c>
      <c r="G1273" s="126">
        <f t="shared" si="20"/>
        <v>72.198952879581157</v>
      </c>
      <c r="H1273" s="126" t="s">
        <v>231</v>
      </c>
      <c r="I1273" s="127" t="s">
        <v>232</v>
      </c>
      <c r="J1273" s="126">
        <v>1.76</v>
      </c>
      <c r="K1273" s="126">
        <v>95</v>
      </c>
      <c r="L1273" s="129">
        <f>INT(base[[#This Row],[Data de liquidação]])</f>
        <v>46103</v>
      </c>
      <c r="M1273" s="126">
        <f>base[[#This Row],[L/P Bruto]]-base[[#This Row],[L/P Líquido]]</f>
        <v>3.2489528795811538</v>
      </c>
      <c r="N1273" s="126">
        <f>base[[#This Row],[L/P Líquido]]/base[[#This Row],[Stake/Responsabilidade]]</f>
        <v>0.72578947368421054</v>
      </c>
      <c r="O1273" s="132">
        <f>IF(base[[#This Row],[L/P Líquido]]&gt;0,1,0)</f>
        <v>1</v>
      </c>
      <c r="P1273" s="132"/>
      <c r="Q1273" s="132" t="str">
        <f>LEFT(base[[#This Row],[Evento / Mercado]],FIND("vs",base[[#This Row],[Evento / Mercado]])-2)</f>
        <v>Como</v>
      </c>
      <c r="R12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Pisa</v>
      </c>
      <c r="S1273" s="132" t="e">
        <f>LEFT(base[[#This Row],[Evento / Mercado]],FIND("/",base[[#This Row],[Evento / Mercado]])-2)</f>
        <v>#VALUE!</v>
      </c>
    </row>
    <row r="1274" spans="2:19" ht="15" customHeight="1">
      <c r="B1274" s="128" t="s">
        <v>1133</v>
      </c>
      <c r="C1274" s="128" t="s">
        <v>2982</v>
      </c>
      <c r="D1274" s="129">
        <v>46103.423495370371</v>
      </c>
      <c r="E1274" s="130">
        <v>26.19</v>
      </c>
      <c r="F1274" s="131">
        <v>4.4999999999999998E-2</v>
      </c>
      <c r="G1274" s="126">
        <f t="shared" si="20"/>
        <v>27.424083769633512</v>
      </c>
      <c r="H1274" s="126" t="s">
        <v>74</v>
      </c>
      <c r="I1274" s="127" t="s">
        <v>541</v>
      </c>
      <c r="J1274" s="126">
        <v>16.5</v>
      </c>
      <c r="K1274" s="126">
        <v>425.01</v>
      </c>
      <c r="L1274" s="129">
        <f>INT(base[[#This Row],[Data de liquidação]])</f>
        <v>46103</v>
      </c>
      <c r="M1274" s="126">
        <f>base[[#This Row],[L/P Bruto]]-base[[#This Row],[L/P Líquido]]</f>
        <v>1.2340837696335107</v>
      </c>
      <c r="N1274" s="126">
        <f>base[[#This Row],[L/P Líquido]]/base[[#This Row],[Stake/Responsabilidade]]</f>
        <v>6.1622079480482816E-2</v>
      </c>
      <c r="O1274" s="132">
        <f>IF(base[[#This Row],[L/P Líquido]]&gt;0,1,0)</f>
        <v>1</v>
      </c>
      <c r="P1274" s="132" t="s">
        <v>1134</v>
      </c>
      <c r="Q1274" s="132" t="str">
        <f>LEFT(base[[#This Row],[Evento / Mercado]],FIND("vs",base[[#This Row],[Evento / Mercado]])-2)</f>
        <v>De Graafschap</v>
      </c>
      <c r="R12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ADO Den Haag</v>
      </c>
      <c r="S1274" s="132" t="e">
        <f>LEFT(base[[#This Row],[Evento / Mercado]],FIND("/",base[[#This Row],[Evento / Mercado]])-2)</f>
        <v>#VALUE!</v>
      </c>
    </row>
    <row r="1275" spans="2:19" ht="15" customHeight="1">
      <c r="B1275" s="128" t="s">
        <v>1132</v>
      </c>
      <c r="C1275" s="128" t="s">
        <v>2982</v>
      </c>
      <c r="D1275" s="129">
        <v>46103.432037037041</v>
      </c>
      <c r="E1275" s="130">
        <v>23.34</v>
      </c>
      <c r="F1275" s="131">
        <v>4.4999999999999998E-2</v>
      </c>
      <c r="G1275" s="126">
        <f t="shared" si="20"/>
        <v>24.439790575916231</v>
      </c>
      <c r="H1275" s="126" t="s">
        <v>145</v>
      </c>
      <c r="I1275" s="127" t="s">
        <v>301</v>
      </c>
      <c r="J1275" s="126">
        <v>14.5</v>
      </c>
      <c r="K1275" s="126">
        <v>329.94</v>
      </c>
      <c r="L1275" s="129">
        <f>INT(base[[#This Row],[Data de liquidação]])</f>
        <v>46103</v>
      </c>
      <c r="M1275" s="126">
        <f>base[[#This Row],[L/P Bruto]]-base[[#This Row],[L/P Líquido]]</f>
        <v>1.0997905759162308</v>
      </c>
      <c r="N1275" s="126">
        <f>base[[#This Row],[L/P Líquido]]/base[[#This Row],[Stake/Responsabilidade]]</f>
        <v>7.07401345699218E-2</v>
      </c>
      <c r="O1275" s="132">
        <f>IF(base[[#This Row],[L/P Líquido]]&gt;0,1,0)</f>
        <v>1</v>
      </c>
      <c r="P1275" s="132" t="s">
        <v>969</v>
      </c>
      <c r="Q1275" s="132" t="str">
        <f>LEFT(base[[#This Row],[Evento / Mercado]],FIND("vs",base[[#This Row],[Evento / Mercado]])-2)</f>
        <v>Como</v>
      </c>
      <c r="R12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Pisa</v>
      </c>
      <c r="S1275" s="132" t="e">
        <f>LEFT(base[[#This Row],[Evento / Mercado]],FIND("/",base[[#This Row],[Evento / Mercado]])-2)</f>
        <v>#VALUE!</v>
      </c>
    </row>
    <row r="1276" spans="2:19" ht="15" customHeight="1">
      <c r="B1276" s="128" t="s">
        <v>1131</v>
      </c>
      <c r="C1276" s="128" t="s">
        <v>2982</v>
      </c>
      <c r="D1276" s="129">
        <v>46103.475011574075</v>
      </c>
      <c r="E1276" s="130">
        <v>-95</v>
      </c>
      <c r="F1276" s="131">
        <v>4.4999999999999998E-2</v>
      </c>
      <c r="G1276" s="126">
        <f t="shared" si="20"/>
        <v>-95</v>
      </c>
      <c r="H1276" s="126" t="s">
        <v>231</v>
      </c>
      <c r="I1276" s="127" t="s">
        <v>232</v>
      </c>
      <c r="J1276" s="126">
        <v>1.73</v>
      </c>
      <c r="K1276" s="126">
        <v>95</v>
      </c>
      <c r="L1276" s="129">
        <f>INT(base[[#This Row],[Data de liquidação]])</f>
        <v>46103</v>
      </c>
      <c r="M1276" s="126">
        <f>base[[#This Row],[L/P Bruto]]-base[[#This Row],[L/P Líquido]]</f>
        <v>0</v>
      </c>
      <c r="N1276" s="126">
        <f>base[[#This Row],[L/P Líquido]]/base[[#This Row],[Stake/Responsabilidade]]</f>
        <v>-1</v>
      </c>
      <c r="O1276" s="132">
        <f>IF(base[[#This Row],[L/P Líquido]]&gt;0,1,0)</f>
        <v>0</v>
      </c>
      <c r="P1276" s="132"/>
      <c r="Q1276" s="132" t="str">
        <f>LEFT(base[[#This Row],[Evento / Mercado]],FIND("vs",base[[#This Row],[Evento / Mercado]])-2)</f>
        <v>1899 Hoffenheim II</v>
      </c>
      <c r="R12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Osnabrück</v>
      </c>
      <c r="S1276" s="132" t="e">
        <f>LEFT(base[[#This Row],[Evento / Mercado]],FIND("/",base[[#This Row],[Evento / Mercado]])-2)</f>
        <v>#VALUE!</v>
      </c>
    </row>
    <row r="1277" spans="2:19" ht="15" customHeight="1">
      <c r="B1277" s="128" t="s">
        <v>1130</v>
      </c>
      <c r="C1277" s="128" t="s">
        <v>2982</v>
      </c>
      <c r="D1277" s="129">
        <v>46103.500381944446</v>
      </c>
      <c r="E1277" s="130">
        <v>-299.93</v>
      </c>
      <c r="F1277" s="131">
        <v>4.4999999999999998E-2</v>
      </c>
      <c r="G1277" s="126">
        <f t="shared" si="20"/>
        <v>-299.93</v>
      </c>
      <c r="H1277" s="126" t="s">
        <v>122</v>
      </c>
      <c r="I1277" s="127" t="s">
        <v>477</v>
      </c>
      <c r="J1277" s="126">
        <v>16.5</v>
      </c>
      <c r="K1277" s="126">
        <v>299.93</v>
      </c>
      <c r="L1277" s="129">
        <f>INT(base[[#This Row],[Data de liquidação]])</f>
        <v>46103</v>
      </c>
      <c r="M1277" s="126">
        <f>base[[#This Row],[L/P Bruto]]-base[[#This Row],[L/P Líquido]]</f>
        <v>0</v>
      </c>
      <c r="N1277" s="126">
        <f>base[[#This Row],[L/P Líquido]]/base[[#This Row],[Stake/Responsabilidade]]</f>
        <v>-1</v>
      </c>
      <c r="O1277" s="132">
        <f>IF(base[[#This Row],[L/P Líquido]]&gt;0,1,0)</f>
        <v>0</v>
      </c>
      <c r="P1277" s="132" t="s">
        <v>964</v>
      </c>
      <c r="Q1277" s="132" t="str">
        <f>LEFT(base[[#This Row],[Evento / Mercado]],FIND("vs",base[[#This Row],[Evento / Mercado]])-2)</f>
        <v>FC Barcelona</v>
      </c>
      <c r="R12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Rayo Vallecano</v>
      </c>
      <c r="S1277" s="132" t="e">
        <f>LEFT(base[[#This Row],[Evento / Mercado]],FIND("/",base[[#This Row],[Evento / Mercado]])-2)</f>
        <v>#VALUE!</v>
      </c>
    </row>
    <row r="1278" spans="2:19" ht="15" customHeight="1">
      <c r="B1278" s="128" t="s">
        <v>1130</v>
      </c>
      <c r="C1278" s="128" t="s">
        <v>2982</v>
      </c>
      <c r="D1278" s="129">
        <v>46103.500578703701</v>
      </c>
      <c r="E1278" s="130">
        <v>25.12</v>
      </c>
      <c r="F1278" s="131">
        <v>4.4999999999999998E-2</v>
      </c>
      <c r="G1278" s="126">
        <f t="shared" si="20"/>
        <v>26.30366492146597</v>
      </c>
      <c r="H1278" s="126" t="s">
        <v>145</v>
      </c>
      <c r="I1278" s="127" t="s">
        <v>301</v>
      </c>
      <c r="J1278" s="126">
        <v>14.5</v>
      </c>
      <c r="K1278" s="126">
        <v>355.05</v>
      </c>
      <c r="L1278" s="129">
        <f>INT(base[[#This Row],[Data de liquidação]])</f>
        <v>46103</v>
      </c>
      <c r="M1278" s="126">
        <f>base[[#This Row],[L/P Bruto]]-base[[#This Row],[L/P Líquido]]</f>
        <v>1.1836649214659687</v>
      </c>
      <c r="N1278" s="126">
        <f>base[[#This Row],[L/P Líquido]]/base[[#This Row],[Stake/Responsabilidade]]</f>
        <v>7.0750598507252502E-2</v>
      </c>
      <c r="O1278" s="132">
        <f>IF(base[[#This Row],[L/P Líquido]]&gt;0,1,0)</f>
        <v>1</v>
      </c>
      <c r="P1278" s="132" t="s">
        <v>964</v>
      </c>
      <c r="Q1278" s="132" t="str">
        <f>LEFT(base[[#This Row],[Evento / Mercado]],FIND("vs",base[[#This Row],[Evento / Mercado]])-2)</f>
        <v>FC Barcelona</v>
      </c>
      <c r="R12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Rayo Vallecano</v>
      </c>
      <c r="S1278" s="132" t="e">
        <f>LEFT(base[[#This Row],[Evento / Mercado]],FIND("/",base[[#This Row],[Evento / Mercado]])-2)</f>
        <v>#VALUE!</v>
      </c>
    </row>
    <row r="1279" spans="2:19" ht="15" customHeight="1">
      <c r="B1279" s="128" t="s">
        <v>1129</v>
      </c>
      <c r="C1279" s="128" t="s">
        <v>2982</v>
      </c>
      <c r="D1279" s="129">
        <v>46103.536469907405</v>
      </c>
      <c r="E1279" s="130">
        <v>38.520000000000003</v>
      </c>
      <c r="F1279" s="131">
        <v>4.4999999999999998E-2</v>
      </c>
      <c r="G1279" s="126">
        <f t="shared" si="20"/>
        <v>40.335078534031418</v>
      </c>
      <c r="H1279" s="126" t="s">
        <v>145</v>
      </c>
      <c r="I1279" s="127" t="s">
        <v>301</v>
      </c>
      <c r="J1279" s="126">
        <v>9.8000000000000007</v>
      </c>
      <c r="K1279" s="126">
        <v>354.99</v>
      </c>
      <c r="L1279" s="129">
        <f>INT(base[[#This Row],[Data de liquidação]])</f>
        <v>46103</v>
      </c>
      <c r="M1279" s="126">
        <f>base[[#This Row],[L/P Bruto]]-base[[#This Row],[L/P Líquido]]</f>
        <v>1.8150785340314144</v>
      </c>
      <c r="N1279" s="126">
        <f>base[[#This Row],[L/P Líquido]]/base[[#This Row],[Stake/Responsabilidade]]</f>
        <v>0.10851009887602468</v>
      </c>
      <c r="O1279" s="132">
        <f>IF(base[[#This Row],[L/P Líquido]]&gt;0,1,0)</f>
        <v>1</v>
      </c>
      <c r="P1279" s="132" t="s">
        <v>969</v>
      </c>
      <c r="Q1279" s="132" t="str">
        <f>LEFT(base[[#This Row],[Evento / Mercado]],FIND("vs",base[[#This Row],[Evento / Mercado]])-2)</f>
        <v>Atalanta</v>
      </c>
      <c r="R12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1279" s="132" t="e">
        <f>LEFT(base[[#This Row],[Evento / Mercado]],FIND("/",base[[#This Row],[Evento / Mercado]])-2)</f>
        <v>#VALUE!</v>
      </c>
    </row>
    <row r="1280" spans="2:19" ht="15" customHeight="1">
      <c r="B1280" s="128" t="s">
        <v>1128</v>
      </c>
      <c r="C1280" s="128" t="s">
        <v>2982</v>
      </c>
      <c r="D1280" s="129">
        <v>46103.57953703704</v>
      </c>
      <c r="E1280" s="130">
        <v>66.23</v>
      </c>
      <c r="F1280" s="131">
        <v>4.4999999999999998E-2</v>
      </c>
      <c r="G1280" s="126">
        <f t="shared" si="20"/>
        <v>69.350785340314147</v>
      </c>
      <c r="H1280" s="126" t="s">
        <v>231</v>
      </c>
      <c r="I1280" s="127" t="s">
        <v>266</v>
      </c>
      <c r="J1280" s="126">
        <v>1.73</v>
      </c>
      <c r="K1280" s="126">
        <v>95</v>
      </c>
      <c r="L1280" s="129">
        <f>INT(base[[#This Row],[Data de liquidação]])</f>
        <v>46103</v>
      </c>
      <c r="M1280" s="126">
        <f>base[[#This Row],[L/P Bruto]]-base[[#This Row],[L/P Líquido]]</f>
        <v>3.1207853403141428</v>
      </c>
      <c r="N1280" s="126">
        <f>base[[#This Row],[L/P Líquido]]/base[[#This Row],[Stake/Responsabilidade]]</f>
        <v>0.6971578947368422</v>
      </c>
      <c r="O1280" s="132">
        <f>IF(base[[#This Row],[L/P Líquido]]&gt;0,1,0)</f>
        <v>1</v>
      </c>
      <c r="P1280" s="132"/>
      <c r="Q1280" s="132" t="str">
        <f>LEFT(base[[#This Row],[Evento / Mercado]],FIND("vs",base[[#This Row],[Evento / Mercado]])-2)</f>
        <v>MSV Duisburg</v>
      </c>
      <c r="R12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1860 München</v>
      </c>
      <c r="S1280" s="132" t="e">
        <f>LEFT(base[[#This Row],[Evento / Mercado]],FIND("/",base[[#This Row],[Evento / Mercado]])-2)</f>
        <v>#VALUE!</v>
      </c>
    </row>
    <row r="1281" spans="2:19" ht="15" customHeight="1">
      <c r="B1281" s="128" t="s">
        <v>1127</v>
      </c>
      <c r="C1281" s="128" t="s">
        <v>2982</v>
      </c>
      <c r="D1281" s="129">
        <v>46103.609212962961</v>
      </c>
      <c r="E1281" s="130">
        <v>18.920000000000002</v>
      </c>
      <c r="F1281" s="131">
        <v>4.4999999999999998E-2</v>
      </c>
      <c r="G1281" s="126">
        <f t="shared" si="20"/>
        <v>19.811518324607331</v>
      </c>
      <c r="H1281" s="126" t="s">
        <v>74</v>
      </c>
      <c r="I1281" s="127" t="s">
        <v>541</v>
      </c>
      <c r="J1281" s="126">
        <v>16</v>
      </c>
      <c r="K1281" s="126">
        <v>297.18</v>
      </c>
      <c r="L1281" s="129">
        <f>INT(base[[#This Row],[Data de liquidação]])</f>
        <v>46103</v>
      </c>
      <c r="M1281" s="126">
        <f>base[[#This Row],[L/P Bruto]]-base[[#This Row],[L/P Líquido]]</f>
        <v>0.89151832460732905</v>
      </c>
      <c r="N1281" s="126">
        <f>base[[#This Row],[L/P Líquido]]/base[[#This Row],[Stake/Responsabilidade]]</f>
        <v>6.366511878322903E-2</v>
      </c>
      <c r="O1281" s="132">
        <f>IF(base[[#This Row],[L/P Líquido]]&gt;0,1,0)</f>
        <v>1</v>
      </c>
      <c r="P1281" s="132" t="s">
        <v>1134</v>
      </c>
      <c r="Q1281" s="132" t="str">
        <f>LEFT(base[[#This Row],[Evento / Mercado]],FIND("vs",base[[#This Row],[Evento / Mercado]])-2)</f>
        <v>MVV Maastricht</v>
      </c>
      <c r="R12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Willem II</v>
      </c>
      <c r="S1281" s="132" t="e">
        <f>LEFT(base[[#This Row],[Evento / Mercado]],FIND("/",base[[#This Row],[Evento / Mercado]])-2)</f>
        <v>#VALUE!</v>
      </c>
    </row>
    <row r="1282" spans="2:19" ht="15" customHeight="1">
      <c r="B1282" s="128" t="s">
        <v>1126</v>
      </c>
      <c r="C1282" s="128" t="s">
        <v>2982</v>
      </c>
      <c r="D1282" s="129">
        <v>46103.630497685182</v>
      </c>
      <c r="E1282" s="130">
        <v>36.29</v>
      </c>
      <c r="F1282" s="131">
        <v>4.4999999999999998E-2</v>
      </c>
      <c r="G1282" s="126">
        <f t="shared" si="20"/>
        <v>38</v>
      </c>
      <c r="H1282" s="126" t="s">
        <v>145</v>
      </c>
      <c r="I1282" s="127" t="s">
        <v>301</v>
      </c>
      <c r="J1282" s="126">
        <v>11</v>
      </c>
      <c r="K1282" s="126">
        <v>380</v>
      </c>
      <c r="L1282" s="129">
        <f>INT(base[[#This Row],[Data de liquidação]])</f>
        <v>46103</v>
      </c>
      <c r="M1282" s="126">
        <f>base[[#This Row],[L/P Bruto]]-base[[#This Row],[L/P Líquido]]</f>
        <v>1.7100000000000009</v>
      </c>
      <c r="N1282" s="126">
        <f>base[[#This Row],[L/P Líquido]]/base[[#This Row],[Stake/Responsabilidade]]</f>
        <v>9.5500000000000002E-2</v>
      </c>
      <c r="O1282" s="132">
        <f>IF(base[[#This Row],[L/P Líquido]]&gt;0,1,0)</f>
        <v>1</v>
      </c>
      <c r="P1282" s="132" t="s">
        <v>970</v>
      </c>
      <c r="Q1282" s="132" t="str">
        <f>LEFT(base[[#This Row],[Evento / Mercado]],FIND("vs",base[[#This Row],[Evento / Mercado]])-2)</f>
        <v>Stade Rennais</v>
      </c>
      <c r="R12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Metz</v>
      </c>
      <c r="S1282" s="132" t="e">
        <f>LEFT(base[[#This Row],[Evento / Mercado]],FIND("/",base[[#This Row],[Evento / Mercado]])-2)</f>
        <v>#VALUE!</v>
      </c>
    </row>
    <row r="1283" spans="2:19" ht="15" customHeight="1">
      <c r="B1283" s="128" t="s">
        <v>1125</v>
      </c>
      <c r="C1283" s="128" t="s">
        <v>2982</v>
      </c>
      <c r="D1283" s="129">
        <v>46103.639282407406</v>
      </c>
      <c r="E1283" s="130">
        <v>19.100000000000001</v>
      </c>
      <c r="F1283" s="131">
        <v>4.4999999999999998E-2</v>
      </c>
      <c r="G1283" s="126">
        <f t="shared" ref="G1283:G1346" si="21">IF(E1283&gt;0,E1283/(1-F1283),E1283)</f>
        <v>20.000000000000004</v>
      </c>
      <c r="H1283" s="126" t="s">
        <v>74</v>
      </c>
      <c r="I1283" s="127" t="s">
        <v>476</v>
      </c>
      <c r="J1283" s="126">
        <v>16</v>
      </c>
      <c r="K1283" s="126">
        <v>300</v>
      </c>
      <c r="L1283" s="129">
        <f>INT(base[[#This Row],[Data de liquidação]])</f>
        <v>46103</v>
      </c>
      <c r="M1283" s="126">
        <f>base[[#This Row],[L/P Bruto]]-base[[#This Row],[L/P Líquido]]</f>
        <v>0.90000000000000213</v>
      </c>
      <c r="N1283" s="126">
        <f>base[[#This Row],[L/P Líquido]]/base[[#This Row],[Stake/Responsabilidade]]</f>
        <v>6.3666666666666677E-2</v>
      </c>
      <c r="O1283" s="132">
        <f>IF(base[[#This Row],[L/P Líquido]]&gt;0,1,0)</f>
        <v>1</v>
      </c>
      <c r="P1283" s="132" t="s">
        <v>970</v>
      </c>
      <c r="Q1283" s="132" t="str">
        <f>LEFT(base[[#This Row],[Evento / Mercado]],FIND("vs",base[[#This Row],[Evento / Mercado]])-2)</f>
        <v>Olympique Marseille</v>
      </c>
      <c r="R12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Lille OSC</v>
      </c>
      <c r="S1283" s="132" t="e">
        <f>LEFT(base[[#This Row],[Evento / Mercado]],FIND("/",base[[#This Row],[Evento / Mercado]])-2)</f>
        <v>#VALUE!</v>
      </c>
    </row>
    <row r="1284" spans="2:19" ht="15" customHeight="1">
      <c r="B1284" s="128" t="s">
        <v>1124</v>
      </c>
      <c r="C1284" s="128" t="s">
        <v>2982</v>
      </c>
      <c r="D1284" s="129">
        <v>46103.670949074076</v>
      </c>
      <c r="E1284" s="130">
        <v>18.920000000000002</v>
      </c>
      <c r="F1284" s="131">
        <v>4.4999999999999998E-2</v>
      </c>
      <c r="G1284" s="126">
        <f t="shared" si="21"/>
        <v>19.811518324607331</v>
      </c>
      <c r="H1284" s="126" t="s">
        <v>74</v>
      </c>
      <c r="I1284" s="127" t="s">
        <v>476</v>
      </c>
      <c r="J1284" s="126">
        <v>16</v>
      </c>
      <c r="K1284" s="126">
        <v>297.16000000000003</v>
      </c>
      <c r="L1284" s="129">
        <f>INT(base[[#This Row],[Data de liquidação]])</f>
        <v>46103</v>
      </c>
      <c r="M1284" s="126">
        <f>base[[#This Row],[L/P Bruto]]-base[[#This Row],[L/P Líquido]]</f>
        <v>0.89151832460732905</v>
      </c>
      <c r="N1284" s="126">
        <f>base[[#This Row],[L/P Líquido]]/base[[#This Row],[Stake/Responsabilidade]]</f>
        <v>6.3669403688248749E-2</v>
      </c>
      <c r="O1284" s="132">
        <f>IF(base[[#This Row],[L/P Líquido]]&gt;0,1,0)</f>
        <v>1</v>
      </c>
      <c r="P1284" s="132" t="s">
        <v>1135</v>
      </c>
      <c r="Q1284" s="132" t="str">
        <f>LEFT(base[[#This Row],[Evento / Mercado]],FIND("vs",base[[#This Row],[Evento / Mercado]])-2)</f>
        <v>New York City FC</v>
      </c>
      <c r="R12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 Miami CF</v>
      </c>
      <c r="S1284" s="132" t="e">
        <f>LEFT(base[[#This Row],[Evento / Mercado]],FIND("/",base[[#This Row],[Evento / Mercado]])-2)</f>
        <v>#VALUE!</v>
      </c>
    </row>
    <row r="1285" spans="2:19" ht="15" customHeight="1">
      <c r="B1285" s="128" t="s">
        <v>1123</v>
      </c>
      <c r="C1285" s="128" t="s">
        <v>2982</v>
      </c>
      <c r="D1285" s="129">
        <v>46103.68582175926</v>
      </c>
      <c r="E1285" s="130">
        <v>2.44</v>
      </c>
      <c r="F1285" s="131">
        <v>4.4999999999999998E-2</v>
      </c>
      <c r="G1285" s="126">
        <f t="shared" si="21"/>
        <v>2.5549738219895288</v>
      </c>
      <c r="H1285" s="126" t="s">
        <v>74</v>
      </c>
      <c r="I1285" s="127" t="s">
        <v>1057</v>
      </c>
      <c r="J1285" s="126">
        <v>17</v>
      </c>
      <c r="K1285" s="126">
        <v>40.96</v>
      </c>
      <c r="L1285" s="129">
        <f>INT(base[[#This Row],[Data de liquidação]])</f>
        <v>46103</v>
      </c>
      <c r="M1285" s="126">
        <f>base[[#This Row],[L/P Bruto]]-base[[#This Row],[L/P Líquido]]</f>
        <v>0.11497382198952888</v>
      </c>
      <c r="N1285" s="126">
        <f>base[[#This Row],[L/P Líquido]]/base[[#This Row],[Stake/Responsabilidade]]</f>
        <v>5.95703125E-2</v>
      </c>
      <c r="O1285" s="132">
        <f>IF(base[[#This Row],[L/P Líquido]]&gt;0,1,0)</f>
        <v>1</v>
      </c>
      <c r="P1285" s="132" t="s">
        <v>964</v>
      </c>
      <c r="Q1285" s="132" t="str">
        <f>LEFT(base[[#This Row],[Evento / Mercado]],FIND("vs",base[[#This Row],[Evento / Mercado]])-2)</f>
        <v>Athletic Bilbao</v>
      </c>
      <c r="R12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1285" s="132" t="e">
        <f>LEFT(base[[#This Row],[Evento / Mercado]],FIND("/",base[[#This Row],[Evento / Mercado]])-2)</f>
        <v>#VALUE!</v>
      </c>
    </row>
    <row r="1286" spans="2:19" ht="15" customHeight="1">
      <c r="B1286" s="128" t="s">
        <v>1122</v>
      </c>
      <c r="C1286" s="128" t="s">
        <v>2982</v>
      </c>
      <c r="D1286" s="129">
        <v>46103.69462962963</v>
      </c>
      <c r="E1286" s="130">
        <v>72.58</v>
      </c>
      <c r="F1286" s="131">
        <v>4.4999999999999998E-2</v>
      </c>
      <c r="G1286" s="126">
        <f t="shared" si="21"/>
        <v>76</v>
      </c>
      <c r="H1286" s="126" t="s">
        <v>231</v>
      </c>
      <c r="I1286" s="127" t="s">
        <v>266</v>
      </c>
      <c r="J1286" s="126">
        <v>1.8</v>
      </c>
      <c r="K1286" s="126">
        <v>95</v>
      </c>
      <c r="L1286" s="129">
        <f>INT(base[[#This Row],[Data de liquidação]])</f>
        <v>46103</v>
      </c>
      <c r="M1286" s="126">
        <f>base[[#This Row],[L/P Bruto]]-base[[#This Row],[L/P Líquido]]</f>
        <v>3.4200000000000017</v>
      </c>
      <c r="N1286" s="126">
        <f>base[[#This Row],[L/P Líquido]]/base[[#This Row],[Stake/Responsabilidade]]</f>
        <v>0.76400000000000001</v>
      </c>
      <c r="O1286" s="132">
        <f>IF(base[[#This Row],[L/P Líquido]]&gt;0,1,0)</f>
        <v>1</v>
      </c>
      <c r="P1286" s="132"/>
      <c r="Q1286" s="132" t="str">
        <f>LEFT(base[[#This Row],[Evento / Mercado]],FIND("vs",base[[#This Row],[Evento / Mercado]])-2)</f>
        <v>Vasco da Gama</v>
      </c>
      <c r="R12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286" s="132" t="e">
        <f>LEFT(base[[#This Row],[Evento / Mercado]],FIND("/",base[[#This Row],[Evento / Mercado]])-2)</f>
        <v>#VALUE!</v>
      </c>
    </row>
    <row r="1287" spans="2:19" ht="15" customHeight="1">
      <c r="B1287" s="128" t="s">
        <v>1121</v>
      </c>
      <c r="C1287" s="128" t="s">
        <v>2982</v>
      </c>
      <c r="D1287" s="129">
        <v>46103.751238425924</v>
      </c>
      <c r="E1287" s="130">
        <v>22.39</v>
      </c>
      <c r="F1287" s="131">
        <v>4.4999999999999998E-2</v>
      </c>
      <c r="G1287" s="126">
        <f t="shared" si="21"/>
        <v>23.445026178010473</v>
      </c>
      <c r="H1287" s="126" t="s">
        <v>74</v>
      </c>
      <c r="I1287" s="127" t="s">
        <v>476</v>
      </c>
      <c r="J1287" s="126">
        <v>15.5</v>
      </c>
      <c r="K1287" s="126">
        <v>340.03</v>
      </c>
      <c r="L1287" s="129">
        <f>INT(base[[#This Row],[Data de liquidação]])</f>
        <v>46103</v>
      </c>
      <c r="M1287" s="126">
        <f>base[[#This Row],[L/P Bruto]]-base[[#This Row],[L/P Líquido]]</f>
        <v>1.0550261780104719</v>
      </c>
      <c r="N1287" s="126">
        <f>base[[#This Row],[L/P Líquido]]/base[[#This Row],[Stake/Responsabilidade]]</f>
        <v>6.5847131135488055E-2</v>
      </c>
      <c r="O1287" s="132">
        <f>IF(base[[#This Row],[L/P Líquido]]&gt;0,1,0)</f>
        <v>1</v>
      </c>
      <c r="P1287" s="132" t="s">
        <v>1058</v>
      </c>
      <c r="Q1287" s="132" t="str">
        <f>LEFT(base[[#This Row],[Evento / Mercado]],FIND("vs",base[[#This Row],[Evento / Mercado]])-2)</f>
        <v>Cruzeiro</v>
      </c>
      <c r="R12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287" s="132" t="e">
        <f>LEFT(base[[#This Row],[Evento / Mercado]],FIND("/",base[[#This Row],[Evento / Mercado]])-2)</f>
        <v>#VALUE!</v>
      </c>
    </row>
    <row r="1288" spans="2:19" ht="15" customHeight="1">
      <c r="B1288" s="128" t="s">
        <v>1140</v>
      </c>
      <c r="C1288" s="128" t="s">
        <v>2982</v>
      </c>
      <c r="D1288" s="129">
        <v>46109.78702546296</v>
      </c>
      <c r="E1288" s="130">
        <v>19.100000000000001</v>
      </c>
      <c r="F1288" s="131">
        <v>4.4999999999999998E-2</v>
      </c>
      <c r="G1288" s="126">
        <f t="shared" si="21"/>
        <v>20.000000000000004</v>
      </c>
      <c r="H1288" s="126" t="s">
        <v>74</v>
      </c>
      <c r="I1288" s="127" t="s">
        <v>476</v>
      </c>
      <c r="J1288" s="126">
        <v>20</v>
      </c>
      <c r="K1288" s="126">
        <v>380</v>
      </c>
      <c r="L1288" s="129">
        <f>INT(base[[#This Row],[Data de liquidação]])</f>
        <v>46109</v>
      </c>
      <c r="M1288" s="126">
        <f>base[[#This Row],[L/P Bruto]]-base[[#This Row],[L/P Líquido]]</f>
        <v>0.90000000000000213</v>
      </c>
      <c r="N1288" s="126">
        <f>base[[#This Row],[L/P Líquido]]/base[[#This Row],[Stake/Responsabilidade]]</f>
        <v>5.0263157894736843E-2</v>
      </c>
      <c r="O1288" s="132">
        <f>IF(base[[#This Row],[L/P Líquido]]&gt;0,1,0)</f>
        <v>1</v>
      </c>
      <c r="P1288" s="132" t="s">
        <v>960</v>
      </c>
      <c r="Q1288" s="132" t="str">
        <f>LEFT(base[[#This Row],[Evento / Mercado]],FIND("vs",base[[#This Row],[Evento / Mercado]])-2)</f>
        <v>FC Eindhoven</v>
      </c>
      <c r="R12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Emmen</v>
      </c>
      <c r="S1288" s="132" t="e">
        <f>LEFT(base[[#This Row],[Evento / Mercado]],FIND("/",base[[#This Row],[Evento / Mercado]])-2)</f>
        <v>#VALUE!</v>
      </c>
    </row>
    <row r="1289" spans="2:19" ht="15" customHeight="1">
      <c r="B1289" s="128" t="s">
        <v>1139</v>
      </c>
      <c r="C1289" s="128" t="s">
        <v>2982</v>
      </c>
      <c r="D1289" s="129">
        <v>46112.704155092593</v>
      </c>
      <c r="E1289" s="130">
        <v>-95</v>
      </c>
      <c r="F1289" s="131">
        <v>4.4999999999999998E-2</v>
      </c>
      <c r="G1289" s="126">
        <f t="shared" si="21"/>
        <v>-95</v>
      </c>
      <c r="H1289" s="126" t="s">
        <v>231</v>
      </c>
      <c r="I1289" s="127" t="s">
        <v>232</v>
      </c>
      <c r="J1289" s="126">
        <v>1.96</v>
      </c>
      <c r="K1289" s="126">
        <v>95</v>
      </c>
      <c r="L1289" s="129">
        <f>INT(base[[#This Row],[Data de liquidação]])</f>
        <v>46112</v>
      </c>
      <c r="M1289" s="126">
        <f>base[[#This Row],[L/P Bruto]]-base[[#This Row],[L/P Líquido]]</f>
        <v>0</v>
      </c>
      <c r="N1289" s="126">
        <f>base[[#This Row],[L/P Líquido]]/base[[#This Row],[Stake/Responsabilidade]]</f>
        <v>-1</v>
      </c>
      <c r="O1289" s="132">
        <f>IF(base[[#This Row],[L/P Líquido]]&gt;0,1,0)</f>
        <v>0</v>
      </c>
      <c r="P1289" s="132"/>
      <c r="Q1289" s="132" t="str">
        <f>LEFT(base[[#This Row],[Evento / Mercado]],FIND("vs",base[[#This Row],[Evento / Mercado]])-2)</f>
        <v>Deportivo La Coruña</v>
      </c>
      <c r="R12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Córdoba CF</v>
      </c>
      <c r="S1289" s="132" t="e">
        <f>LEFT(base[[#This Row],[Evento / Mercado]],FIND("/",base[[#This Row],[Evento / Mercado]])-2)</f>
        <v>#VALUE!</v>
      </c>
    </row>
    <row r="1290" spans="2:19" ht="15" customHeight="1">
      <c r="B1290" s="128" t="s">
        <v>1138</v>
      </c>
      <c r="C1290" s="128" t="s">
        <v>2982</v>
      </c>
      <c r="D1290" s="129">
        <v>46113.842974537038</v>
      </c>
      <c r="E1290" s="130">
        <v>114.31</v>
      </c>
      <c r="F1290" s="131">
        <v>4.4999999999999998E-2</v>
      </c>
      <c r="G1290" s="126">
        <f t="shared" si="21"/>
        <v>119.69633507853403</v>
      </c>
      <c r="H1290" s="126" t="s">
        <v>231</v>
      </c>
      <c r="I1290" s="127" t="s">
        <v>232</v>
      </c>
      <c r="J1290" s="126">
        <v>2.14</v>
      </c>
      <c r="K1290" s="126">
        <v>105</v>
      </c>
      <c r="L1290" s="129">
        <f>INT(base[[#This Row],[Data de liquidação]])</f>
        <v>46113</v>
      </c>
      <c r="M1290" s="126">
        <f>base[[#This Row],[L/P Bruto]]-base[[#This Row],[L/P Líquido]]</f>
        <v>5.3863350785340316</v>
      </c>
      <c r="N1290" s="126">
        <f>base[[#This Row],[L/P Líquido]]/base[[#This Row],[Stake/Responsabilidade]]</f>
        <v>1.0886666666666667</v>
      </c>
      <c r="O1290" s="132">
        <f>IF(base[[#This Row],[L/P Líquido]]&gt;0,1,0)</f>
        <v>1</v>
      </c>
      <c r="P1290" s="132"/>
      <c r="Q1290" s="132" t="str">
        <f>LEFT(base[[#This Row],[Evento / Mercado]],FIND("vs",base[[#This Row],[Evento / Mercado]])-2)</f>
        <v>Botafogo FR</v>
      </c>
      <c r="R12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1290" s="132" t="e">
        <f>LEFT(base[[#This Row],[Evento / Mercado]],FIND("/",base[[#This Row],[Evento / Mercado]])-2)</f>
        <v>#VALUE!</v>
      </c>
    </row>
    <row r="1291" spans="2:19" ht="15" customHeight="1">
      <c r="B1291" s="128" t="s">
        <v>1137</v>
      </c>
      <c r="C1291" s="128" t="s">
        <v>2982</v>
      </c>
      <c r="D1291" s="129">
        <v>46113.894560185188</v>
      </c>
      <c r="E1291" s="130">
        <v>1.96</v>
      </c>
      <c r="F1291" s="131">
        <v>4.4999999999999998E-2</v>
      </c>
      <c r="G1291" s="126">
        <f t="shared" si="21"/>
        <v>2.0523560209424083</v>
      </c>
      <c r="H1291" s="126" t="s">
        <v>74</v>
      </c>
      <c r="I1291" s="127" t="s">
        <v>1057</v>
      </c>
      <c r="J1291" s="126">
        <v>22</v>
      </c>
      <c r="K1291" s="126">
        <v>43.05</v>
      </c>
      <c r="L1291" s="129">
        <f>INT(base[[#This Row],[Data de liquidação]])</f>
        <v>46113</v>
      </c>
      <c r="M1291" s="126">
        <f>base[[#This Row],[L/P Bruto]]-base[[#This Row],[L/P Líquido]]</f>
        <v>9.2356020942408357E-2</v>
      </c>
      <c r="N1291" s="126">
        <f>base[[#This Row],[L/P Líquido]]/base[[#This Row],[Stake/Responsabilidade]]</f>
        <v>4.5528455284552849E-2</v>
      </c>
      <c r="O1291" s="132">
        <f>IF(base[[#This Row],[L/P Líquido]]&gt;0,1,0)</f>
        <v>1</v>
      </c>
      <c r="P1291" s="132" t="s">
        <v>1058</v>
      </c>
      <c r="Q1291" s="132" t="str">
        <f>LEFT(base[[#This Row],[Evento / Mercado]],FIND("vs",base[[#This Row],[Evento / Mercado]])-2)</f>
        <v>SC Internacional</v>
      </c>
      <c r="R12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1291" s="132" t="e">
        <f>LEFT(base[[#This Row],[Evento / Mercado]],FIND("/",base[[#This Row],[Evento / Mercado]])-2)</f>
        <v>#VALUE!</v>
      </c>
    </row>
    <row r="1292" spans="2:19" ht="15" customHeight="1">
      <c r="B1292" s="128" t="s">
        <v>1136</v>
      </c>
      <c r="C1292" s="128" t="s">
        <v>2982</v>
      </c>
      <c r="D1292" s="129">
        <v>46113.918356481481</v>
      </c>
      <c r="E1292" s="130">
        <v>2.74</v>
      </c>
      <c r="F1292" s="131">
        <v>4.4999999999999998E-2</v>
      </c>
      <c r="G1292" s="126">
        <f t="shared" si="21"/>
        <v>2.8691099476439792</v>
      </c>
      <c r="H1292" s="126" t="s">
        <v>74</v>
      </c>
      <c r="I1292" s="127" t="s">
        <v>1057</v>
      </c>
      <c r="J1292" s="126">
        <v>16</v>
      </c>
      <c r="K1292" s="126">
        <v>43.05</v>
      </c>
      <c r="L1292" s="129">
        <f>INT(base[[#This Row],[Data de liquidação]])</f>
        <v>46113</v>
      </c>
      <c r="M1292" s="126">
        <f>base[[#This Row],[L/P Bruto]]-base[[#This Row],[L/P Líquido]]</f>
        <v>0.12910994764397898</v>
      </c>
      <c r="N1292" s="126">
        <f>base[[#This Row],[L/P Líquido]]/base[[#This Row],[Stake/Responsabilidade]]</f>
        <v>6.3646922183507565E-2</v>
      </c>
      <c r="O1292" s="132">
        <f>IF(base[[#This Row],[L/P Líquido]]&gt;0,1,0)</f>
        <v>1</v>
      </c>
      <c r="P1292" s="132" t="s">
        <v>1058</v>
      </c>
      <c r="Q1292" s="132" t="str">
        <f>LEFT(base[[#This Row],[Evento / Mercado]],FIND("vs",base[[#This Row],[Evento / Mercado]])-2)</f>
        <v>Esporte Clube Bahia</v>
      </c>
      <c r="R12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1292" s="132" t="e">
        <f>LEFT(base[[#This Row],[Evento / Mercado]],FIND("/",base[[#This Row],[Evento / Mercado]])-2)</f>
        <v>#VALUE!</v>
      </c>
    </row>
    <row r="1293" spans="2:19" ht="15" customHeight="1">
      <c r="B1293" s="128" t="s">
        <v>1136</v>
      </c>
      <c r="C1293" s="128" t="s">
        <v>2982</v>
      </c>
      <c r="D1293" s="129">
        <v>46113.919224537036</v>
      </c>
      <c r="E1293" s="130">
        <v>-105</v>
      </c>
      <c r="F1293" s="131">
        <v>4.4999999999999998E-2</v>
      </c>
      <c r="G1293" s="126">
        <f t="shared" si="21"/>
        <v>-105</v>
      </c>
      <c r="H1293" s="126" t="s">
        <v>231</v>
      </c>
      <c r="I1293" s="127" t="s">
        <v>266</v>
      </c>
      <c r="J1293" s="126">
        <v>2</v>
      </c>
      <c r="K1293" s="126">
        <v>105</v>
      </c>
      <c r="L1293" s="129">
        <f>INT(base[[#This Row],[Data de liquidação]])</f>
        <v>46113</v>
      </c>
      <c r="M1293" s="126">
        <f>base[[#This Row],[L/P Bruto]]-base[[#This Row],[L/P Líquido]]</f>
        <v>0</v>
      </c>
      <c r="N1293" s="126">
        <f>base[[#This Row],[L/P Líquido]]/base[[#This Row],[Stake/Responsabilidade]]</f>
        <v>-1</v>
      </c>
      <c r="O1293" s="132">
        <f>IF(base[[#This Row],[L/P Líquido]]&gt;0,1,0)</f>
        <v>0</v>
      </c>
      <c r="P1293" s="132"/>
      <c r="Q1293" s="132" t="str">
        <f>LEFT(base[[#This Row],[Evento / Mercado]],FIND("vs",base[[#This Row],[Evento / Mercado]])-2)</f>
        <v>Esporte Clube Bahia</v>
      </c>
      <c r="R12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1293" s="132" t="e">
        <f>LEFT(base[[#This Row],[Evento / Mercado]],FIND("/",base[[#This Row],[Evento / Mercado]])-2)</f>
        <v>#VALUE!</v>
      </c>
    </row>
    <row r="1294" spans="2:19" ht="15" customHeight="1">
      <c r="B1294" s="128" t="s">
        <v>1171</v>
      </c>
      <c r="C1294" s="128" t="s">
        <v>2982</v>
      </c>
      <c r="D1294" s="129">
        <v>46114.765879629631</v>
      </c>
      <c r="E1294" s="130">
        <v>89.12</v>
      </c>
      <c r="F1294" s="131">
        <v>4.4999999999999998E-2</v>
      </c>
      <c r="G1294" s="126">
        <f t="shared" si="21"/>
        <v>93.319371727748702</v>
      </c>
      <c r="H1294" s="126" t="s">
        <v>231</v>
      </c>
      <c r="I1294" s="127" t="s">
        <v>266</v>
      </c>
      <c r="J1294" s="126">
        <v>1.89</v>
      </c>
      <c r="K1294" s="126">
        <v>104.85</v>
      </c>
      <c r="L1294" s="129">
        <f>INT(base[[#This Row],[Data de liquidação]])</f>
        <v>46114</v>
      </c>
      <c r="M1294" s="126">
        <f>base[[#This Row],[L/P Bruto]]-base[[#This Row],[L/P Líquido]]</f>
        <v>4.1993717277486979</v>
      </c>
      <c r="N1294" s="126">
        <f>base[[#This Row],[L/P Líquido]]/base[[#This Row],[Stake/Responsabilidade]]</f>
        <v>0.84997615641392477</v>
      </c>
      <c r="O1294" s="132">
        <f>IF(base[[#This Row],[L/P Líquido]]&gt;0,1,0)</f>
        <v>1</v>
      </c>
      <c r="P1294" s="132"/>
      <c r="Q1294" s="132" t="str">
        <f>LEFT(base[[#This Row],[Evento / Mercado]],FIND("vs",base[[#This Row],[Evento / Mercado]])-2)</f>
        <v>Universidad Católica</v>
      </c>
      <c r="R12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Palestino</v>
      </c>
      <c r="S1294" s="132" t="str">
        <f>LEFT(base[[#This Row],[Evento / Mercado]],FIND("/",base[[#This Row],[Evento / Mercado]])-2)</f>
        <v>Universidad Católica vs Palestino</v>
      </c>
    </row>
    <row r="1295" spans="2:19" ht="15" customHeight="1">
      <c r="B1295" s="128" t="s">
        <v>1170</v>
      </c>
      <c r="C1295" s="128" t="s">
        <v>2982</v>
      </c>
      <c r="D1295" s="129">
        <v>46114.959120370368</v>
      </c>
      <c r="E1295" s="130">
        <v>74.2</v>
      </c>
      <c r="F1295" s="131">
        <v>4.4999999999999998E-2</v>
      </c>
      <c r="G1295" s="126">
        <f t="shared" si="21"/>
        <v>77.696335078534034</v>
      </c>
      <c r="H1295" s="126" t="s">
        <v>231</v>
      </c>
      <c r="I1295" s="127" t="s">
        <v>232</v>
      </c>
      <c r="J1295" s="126">
        <v>1.74</v>
      </c>
      <c r="K1295" s="126">
        <v>105</v>
      </c>
      <c r="L1295" s="129">
        <f>INT(base[[#This Row],[Data de liquidação]])</f>
        <v>46114</v>
      </c>
      <c r="M1295" s="126">
        <f>base[[#This Row],[L/P Bruto]]-base[[#This Row],[L/P Líquido]]</f>
        <v>3.496335078534031</v>
      </c>
      <c r="N1295" s="126">
        <f>base[[#This Row],[L/P Líquido]]/base[[#This Row],[Stake/Responsabilidade]]</f>
        <v>0.70666666666666667</v>
      </c>
      <c r="O1295" s="132">
        <f>IF(base[[#This Row],[L/P Líquido]]&gt;0,1,0)</f>
        <v>1</v>
      </c>
      <c r="P1295" s="132"/>
      <c r="Q1295" s="132" t="str">
        <f>LEFT(base[[#This Row],[Evento / Mercado]],FIND("vs",base[[#This Row],[Evento / Mercado]])-2)</f>
        <v>Palmeiras</v>
      </c>
      <c r="R12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295" s="132" t="str">
        <f>LEFT(base[[#This Row],[Evento / Mercado]],FIND("/",base[[#This Row],[Evento / Mercado]])-2)</f>
        <v>Palmeiras vs Grêmio FBPA</v>
      </c>
    </row>
    <row r="1296" spans="2:19" ht="15" customHeight="1">
      <c r="B1296" s="128" t="s">
        <v>1169</v>
      </c>
      <c r="C1296" s="128" t="s">
        <v>2982</v>
      </c>
      <c r="D1296" s="129">
        <v>46114.974791666667</v>
      </c>
      <c r="E1296" s="130">
        <v>31.83</v>
      </c>
      <c r="F1296" s="131">
        <v>4.4999999999999998E-2</v>
      </c>
      <c r="G1296" s="126">
        <f t="shared" si="21"/>
        <v>33.329842931937172</v>
      </c>
      <c r="H1296" s="126" t="s">
        <v>74</v>
      </c>
      <c r="I1296" s="127" t="s">
        <v>542</v>
      </c>
      <c r="J1296" s="126">
        <v>13</v>
      </c>
      <c r="K1296" s="126">
        <v>399.96</v>
      </c>
      <c r="L1296" s="129">
        <f>INT(base[[#This Row],[Data de liquidação]])</f>
        <v>46114</v>
      </c>
      <c r="M1296" s="126">
        <f>base[[#This Row],[L/P Bruto]]-base[[#This Row],[L/P Líquido]]</f>
        <v>1.4998429319371738</v>
      </c>
      <c r="N1296" s="126">
        <f>base[[#This Row],[L/P Líquido]]/base[[#This Row],[Stake/Responsabilidade]]</f>
        <v>7.9582958295829578E-2</v>
      </c>
      <c r="O1296" s="132">
        <f>IF(base[[#This Row],[L/P Líquido]]&gt;0,1,0)</f>
        <v>1</v>
      </c>
      <c r="P1296" s="132" t="s">
        <v>1058</v>
      </c>
      <c r="Q1296" s="132" t="str">
        <f>LEFT(base[[#This Row],[Evento / Mercado]],FIND("vs",base[[#This Row],[Evento / Mercado]])-2)</f>
        <v>Red Bull Bragantino</v>
      </c>
      <c r="R12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Flamengo</v>
      </c>
      <c r="S1296" s="132" t="str">
        <f>LEFT(base[[#This Row],[Evento / Mercado]],FIND("/",base[[#This Row],[Evento / Mercado]])-2)</f>
        <v>Red Bull Bragantino vs Flamengo</v>
      </c>
    </row>
    <row r="1297" spans="2:19" ht="15" customHeight="1">
      <c r="B1297" s="128" t="s">
        <v>1168</v>
      </c>
      <c r="C1297" s="128" t="s">
        <v>2982</v>
      </c>
      <c r="D1297" s="129">
        <v>46114.974803240744</v>
      </c>
      <c r="E1297" s="130">
        <v>55.71</v>
      </c>
      <c r="F1297" s="131">
        <v>4.4999999999999998E-2</v>
      </c>
      <c r="G1297" s="126">
        <f t="shared" si="21"/>
        <v>58.335078534031418</v>
      </c>
      <c r="H1297" s="126" t="s">
        <v>145</v>
      </c>
      <c r="I1297" s="127" t="s">
        <v>301</v>
      </c>
      <c r="J1297" s="126">
        <v>7</v>
      </c>
      <c r="K1297" s="126">
        <v>349.98</v>
      </c>
      <c r="L1297" s="129">
        <f>INT(base[[#This Row],[Data de liquidação]])</f>
        <v>46114</v>
      </c>
      <c r="M1297" s="126">
        <f>base[[#This Row],[L/P Bruto]]-base[[#This Row],[L/P Líquido]]</f>
        <v>2.6250785340314167</v>
      </c>
      <c r="N1297" s="126">
        <f>base[[#This Row],[L/P Líquido]]/base[[#This Row],[Stake/Responsabilidade]]</f>
        <v>0.15918052460140578</v>
      </c>
      <c r="O1297" s="132">
        <f>IF(base[[#This Row],[L/P Líquido]]&gt;0,1,0)</f>
        <v>1</v>
      </c>
      <c r="P1297" s="132" t="s">
        <v>1058</v>
      </c>
      <c r="Q1297" s="132" t="str">
        <f>LEFT(base[[#This Row],[Evento / Mercado]],FIND("vs",base[[#This Row],[Evento / Mercado]])-2)</f>
        <v>Palmeiras</v>
      </c>
      <c r="R12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297" s="132" t="str">
        <f>LEFT(base[[#This Row],[Evento / Mercado]],FIND("/",base[[#This Row],[Evento / Mercado]])-2)</f>
        <v>Palmeiras vs Grêmio FBPA</v>
      </c>
    </row>
    <row r="1298" spans="2:19" ht="15" customHeight="1">
      <c r="B1298" s="128" t="s">
        <v>1167</v>
      </c>
      <c r="C1298" s="128" t="s">
        <v>2982</v>
      </c>
      <c r="D1298" s="129">
        <v>46115.531527777777</v>
      </c>
      <c r="E1298" s="130">
        <v>104.29</v>
      </c>
      <c r="F1298" s="131">
        <v>4.4999999999999998E-2</v>
      </c>
      <c r="G1298" s="126">
        <f t="shared" si="21"/>
        <v>109.2041884816754</v>
      </c>
      <c r="H1298" s="126" t="s">
        <v>231</v>
      </c>
      <c r="I1298" s="127" t="s">
        <v>232</v>
      </c>
      <c r="J1298" s="126">
        <v>2.04</v>
      </c>
      <c r="K1298" s="126">
        <v>105</v>
      </c>
      <c r="L1298" s="129">
        <f>INT(base[[#This Row],[Data de liquidação]])</f>
        <v>46115</v>
      </c>
      <c r="M1298" s="126">
        <f>base[[#This Row],[L/P Bruto]]-base[[#This Row],[L/P Líquido]]</f>
        <v>4.9141884816753958</v>
      </c>
      <c r="N1298" s="126">
        <f>base[[#This Row],[L/P Líquido]]/base[[#This Row],[Stake/Responsabilidade]]</f>
        <v>0.99323809523809525</v>
      </c>
      <c r="O1298" s="132">
        <f>IF(base[[#This Row],[L/P Líquido]]&gt;0,1,0)</f>
        <v>1</v>
      </c>
      <c r="P1298" s="132"/>
      <c r="Q1298" s="132" t="str">
        <f>LEFT(base[[#This Row],[Evento / Mercado]],FIND("vs",base[[#This Row],[Evento / Mercado]])-2)</f>
        <v>Queens Park Rangers</v>
      </c>
      <c r="R12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Watford</v>
      </c>
      <c r="S1298" s="132" t="str">
        <f>LEFT(base[[#This Row],[Evento / Mercado]],FIND("/",base[[#This Row],[Evento / Mercado]])-2)</f>
        <v>Queens Park Rangers vs Watford</v>
      </c>
    </row>
    <row r="1299" spans="2:19" ht="15" customHeight="1">
      <c r="B1299" s="128" t="s">
        <v>1166</v>
      </c>
      <c r="C1299" s="128" t="s">
        <v>2982</v>
      </c>
      <c r="D1299" s="129">
        <v>46115.53628472222</v>
      </c>
      <c r="E1299" s="130">
        <v>-105</v>
      </c>
      <c r="F1299" s="131">
        <v>4.4999999999999998E-2</v>
      </c>
      <c r="G1299" s="126">
        <f t="shared" si="21"/>
        <v>-105</v>
      </c>
      <c r="H1299" s="126" t="s">
        <v>231</v>
      </c>
      <c r="I1299" s="127" t="s">
        <v>232</v>
      </c>
      <c r="J1299" s="126">
        <v>1.93</v>
      </c>
      <c r="K1299" s="126">
        <v>105</v>
      </c>
      <c r="L1299" s="129">
        <f>INT(base[[#This Row],[Data de liquidação]])</f>
        <v>46115</v>
      </c>
      <c r="M1299" s="126">
        <f>base[[#This Row],[L/P Bruto]]-base[[#This Row],[L/P Líquido]]</f>
        <v>0</v>
      </c>
      <c r="N1299" s="126">
        <f>base[[#This Row],[L/P Líquido]]/base[[#This Row],[Stake/Responsabilidade]]</f>
        <v>-1</v>
      </c>
      <c r="O1299" s="132">
        <f>IF(base[[#This Row],[L/P Líquido]]&gt;0,1,0)</f>
        <v>0</v>
      </c>
      <c r="P1299" s="132"/>
      <c r="Q1299" s="132" t="str">
        <f>LEFT(base[[#This Row],[Evento / Mercado]],FIND("vs",base[[#This Row],[Evento / Mercado]])-2)</f>
        <v>Lincoln City</v>
      </c>
      <c r="R12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Wimbledon</v>
      </c>
      <c r="S1299" s="132" t="str">
        <f>LEFT(base[[#This Row],[Evento / Mercado]],FIND("/",base[[#This Row],[Evento / Mercado]])-2)</f>
        <v>Lincoln City vs AFC Wimbledon</v>
      </c>
    </row>
    <row r="1300" spans="2:19" ht="15" customHeight="1">
      <c r="B1300" s="128" t="s">
        <v>1165</v>
      </c>
      <c r="C1300" s="128" t="s">
        <v>2982</v>
      </c>
      <c r="D1300" s="129">
        <v>46115.707129629627</v>
      </c>
      <c r="E1300" s="130">
        <v>29.5</v>
      </c>
      <c r="F1300" s="131">
        <v>4.4999999999999998E-2</v>
      </c>
      <c r="G1300" s="126">
        <f t="shared" si="21"/>
        <v>30.890052356020945</v>
      </c>
      <c r="H1300" s="126" t="s">
        <v>74</v>
      </c>
      <c r="I1300" s="127" t="s">
        <v>541</v>
      </c>
      <c r="J1300" s="126">
        <v>15</v>
      </c>
      <c r="K1300" s="126">
        <v>432.46</v>
      </c>
      <c r="L1300" s="129">
        <f>INT(base[[#This Row],[Data de liquidação]])</f>
        <v>46115</v>
      </c>
      <c r="M1300" s="126">
        <f>base[[#This Row],[L/P Bruto]]-base[[#This Row],[L/P Líquido]]</f>
        <v>1.390052356020945</v>
      </c>
      <c r="N1300" s="126">
        <f>base[[#This Row],[L/P Líquido]]/base[[#This Row],[Stake/Responsabilidade]]</f>
        <v>6.82144013319151E-2</v>
      </c>
      <c r="O1300" s="132">
        <f>IF(base[[#This Row],[L/P Líquido]]&gt;0,1,0)</f>
        <v>1</v>
      </c>
      <c r="P1300" s="132" t="s">
        <v>965</v>
      </c>
      <c r="Q1300" s="132" t="str">
        <f>LEFT(base[[#This Row],[Evento / Mercado]],FIND("vs",base[[#This Row],[Evento / Mercado]])-2)</f>
        <v>MVV Maastricht</v>
      </c>
      <c r="R13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RKC Waalwijk</v>
      </c>
      <c r="S1300" s="132" t="str">
        <f>LEFT(base[[#This Row],[Evento / Mercado]],FIND("/",base[[#This Row],[Evento / Mercado]])-2)</f>
        <v>MVV Maastricht vs RKC Waalwijk</v>
      </c>
    </row>
    <row r="1301" spans="2:19" ht="15" customHeight="1">
      <c r="B1301" s="128" t="s">
        <v>1164</v>
      </c>
      <c r="C1301" s="128" t="s">
        <v>2982</v>
      </c>
      <c r="D1301" s="129">
        <v>46115.771979166668</v>
      </c>
      <c r="E1301" s="130">
        <v>30.12</v>
      </c>
      <c r="F1301" s="131">
        <v>4.4999999999999998E-2</v>
      </c>
      <c r="G1301" s="126">
        <f t="shared" si="21"/>
        <v>31.539267015706809</v>
      </c>
      <c r="H1301" s="126" t="s">
        <v>145</v>
      </c>
      <c r="I1301" s="127" t="s">
        <v>301</v>
      </c>
      <c r="J1301" s="126">
        <v>14</v>
      </c>
      <c r="K1301" s="126">
        <v>410.02</v>
      </c>
      <c r="L1301" s="129">
        <f>INT(base[[#This Row],[Data de liquidação]])</f>
        <v>46115</v>
      </c>
      <c r="M1301" s="126">
        <f>base[[#This Row],[L/P Bruto]]-base[[#This Row],[L/P Líquido]]</f>
        <v>1.4192670157068079</v>
      </c>
      <c r="N1301" s="126">
        <f>base[[#This Row],[L/P Líquido]]/base[[#This Row],[Stake/Responsabilidade]]</f>
        <v>7.3459831227744993E-2</v>
      </c>
      <c r="O1301" s="132">
        <f>IF(base[[#This Row],[L/P Líquido]]&gt;0,1,0)</f>
        <v>1</v>
      </c>
      <c r="P1301" s="132" t="s">
        <v>960</v>
      </c>
      <c r="Q1301" s="132" t="str">
        <f>LEFT(base[[#This Row],[Evento / Mercado]],FIND("vs",base[[#This Row],[Evento / Mercado]])-2)</f>
        <v>Sporting CP</v>
      </c>
      <c r="R13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Santa Clara</v>
      </c>
      <c r="S1301" s="132" t="str">
        <f>LEFT(base[[#This Row],[Evento / Mercado]],FIND("/",base[[#This Row],[Evento / Mercado]])-2)</f>
        <v>Sporting CP vs Santa Clara</v>
      </c>
    </row>
    <row r="1302" spans="2:19" ht="15" customHeight="1">
      <c r="B1302" s="128" t="s">
        <v>1163</v>
      </c>
      <c r="C1302" s="128" t="s">
        <v>2982</v>
      </c>
      <c r="D1302" s="129">
        <v>46115.985092592593</v>
      </c>
      <c r="E1302" s="130">
        <v>69.19</v>
      </c>
      <c r="F1302" s="131">
        <v>4.4999999999999998E-2</v>
      </c>
      <c r="G1302" s="126">
        <f t="shared" si="21"/>
        <v>72.450261780104711</v>
      </c>
      <c r="H1302" s="126" t="s">
        <v>231</v>
      </c>
      <c r="I1302" s="127" t="s">
        <v>266</v>
      </c>
      <c r="J1302" s="126">
        <v>1.69</v>
      </c>
      <c r="K1302" s="126">
        <v>105</v>
      </c>
      <c r="L1302" s="129">
        <f>INT(base[[#This Row],[Data de liquidação]])</f>
        <v>46115</v>
      </c>
      <c r="M1302" s="126">
        <f>base[[#This Row],[L/P Bruto]]-base[[#This Row],[L/P Líquido]]</f>
        <v>3.2602617801047131</v>
      </c>
      <c r="N1302" s="126">
        <f>base[[#This Row],[L/P Líquido]]/base[[#This Row],[Stake/Responsabilidade]]</f>
        <v>0.65895238095238096</v>
      </c>
      <c r="O1302" s="132">
        <f>IF(base[[#This Row],[L/P Líquido]]&gt;0,1,0)</f>
        <v>1</v>
      </c>
      <c r="P1302" s="132"/>
      <c r="Q1302" s="132" t="str">
        <f>LEFT(base[[#This Row],[Evento / Mercado]],FIND("vs",base[[#This Row],[Evento / Mercado]])-2)</f>
        <v>Puebla</v>
      </c>
      <c r="R13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Juárez</v>
      </c>
      <c r="S1302" s="132" t="str">
        <f>LEFT(base[[#This Row],[Evento / Mercado]],FIND("/",base[[#This Row],[Evento / Mercado]])-2)</f>
        <v>Puebla vs FC Juárez</v>
      </c>
    </row>
    <row r="1303" spans="2:19" ht="15" customHeight="1">
      <c r="B1303" s="128" t="s">
        <v>1162</v>
      </c>
      <c r="C1303" s="128" t="s">
        <v>2982</v>
      </c>
      <c r="D1303" s="129">
        <v>46116.403599537036</v>
      </c>
      <c r="E1303" s="130">
        <v>82.23</v>
      </c>
      <c r="F1303" s="131">
        <v>4.4999999999999998E-2</v>
      </c>
      <c r="G1303" s="126">
        <f t="shared" si="21"/>
        <v>86.104712041884824</v>
      </c>
      <c r="H1303" s="126" t="s">
        <v>231</v>
      </c>
      <c r="I1303" s="127" t="s">
        <v>232</v>
      </c>
      <c r="J1303" s="126">
        <v>1.82</v>
      </c>
      <c r="K1303" s="126">
        <v>105</v>
      </c>
      <c r="L1303" s="129">
        <f>INT(base[[#This Row],[Data de liquidação]])</f>
        <v>46116</v>
      </c>
      <c r="M1303" s="126">
        <f>base[[#This Row],[L/P Bruto]]-base[[#This Row],[L/P Líquido]]</f>
        <v>3.8747120418848198</v>
      </c>
      <c r="N1303" s="126">
        <f>base[[#This Row],[L/P Líquido]]/base[[#This Row],[Stake/Responsabilidade]]</f>
        <v>0.78314285714285714</v>
      </c>
      <c r="O1303" s="132">
        <f>IF(base[[#This Row],[L/P Líquido]]&gt;0,1,0)</f>
        <v>1</v>
      </c>
      <c r="P1303" s="132"/>
      <c r="Q1303" s="132" t="str">
        <f>LEFT(base[[#This Row],[Evento / Mercado]],FIND("vs",base[[#This Row],[Evento / Mercado]])-2)</f>
        <v>Arminia Bielefeld</v>
      </c>
      <c r="R13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1303" s="132" t="str">
        <f>LEFT(base[[#This Row],[Evento / Mercado]],FIND("/",base[[#This Row],[Evento / Mercado]])-2)</f>
        <v>Arminia Bielefeld vs SV Darmstadt 98</v>
      </c>
    </row>
    <row r="1304" spans="2:19" ht="15" customHeight="1">
      <c r="B1304" s="128" t="s">
        <v>1161</v>
      </c>
      <c r="C1304" s="128" t="s">
        <v>2982</v>
      </c>
      <c r="D1304" s="129">
        <v>46116.454236111109</v>
      </c>
      <c r="E1304" s="130">
        <v>68.95</v>
      </c>
      <c r="F1304" s="131">
        <v>4.4999999999999998E-2</v>
      </c>
      <c r="G1304" s="126">
        <f t="shared" si="21"/>
        <v>72.198952879581157</v>
      </c>
      <c r="H1304" s="126" t="s">
        <v>231</v>
      </c>
      <c r="I1304" s="127" t="s">
        <v>266</v>
      </c>
      <c r="J1304" s="126">
        <v>1.69</v>
      </c>
      <c r="K1304" s="126">
        <v>105</v>
      </c>
      <c r="L1304" s="129">
        <f>INT(base[[#This Row],[Data de liquidação]])</f>
        <v>46116</v>
      </c>
      <c r="M1304" s="126">
        <f>base[[#This Row],[L/P Bruto]]-base[[#This Row],[L/P Líquido]]</f>
        <v>3.2489528795811538</v>
      </c>
      <c r="N1304" s="126">
        <f>base[[#This Row],[L/P Líquido]]/base[[#This Row],[Stake/Responsabilidade]]</f>
        <v>0.65666666666666673</v>
      </c>
      <c r="O1304" s="132">
        <f>IF(base[[#This Row],[L/P Líquido]]&gt;0,1,0)</f>
        <v>1</v>
      </c>
      <c r="P1304" s="132"/>
      <c r="Q1304" s="132" t="str">
        <f>LEFT(base[[#This Row],[Evento / Mercado]],FIND("vs",base[[#This Row],[Evento / Mercado]])-2)</f>
        <v>1899 Hoffenheim</v>
      </c>
      <c r="R13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1304" s="132" t="str">
        <f>LEFT(base[[#This Row],[Evento / Mercado]],FIND("/",base[[#This Row],[Evento / Mercado]])-2)</f>
        <v>1899 Hoffenheim vs 1. FSV Mainz 05</v>
      </c>
    </row>
    <row r="1305" spans="2:19" ht="15" customHeight="1">
      <c r="B1305" s="128" t="s">
        <v>1160</v>
      </c>
      <c r="C1305" s="128" t="s">
        <v>2982</v>
      </c>
      <c r="D1305" s="129">
        <v>46116.45684027778</v>
      </c>
      <c r="E1305" s="130">
        <v>-105</v>
      </c>
      <c r="F1305" s="131">
        <v>4.4999999999999998E-2</v>
      </c>
      <c r="G1305" s="126">
        <f t="shared" si="21"/>
        <v>-105</v>
      </c>
      <c r="H1305" s="126" t="s">
        <v>231</v>
      </c>
      <c r="I1305" s="127" t="s">
        <v>266</v>
      </c>
      <c r="J1305" s="126">
        <v>1.78</v>
      </c>
      <c r="K1305" s="126">
        <v>105</v>
      </c>
      <c r="L1305" s="129">
        <f>INT(base[[#This Row],[Data de liquidação]])</f>
        <v>46116</v>
      </c>
      <c r="M1305" s="126">
        <f>base[[#This Row],[L/P Bruto]]-base[[#This Row],[L/P Líquido]]</f>
        <v>0</v>
      </c>
      <c r="N1305" s="126">
        <f>base[[#This Row],[L/P Líquido]]/base[[#This Row],[Stake/Responsabilidade]]</f>
        <v>-1</v>
      </c>
      <c r="O1305" s="132">
        <f>IF(base[[#This Row],[L/P Líquido]]&gt;0,1,0)</f>
        <v>0</v>
      </c>
      <c r="P1305" s="132"/>
      <c r="Q1305" s="132" t="str">
        <f>LEFT(base[[#This Row],[Evento / Mercado]],FIND("vs",base[[#This Row],[Evento / Mercado]])-2)</f>
        <v>Real Sociedad</v>
      </c>
      <c r="R13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1305" s="132" t="str">
        <f>LEFT(base[[#This Row],[Evento / Mercado]],FIND("/",base[[#This Row],[Evento / Mercado]])-2)</f>
        <v>Real Sociedad vs Levante UD</v>
      </c>
    </row>
    <row r="1306" spans="2:19" ht="15" customHeight="1">
      <c r="B1306" s="128" t="s">
        <v>1159</v>
      </c>
      <c r="C1306" s="128" t="s">
        <v>2982</v>
      </c>
      <c r="D1306" s="129">
        <v>46116.457962962966</v>
      </c>
      <c r="E1306" s="130">
        <v>-105</v>
      </c>
      <c r="F1306" s="131">
        <v>4.4999999999999998E-2</v>
      </c>
      <c r="G1306" s="126">
        <f t="shared" si="21"/>
        <v>-105</v>
      </c>
      <c r="H1306" s="126" t="s">
        <v>231</v>
      </c>
      <c r="I1306" s="127" t="s">
        <v>232</v>
      </c>
      <c r="J1306" s="126">
        <v>1.75</v>
      </c>
      <c r="K1306" s="126">
        <v>105</v>
      </c>
      <c r="L1306" s="129">
        <f>INT(base[[#This Row],[Data de liquidação]])</f>
        <v>46116</v>
      </c>
      <c r="M1306" s="126">
        <f>base[[#This Row],[L/P Bruto]]-base[[#This Row],[L/P Líquido]]</f>
        <v>0</v>
      </c>
      <c r="N1306" s="126">
        <f>base[[#This Row],[L/P Líquido]]/base[[#This Row],[Stake/Responsabilidade]]</f>
        <v>-1</v>
      </c>
      <c r="O1306" s="132">
        <f>IF(base[[#This Row],[L/P Líquido]]&gt;0,1,0)</f>
        <v>0</v>
      </c>
      <c r="P1306" s="132"/>
      <c r="Q1306" s="132" t="str">
        <f>LEFT(base[[#This Row],[Evento / Mercado]],FIND("vs",base[[#This Row],[Evento / Mercado]])-2)</f>
        <v>TSV 1860 München</v>
      </c>
      <c r="R13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Waldhof Mannheim</v>
      </c>
      <c r="S1306" s="132" t="str">
        <f>LEFT(base[[#This Row],[Evento / Mercado]],FIND("/",base[[#This Row],[Evento / Mercado]])-2)</f>
        <v>TSV 1860 München vs Waldhof Mannheim</v>
      </c>
    </row>
    <row r="1307" spans="2:19" ht="15" customHeight="1">
      <c r="B1307" s="128" t="s">
        <v>1158</v>
      </c>
      <c r="C1307" s="128" t="s">
        <v>2982</v>
      </c>
      <c r="D1307" s="129">
        <v>46116.516782407409</v>
      </c>
      <c r="E1307" s="130">
        <v>23.37</v>
      </c>
      <c r="F1307" s="131">
        <v>4.4999999999999998E-2</v>
      </c>
      <c r="G1307" s="126">
        <f t="shared" si="21"/>
        <v>24.471204188481678</v>
      </c>
      <c r="H1307" s="126" t="s">
        <v>74</v>
      </c>
      <c r="I1307" s="127" t="s">
        <v>476</v>
      </c>
      <c r="J1307" s="126">
        <v>20</v>
      </c>
      <c r="K1307" s="126">
        <v>464.93</v>
      </c>
      <c r="L1307" s="129">
        <f>INT(base[[#This Row],[Data de liquidação]])</f>
        <v>46116</v>
      </c>
      <c r="M1307" s="126">
        <f>base[[#This Row],[L/P Bruto]]-base[[#This Row],[L/P Líquido]]</f>
        <v>1.1012041884816774</v>
      </c>
      <c r="N1307" s="126">
        <f>base[[#This Row],[L/P Líquido]]/base[[#This Row],[Stake/Responsabilidade]]</f>
        <v>5.0265631385369845E-2</v>
      </c>
      <c r="O1307" s="132">
        <f>IF(base[[#This Row],[L/P Líquido]]&gt;0,1,0)</f>
        <v>1</v>
      </c>
      <c r="P1307" s="132" t="s">
        <v>962</v>
      </c>
      <c r="Q1307" s="132" t="str">
        <f>LEFT(base[[#This Row],[Evento / Mercado]],FIND("vs",base[[#This Row],[Evento / Mercado]])-2)</f>
        <v>1899 Hoffenheim</v>
      </c>
      <c r="R13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1307" s="132" t="str">
        <f>LEFT(base[[#This Row],[Evento / Mercado]],FIND("/",base[[#This Row],[Evento / Mercado]])-2)</f>
        <v>1899 Hoffenheim vs 1. FSV Mainz 05</v>
      </c>
    </row>
    <row r="1308" spans="2:19" ht="15" customHeight="1">
      <c r="B1308" s="128" t="s">
        <v>1157</v>
      </c>
      <c r="C1308" s="128" t="s">
        <v>2982</v>
      </c>
      <c r="D1308" s="129">
        <v>46116.522719907407</v>
      </c>
      <c r="E1308" s="130">
        <v>37.01</v>
      </c>
      <c r="F1308" s="131">
        <v>4.4999999999999998E-2</v>
      </c>
      <c r="G1308" s="126">
        <f t="shared" si="21"/>
        <v>38.753926701570677</v>
      </c>
      <c r="H1308" s="126" t="s">
        <v>74</v>
      </c>
      <c r="I1308" s="127" t="s">
        <v>541</v>
      </c>
      <c r="J1308" s="126">
        <v>13</v>
      </c>
      <c r="K1308" s="126">
        <v>465</v>
      </c>
      <c r="L1308" s="129">
        <f>INT(base[[#This Row],[Data de liquidação]])</f>
        <v>46116</v>
      </c>
      <c r="M1308" s="126">
        <f>base[[#This Row],[L/P Bruto]]-base[[#This Row],[L/P Líquido]]</f>
        <v>1.743926701570679</v>
      </c>
      <c r="N1308" s="126">
        <f>base[[#This Row],[L/P Líquido]]/base[[#This Row],[Stake/Responsabilidade]]</f>
        <v>7.9591397849462356E-2</v>
      </c>
      <c r="O1308" s="132">
        <f>IF(base[[#This Row],[L/P Líquido]]&gt;0,1,0)</f>
        <v>1</v>
      </c>
      <c r="P1308" s="132" t="s">
        <v>962</v>
      </c>
      <c r="Q1308" s="132" t="str">
        <f>LEFT(base[[#This Row],[Evento / Mercado]],FIND("vs",base[[#This Row],[Evento / Mercado]])-2)</f>
        <v>SC Freiburg</v>
      </c>
      <c r="R13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308" s="132" t="str">
        <f>LEFT(base[[#This Row],[Evento / Mercado]],FIND("/",base[[#This Row],[Evento / Mercado]])-2)</f>
        <v>SC Freiburg vs FC Bayern München</v>
      </c>
    </row>
    <row r="1309" spans="2:19" ht="15" customHeight="1">
      <c r="B1309" s="128" t="s">
        <v>1156</v>
      </c>
      <c r="C1309" s="128" t="s">
        <v>2982</v>
      </c>
      <c r="D1309" s="129">
        <v>46116.557256944441</v>
      </c>
      <c r="E1309" s="130">
        <v>-105</v>
      </c>
      <c r="F1309" s="131">
        <v>4.4999999999999998E-2</v>
      </c>
      <c r="G1309" s="126">
        <f t="shared" si="21"/>
        <v>-105</v>
      </c>
      <c r="H1309" s="126" t="s">
        <v>231</v>
      </c>
      <c r="I1309" s="127" t="s">
        <v>266</v>
      </c>
      <c r="J1309" s="126">
        <v>1.73</v>
      </c>
      <c r="K1309" s="126">
        <v>105</v>
      </c>
      <c r="L1309" s="129">
        <f>INT(base[[#This Row],[Data de liquidação]])</f>
        <v>46116</v>
      </c>
      <c r="M1309" s="126">
        <f>base[[#This Row],[L/P Bruto]]-base[[#This Row],[L/P Líquido]]</f>
        <v>0</v>
      </c>
      <c r="N1309" s="126">
        <f>base[[#This Row],[L/P Líquido]]/base[[#This Row],[Stake/Responsabilidade]]</f>
        <v>-1</v>
      </c>
      <c r="O1309" s="132">
        <f>IF(base[[#This Row],[L/P Líquido]]&gt;0,1,0)</f>
        <v>0</v>
      </c>
      <c r="P1309" s="132"/>
      <c r="Q1309" s="132" t="str">
        <f>LEFT(base[[#This Row],[Evento / Mercado]],FIND("vs",base[[#This Row],[Evento / Mercado]])-2)</f>
        <v>Rot-Weiss Essen</v>
      </c>
      <c r="R13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MSV Duisburg</v>
      </c>
      <c r="S1309" s="132" t="str">
        <f>LEFT(base[[#This Row],[Evento / Mercado]],FIND("/",base[[#This Row],[Evento / Mercado]])-2)</f>
        <v>Rot-Weiss Essen vs MSV Duisburg</v>
      </c>
    </row>
    <row r="1310" spans="2:19" ht="15" customHeight="1">
      <c r="B1310" s="128" t="s">
        <v>1155</v>
      </c>
      <c r="C1310" s="128" t="s">
        <v>2982</v>
      </c>
      <c r="D1310" s="129">
        <v>46116.644016203703</v>
      </c>
      <c r="E1310" s="130">
        <v>25.37</v>
      </c>
      <c r="F1310" s="131">
        <v>4.4999999999999998E-2</v>
      </c>
      <c r="G1310" s="126">
        <f t="shared" si="21"/>
        <v>26.565445026178011</v>
      </c>
      <c r="H1310" s="126" t="s">
        <v>74</v>
      </c>
      <c r="I1310" s="127" t="s">
        <v>477</v>
      </c>
      <c r="J1310" s="126">
        <v>18.5</v>
      </c>
      <c r="K1310" s="126">
        <v>464.98</v>
      </c>
      <c r="L1310" s="129">
        <f>INT(base[[#This Row],[Data de liquidação]])</f>
        <v>46116</v>
      </c>
      <c r="M1310" s="126">
        <f>base[[#This Row],[L/P Bruto]]-base[[#This Row],[L/P Líquido]]</f>
        <v>1.1954450261780103</v>
      </c>
      <c r="N1310" s="126">
        <f>base[[#This Row],[L/P Líquido]]/base[[#This Row],[Stake/Responsabilidade]]</f>
        <v>5.4561486515549054E-2</v>
      </c>
      <c r="O1310" s="132">
        <f>IF(base[[#This Row],[L/P Líquido]]&gt;0,1,0)</f>
        <v>1</v>
      </c>
      <c r="P1310" s="132" t="s">
        <v>962</v>
      </c>
      <c r="Q1310" s="132" t="str">
        <f>LEFT(base[[#This Row],[Evento / Mercado]],FIND("vs",base[[#This Row],[Evento / Mercado]])-2)</f>
        <v>VfB Stuttgart</v>
      </c>
      <c r="R13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1310" s="132" t="str">
        <f>LEFT(base[[#This Row],[Evento / Mercado]],FIND("/",base[[#This Row],[Evento / Mercado]])-2)</f>
        <v>VfB Stuttgart vs Borussia Dortmund</v>
      </c>
    </row>
    <row r="1311" spans="2:19" ht="15" customHeight="1">
      <c r="B1311" s="128" t="s">
        <v>1154</v>
      </c>
      <c r="C1311" s="128" t="s">
        <v>2982</v>
      </c>
      <c r="D1311" s="129">
        <v>46116.660937499997</v>
      </c>
      <c r="E1311" s="130">
        <v>-105</v>
      </c>
      <c r="F1311" s="131">
        <v>4.4999999999999998E-2</v>
      </c>
      <c r="G1311" s="126">
        <f t="shared" si="21"/>
        <v>-105</v>
      </c>
      <c r="H1311" s="126" t="s">
        <v>231</v>
      </c>
      <c r="I1311" s="127" t="s">
        <v>266</v>
      </c>
      <c r="J1311" s="126">
        <v>1.74</v>
      </c>
      <c r="K1311" s="126">
        <v>105</v>
      </c>
      <c r="L1311" s="129">
        <f>INT(base[[#This Row],[Data de liquidação]])</f>
        <v>46116</v>
      </c>
      <c r="M1311" s="126">
        <f>base[[#This Row],[L/P Bruto]]-base[[#This Row],[L/P Líquido]]</f>
        <v>0</v>
      </c>
      <c r="N1311" s="126">
        <f>base[[#This Row],[L/P Líquido]]/base[[#This Row],[Stake/Responsabilidade]]</f>
        <v>-1</v>
      </c>
      <c r="O1311" s="132">
        <f>IF(base[[#This Row],[L/P Líquido]]&gt;0,1,0)</f>
        <v>0</v>
      </c>
      <c r="P1311" s="132"/>
      <c r="Q1311" s="132" t="str">
        <f>LEFT(base[[#This Row],[Evento / Mercado]],FIND("vs",base[[#This Row],[Evento / Mercado]])-2)</f>
        <v>AZ Alkmaar</v>
      </c>
      <c r="R13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Sittard</v>
      </c>
      <c r="S1311" s="132" t="str">
        <f>LEFT(base[[#This Row],[Evento / Mercado]],FIND("/",base[[#This Row],[Evento / Mercado]])-2)</f>
        <v>AZ Alkmaar vs Fortuna Sittard</v>
      </c>
    </row>
    <row r="1312" spans="2:19" ht="15" customHeight="1">
      <c r="B1312" s="128" t="s">
        <v>1153</v>
      </c>
      <c r="C1312" s="128" t="s">
        <v>2982</v>
      </c>
      <c r="D1312" s="129">
        <v>46116.742708333331</v>
      </c>
      <c r="E1312" s="130">
        <v>26.74</v>
      </c>
      <c r="F1312" s="131">
        <v>4.4999999999999998E-2</v>
      </c>
      <c r="G1312" s="126">
        <f t="shared" si="21"/>
        <v>28</v>
      </c>
      <c r="H1312" s="126" t="s">
        <v>74</v>
      </c>
      <c r="I1312" s="127" t="s">
        <v>542</v>
      </c>
      <c r="J1312" s="126">
        <v>13.5</v>
      </c>
      <c r="K1312" s="126">
        <v>350</v>
      </c>
      <c r="L1312" s="129">
        <f>INT(base[[#This Row],[Data de liquidação]])</f>
        <v>46116</v>
      </c>
      <c r="M1312" s="126">
        <f>base[[#This Row],[L/P Bruto]]-base[[#This Row],[L/P Líquido]]</f>
        <v>1.2600000000000016</v>
      </c>
      <c r="N1312" s="126">
        <f>base[[#This Row],[L/P Líquido]]/base[[#This Row],[Stake/Responsabilidade]]</f>
        <v>7.6399999999999996E-2</v>
      </c>
      <c r="O1312" s="132">
        <f>IF(base[[#This Row],[L/P Líquido]]&gt;0,1,0)</f>
        <v>1</v>
      </c>
      <c r="P1312" s="132" t="s">
        <v>967</v>
      </c>
      <c r="Q1312" s="132" t="str">
        <f>LEFT(base[[#This Row],[Evento / Mercado]],FIND("vs",base[[#This Row],[Evento / Mercado]])-2)</f>
        <v>Excelsior Rotterdam</v>
      </c>
      <c r="R13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NEC</v>
      </c>
      <c r="S1312" s="132" t="str">
        <f>LEFT(base[[#This Row],[Evento / Mercado]],FIND("/",base[[#This Row],[Evento / Mercado]])-2)</f>
        <v>Excelsior Rotterdam vs NEC</v>
      </c>
    </row>
    <row r="1313" spans="2:19" ht="15" customHeight="1">
      <c r="B1313" s="128" t="s">
        <v>1152</v>
      </c>
      <c r="C1313" s="128" t="s">
        <v>2982</v>
      </c>
      <c r="D1313" s="129">
        <v>46116.742731481485</v>
      </c>
      <c r="E1313" s="130">
        <v>-105</v>
      </c>
      <c r="F1313" s="131">
        <v>4.4999999999999998E-2</v>
      </c>
      <c r="G1313" s="126">
        <f t="shared" si="21"/>
        <v>-105</v>
      </c>
      <c r="H1313" s="126" t="s">
        <v>231</v>
      </c>
      <c r="I1313" s="127" t="s">
        <v>232</v>
      </c>
      <c r="J1313" s="126">
        <v>1.69</v>
      </c>
      <c r="K1313" s="126">
        <v>105</v>
      </c>
      <c r="L1313" s="129">
        <f>INT(base[[#This Row],[Data de liquidação]])</f>
        <v>46116</v>
      </c>
      <c r="M1313" s="126">
        <f>base[[#This Row],[L/P Bruto]]-base[[#This Row],[L/P Líquido]]</f>
        <v>0</v>
      </c>
      <c r="N1313" s="126">
        <f>base[[#This Row],[L/P Líquido]]/base[[#This Row],[Stake/Responsabilidade]]</f>
        <v>-1</v>
      </c>
      <c r="O1313" s="132">
        <f>IF(base[[#This Row],[L/P Líquido]]&gt;0,1,0)</f>
        <v>0</v>
      </c>
      <c r="P1313" s="132"/>
      <c r="Q1313" s="132" t="str">
        <f>LEFT(base[[#This Row],[Evento / Mercado]],FIND("vs",base[[#This Row],[Evento / Mercado]])-2)</f>
        <v>Dynamo Dresden</v>
      </c>
      <c r="R13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Hertha BSC</v>
      </c>
      <c r="S1313" s="132" t="str">
        <f>LEFT(base[[#This Row],[Evento / Mercado]],FIND("/",base[[#This Row],[Evento / Mercado]])-2)</f>
        <v>Dynamo Dresden vs Hertha BSC</v>
      </c>
    </row>
    <row r="1314" spans="2:19" ht="15" customHeight="1">
      <c r="B1314" s="128" t="s">
        <v>1151</v>
      </c>
      <c r="C1314" s="128" t="s">
        <v>2982</v>
      </c>
      <c r="D1314" s="129">
        <v>46116.948414351849</v>
      </c>
      <c r="E1314" s="130">
        <v>116.32</v>
      </c>
      <c r="F1314" s="131">
        <v>4.4999999999999998E-2</v>
      </c>
      <c r="G1314" s="126">
        <f t="shared" si="21"/>
        <v>121.80104712041884</v>
      </c>
      <c r="H1314" s="126" t="s">
        <v>231</v>
      </c>
      <c r="I1314" s="127" t="s">
        <v>232</v>
      </c>
      <c r="J1314" s="126">
        <v>2.16</v>
      </c>
      <c r="K1314" s="126">
        <v>105</v>
      </c>
      <c r="L1314" s="129">
        <f>INT(base[[#This Row],[Data de liquidação]])</f>
        <v>46116</v>
      </c>
      <c r="M1314" s="126">
        <f>base[[#This Row],[L/P Bruto]]-base[[#This Row],[L/P Líquido]]</f>
        <v>5.4810471204188502</v>
      </c>
      <c r="N1314" s="126">
        <f>base[[#This Row],[L/P Líquido]]/base[[#This Row],[Stake/Responsabilidade]]</f>
        <v>1.1078095238095238</v>
      </c>
      <c r="O1314" s="132">
        <f>IF(base[[#This Row],[L/P Líquido]]&gt;0,1,0)</f>
        <v>1</v>
      </c>
      <c r="P1314" s="132"/>
      <c r="Q1314" s="132" t="str">
        <f>LEFT(base[[#This Row],[Evento / Mercado]],FIND("vs",base[[#This Row],[Evento / Mercado]])-2)</f>
        <v>Vasco da Gama</v>
      </c>
      <c r="R13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1314" s="132" t="str">
        <f>LEFT(base[[#This Row],[Evento / Mercado]],FIND("/",base[[#This Row],[Evento / Mercado]])-2)</f>
        <v>Vasco da Gama vs Botafogo FR</v>
      </c>
    </row>
    <row r="1315" spans="2:19" ht="15" customHeight="1">
      <c r="B1315" s="128" t="s">
        <v>1150</v>
      </c>
      <c r="C1315" s="128" t="s">
        <v>2982</v>
      </c>
      <c r="D1315" s="129">
        <v>46117.433263888888</v>
      </c>
      <c r="E1315" s="130">
        <v>-105</v>
      </c>
      <c r="F1315" s="131">
        <v>4.4999999999999998E-2</v>
      </c>
      <c r="G1315" s="126">
        <f t="shared" si="21"/>
        <v>-105</v>
      </c>
      <c r="H1315" s="126" t="s">
        <v>231</v>
      </c>
      <c r="I1315" s="127" t="s">
        <v>266</v>
      </c>
      <c r="J1315" s="126">
        <v>1.63</v>
      </c>
      <c r="K1315" s="126">
        <v>105</v>
      </c>
      <c r="L1315" s="129">
        <f>INT(base[[#This Row],[Data de liquidação]])</f>
        <v>46117</v>
      </c>
      <c r="M1315" s="126">
        <f>base[[#This Row],[L/P Bruto]]-base[[#This Row],[L/P Líquido]]</f>
        <v>0</v>
      </c>
      <c r="N1315" s="126">
        <f>base[[#This Row],[L/P Líquido]]/base[[#This Row],[Stake/Responsabilidade]]</f>
        <v>-1</v>
      </c>
      <c r="O1315" s="132">
        <f>IF(base[[#This Row],[L/P Líquido]]&gt;0,1,0)</f>
        <v>0</v>
      </c>
      <c r="P1315" s="132"/>
      <c r="Q1315" s="132" t="str">
        <f>LEFT(base[[#This Row],[Evento / Mercado]],FIND("vs",base[[#This Row],[Evento / Mercado]])-2)</f>
        <v>SpVgg Greuther Fürth</v>
      </c>
      <c r="R13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Paderborn 07</v>
      </c>
      <c r="S1315" s="132" t="str">
        <f>LEFT(base[[#This Row],[Evento / Mercado]],FIND("/",base[[#This Row],[Evento / Mercado]])-2)</f>
        <v>SpVgg Greuther Fürth vs SC Paderborn 07</v>
      </c>
    </row>
    <row r="1316" spans="2:19" ht="15" customHeight="1">
      <c r="B1316" s="128" t="s">
        <v>1149</v>
      </c>
      <c r="C1316" s="128" t="s">
        <v>2982</v>
      </c>
      <c r="D1316" s="129">
        <v>46117.434259259258</v>
      </c>
      <c r="E1316" s="130">
        <v>-105</v>
      </c>
      <c r="F1316" s="131">
        <v>4.4999999999999998E-2</v>
      </c>
      <c r="G1316" s="126">
        <f t="shared" si="21"/>
        <v>-105</v>
      </c>
      <c r="H1316" s="126" t="s">
        <v>231</v>
      </c>
      <c r="I1316" s="127" t="s">
        <v>232</v>
      </c>
      <c r="J1316" s="126">
        <v>1.79</v>
      </c>
      <c r="K1316" s="126">
        <v>105</v>
      </c>
      <c r="L1316" s="129">
        <f>INT(base[[#This Row],[Data de liquidação]])</f>
        <v>46117</v>
      </c>
      <c r="M1316" s="126">
        <f>base[[#This Row],[L/P Bruto]]-base[[#This Row],[L/P Líquido]]</f>
        <v>0</v>
      </c>
      <c r="N1316" s="126">
        <f>base[[#This Row],[L/P Líquido]]/base[[#This Row],[Stake/Responsabilidade]]</f>
        <v>-1</v>
      </c>
      <c r="O1316" s="132">
        <f>IF(base[[#This Row],[L/P Líquido]]&gt;0,1,0)</f>
        <v>0</v>
      </c>
      <c r="P1316" s="132"/>
      <c r="Q1316" s="132" t="str">
        <f>LEFT(base[[#This Row],[Evento / Mercado]],FIND("vs",base[[#This Row],[Evento / Mercado]])-2)</f>
        <v>FC Schalke 04</v>
      </c>
      <c r="R13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Karlsruher SC</v>
      </c>
      <c r="S1316" s="132" t="str">
        <f>LEFT(base[[#This Row],[Evento / Mercado]],FIND("/",base[[#This Row],[Evento / Mercado]])-2)</f>
        <v>FC Schalke 04 vs Karlsruher SC</v>
      </c>
    </row>
    <row r="1317" spans="2:19" ht="15" customHeight="1">
      <c r="B1317" s="128" t="s">
        <v>1148</v>
      </c>
      <c r="C1317" s="128" t="s">
        <v>2982</v>
      </c>
      <c r="D1317" s="129">
        <v>46117.435833333337</v>
      </c>
      <c r="E1317" s="130">
        <v>-105</v>
      </c>
      <c r="F1317" s="131">
        <v>4.4999999999999998E-2</v>
      </c>
      <c r="G1317" s="126">
        <f t="shared" si="21"/>
        <v>-105</v>
      </c>
      <c r="H1317" s="126" t="s">
        <v>231</v>
      </c>
      <c r="I1317" s="127" t="s">
        <v>232</v>
      </c>
      <c r="J1317" s="126">
        <v>1.67</v>
      </c>
      <c r="K1317" s="126">
        <v>105</v>
      </c>
      <c r="L1317" s="129">
        <f>INT(base[[#This Row],[Data de liquidação]])</f>
        <v>46117</v>
      </c>
      <c r="M1317" s="126">
        <f>base[[#This Row],[L/P Bruto]]-base[[#This Row],[L/P Líquido]]</f>
        <v>0</v>
      </c>
      <c r="N1317" s="126">
        <f>base[[#This Row],[L/P Líquido]]/base[[#This Row],[Stake/Responsabilidade]]</f>
        <v>-1</v>
      </c>
      <c r="O1317" s="132">
        <f>IF(base[[#This Row],[L/P Líquido]]&gt;0,1,0)</f>
        <v>0</v>
      </c>
      <c r="P1317" s="132"/>
      <c r="Q1317" s="132" t="str">
        <f>LEFT(base[[#This Row],[Evento / Mercado]],FIND("vs",base[[#This Row],[Evento / Mercado]])-2)</f>
        <v>Hannover 96</v>
      </c>
      <c r="R13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Elversberg</v>
      </c>
      <c r="S1317" s="132" t="str">
        <f>LEFT(base[[#This Row],[Evento / Mercado]],FIND("/",base[[#This Row],[Evento / Mercado]])-2)</f>
        <v>Hannover 96 vs SV Elversberg</v>
      </c>
    </row>
    <row r="1318" spans="2:19" ht="15" customHeight="1">
      <c r="B1318" s="128" t="s">
        <v>1147</v>
      </c>
      <c r="C1318" s="128" t="s">
        <v>2982</v>
      </c>
      <c r="D1318" s="129">
        <v>46117.49291666667</v>
      </c>
      <c r="E1318" s="130">
        <v>69.19</v>
      </c>
      <c r="F1318" s="131">
        <v>4.4999999999999998E-2</v>
      </c>
      <c r="G1318" s="126">
        <f t="shared" si="21"/>
        <v>72.450261780104711</v>
      </c>
      <c r="H1318" s="126" t="s">
        <v>231</v>
      </c>
      <c r="I1318" s="127" t="s">
        <v>232</v>
      </c>
      <c r="J1318" s="126">
        <v>1.69</v>
      </c>
      <c r="K1318" s="126">
        <v>105</v>
      </c>
      <c r="L1318" s="129">
        <f>INT(base[[#This Row],[Data de liquidação]])</f>
        <v>46117</v>
      </c>
      <c r="M1318" s="126">
        <f>base[[#This Row],[L/P Bruto]]-base[[#This Row],[L/P Líquido]]</f>
        <v>3.2602617801047131</v>
      </c>
      <c r="N1318" s="126">
        <f>base[[#This Row],[L/P Líquido]]/base[[#This Row],[Stake/Responsabilidade]]</f>
        <v>0.65895238095238096</v>
      </c>
      <c r="O1318" s="132">
        <f>IF(base[[#This Row],[L/P Líquido]]&gt;0,1,0)</f>
        <v>1</v>
      </c>
      <c r="P1318" s="132"/>
      <c r="Q1318" s="132" t="str">
        <f>LEFT(base[[#This Row],[Evento / Mercado]],FIND("vs",base[[#This Row],[Evento / Mercado]])-2)</f>
        <v>Andorra FC</v>
      </c>
      <c r="R13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1318" s="132" t="str">
        <f>LEFT(base[[#This Row],[Evento / Mercado]],FIND("/",base[[#This Row],[Evento / Mercado]])-2)</f>
        <v>Andorra FC vs Racing Santander</v>
      </c>
    </row>
    <row r="1319" spans="2:19" ht="15" customHeight="1">
      <c r="B1319" s="128" t="s">
        <v>1146</v>
      </c>
      <c r="C1319" s="128" t="s">
        <v>2982</v>
      </c>
      <c r="D1319" s="129">
        <v>46117.525439814817</v>
      </c>
      <c r="E1319" s="130">
        <v>92.25</v>
      </c>
      <c r="F1319" s="131">
        <v>4.4999999999999998E-2</v>
      </c>
      <c r="G1319" s="126">
        <f t="shared" si="21"/>
        <v>96.596858638743456</v>
      </c>
      <c r="H1319" s="126" t="s">
        <v>231</v>
      </c>
      <c r="I1319" s="127" t="s">
        <v>266</v>
      </c>
      <c r="J1319" s="126">
        <v>1.92</v>
      </c>
      <c r="K1319" s="126">
        <v>105</v>
      </c>
      <c r="L1319" s="129">
        <f>INT(base[[#This Row],[Data de liquidação]])</f>
        <v>46117</v>
      </c>
      <c r="M1319" s="126">
        <f>base[[#This Row],[L/P Bruto]]-base[[#This Row],[L/P Líquido]]</f>
        <v>4.3468586387434556</v>
      </c>
      <c r="N1319" s="126">
        <f>base[[#This Row],[L/P Líquido]]/base[[#This Row],[Stake/Responsabilidade]]</f>
        <v>0.87857142857142856</v>
      </c>
      <c r="O1319" s="132">
        <f>IF(base[[#This Row],[L/P Líquido]]&gt;0,1,0)</f>
        <v>1</v>
      </c>
      <c r="P1319" s="132"/>
      <c r="Q1319" s="132" t="str">
        <f>LEFT(base[[#This Row],[Evento / Mercado]],FIND("vs",base[[#This Row],[Evento / Mercado]])-2)</f>
        <v>Valencia</v>
      </c>
      <c r="R13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319" s="132" t="str">
        <f>LEFT(base[[#This Row],[Evento / Mercado]],FIND("/",base[[#This Row],[Evento / Mercado]])-2)</f>
        <v>Valencia vs Celta de Vigo</v>
      </c>
    </row>
    <row r="1320" spans="2:19" ht="15" customHeight="1">
      <c r="B1320" s="128" t="s">
        <v>1145</v>
      </c>
      <c r="C1320" s="128" t="s">
        <v>2982</v>
      </c>
      <c r="D1320" s="129">
        <v>46117.582974537036</v>
      </c>
      <c r="E1320" s="130">
        <v>68.19</v>
      </c>
      <c r="F1320" s="131">
        <v>4.4999999999999998E-2</v>
      </c>
      <c r="G1320" s="126">
        <f t="shared" si="21"/>
        <v>71.403141361256544</v>
      </c>
      <c r="H1320" s="126" t="s">
        <v>231</v>
      </c>
      <c r="I1320" s="127" t="s">
        <v>266</v>
      </c>
      <c r="J1320" s="126">
        <v>1.68</v>
      </c>
      <c r="K1320" s="126">
        <v>105</v>
      </c>
      <c r="L1320" s="129">
        <f>INT(base[[#This Row],[Data de liquidação]])</f>
        <v>46117</v>
      </c>
      <c r="M1320" s="126">
        <f>base[[#This Row],[L/P Bruto]]-base[[#This Row],[L/P Líquido]]</f>
        <v>3.2131413612565467</v>
      </c>
      <c r="N1320" s="126">
        <f>base[[#This Row],[L/P Líquido]]/base[[#This Row],[Stake/Responsabilidade]]</f>
        <v>0.64942857142857136</v>
      </c>
      <c r="O1320" s="132">
        <f>IF(base[[#This Row],[L/P Líquido]]&gt;0,1,0)</f>
        <v>1</v>
      </c>
      <c r="P1320" s="132"/>
      <c r="Q1320" s="132" t="str">
        <f>LEFT(base[[#This Row],[Evento / Mercado]],FIND("vs",base[[#This Row],[Evento / Mercado]])-2)</f>
        <v>Eintracht Frankfurt</v>
      </c>
      <c r="R13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Köln</v>
      </c>
      <c r="S1320" s="132" t="str">
        <f>LEFT(base[[#This Row],[Evento / Mercado]],FIND("/",base[[#This Row],[Evento / Mercado]])-2)</f>
        <v>Eintracht Frankfurt vs 1. FC Köln</v>
      </c>
    </row>
    <row r="1321" spans="2:19" ht="15" customHeight="1">
      <c r="B1321" s="128" t="s">
        <v>1144</v>
      </c>
      <c r="C1321" s="128" t="s">
        <v>2982</v>
      </c>
      <c r="D1321" s="129">
        <v>46117.632523148146</v>
      </c>
      <c r="E1321" s="130">
        <v>74.2</v>
      </c>
      <c r="F1321" s="131">
        <v>4.4999999999999998E-2</v>
      </c>
      <c r="G1321" s="126">
        <f t="shared" si="21"/>
        <v>77.696335078534034</v>
      </c>
      <c r="H1321" s="126" t="s">
        <v>231</v>
      </c>
      <c r="I1321" s="127" t="s">
        <v>232</v>
      </c>
      <c r="J1321" s="126">
        <v>1.74</v>
      </c>
      <c r="K1321" s="126">
        <v>105</v>
      </c>
      <c r="L1321" s="129">
        <f>INT(base[[#This Row],[Data de liquidação]])</f>
        <v>46117</v>
      </c>
      <c r="M1321" s="126">
        <f>base[[#This Row],[L/P Bruto]]-base[[#This Row],[L/P Líquido]]</f>
        <v>3.496335078534031</v>
      </c>
      <c r="N1321" s="126">
        <f>base[[#This Row],[L/P Líquido]]/base[[#This Row],[Stake/Responsabilidade]]</f>
        <v>0.70666666666666667</v>
      </c>
      <c r="O1321" s="132">
        <f>IF(base[[#This Row],[L/P Líquido]]&gt;0,1,0)</f>
        <v>1</v>
      </c>
      <c r="P1321" s="132"/>
      <c r="Q1321" s="132" t="str">
        <f>LEFT(base[[#This Row],[Evento / Mercado]],FIND("vs",base[[#This Row],[Evento / Mercado]])-2)</f>
        <v>Alemannia Aachen</v>
      </c>
      <c r="R13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Wehen Wiesbaden</v>
      </c>
      <c r="S1321" s="132" t="str">
        <f>LEFT(base[[#This Row],[Evento / Mercado]],FIND("/",base[[#This Row],[Evento / Mercado]])-2)</f>
        <v>Alemannia Aachen vs SV Wehen Wiesbaden</v>
      </c>
    </row>
    <row r="1322" spans="2:19" ht="15" customHeight="1">
      <c r="B1322" s="128" t="s">
        <v>1143</v>
      </c>
      <c r="C1322" s="128" t="s">
        <v>2982</v>
      </c>
      <c r="D1322" s="129">
        <v>46117.804375</v>
      </c>
      <c r="E1322" s="130">
        <v>99.02</v>
      </c>
      <c r="F1322" s="131">
        <v>4.4999999999999998E-2</v>
      </c>
      <c r="G1322" s="126">
        <f t="shared" si="21"/>
        <v>103.68586387434554</v>
      </c>
      <c r="H1322" s="126" t="s">
        <v>231</v>
      </c>
      <c r="I1322" s="127" t="s">
        <v>266</v>
      </c>
      <c r="J1322" s="126">
        <v>1.99</v>
      </c>
      <c r="K1322" s="126">
        <v>104.73</v>
      </c>
      <c r="L1322" s="129">
        <f>INT(base[[#This Row],[Data de liquidação]])</f>
        <v>46117</v>
      </c>
      <c r="M1322" s="126">
        <f>base[[#This Row],[L/P Bruto]]-base[[#This Row],[L/P Líquido]]</f>
        <v>4.6658638743455469</v>
      </c>
      <c r="N1322" s="126">
        <f>base[[#This Row],[L/P Líquido]]/base[[#This Row],[Stake/Responsabilidade]]</f>
        <v>0.94547885037716028</v>
      </c>
      <c r="O1322" s="132">
        <f>IF(base[[#This Row],[L/P Líquido]]&gt;0,1,0)</f>
        <v>1</v>
      </c>
      <c r="P1322" s="132"/>
      <c r="Q1322" s="132" t="str">
        <f>LEFT(base[[#This Row],[Evento / Mercado]],FIND("vs",base[[#This Row],[Evento / Mercado]])-2)</f>
        <v>Atlético Mineiro</v>
      </c>
      <c r="R13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1322" s="132" t="str">
        <f>LEFT(base[[#This Row],[Evento / Mercado]],FIND("/",base[[#This Row],[Evento / Mercado]])-2)</f>
        <v>Atlético Mineiro vs Athlético Paranaense</v>
      </c>
    </row>
    <row r="1323" spans="2:19" ht="15" customHeight="1">
      <c r="B1323" s="128" t="s">
        <v>1142</v>
      </c>
      <c r="C1323" s="128" t="s">
        <v>2982</v>
      </c>
      <c r="D1323" s="129">
        <v>46117.815266203703</v>
      </c>
      <c r="E1323" s="130">
        <v>39.159999999999997</v>
      </c>
      <c r="F1323" s="131">
        <v>4.4999999999999998E-2</v>
      </c>
      <c r="G1323" s="126">
        <f t="shared" si="21"/>
        <v>41.005235602094238</v>
      </c>
      <c r="H1323" s="126" t="s">
        <v>145</v>
      </c>
      <c r="I1323" s="127" t="s">
        <v>301</v>
      </c>
      <c r="J1323" s="126">
        <v>11</v>
      </c>
      <c r="K1323" s="126">
        <v>410</v>
      </c>
      <c r="L1323" s="129">
        <f>INT(base[[#This Row],[Data de liquidação]])</f>
        <v>46117</v>
      </c>
      <c r="M1323" s="126">
        <f>base[[#This Row],[L/P Bruto]]-base[[#This Row],[L/P Líquido]]</f>
        <v>1.8452356020942418</v>
      </c>
      <c r="N1323" s="126">
        <f>base[[#This Row],[L/P Líquido]]/base[[#This Row],[Stake/Responsabilidade]]</f>
        <v>9.5512195121951207E-2</v>
      </c>
      <c r="O1323" s="132">
        <f>IF(base[[#This Row],[L/P Líquido]]&gt;0,1,0)</f>
        <v>1</v>
      </c>
      <c r="P1323" s="132" t="s">
        <v>1058</v>
      </c>
      <c r="Q1323" s="132" t="str">
        <f>LEFT(base[[#This Row],[Evento / Mercado]],FIND("vs",base[[#This Row],[Evento / Mercado]])-2)</f>
        <v>Flamengo</v>
      </c>
      <c r="R13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323" s="132" t="str">
        <f>LEFT(base[[#This Row],[Evento / Mercado]],FIND("/",base[[#This Row],[Evento / Mercado]])-2)</f>
        <v>Flamengo vs Santos FC</v>
      </c>
    </row>
    <row r="1324" spans="2:19" ht="15" customHeight="1">
      <c r="B1324" s="128" t="s">
        <v>1141</v>
      </c>
      <c r="C1324" s="128" t="s">
        <v>2982</v>
      </c>
      <c r="D1324" s="129">
        <v>46117.938321759262</v>
      </c>
      <c r="E1324" s="130">
        <v>69.92</v>
      </c>
      <c r="F1324" s="131">
        <v>4.4999999999999998E-2</v>
      </c>
      <c r="G1324" s="126">
        <f t="shared" si="21"/>
        <v>73.214659685863879</v>
      </c>
      <c r="H1324" s="126" t="s">
        <v>145</v>
      </c>
      <c r="I1324" s="127" t="s">
        <v>301</v>
      </c>
      <c r="J1324" s="126">
        <v>6.6</v>
      </c>
      <c r="K1324" s="126">
        <v>409.98</v>
      </c>
      <c r="L1324" s="129">
        <f>INT(base[[#This Row],[Data de liquidação]])</f>
        <v>46117</v>
      </c>
      <c r="M1324" s="126">
        <f>base[[#This Row],[L/P Bruto]]-base[[#This Row],[L/P Líquido]]</f>
        <v>3.294659685863877</v>
      </c>
      <c r="N1324" s="126">
        <f>base[[#This Row],[L/P Líquido]]/base[[#This Row],[Stake/Responsabilidade]]</f>
        <v>0.17054490462949412</v>
      </c>
      <c r="O1324" s="132">
        <f>IF(base[[#This Row],[L/P Líquido]]&gt;0,1,0)</f>
        <v>1</v>
      </c>
      <c r="P1324" s="132" t="s">
        <v>1058</v>
      </c>
      <c r="Q1324" s="132" t="str">
        <f>LEFT(base[[#This Row],[Evento / Mercado]],FIND("vs",base[[#This Row],[Evento / Mercado]])-2)</f>
        <v>Grêmio FBPA</v>
      </c>
      <c r="R13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1324" s="132" t="str">
        <f>LEFT(base[[#This Row],[Evento / Mercado]],FIND("/",base[[#This Row],[Evento / Mercado]])-2)</f>
        <v>Grêmio FBPA vs Clube do Remo</v>
      </c>
    </row>
    <row r="1325" spans="2:19" ht="15" customHeight="1">
      <c r="B1325" s="128" t="s">
        <v>1178</v>
      </c>
      <c r="C1325" s="128" t="s">
        <v>2982</v>
      </c>
      <c r="D1325" s="129">
        <v>46118.522962962961</v>
      </c>
      <c r="E1325" s="130">
        <v>-105</v>
      </c>
      <c r="F1325" s="131">
        <v>4.4999999999999998E-2</v>
      </c>
      <c r="G1325" s="126">
        <f t="shared" si="21"/>
        <v>-105</v>
      </c>
      <c r="H1325" s="126" t="s">
        <v>231</v>
      </c>
      <c r="I1325" s="127" t="s">
        <v>233</v>
      </c>
      <c r="J1325" s="126">
        <v>1.96</v>
      </c>
      <c r="K1325" s="126">
        <v>105</v>
      </c>
      <c r="L1325" s="129">
        <f>INT(base[[#This Row],[Data de liquidação]])</f>
        <v>46118</v>
      </c>
      <c r="M1325" s="126">
        <f>base[[#This Row],[L/P Bruto]]-base[[#This Row],[L/P Líquido]]</f>
        <v>0</v>
      </c>
      <c r="N1325" s="126">
        <f>base[[#This Row],[L/P Líquido]]/base[[#This Row],[Stake/Responsabilidade]]</f>
        <v>-1</v>
      </c>
      <c r="O1325" s="132">
        <f>IF(base[[#This Row],[L/P Líquido]]&gt;0,1,0)</f>
        <v>0</v>
      </c>
      <c r="P1325" s="132"/>
      <c r="Q1325" s="132" t="str">
        <f>LEFT(base[[#This Row],[Evento / Mercado]],FIND("vs",base[[#This Row],[Evento / Mercado]])-2)</f>
        <v>De Graafschap</v>
      </c>
      <c r="R13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AZ Alkmaar</v>
      </c>
      <c r="S1325" s="132" t="str">
        <f>LEFT(base[[#This Row],[Evento / Mercado]],FIND("/",base[[#This Row],[Evento / Mercado]])-2)</f>
        <v>De Graafschap vs Jong AZ Alkmaar</v>
      </c>
    </row>
    <row r="1326" spans="2:19" ht="15" customHeight="1">
      <c r="B1326" s="128" t="s">
        <v>1177</v>
      </c>
      <c r="C1326" s="128" t="s">
        <v>2982</v>
      </c>
      <c r="D1326" s="129">
        <v>46118.58965277778</v>
      </c>
      <c r="E1326" s="130">
        <v>32.880000000000003</v>
      </c>
      <c r="F1326" s="131">
        <v>4.4999999999999998E-2</v>
      </c>
      <c r="G1326" s="126">
        <f t="shared" si="21"/>
        <v>34.42931937172775</v>
      </c>
      <c r="H1326" s="126" t="s">
        <v>211</v>
      </c>
      <c r="I1326" s="127" t="s">
        <v>1179</v>
      </c>
      <c r="J1326" s="126">
        <v>2.78</v>
      </c>
      <c r="K1326" s="126">
        <v>150</v>
      </c>
      <c r="L1326" s="129">
        <f>INT(base[[#This Row],[Data de liquidação]])</f>
        <v>46118</v>
      </c>
      <c r="M1326" s="126">
        <f>base[[#This Row],[L/P Bruto]]-base[[#This Row],[L/P Líquido]]</f>
        <v>1.5493193717277478</v>
      </c>
      <c r="N1326" s="126">
        <f>base[[#This Row],[L/P Líquido]]/base[[#This Row],[Stake/Responsabilidade]]</f>
        <v>0.21920000000000001</v>
      </c>
      <c r="O1326" s="132">
        <f>IF(base[[#This Row],[L/P Líquido]]&gt;0,1,0)</f>
        <v>1</v>
      </c>
      <c r="P1326" s="132"/>
      <c r="Q1326" s="132" t="str">
        <f>LEFT(base[[#This Row],[Evento / Mercado]],FIND("vs",base[[#This Row],[Evento / Mercado]])-2)</f>
        <v>Sampdoria</v>
      </c>
      <c r="R13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1326" s="132" t="str">
        <f>LEFT(base[[#This Row],[Evento / Mercado]],FIND("/",base[[#This Row],[Evento / Mercado]])-2)</f>
        <v>Sampdoria vs Empoli</v>
      </c>
    </row>
    <row r="1327" spans="2:19" ht="15" customHeight="1">
      <c r="B1327" s="128" t="s">
        <v>1176</v>
      </c>
      <c r="C1327" s="128" t="s">
        <v>2982</v>
      </c>
      <c r="D1327" s="129">
        <v>46118.62122685185</v>
      </c>
      <c r="E1327" s="130">
        <v>37.14</v>
      </c>
      <c r="F1327" s="131">
        <v>4.4999999999999998E-2</v>
      </c>
      <c r="G1327" s="126">
        <f t="shared" si="21"/>
        <v>38.890052356020945</v>
      </c>
      <c r="H1327" s="126" t="s">
        <v>145</v>
      </c>
      <c r="I1327" s="127" t="s">
        <v>301</v>
      </c>
      <c r="J1327" s="126">
        <v>10</v>
      </c>
      <c r="K1327" s="126">
        <v>350.01</v>
      </c>
      <c r="L1327" s="129">
        <f>INT(base[[#This Row],[Data de liquidação]])</f>
        <v>46118</v>
      </c>
      <c r="M1327" s="126">
        <f>base[[#This Row],[L/P Bruto]]-base[[#This Row],[L/P Líquido]]</f>
        <v>1.7500523560209444</v>
      </c>
      <c r="N1327" s="126">
        <f>base[[#This Row],[L/P Líquido]]/base[[#This Row],[Stake/Responsabilidade]]</f>
        <v>0.10611125396417245</v>
      </c>
      <c r="O1327" s="132">
        <f>IF(base[[#This Row],[L/P Líquido]]&gt;0,1,0)</f>
        <v>1</v>
      </c>
      <c r="P1327" s="132" t="s">
        <v>969</v>
      </c>
      <c r="Q1327" s="132" t="str">
        <f>LEFT(base[[#This Row],[Evento / Mercado]],FIND("vs",base[[#This Row],[Evento / Mercado]])-2)</f>
        <v>Juventus</v>
      </c>
      <c r="R13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1327" s="132" t="str">
        <f>LEFT(base[[#This Row],[Evento / Mercado]],FIND("/",base[[#This Row],[Evento / Mercado]])-2)</f>
        <v>Juventus vs Genoa</v>
      </c>
    </row>
    <row r="1328" spans="2:19" ht="15" customHeight="1">
      <c r="B1328" s="128" t="s">
        <v>1175</v>
      </c>
      <c r="C1328" s="128" t="s">
        <v>2982</v>
      </c>
      <c r="D1328" s="129">
        <v>46118.737754629627</v>
      </c>
      <c r="E1328" s="130">
        <v>-63.16</v>
      </c>
      <c r="F1328" s="131">
        <v>4.4999999999999998E-2</v>
      </c>
      <c r="G1328" s="126">
        <f t="shared" si="21"/>
        <v>-63.16</v>
      </c>
      <c r="H1328" s="126" t="s">
        <v>211</v>
      </c>
      <c r="I1328" s="127" t="s">
        <v>1179</v>
      </c>
      <c r="J1328" s="126">
        <v>2.88</v>
      </c>
      <c r="K1328" s="126">
        <v>148.43</v>
      </c>
      <c r="L1328" s="129">
        <f>INT(base[[#This Row],[Data de liquidação]])</f>
        <v>46118</v>
      </c>
      <c r="M1328" s="126">
        <f>base[[#This Row],[L/P Bruto]]-base[[#This Row],[L/P Líquido]]</f>
        <v>0</v>
      </c>
      <c r="N1328" s="126">
        <f>base[[#This Row],[L/P Líquido]]/base[[#This Row],[Stake/Responsabilidade]]</f>
        <v>-0.42552044734891864</v>
      </c>
      <c r="O1328" s="132">
        <f>IF(base[[#This Row],[L/P Líquido]]&gt;0,1,0)</f>
        <v>0</v>
      </c>
      <c r="P1328" s="132"/>
      <c r="Q1328" s="132" t="str">
        <f>LEFT(base[[#This Row],[Evento / Mercado]],FIND("vs",base[[#This Row],[Evento / Mercado]])-2)</f>
        <v>Napoli</v>
      </c>
      <c r="R13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Milan</v>
      </c>
      <c r="S1328" s="132" t="str">
        <f>LEFT(base[[#This Row],[Evento / Mercado]],FIND("/",base[[#This Row],[Evento / Mercado]])-2)</f>
        <v>Napoli vs AC Milan</v>
      </c>
    </row>
    <row r="1329" spans="2:19" ht="15" customHeight="1">
      <c r="B1329" s="128" t="s">
        <v>1174</v>
      </c>
      <c r="C1329" s="128" t="s">
        <v>2982</v>
      </c>
      <c r="D1329" s="129">
        <v>46118.744664351849</v>
      </c>
      <c r="E1329" s="130">
        <v>-105</v>
      </c>
      <c r="F1329" s="131">
        <v>4.4999999999999998E-2</v>
      </c>
      <c r="G1329" s="126">
        <f t="shared" si="21"/>
        <v>-105</v>
      </c>
      <c r="H1329" s="126" t="s">
        <v>231</v>
      </c>
      <c r="I1329" s="127" t="s">
        <v>266</v>
      </c>
      <c r="J1329" s="126">
        <v>1.69</v>
      </c>
      <c r="K1329" s="126">
        <v>105</v>
      </c>
      <c r="L1329" s="129">
        <f>INT(base[[#This Row],[Data de liquidação]])</f>
        <v>46118</v>
      </c>
      <c r="M1329" s="126">
        <f>base[[#This Row],[L/P Bruto]]-base[[#This Row],[L/P Líquido]]</f>
        <v>0</v>
      </c>
      <c r="N1329" s="126">
        <f>base[[#This Row],[L/P Líquido]]/base[[#This Row],[Stake/Responsabilidade]]</f>
        <v>-1</v>
      </c>
      <c r="O1329" s="132">
        <f>IF(base[[#This Row],[L/P Líquido]]&gt;0,1,0)</f>
        <v>0</v>
      </c>
      <c r="P1329" s="132"/>
      <c r="Q1329" s="132" t="str">
        <f>LEFT(base[[#This Row],[Evento / Mercado]],FIND("vs",base[[#This Row],[Evento / Mercado]])-2)</f>
        <v>Hull City</v>
      </c>
      <c r="R13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1329" s="132" t="str">
        <f>LEFT(base[[#This Row],[Evento / Mercado]],FIND("/",base[[#This Row],[Evento / Mercado]])-2)</f>
        <v>Hull City vs Coventry City</v>
      </c>
    </row>
    <row r="1330" spans="2:19" ht="15" customHeight="1">
      <c r="B1330" s="128" t="s">
        <v>1173</v>
      </c>
      <c r="C1330" s="128" t="s">
        <v>2982</v>
      </c>
      <c r="D1330" s="129">
        <v>46118.746006944442</v>
      </c>
      <c r="E1330" s="130">
        <v>-105</v>
      </c>
      <c r="F1330" s="131">
        <v>4.4999999999999998E-2</v>
      </c>
      <c r="G1330" s="126">
        <f t="shared" si="21"/>
        <v>-105</v>
      </c>
      <c r="H1330" s="126" t="s">
        <v>231</v>
      </c>
      <c r="I1330" s="127" t="s">
        <v>232</v>
      </c>
      <c r="J1330" s="126">
        <v>1.72</v>
      </c>
      <c r="K1330" s="126">
        <v>105</v>
      </c>
      <c r="L1330" s="129">
        <f>INT(base[[#This Row],[Data de liquidação]])</f>
        <v>46118</v>
      </c>
      <c r="M1330" s="126">
        <f>base[[#This Row],[L/P Bruto]]-base[[#This Row],[L/P Líquido]]</f>
        <v>0</v>
      </c>
      <c r="N1330" s="126">
        <f>base[[#This Row],[L/P Líquido]]/base[[#This Row],[Stake/Responsabilidade]]</f>
        <v>-1</v>
      </c>
      <c r="O1330" s="132">
        <f>IF(base[[#This Row],[L/P Líquido]]&gt;0,1,0)</f>
        <v>0</v>
      </c>
      <c r="P1330" s="132"/>
      <c r="Q1330" s="132" t="str">
        <f>LEFT(base[[#This Row],[Evento / Mercado]],FIND("vs",base[[#This Row],[Evento / Mercado]])-2)</f>
        <v>Girona</v>
      </c>
      <c r="R13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1330" s="132" t="str">
        <f>LEFT(base[[#This Row],[Evento / Mercado]],FIND("/",base[[#This Row],[Evento / Mercado]])-2)</f>
        <v>Girona vs Villarreal</v>
      </c>
    </row>
    <row r="1331" spans="2:19" ht="15" customHeight="1">
      <c r="B1331" s="128" t="s">
        <v>1172</v>
      </c>
      <c r="C1331" s="128" t="s">
        <v>2982</v>
      </c>
      <c r="D1331" s="129">
        <v>46118.746053240742</v>
      </c>
      <c r="E1331" s="130">
        <v>11.69</v>
      </c>
      <c r="F1331" s="131">
        <v>4.4999999999999998E-2</v>
      </c>
      <c r="G1331" s="126">
        <f t="shared" si="21"/>
        <v>12.240837696335079</v>
      </c>
      <c r="H1331" s="126" t="s">
        <v>211</v>
      </c>
      <c r="I1331" s="127" t="s">
        <v>1179</v>
      </c>
      <c r="J1331" s="126">
        <v>3.2</v>
      </c>
      <c r="K1331" s="126">
        <v>150</v>
      </c>
      <c r="L1331" s="129">
        <f>INT(base[[#This Row],[Data de liquidação]])</f>
        <v>46118</v>
      </c>
      <c r="M1331" s="126">
        <f>base[[#This Row],[L/P Bruto]]-base[[#This Row],[L/P Líquido]]</f>
        <v>0.55083769633507984</v>
      </c>
      <c r="N1331" s="126">
        <f>base[[#This Row],[L/P Líquido]]/base[[#This Row],[Stake/Responsabilidade]]</f>
        <v>7.7933333333333327E-2</v>
      </c>
      <c r="O1331" s="132">
        <f>IF(base[[#This Row],[L/P Líquido]]&gt;0,1,0)</f>
        <v>1</v>
      </c>
      <c r="P1331" s="132"/>
      <c r="Q1331" s="132" t="str">
        <f>LEFT(base[[#This Row],[Evento / Mercado]],FIND("vs",base[[#This Row],[Evento / Mercado]])-2)</f>
        <v>Girona</v>
      </c>
      <c r="R13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1331" s="132" t="str">
        <f>LEFT(base[[#This Row],[Evento / Mercado]],FIND("/",base[[#This Row],[Evento / Mercado]])-2)</f>
        <v>Girona vs Villarreal</v>
      </c>
    </row>
    <row r="1332" spans="2:19" ht="15" customHeight="1">
      <c r="B1332" s="128" t="s">
        <v>1191</v>
      </c>
      <c r="C1332" s="128" t="s">
        <v>2982</v>
      </c>
      <c r="D1332" s="129">
        <v>46119.665925925925</v>
      </c>
      <c r="E1332" s="130">
        <v>-104.74</v>
      </c>
      <c r="F1332" s="131">
        <v>4.4999999999999998E-2</v>
      </c>
      <c r="G1332" s="126">
        <f t="shared" si="21"/>
        <v>-104.74</v>
      </c>
      <c r="H1332" s="126" t="s">
        <v>231</v>
      </c>
      <c r="I1332" s="127" t="s">
        <v>266</v>
      </c>
      <c r="J1332" s="126">
        <v>1.82</v>
      </c>
      <c r="K1332" s="126">
        <v>104.74</v>
      </c>
      <c r="L1332" s="129">
        <f>INT(base[[#This Row],[Data de liquidação]])</f>
        <v>46119</v>
      </c>
      <c r="M1332" s="126">
        <f>base[[#This Row],[L/P Bruto]]-base[[#This Row],[L/P Líquido]]</f>
        <v>0</v>
      </c>
      <c r="N1332" s="126">
        <f>base[[#This Row],[L/P Líquido]]/base[[#This Row],[Stake/Responsabilidade]]</f>
        <v>-1</v>
      </c>
      <c r="O1332" s="132">
        <f>IF(base[[#This Row],[L/P Líquido]]&gt;0,1,0)</f>
        <v>0</v>
      </c>
      <c r="P1332" s="132"/>
      <c r="Q1332" s="132" t="str">
        <f>LEFT(base[[#This Row],[Evento / Mercado]],FIND("vs",base[[#This Row],[Evento / Mercado]])-2)</f>
        <v>MSV Duisburg</v>
      </c>
      <c r="R13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Osnabrück</v>
      </c>
      <c r="S1332" s="132" t="str">
        <f>LEFT(base[[#This Row],[Evento / Mercado]],FIND("/",base[[#This Row],[Evento / Mercado]])-2)</f>
        <v>MSV Duisburg vs VfL Osnabrück</v>
      </c>
    </row>
    <row r="1333" spans="2:19" ht="15" customHeight="1">
      <c r="B1333" s="128" t="s">
        <v>1190</v>
      </c>
      <c r="C1333" s="128" t="s">
        <v>2982</v>
      </c>
      <c r="D1333" s="129">
        <v>46119.691157407404</v>
      </c>
      <c r="E1333" s="130">
        <v>86.24</v>
      </c>
      <c r="F1333" s="131">
        <v>4.4999999999999998E-2</v>
      </c>
      <c r="G1333" s="126">
        <f t="shared" si="21"/>
        <v>90.303664921465966</v>
      </c>
      <c r="H1333" s="126" t="s">
        <v>231</v>
      </c>
      <c r="I1333" s="127" t="s">
        <v>232</v>
      </c>
      <c r="J1333" s="126">
        <v>1.86</v>
      </c>
      <c r="K1333" s="126">
        <v>105</v>
      </c>
      <c r="L1333" s="129">
        <f>INT(base[[#This Row],[Data de liquidação]])</f>
        <v>46119</v>
      </c>
      <c r="M1333" s="126">
        <f>base[[#This Row],[L/P Bruto]]-base[[#This Row],[L/P Líquido]]</f>
        <v>4.0636649214659712</v>
      </c>
      <c r="N1333" s="126">
        <f>base[[#This Row],[L/P Líquido]]/base[[#This Row],[Stake/Responsabilidade]]</f>
        <v>0.82133333333333325</v>
      </c>
      <c r="O1333" s="132">
        <f>IF(base[[#This Row],[L/P Líquido]]&gt;0,1,0)</f>
        <v>1</v>
      </c>
      <c r="P1333" s="132"/>
      <c r="Q1333" s="132" t="str">
        <f>LEFT(base[[#This Row],[Evento / Mercado]],FIND("vs",base[[#This Row],[Evento / Mercado]])-2)</f>
        <v>Wrexham</v>
      </c>
      <c r="R13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Southampton</v>
      </c>
      <c r="S1333" s="132" t="str">
        <f>LEFT(base[[#This Row],[Evento / Mercado]],FIND("/",base[[#This Row],[Evento / Mercado]])-2)</f>
        <v>Wrexham vs Southampton</v>
      </c>
    </row>
    <row r="1334" spans="2:19" ht="15" customHeight="1">
      <c r="B1334" s="128" t="s">
        <v>1189</v>
      </c>
      <c r="C1334" s="128" t="s">
        <v>2982</v>
      </c>
      <c r="D1334" s="129">
        <v>46119.704351851855</v>
      </c>
      <c r="E1334" s="130">
        <v>33.85</v>
      </c>
      <c r="F1334" s="131">
        <v>4.4999999999999998E-2</v>
      </c>
      <c r="G1334" s="126">
        <f t="shared" si="21"/>
        <v>35.445026178010473</v>
      </c>
      <c r="H1334" s="126" t="s">
        <v>145</v>
      </c>
      <c r="I1334" s="127" t="s">
        <v>301</v>
      </c>
      <c r="J1334" s="126">
        <v>12</v>
      </c>
      <c r="K1334" s="126">
        <v>389.95</v>
      </c>
      <c r="L1334" s="129">
        <f>INT(base[[#This Row],[Data de liquidação]])</f>
        <v>46119</v>
      </c>
      <c r="M1334" s="126">
        <f>base[[#This Row],[L/P Bruto]]-base[[#This Row],[L/P Líquido]]</f>
        <v>1.5950261780104711</v>
      </c>
      <c r="N1334" s="126">
        <f>base[[#This Row],[L/P Líquido]]/base[[#This Row],[Stake/Responsabilidade]]</f>
        <v>8.6806000769329414E-2</v>
      </c>
      <c r="O1334" s="132">
        <f>IF(base[[#This Row],[L/P Líquido]]&gt;0,1,0)</f>
        <v>1</v>
      </c>
      <c r="P1334" s="132" t="s">
        <v>1192</v>
      </c>
      <c r="Q1334" s="132" t="str">
        <f>LEFT(base[[#This Row],[Evento / Mercado]],FIND("vs",base[[#This Row],[Evento / Mercado]])-2)</f>
        <v>FC Vaduz</v>
      </c>
      <c r="R13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Bellinzona</v>
      </c>
      <c r="S1334" s="132" t="str">
        <f>LEFT(base[[#This Row],[Evento / Mercado]],FIND("/",base[[#This Row],[Evento / Mercado]])-2)</f>
        <v>FC Vaduz vs AC Bellinzona</v>
      </c>
    </row>
    <row r="1335" spans="2:19" ht="15" customHeight="1">
      <c r="B1335" s="128" t="s">
        <v>1188</v>
      </c>
      <c r="C1335" s="128" t="s">
        <v>2982</v>
      </c>
      <c r="D1335" s="129">
        <v>46119.745567129627</v>
      </c>
      <c r="E1335" s="130">
        <v>15.78</v>
      </c>
      <c r="F1335" s="131">
        <v>4.4999999999999998E-2</v>
      </c>
      <c r="G1335" s="126">
        <f t="shared" si="21"/>
        <v>16.523560209424083</v>
      </c>
      <c r="H1335" s="126" t="s">
        <v>122</v>
      </c>
      <c r="I1335" s="127" t="s">
        <v>541</v>
      </c>
      <c r="J1335" s="126">
        <v>24</v>
      </c>
      <c r="K1335" s="126">
        <v>379.96</v>
      </c>
      <c r="L1335" s="129">
        <f>INT(base[[#This Row],[Data de liquidação]])</f>
        <v>46119</v>
      </c>
      <c r="M1335" s="126">
        <f>base[[#This Row],[L/P Bruto]]-base[[#This Row],[L/P Líquido]]</f>
        <v>0.74356020942408385</v>
      </c>
      <c r="N1335" s="126">
        <f>base[[#This Row],[L/P Líquido]]/base[[#This Row],[Stake/Responsabilidade]]</f>
        <v>4.153068744078324E-2</v>
      </c>
      <c r="O1335" s="132">
        <f>IF(base[[#This Row],[L/P Líquido]]&gt;0,1,0)</f>
        <v>1</v>
      </c>
      <c r="P1335" s="132" t="s">
        <v>972</v>
      </c>
      <c r="Q1335" s="132" t="str">
        <f>LEFT(base[[#This Row],[Evento / Mercado]],FIND("vs",base[[#This Row],[Evento / Mercado]])-2)</f>
        <v>Real Madrid</v>
      </c>
      <c r="R13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335" s="132" t="str">
        <f>LEFT(base[[#This Row],[Evento / Mercado]],FIND("/",base[[#This Row],[Evento / Mercado]])-2)</f>
        <v>Real Madrid vs FC Bayern München</v>
      </c>
    </row>
    <row r="1336" spans="2:19" ht="15" customHeight="1">
      <c r="B1336" s="128" t="s">
        <v>1187</v>
      </c>
      <c r="C1336" s="128" t="s">
        <v>2982</v>
      </c>
      <c r="D1336" s="129">
        <v>46119.746111111112</v>
      </c>
      <c r="E1336" s="130">
        <v>25.03</v>
      </c>
      <c r="F1336" s="131">
        <v>4.4999999999999998E-2</v>
      </c>
      <c r="G1336" s="126">
        <f t="shared" si="21"/>
        <v>26.209424083769637</v>
      </c>
      <c r="H1336" s="126" t="s">
        <v>122</v>
      </c>
      <c r="I1336" s="127" t="s">
        <v>542</v>
      </c>
      <c r="J1336" s="126">
        <v>15.5</v>
      </c>
      <c r="K1336" s="126">
        <v>380.05</v>
      </c>
      <c r="L1336" s="129">
        <f>INT(base[[#This Row],[Data de liquidação]])</f>
        <v>46119</v>
      </c>
      <c r="M1336" s="126">
        <f>base[[#This Row],[L/P Bruto]]-base[[#This Row],[L/P Líquido]]</f>
        <v>1.1794240837696357</v>
      </c>
      <c r="N1336" s="126">
        <f>base[[#This Row],[L/P Líquido]]/base[[#This Row],[Stake/Responsabilidade]]</f>
        <v>6.5859755295355871E-2</v>
      </c>
      <c r="O1336" s="132">
        <f>IF(base[[#This Row],[L/P Líquido]]&gt;0,1,0)</f>
        <v>1</v>
      </c>
      <c r="P1336" s="132" t="s">
        <v>972</v>
      </c>
      <c r="Q1336" s="132" t="str">
        <f>LEFT(base[[#This Row],[Evento / Mercado]],FIND("vs",base[[#This Row],[Evento / Mercado]])-2)</f>
        <v>Sporting CP</v>
      </c>
      <c r="R13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1336" s="132" t="str">
        <f>LEFT(base[[#This Row],[Evento / Mercado]],FIND("/",base[[#This Row],[Evento / Mercado]])-2)</f>
        <v>Sporting CP vs Arsenal</v>
      </c>
    </row>
    <row r="1337" spans="2:19" ht="15" customHeight="1">
      <c r="B1337" s="128" t="s">
        <v>1186</v>
      </c>
      <c r="C1337" s="128" t="s">
        <v>2982</v>
      </c>
      <c r="D1337" s="129">
        <v>46120.621168981481</v>
      </c>
      <c r="E1337" s="130">
        <v>-104.81</v>
      </c>
      <c r="F1337" s="131">
        <v>4.4999999999999998E-2</v>
      </c>
      <c r="G1337" s="126">
        <f t="shared" si="21"/>
        <v>-104.81</v>
      </c>
      <c r="H1337" s="126" t="s">
        <v>231</v>
      </c>
      <c r="I1337" s="127" t="s">
        <v>266</v>
      </c>
      <c r="J1337" s="126">
        <v>1.95</v>
      </c>
      <c r="K1337" s="126">
        <v>104.81</v>
      </c>
      <c r="L1337" s="129">
        <f>INT(base[[#This Row],[Data de liquidação]])</f>
        <v>46120</v>
      </c>
      <c r="M1337" s="126">
        <f>base[[#This Row],[L/P Bruto]]-base[[#This Row],[L/P Líquido]]</f>
        <v>0</v>
      </c>
      <c r="N1337" s="126">
        <f>base[[#This Row],[L/P Líquido]]/base[[#This Row],[Stake/Responsabilidade]]</f>
        <v>-1</v>
      </c>
      <c r="O1337" s="132">
        <f>IF(base[[#This Row],[L/P Líquido]]&gt;0,1,0)</f>
        <v>0</v>
      </c>
      <c r="P1337" s="132"/>
      <c r="Q1337" s="132" t="str">
        <f>LEFT(base[[#This Row],[Evento / Mercado]],FIND("vs",base[[#This Row],[Evento / Mercado]])-2)</f>
        <v>Atromitos Athens</v>
      </c>
      <c r="R13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Kifisia FC</v>
      </c>
      <c r="S1337" s="132" t="str">
        <f>LEFT(base[[#This Row],[Evento / Mercado]],FIND("/",base[[#This Row],[Evento / Mercado]])-2)</f>
        <v>Atromitos Athens vs Kifisia FC</v>
      </c>
    </row>
    <row r="1338" spans="2:19" ht="15" customHeight="1">
      <c r="B1338" s="128" t="s">
        <v>1185</v>
      </c>
      <c r="C1338" s="128" t="s">
        <v>2982</v>
      </c>
      <c r="D1338" s="129">
        <v>46120.639374999999</v>
      </c>
      <c r="E1338" s="130">
        <v>60.17</v>
      </c>
      <c r="F1338" s="131">
        <v>4.4999999999999998E-2</v>
      </c>
      <c r="G1338" s="126">
        <f t="shared" si="21"/>
        <v>63.005235602094245</v>
      </c>
      <c r="H1338" s="126" t="s">
        <v>231</v>
      </c>
      <c r="I1338" s="127" t="s">
        <v>232</v>
      </c>
      <c r="J1338" s="126">
        <v>1.6</v>
      </c>
      <c r="K1338" s="126">
        <v>105</v>
      </c>
      <c r="L1338" s="129">
        <f>INT(base[[#This Row],[Data de liquidação]])</f>
        <v>46120</v>
      </c>
      <c r="M1338" s="126">
        <f>base[[#This Row],[L/P Bruto]]-base[[#This Row],[L/P Líquido]]</f>
        <v>2.8352356020942437</v>
      </c>
      <c r="N1338" s="126">
        <f>base[[#This Row],[L/P Líquido]]/base[[#This Row],[Stake/Responsabilidade]]</f>
        <v>0.57304761904761903</v>
      </c>
      <c r="O1338" s="132">
        <f>IF(base[[#This Row],[L/P Líquido]]&gt;0,1,0)</f>
        <v>1</v>
      </c>
      <c r="P1338" s="132"/>
      <c r="Q1338" s="132" t="str">
        <f>LEFT(base[[#This Row],[Evento / Mercado]],FIND("vs",base[[#This Row],[Evento / Mercado]])-2)</f>
        <v>SC Verl</v>
      </c>
      <c r="R13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Hansa Rostock</v>
      </c>
      <c r="S1338" s="132" t="str">
        <f>LEFT(base[[#This Row],[Evento / Mercado]],FIND("/",base[[#This Row],[Evento / Mercado]])-2)</f>
        <v>SC Verl vs Hansa Rostock</v>
      </c>
    </row>
    <row r="1339" spans="2:19" ht="15" customHeight="1">
      <c r="B1339" s="128" t="s">
        <v>1184</v>
      </c>
      <c r="C1339" s="128" t="s">
        <v>2982</v>
      </c>
      <c r="D1339" s="129">
        <v>46120.646574074075</v>
      </c>
      <c r="E1339" s="130">
        <v>60.17</v>
      </c>
      <c r="F1339" s="131">
        <v>4.4999999999999998E-2</v>
      </c>
      <c r="G1339" s="126">
        <f t="shared" si="21"/>
        <v>63.005235602094245</v>
      </c>
      <c r="H1339" s="126" t="s">
        <v>231</v>
      </c>
      <c r="I1339" s="127" t="s">
        <v>266</v>
      </c>
      <c r="J1339" s="126">
        <v>1.6</v>
      </c>
      <c r="K1339" s="126">
        <v>105</v>
      </c>
      <c r="L1339" s="129">
        <f>INT(base[[#This Row],[Data de liquidação]])</f>
        <v>46120</v>
      </c>
      <c r="M1339" s="126">
        <f>base[[#This Row],[L/P Bruto]]-base[[#This Row],[L/P Líquido]]</f>
        <v>2.8352356020942437</v>
      </c>
      <c r="N1339" s="126">
        <f>base[[#This Row],[L/P Líquido]]/base[[#This Row],[Stake/Responsabilidade]]</f>
        <v>0.57304761904761903</v>
      </c>
      <c r="O1339" s="132">
        <f>IF(base[[#This Row],[L/P Líquido]]&gt;0,1,0)</f>
        <v>1</v>
      </c>
      <c r="P1339" s="132"/>
      <c r="Q1339" s="132" t="str">
        <f>LEFT(base[[#This Row],[Evento / Mercado]],FIND("vs",base[[#This Row],[Evento / Mercado]])-2)</f>
        <v>VfB Stuttgart II</v>
      </c>
      <c r="R13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SSV Ulm 1846</v>
      </c>
      <c r="S1339" s="132" t="str">
        <f>LEFT(base[[#This Row],[Evento / Mercado]],FIND("/",base[[#This Row],[Evento / Mercado]])-2)</f>
        <v>VfB Stuttgart II vs SSV Ulm 1846</v>
      </c>
    </row>
    <row r="1340" spans="2:19" ht="15" customHeight="1">
      <c r="B1340" s="128" t="s">
        <v>1183</v>
      </c>
      <c r="C1340" s="128" t="s">
        <v>2982</v>
      </c>
      <c r="D1340" s="129">
        <v>46120.663807870369</v>
      </c>
      <c r="E1340" s="130">
        <v>-105</v>
      </c>
      <c r="F1340" s="131">
        <v>4.4999999999999998E-2</v>
      </c>
      <c r="G1340" s="126">
        <f t="shared" si="21"/>
        <v>-105</v>
      </c>
      <c r="H1340" s="126" t="s">
        <v>231</v>
      </c>
      <c r="I1340" s="127" t="s">
        <v>232</v>
      </c>
      <c r="J1340" s="126">
        <v>1.73</v>
      </c>
      <c r="K1340" s="126">
        <v>105</v>
      </c>
      <c r="L1340" s="129">
        <f>INT(base[[#This Row],[Data de liquidação]])</f>
        <v>46120</v>
      </c>
      <c r="M1340" s="126">
        <f>base[[#This Row],[L/P Bruto]]-base[[#This Row],[L/P Líquido]]</f>
        <v>0</v>
      </c>
      <c r="N1340" s="126">
        <f>base[[#This Row],[L/P Líquido]]/base[[#This Row],[Stake/Responsabilidade]]</f>
        <v>-1</v>
      </c>
      <c r="O1340" s="132">
        <f>IF(base[[#This Row],[L/P Líquido]]&gt;0,1,0)</f>
        <v>0</v>
      </c>
      <c r="P1340" s="132"/>
      <c r="Q1340" s="132" t="str">
        <f>LEFT(base[[#This Row],[Evento / Mercado]],FIND("vs",base[[#This Row],[Evento / Mercado]])-2)</f>
        <v>1. FC Saarbrücken</v>
      </c>
      <c r="R13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Alemannia Aachen</v>
      </c>
      <c r="S1340" s="132" t="str">
        <f>LEFT(base[[#This Row],[Evento / Mercado]],FIND("/",base[[#This Row],[Evento / Mercado]])-2)</f>
        <v>1. FC Saarbrücken vs Alemannia Aachen</v>
      </c>
    </row>
    <row r="1341" spans="2:19" ht="15" customHeight="1">
      <c r="B1341" s="128" t="s">
        <v>1182</v>
      </c>
      <c r="C1341" s="128" t="s">
        <v>2982</v>
      </c>
      <c r="D1341" s="129">
        <v>46120.706342592595</v>
      </c>
      <c r="E1341" s="130">
        <v>27.99</v>
      </c>
      <c r="F1341" s="131">
        <v>4.4999999999999998E-2</v>
      </c>
      <c r="G1341" s="126">
        <f t="shared" si="21"/>
        <v>29.308900523560208</v>
      </c>
      <c r="H1341" s="126" t="s">
        <v>145</v>
      </c>
      <c r="I1341" s="127" t="s">
        <v>301</v>
      </c>
      <c r="J1341" s="126">
        <v>15.5</v>
      </c>
      <c r="K1341" s="126">
        <v>425</v>
      </c>
      <c r="L1341" s="129">
        <f>INT(base[[#This Row],[Data de liquidação]])</f>
        <v>46120</v>
      </c>
      <c r="M1341" s="126">
        <f>base[[#This Row],[L/P Bruto]]-base[[#This Row],[L/P Líquido]]</f>
        <v>1.3189005235602096</v>
      </c>
      <c r="N1341" s="126">
        <f>base[[#This Row],[L/P Líquido]]/base[[#This Row],[Stake/Responsabilidade]]</f>
        <v>6.5858823529411761E-2</v>
      </c>
      <c r="O1341" s="132">
        <f>IF(base[[#This Row],[L/P Líquido]]&gt;0,1,0)</f>
        <v>1</v>
      </c>
      <c r="P1341" s="132" t="s">
        <v>973</v>
      </c>
      <c r="Q1341" s="132" t="str">
        <f>LEFT(base[[#This Row],[Evento / Mercado]],FIND("vs",base[[#This Row],[Evento / Mercado]])-2)</f>
        <v>Al-Hilal Riyadh</v>
      </c>
      <c r="R13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Al-Kholood Club</v>
      </c>
      <c r="S1341" s="132" t="str">
        <f>LEFT(base[[#This Row],[Evento / Mercado]],FIND("/",base[[#This Row],[Evento / Mercado]])-2)</f>
        <v>Al-Hilal Riyadh vs Al-Kholood Club</v>
      </c>
    </row>
    <row r="1342" spans="2:19" ht="15" customHeight="1">
      <c r="B1342" s="128" t="s">
        <v>1181</v>
      </c>
      <c r="C1342" s="128" t="s">
        <v>2982</v>
      </c>
      <c r="D1342" s="129">
        <v>46120.70884259259</v>
      </c>
      <c r="E1342" s="130">
        <v>4.18</v>
      </c>
      <c r="F1342" s="131">
        <v>4.4999999999999998E-2</v>
      </c>
      <c r="G1342" s="126">
        <f t="shared" si="21"/>
        <v>4.3769633507853403</v>
      </c>
      <c r="H1342" s="126" t="s">
        <v>74</v>
      </c>
      <c r="I1342" s="127" t="s">
        <v>1057</v>
      </c>
      <c r="J1342" s="126">
        <v>9</v>
      </c>
      <c r="K1342" s="126">
        <v>35.04</v>
      </c>
      <c r="L1342" s="129">
        <f>INT(base[[#This Row],[Data de liquidação]])</f>
        <v>46120</v>
      </c>
      <c r="M1342" s="126">
        <f>base[[#This Row],[L/P Bruto]]-base[[#This Row],[L/P Líquido]]</f>
        <v>0.19696335078534055</v>
      </c>
      <c r="N1342" s="126">
        <f>base[[#This Row],[L/P Líquido]]/base[[#This Row],[Stake/Responsabilidade]]</f>
        <v>0.11929223744292237</v>
      </c>
      <c r="O1342" s="132">
        <f>IF(base[[#This Row],[L/P Líquido]]&gt;0,1,0)</f>
        <v>1</v>
      </c>
      <c r="P1342" s="132" t="s">
        <v>973</v>
      </c>
      <c r="Q1342" s="132" t="str">
        <f>LEFT(base[[#This Row],[Evento / Mercado]],FIND("vs",base[[#This Row],[Evento / Mercado]])-2)</f>
        <v>Al-Ittihad Jeddah</v>
      </c>
      <c r="R13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1342" s="132" t="str">
        <f>LEFT(base[[#This Row],[Evento / Mercado]],FIND("/",base[[#This Row],[Evento / Mercado]])-2)</f>
        <v>Al-Ittihad Jeddah vs Neom SC</v>
      </c>
    </row>
    <row r="1343" spans="2:19" ht="15" customHeight="1">
      <c r="B1343" s="128" t="s">
        <v>1180</v>
      </c>
      <c r="C1343" s="128" t="s">
        <v>2982</v>
      </c>
      <c r="D1343" s="129">
        <v>46120.744606481479</v>
      </c>
      <c r="E1343" s="130">
        <v>33.83</v>
      </c>
      <c r="F1343" s="131">
        <v>4.4999999999999998E-2</v>
      </c>
      <c r="G1343" s="126">
        <f t="shared" si="21"/>
        <v>35.424083769633505</v>
      </c>
      <c r="H1343" s="126" t="s">
        <v>122</v>
      </c>
      <c r="I1343" s="127" t="s">
        <v>477</v>
      </c>
      <c r="J1343" s="126">
        <v>13</v>
      </c>
      <c r="K1343" s="126">
        <v>425.04</v>
      </c>
      <c r="L1343" s="129">
        <f>INT(base[[#This Row],[Data de liquidação]])</f>
        <v>46120</v>
      </c>
      <c r="M1343" s="126">
        <f>base[[#This Row],[L/P Bruto]]-base[[#This Row],[L/P Líquido]]</f>
        <v>1.5940837696335066</v>
      </c>
      <c r="N1343" s="126">
        <f>base[[#This Row],[L/P Líquido]]/base[[#This Row],[Stake/Responsabilidade]]</f>
        <v>7.9592508940335024E-2</v>
      </c>
      <c r="O1343" s="132">
        <f>IF(base[[#This Row],[L/P Líquido]]&gt;0,1,0)</f>
        <v>1</v>
      </c>
      <c r="P1343" s="132" t="s">
        <v>972</v>
      </c>
      <c r="Q1343" s="132" t="str">
        <f>LEFT(base[[#This Row],[Evento / Mercado]],FIND("vs",base[[#This Row],[Evento / Mercado]])-2)</f>
        <v>Paris Saint-Germain</v>
      </c>
      <c r="R13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1343" s="132" t="str">
        <f>LEFT(base[[#This Row],[Evento / Mercado]],FIND("/",base[[#This Row],[Evento / Mercado]])-2)</f>
        <v>Paris Saint-Germain vs Liverpool</v>
      </c>
    </row>
    <row r="1344" spans="2:19" ht="15" customHeight="1">
      <c r="B1344" s="128" t="s">
        <v>1193</v>
      </c>
      <c r="C1344" s="128" t="s">
        <v>2982</v>
      </c>
      <c r="D1344" s="129">
        <v>46121.874247685184</v>
      </c>
      <c r="E1344" s="130">
        <v>51.73</v>
      </c>
      <c r="F1344" s="131">
        <v>4.4999999999999998E-2</v>
      </c>
      <c r="G1344" s="126">
        <f t="shared" si="21"/>
        <v>54.167539267015705</v>
      </c>
      <c r="H1344" s="126" t="s">
        <v>122</v>
      </c>
      <c r="I1344" s="127" t="s">
        <v>477</v>
      </c>
      <c r="J1344" s="126">
        <v>9.4</v>
      </c>
      <c r="K1344" s="126">
        <v>455.03</v>
      </c>
      <c r="L1344" s="129">
        <f>INT(base[[#This Row],[Data de liquidação]])</f>
        <v>46121</v>
      </c>
      <c r="M1344" s="126">
        <f>base[[#This Row],[L/P Bruto]]-base[[#This Row],[L/P Líquido]]</f>
        <v>2.4375392670157083</v>
      </c>
      <c r="N1344" s="126">
        <f>base[[#This Row],[L/P Líquido]]/base[[#This Row],[Stake/Responsabilidade]]</f>
        <v>0.11368481199041822</v>
      </c>
      <c r="O1344" s="132">
        <f>IF(base[[#This Row],[L/P Líquido]]&gt;0,1,0)</f>
        <v>1</v>
      </c>
      <c r="P1344" s="132" t="s">
        <v>1194</v>
      </c>
      <c r="Q1344" s="132" t="str">
        <f>LEFT(base[[#This Row],[Evento / Mercado]],FIND("vs",base[[#This Row],[Evento / Mercado]])-2)</f>
        <v>Botafogo FR</v>
      </c>
      <c r="R13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Caracas FC</v>
      </c>
      <c r="S1344" s="132" t="e">
        <f>LEFT(base[[#This Row],[Evento / Mercado]],FIND("/",base[[#This Row],[Evento / Mercado]])-2)</f>
        <v>#VALUE!</v>
      </c>
    </row>
    <row r="1345" spans="2:19" ht="15" customHeight="1">
      <c r="B1345" s="128" t="s">
        <v>1202</v>
      </c>
      <c r="C1345" s="128" t="s">
        <v>2982</v>
      </c>
      <c r="D1345" s="129">
        <v>46122.620706018519</v>
      </c>
      <c r="E1345" s="130">
        <v>64.180000000000007</v>
      </c>
      <c r="F1345" s="131">
        <v>4.4999999999999998E-2</v>
      </c>
      <c r="G1345" s="126">
        <f t="shared" si="21"/>
        <v>67.204188481675402</v>
      </c>
      <c r="H1345" s="126" t="s">
        <v>231</v>
      </c>
      <c r="I1345" s="127" t="s">
        <v>232</v>
      </c>
      <c r="J1345" s="126">
        <v>1.64</v>
      </c>
      <c r="K1345" s="126">
        <v>105</v>
      </c>
      <c r="L1345" s="129">
        <f>INT(base[[#This Row],[Data de liquidação]])</f>
        <v>46122</v>
      </c>
      <c r="M1345" s="126">
        <f>base[[#This Row],[L/P Bruto]]-base[[#This Row],[L/P Líquido]]</f>
        <v>3.0241884816753952</v>
      </c>
      <c r="N1345" s="126">
        <f>base[[#This Row],[L/P Líquido]]/base[[#This Row],[Stake/Responsabilidade]]</f>
        <v>0.61123809523809536</v>
      </c>
      <c r="O1345" s="132">
        <f>IF(base[[#This Row],[L/P Líquido]]&gt;0,1,0)</f>
        <v>1</v>
      </c>
      <c r="P1345" s="132"/>
      <c r="Q1345" s="132" t="str">
        <f>LEFT(base[[#This Row],[Evento / Mercado]],FIND("vs",base[[#This Row],[Evento / Mercado]])-2)</f>
        <v>Karlsruher SC</v>
      </c>
      <c r="R13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Arminia Bielefeld</v>
      </c>
      <c r="S1345" s="132" t="e">
        <f>LEFT(base[[#This Row],[Evento / Mercado]],FIND("/",base[[#This Row],[Evento / Mercado]])-2)</f>
        <v>#VALUE!</v>
      </c>
    </row>
    <row r="1346" spans="2:19" ht="15" customHeight="1">
      <c r="B1346" s="128" t="s">
        <v>1201</v>
      </c>
      <c r="C1346" s="128" t="s">
        <v>2982</v>
      </c>
      <c r="D1346" s="129">
        <v>46122.627581018518</v>
      </c>
      <c r="E1346" s="130">
        <v>64.180000000000007</v>
      </c>
      <c r="F1346" s="131">
        <v>4.4999999999999998E-2</v>
      </c>
      <c r="G1346" s="126">
        <f t="shared" si="21"/>
        <v>67.204188481675402</v>
      </c>
      <c r="H1346" s="126" t="s">
        <v>231</v>
      </c>
      <c r="I1346" s="127" t="s">
        <v>266</v>
      </c>
      <c r="J1346" s="126">
        <v>1.64</v>
      </c>
      <c r="K1346" s="126">
        <v>105</v>
      </c>
      <c r="L1346" s="129">
        <f>INT(base[[#This Row],[Data de liquidação]])</f>
        <v>46122</v>
      </c>
      <c r="M1346" s="126">
        <f>base[[#This Row],[L/P Bruto]]-base[[#This Row],[L/P Líquido]]</f>
        <v>3.0241884816753952</v>
      </c>
      <c r="N1346" s="126">
        <f>base[[#This Row],[L/P Líquido]]/base[[#This Row],[Stake/Responsabilidade]]</f>
        <v>0.61123809523809536</v>
      </c>
      <c r="O1346" s="132">
        <f>IF(base[[#This Row],[L/P Líquido]]&gt;0,1,0)</f>
        <v>1</v>
      </c>
      <c r="P1346" s="132"/>
      <c r="Q1346" s="132" t="str">
        <f>LEFT(base[[#This Row],[Evento / Mercado]],FIND("vs",base[[#This Row],[Evento / Mercado]])-2)</f>
        <v>Fortuna Düsseldorf</v>
      </c>
      <c r="R13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1346" s="132" t="e">
        <f>LEFT(base[[#This Row],[Evento / Mercado]],FIND("/",base[[#This Row],[Evento / Mercado]])-2)</f>
        <v>#VALUE!</v>
      </c>
    </row>
    <row r="1347" spans="2:19" ht="15" customHeight="1">
      <c r="B1347" s="128" t="s">
        <v>1201</v>
      </c>
      <c r="C1347" s="128" t="s">
        <v>2982</v>
      </c>
      <c r="D1347" s="129">
        <v>46122.647372685184</v>
      </c>
      <c r="E1347" s="130">
        <v>0.91</v>
      </c>
      <c r="F1347" s="131">
        <v>4.4999999999999998E-2</v>
      </c>
      <c r="G1347" s="126">
        <f t="shared" ref="G1347:G1410" si="22">IF(E1347&gt;0,E1347/(1-F1347),E1347)</f>
        <v>0.95287958115183258</v>
      </c>
      <c r="H1347" s="126" t="s">
        <v>211</v>
      </c>
      <c r="I1347" s="127" t="s">
        <v>1203</v>
      </c>
      <c r="J1347" s="126">
        <v>3.35</v>
      </c>
      <c r="K1347" s="126">
        <v>150</v>
      </c>
      <c r="L1347" s="129">
        <f>INT(base[[#This Row],[Data de liquidação]])</f>
        <v>46122</v>
      </c>
      <c r="M1347" s="126">
        <f>base[[#This Row],[L/P Bruto]]-base[[#This Row],[L/P Líquido]]</f>
        <v>4.2879581151832546E-2</v>
      </c>
      <c r="N1347" s="126">
        <f>base[[#This Row],[L/P Líquido]]/base[[#This Row],[Stake/Responsabilidade]]</f>
        <v>6.0666666666666673E-3</v>
      </c>
      <c r="O1347" s="132">
        <f>IF(base[[#This Row],[L/P Líquido]]&gt;0,1,0)</f>
        <v>1</v>
      </c>
      <c r="P1347" s="132"/>
      <c r="Q1347" s="132" t="str">
        <f>LEFT(base[[#This Row],[Evento / Mercado]],FIND("vs",base[[#This Row],[Evento / Mercado]])-2)</f>
        <v>Fortuna Düsseldorf</v>
      </c>
      <c r="R13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1347" s="132" t="e">
        <f>LEFT(base[[#This Row],[Evento / Mercado]],FIND("/",base[[#This Row],[Evento / Mercado]])-2)</f>
        <v>#VALUE!</v>
      </c>
    </row>
    <row r="1348" spans="2:19" ht="15" customHeight="1">
      <c r="B1348" s="128" t="s">
        <v>1200</v>
      </c>
      <c r="C1348" s="128" t="s">
        <v>2982</v>
      </c>
      <c r="D1348" s="129">
        <v>46122.72550925926</v>
      </c>
      <c r="E1348" s="130">
        <v>35.26</v>
      </c>
      <c r="F1348" s="131">
        <v>4.4999999999999998E-2</v>
      </c>
      <c r="G1348" s="126">
        <f t="shared" si="22"/>
        <v>36.921465968586389</v>
      </c>
      <c r="H1348" s="126" t="s">
        <v>74</v>
      </c>
      <c r="I1348" s="127" t="s">
        <v>542</v>
      </c>
      <c r="J1348" s="126">
        <v>14</v>
      </c>
      <c r="K1348" s="126">
        <v>479.96</v>
      </c>
      <c r="L1348" s="129">
        <f>INT(base[[#This Row],[Data de liquidação]])</f>
        <v>46122</v>
      </c>
      <c r="M1348" s="126">
        <f>base[[#This Row],[L/P Bruto]]-base[[#This Row],[L/P Líquido]]</f>
        <v>1.6614659685863913</v>
      </c>
      <c r="N1348" s="126">
        <f>base[[#This Row],[L/P Líquido]]/base[[#This Row],[Stake/Responsabilidade]]</f>
        <v>7.3464455371280935E-2</v>
      </c>
      <c r="O1348" s="132">
        <f>IF(base[[#This Row],[L/P Líquido]]&gt;0,1,0)</f>
        <v>1</v>
      </c>
      <c r="P1348" s="132" t="s">
        <v>962</v>
      </c>
      <c r="Q1348" s="132" t="str">
        <f>LEFT(base[[#This Row],[Evento / Mercado]],FIND("vs",base[[#This Row],[Evento / Mercado]])-2)</f>
        <v>FC Augsburg</v>
      </c>
      <c r="R13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1348" s="132" t="e">
        <f>LEFT(base[[#This Row],[Evento / Mercado]],FIND("/",base[[#This Row],[Evento / Mercado]])-2)</f>
        <v>#VALUE!</v>
      </c>
    </row>
    <row r="1349" spans="2:19" ht="15" customHeight="1">
      <c r="B1349" s="128" t="s">
        <v>1199</v>
      </c>
      <c r="C1349" s="128" t="s">
        <v>2982</v>
      </c>
      <c r="D1349" s="129">
        <v>46122.726493055554</v>
      </c>
      <c r="E1349" s="130">
        <v>-105</v>
      </c>
      <c r="F1349" s="131">
        <v>4.4999999999999998E-2</v>
      </c>
      <c r="G1349" s="126">
        <f t="shared" si="22"/>
        <v>-105</v>
      </c>
      <c r="H1349" s="126" t="s">
        <v>231</v>
      </c>
      <c r="I1349" s="127" t="s">
        <v>232</v>
      </c>
      <c r="J1349" s="126">
        <v>1.86</v>
      </c>
      <c r="K1349" s="126">
        <v>105</v>
      </c>
      <c r="L1349" s="129">
        <f>INT(base[[#This Row],[Data de liquidação]])</f>
        <v>46122</v>
      </c>
      <c r="M1349" s="126">
        <f>base[[#This Row],[L/P Bruto]]-base[[#This Row],[L/P Líquido]]</f>
        <v>0</v>
      </c>
      <c r="N1349" s="126">
        <f>base[[#This Row],[L/P Líquido]]/base[[#This Row],[Stake/Responsabilidade]]</f>
        <v>-1</v>
      </c>
      <c r="O1349" s="132">
        <f>IF(base[[#This Row],[L/P Líquido]]&gt;0,1,0)</f>
        <v>0</v>
      </c>
      <c r="P1349" s="132"/>
      <c r="Q1349" s="132" t="str">
        <f>LEFT(base[[#This Row],[Evento / Mercado]],FIND("vs",base[[#This Row],[Evento / Mercado]])-2)</f>
        <v>AD Ceuta FC</v>
      </c>
      <c r="R13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 B</v>
      </c>
      <c r="S1349" s="132" t="e">
        <f>LEFT(base[[#This Row],[Evento / Mercado]],FIND("/",base[[#This Row],[Evento / Mercado]])-2)</f>
        <v>#VALUE!</v>
      </c>
    </row>
    <row r="1350" spans="2:19" ht="15" customHeight="1">
      <c r="B1350" s="128" t="s">
        <v>1199</v>
      </c>
      <c r="C1350" s="128" t="s">
        <v>2982</v>
      </c>
      <c r="D1350" s="129">
        <v>46122.726527777777</v>
      </c>
      <c r="E1350" s="130">
        <v>-64.48</v>
      </c>
      <c r="F1350" s="131">
        <v>4.4999999999999998E-2</v>
      </c>
      <c r="G1350" s="126">
        <f t="shared" si="22"/>
        <v>-64.48</v>
      </c>
      <c r="H1350" s="126" t="s">
        <v>211</v>
      </c>
      <c r="I1350" s="127" t="s">
        <v>1203</v>
      </c>
      <c r="J1350" s="126">
        <v>3.15</v>
      </c>
      <c r="K1350" s="126">
        <v>150.01</v>
      </c>
      <c r="L1350" s="129">
        <f>INT(base[[#This Row],[Data de liquidação]])</f>
        <v>46122</v>
      </c>
      <c r="M1350" s="126">
        <f>base[[#This Row],[L/P Bruto]]-base[[#This Row],[L/P Líquido]]</f>
        <v>0</v>
      </c>
      <c r="N1350" s="126">
        <f>base[[#This Row],[L/P Líquido]]/base[[#This Row],[Stake/Responsabilidade]]</f>
        <v>-0.42983801079928008</v>
      </c>
      <c r="O1350" s="132">
        <f>IF(base[[#This Row],[L/P Líquido]]&gt;0,1,0)</f>
        <v>0</v>
      </c>
      <c r="P1350" s="132"/>
      <c r="Q1350" s="132" t="str">
        <f>LEFT(base[[#This Row],[Evento / Mercado]],FIND("vs",base[[#This Row],[Evento / Mercado]])-2)</f>
        <v>AD Ceuta FC</v>
      </c>
      <c r="R13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 B</v>
      </c>
      <c r="S1350" s="132" t="e">
        <f>LEFT(base[[#This Row],[Evento / Mercado]],FIND("/",base[[#This Row],[Evento / Mercado]])-2)</f>
        <v>#VALUE!</v>
      </c>
    </row>
    <row r="1351" spans="2:19" ht="15" customHeight="1">
      <c r="B1351" s="128" t="s">
        <v>1198</v>
      </c>
      <c r="C1351" s="128" t="s">
        <v>2982</v>
      </c>
      <c r="D1351" s="129">
        <v>46122.744733796295</v>
      </c>
      <c r="E1351" s="130">
        <v>23.44</v>
      </c>
      <c r="F1351" s="131">
        <v>4.4999999999999998E-2</v>
      </c>
      <c r="G1351" s="126">
        <f t="shared" si="22"/>
        <v>24.544502617801051</v>
      </c>
      <c r="H1351" s="126" t="s">
        <v>211</v>
      </c>
      <c r="I1351" s="127" t="s">
        <v>1203</v>
      </c>
      <c r="J1351" s="126">
        <v>3.2</v>
      </c>
      <c r="K1351" s="126">
        <v>150</v>
      </c>
      <c r="L1351" s="129">
        <f>INT(base[[#This Row],[Data de liquidação]])</f>
        <v>46122</v>
      </c>
      <c r="M1351" s="126">
        <f>base[[#This Row],[L/P Bruto]]-base[[#This Row],[L/P Líquido]]</f>
        <v>1.1045026178010495</v>
      </c>
      <c r="N1351" s="126">
        <f>base[[#This Row],[L/P Líquido]]/base[[#This Row],[Stake/Responsabilidade]]</f>
        <v>0.15626666666666666</v>
      </c>
      <c r="O1351" s="132">
        <f>IF(base[[#This Row],[L/P Líquido]]&gt;0,1,0)</f>
        <v>1</v>
      </c>
      <c r="P1351" s="132"/>
      <c r="Q1351" s="132" t="str">
        <f>LEFT(base[[#This Row],[Evento / Mercado]],FIND("vs",base[[#This Row],[Evento / Mercado]])-2)</f>
        <v>West Ham</v>
      </c>
      <c r="R13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Wolverhampton Wanderers</v>
      </c>
      <c r="S1351" s="132" t="e">
        <f>LEFT(base[[#This Row],[Evento / Mercado]],FIND("/",base[[#This Row],[Evento / Mercado]])-2)</f>
        <v>#VALUE!</v>
      </c>
    </row>
    <row r="1352" spans="2:19" ht="15" customHeight="1">
      <c r="B1352" s="128" t="s">
        <v>1198</v>
      </c>
      <c r="C1352" s="128" t="s">
        <v>2982</v>
      </c>
      <c r="D1352" s="129">
        <v>46122.744814814818</v>
      </c>
      <c r="E1352" s="130">
        <v>-105</v>
      </c>
      <c r="F1352" s="131">
        <v>4.4999999999999998E-2</v>
      </c>
      <c r="G1352" s="126">
        <f t="shared" si="22"/>
        <v>-105</v>
      </c>
      <c r="H1352" s="126" t="s">
        <v>231</v>
      </c>
      <c r="I1352" s="127" t="s">
        <v>266</v>
      </c>
      <c r="J1352" s="126">
        <v>1.81</v>
      </c>
      <c r="K1352" s="126">
        <v>105</v>
      </c>
      <c r="L1352" s="129">
        <f>INT(base[[#This Row],[Data de liquidação]])</f>
        <v>46122</v>
      </c>
      <c r="M1352" s="126">
        <f>base[[#This Row],[L/P Bruto]]-base[[#This Row],[L/P Líquido]]</f>
        <v>0</v>
      </c>
      <c r="N1352" s="126">
        <f>base[[#This Row],[L/P Líquido]]/base[[#This Row],[Stake/Responsabilidade]]</f>
        <v>-1</v>
      </c>
      <c r="O1352" s="132">
        <f>IF(base[[#This Row],[L/P Líquido]]&gt;0,1,0)</f>
        <v>0</v>
      </c>
      <c r="P1352" s="132"/>
      <c r="Q1352" s="132" t="str">
        <f>LEFT(base[[#This Row],[Evento / Mercado]],FIND("vs",base[[#This Row],[Evento / Mercado]])-2)</f>
        <v>West Ham</v>
      </c>
      <c r="R13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Wolverhampton Wanderers</v>
      </c>
      <c r="S1352" s="132" t="e">
        <f>LEFT(base[[#This Row],[Evento / Mercado]],FIND("/",base[[#This Row],[Evento / Mercado]])-2)</f>
        <v>#VALUE!</v>
      </c>
    </row>
    <row r="1353" spans="2:19" ht="15" customHeight="1">
      <c r="B1353" s="128" t="s">
        <v>1197</v>
      </c>
      <c r="C1353" s="128" t="s">
        <v>2982</v>
      </c>
      <c r="D1353" s="129">
        <v>46122.747291666667</v>
      </c>
      <c r="E1353" s="130">
        <v>-60.86</v>
      </c>
      <c r="F1353" s="131">
        <v>4.4999999999999998E-2</v>
      </c>
      <c r="G1353" s="126">
        <f t="shared" si="22"/>
        <v>-60.86</v>
      </c>
      <c r="H1353" s="126" t="s">
        <v>211</v>
      </c>
      <c r="I1353" s="127" t="s">
        <v>1179</v>
      </c>
      <c r="J1353" s="126">
        <v>3.1</v>
      </c>
      <c r="K1353" s="126">
        <v>150</v>
      </c>
      <c r="L1353" s="129">
        <f>INT(base[[#This Row],[Data de liquidação]])</f>
        <v>46122</v>
      </c>
      <c r="M1353" s="126">
        <f>base[[#This Row],[L/P Bruto]]-base[[#This Row],[L/P Líquido]]</f>
        <v>0</v>
      </c>
      <c r="N1353" s="126">
        <f>base[[#This Row],[L/P Líquido]]/base[[#This Row],[Stake/Responsabilidade]]</f>
        <v>-0.40573333333333333</v>
      </c>
      <c r="O1353" s="132">
        <f>IF(base[[#This Row],[L/P Líquido]]&gt;0,1,0)</f>
        <v>0</v>
      </c>
      <c r="P1353" s="132"/>
      <c r="Q1353" s="132" t="str">
        <f>LEFT(base[[#This Row],[Evento / Mercado]],FIND("vs",base[[#This Row],[Evento / Mercado]])-2)</f>
        <v>West Bromwich Albion</v>
      </c>
      <c r="R13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Millwall</v>
      </c>
      <c r="S1353" s="132" t="e">
        <f>LEFT(base[[#This Row],[Evento / Mercado]],FIND("/",base[[#This Row],[Evento / Mercado]])-2)</f>
        <v>#VALUE!</v>
      </c>
    </row>
    <row r="1354" spans="2:19" ht="15" customHeight="1">
      <c r="B1354" s="128" t="s">
        <v>1196</v>
      </c>
      <c r="C1354" s="128" t="s">
        <v>2982</v>
      </c>
      <c r="D1354" s="129">
        <v>46122.747615740744</v>
      </c>
      <c r="E1354" s="130">
        <v>47.75</v>
      </c>
      <c r="F1354" s="131">
        <v>4.4999999999999998E-2</v>
      </c>
      <c r="G1354" s="126">
        <f t="shared" si="22"/>
        <v>50</v>
      </c>
      <c r="H1354" s="126" t="s">
        <v>145</v>
      </c>
      <c r="I1354" s="127" t="s">
        <v>301</v>
      </c>
      <c r="J1354" s="126">
        <v>10</v>
      </c>
      <c r="K1354" s="126">
        <v>450</v>
      </c>
      <c r="L1354" s="129">
        <f>INT(base[[#This Row],[Data de liquidação]])</f>
        <v>46122</v>
      </c>
      <c r="M1354" s="126">
        <f>base[[#This Row],[L/P Bruto]]-base[[#This Row],[L/P Líquido]]</f>
        <v>2.25</v>
      </c>
      <c r="N1354" s="126">
        <f>base[[#This Row],[L/P Líquido]]/base[[#This Row],[Stake/Responsabilidade]]</f>
        <v>0.10611111111111111</v>
      </c>
      <c r="O1354" s="132">
        <f>IF(base[[#This Row],[L/P Líquido]]&gt;0,1,0)</f>
        <v>1</v>
      </c>
      <c r="P1354" s="132" t="s">
        <v>964</v>
      </c>
      <c r="Q1354" s="132" t="str">
        <f>LEFT(base[[#This Row],[Evento / Mercado]],FIND("vs",base[[#This Row],[Evento / Mercado]])-2)</f>
        <v>Real Madrid</v>
      </c>
      <c r="R13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Girona</v>
      </c>
      <c r="S1354" s="132" t="e">
        <f>LEFT(base[[#This Row],[Evento / Mercado]],FIND("/",base[[#This Row],[Evento / Mercado]])-2)</f>
        <v>#VALUE!</v>
      </c>
    </row>
    <row r="1355" spans="2:19" ht="15" customHeight="1">
      <c r="B1355" s="128" t="s">
        <v>1195</v>
      </c>
      <c r="C1355" s="128" t="s">
        <v>2982</v>
      </c>
      <c r="D1355" s="129">
        <v>46122.7497337963</v>
      </c>
      <c r="E1355" s="130">
        <v>33.06</v>
      </c>
      <c r="F1355" s="131">
        <v>4.4999999999999998E-2</v>
      </c>
      <c r="G1355" s="126">
        <f t="shared" si="22"/>
        <v>34.617801047120423</v>
      </c>
      <c r="H1355" s="126" t="s">
        <v>145</v>
      </c>
      <c r="I1355" s="127" t="s">
        <v>301</v>
      </c>
      <c r="J1355" s="126">
        <v>14</v>
      </c>
      <c r="K1355" s="126">
        <v>450.06</v>
      </c>
      <c r="L1355" s="129">
        <f>INT(base[[#This Row],[Data de liquidação]])</f>
        <v>46122</v>
      </c>
      <c r="M1355" s="126">
        <f>base[[#This Row],[L/P Bruto]]-base[[#This Row],[L/P Líquido]]</f>
        <v>1.5578010471204209</v>
      </c>
      <c r="N1355" s="126">
        <f>base[[#This Row],[L/P Líquido]]/base[[#This Row],[Stake/Responsabilidade]]</f>
        <v>7.3456872417011071E-2</v>
      </c>
      <c r="O1355" s="132">
        <f>IF(base[[#This Row],[L/P Líquido]]&gt;0,1,0)</f>
        <v>1</v>
      </c>
      <c r="P1355" s="132" t="s">
        <v>970</v>
      </c>
      <c r="Q1355" s="132" t="str">
        <f>LEFT(base[[#This Row],[Evento / Mercado]],FIND("vs",base[[#This Row],[Evento / Mercado]])-2)</f>
        <v>Olympique Marseille</v>
      </c>
      <c r="R13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Metz</v>
      </c>
      <c r="S1355" s="132" t="e">
        <f>LEFT(base[[#This Row],[Evento / Mercado]],FIND("/",base[[#This Row],[Evento / Mercado]])-2)</f>
        <v>#VALUE!</v>
      </c>
    </row>
    <row r="1356" spans="2:19" ht="15" customHeight="1">
      <c r="B1356" s="128" t="s">
        <v>1218</v>
      </c>
      <c r="C1356" s="128" t="s">
        <v>2982</v>
      </c>
      <c r="D1356" s="129">
        <v>46123.413240740738</v>
      </c>
      <c r="E1356" s="130">
        <v>-49.76</v>
      </c>
      <c r="F1356" s="131">
        <v>4.4999999999999998E-2</v>
      </c>
      <c r="G1356" s="126">
        <f t="shared" si="22"/>
        <v>-49.76</v>
      </c>
      <c r="H1356" s="126" t="s">
        <v>231</v>
      </c>
      <c r="I1356" s="127" t="s">
        <v>232</v>
      </c>
      <c r="J1356" s="126">
        <v>5.58</v>
      </c>
      <c r="K1356" s="126">
        <v>49.76</v>
      </c>
      <c r="L1356" s="129">
        <f>INT(base[[#This Row],[Data de liquidação]])</f>
        <v>46123</v>
      </c>
      <c r="M1356" s="126">
        <f>base[[#This Row],[L/P Bruto]]-base[[#This Row],[L/P Líquido]]</f>
        <v>0</v>
      </c>
      <c r="N1356" s="126">
        <f>base[[#This Row],[L/P Líquido]]/base[[#This Row],[Stake/Responsabilidade]]</f>
        <v>-1</v>
      </c>
      <c r="O1356" s="132">
        <f>IF(base[[#This Row],[L/P Líquido]]&gt;0,1,0)</f>
        <v>0</v>
      </c>
      <c r="P1356" s="132"/>
      <c r="Q1356" s="132" t="str">
        <f>LEFT(base[[#This Row],[Evento / Mercado]],FIND("vs",base[[#This Row],[Evento / Mercado]])-2)</f>
        <v>1. FC Nürnberg</v>
      </c>
      <c r="R13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1356" s="132" t="e">
        <f>LEFT(base[[#This Row],[Evento / Mercado]],FIND("/",base[[#This Row],[Evento / Mercado]])-2)</f>
        <v>#VALUE!</v>
      </c>
    </row>
    <row r="1357" spans="2:19" ht="15" customHeight="1">
      <c r="B1357" s="128" t="s">
        <v>1217</v>
      </c>
      <c r="C1357" s="128" t="s">
        <v>2982</v>
      </c>
      <c r="D1357" s="129">
        <v>46123.423032407409</v>
      </c>
      <c r="E1357" s="130">
        <v>99.27</v>
      </c>
      <c r="F1357" s="131">
        <v>4.4999999999999998E-2</v>
      </c>
      <c r="G1357" s="126">
        <f t="shared" si="22"/>
        <v>103.94764397905759</v>
      </c>
      <c r="H1357" s="126" t="s">
        <v>231</v>
      </c>
      <c r="I1357" s="127" t="s">
        <v>266</v>
      </c>
      <c r="J1357" s="126">
        <v>1.99</v>
      </c>
      <c r="K1357" s="126">
        <v>105</v>
      </c>
      <c r="L1357" s="129">
        <f>INT(base[[#This Row],[Data de liquidação]])</f>
        <v>46123</v>
      </c>
      <c r="M1357" s="126">
        <f>base[[#This Row],[L/P Bruto]]-base[[#This Row],[L/P Líquido]]</f>
        <v>4.6776439790575921</v>
      </c>
      <c r="N1357" s="126">
        <f>base[[#This Row],[L/P Líquido]]/base[[#This Row],[Stake/Responsabilidade]]</f>
        <v>0.9454285714285714</v>
      </c>
      <c r="O1357" s="132">
        <f>IF(base[[#This Row],[L/P Líquido]]&gt;0,1,0)</f>
        <v>1</v>
      </c>
      <c r="P1357" s="132"/>
      <c r="Q1357" s="132" t="str">
        <f>LEFT(base[[#This Row],[Evento / Mercado]],FIND("vs",base[[#This Row],[Evento / Mercado]])-2)</f>
        <v>Milton Keynes Dons</v>
      </c>
      <c r="R13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Bromley</v>
      </c>
      <c r="S1357" s="132" t="e">
        <f>LEFT(base[[#This Row],[Evento / Mercado]],FIND("/",base[[#This Row],[Evento / Mercado]])-2)</f>
        <v>#VALUE!</v>
      </c>
    </row>
    <row r="1358" spans="2:19" ht="15" customHeight="1">
      <c r="B1358" s="128" t="s">
        <v>1216</v>
      </c>
      <c r="C1358" s="128" t="s">
        <v>2982</v>
      </c>
      <c r="D1358" s="129">
        <v>46123.472673611112</v>
      </c>
      <c r="E1358" s="130">
        <v>82.23</v>
      </c>
      <c r="F1358" s="131">
        <v>4.4999999999999998E-2</v>
      </c>
      <c r="G1358" s="126">
        <f t="shared" si="22"/>
        <v>86.104712041884824</v>
      </c>
      <c r="H1358" s="126" t="s">
        <v>231</v>
      </c>
      <c r="I1358" s="127" t="s">
        <v>266</v>
      </c>
      <c r="J1358" s="126">
        <v>1.82</v>
      </c>
      <c r="K1358" s="126">
        <v>105</v>
      </c>
      <c r="L1358" s="129">
        <f>INT(base[[#This Row],[Data de liquidação]])</f>
        <v>46123</v>
      </c>
      <c r="M1358" s="126">
        <f>base[[#This Row],[L/P Bruto]]-base[[#This Row],[L/P Líquido]]</f>
        <v>3.8747120418848198</v>
      </c>
      <c r="N1358" s="126">
        <f>base[[#This Row],[L/P Líquido]]/base[[#This Row],[Stake/Responsabilidade]]</f>
        <v>0.78314285714285714</v>
      </c>
      <c r="O1358" s="132">
        <f>IF(base[[#This Row],[L/P Líquido]]&gt;0,1,0)</f>
        <v>1</v>
      </c>
      <c r="P1358" s="132"/>
      <c r="Q1358" s="132" t="str">
        <f>LEFT(base[[#This Row],[Evento / Mercado]],FIND("vs",base[[#This Row],[Evento / Mercado]])-2)</f>
        <v>Virtus Entella</v>
      </c>
      <c r="R13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Venezia</v>
      </c>
      <c r="S1358" s="132" t="e">
        <f>LEFT(base[[#This Row],[Evento / Mercado]],FIND("/",base[[#This Row],[Evento / Mercado]])-2)</f>
        <v>#VALUE!</v>
      </c>
    </row>
    <row r="1359" spans="2:19" ht="15" customHeight="1">
      <c r="B1359" s="128" t="s">
        <v>1215</v>
      </c>
      <c r="C1359" s="128" t="s">
        <v>2982</v>
      </c>
      <c r="D1359" s="129">
        <v>46123.516226851854</v>
      </c>
      <c r="E1359" s="130">
        <v>23.88</v>
      </c>
      <c r="F1359" s="131">
        <v>4.4999999999999998E-2</v>
      </c>
      <c r="G1359" s="126">
        <f t="shared" si="22"/>
        <v>25.005235602094242</v>
      </c>
      <c r="H1359" s="126" t="s">
        <v>74</v>
      </c>
      <c r="I1359" s="127" t="s">
        <v>477</v>
      </c>
      <c r="J1359" s="126">
        <v>15</v>
      </c>
      <c r="K1359" s="126">
        <v>350</v>
      </c>
      <c r="L1359" s="129">
        <f>INT(base[[#This Row],[Data de liquidação]])</f>
        <v>46123</v>
      </c>
      <c r="M1359" s="126">
        <f>base[[#This Row],[L/P Bruto]]-base[[#This Row],[L/P Líquido]]</f>
        <v>1.1252356020942429</v>
      </c>
      <c r="N1359" s="126">
        <f>base[[#This Row],[L/P Líquido]]/base[[#This Row],[Stake/Responsabilidade]]</f>
        <v>6.822857142857143E-2</v>
      </c>
      <c r="O1359" s="132">
        <f>IF(base[[#This Row],[L/P Líquido]]&gt;0,1,0)</f>
        <v>1</v>
      </c>
      <c r="P1359" s="132" t="s">
        <v>962</v>
      </c>
      <c r="Q1359" s="132" t="str">
        <f>LEFT(base[[#This Row],[Evento / Mercado]],FIND("vs",base[[#This Row],[Evento / Mercado]])-2)</f>
        <v>Borussia Dortmund</v>
      </c>
      <c r="R13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Bayer 04 Leverkusen</v>
      </c>
      <c r="S1359" s="132" t="e">
        <f>LEFT(base[[#This Row],[Evento / Mercado]],FIND("/",base[[#This Row],[Evento / Mercado]])-2)</f>
        <v>#VALUE!</v>
      </c>
    </row>
    <row r="1360" spans="2:19" ht="15" customHeight="1">
      <c r="B1360" s="128" t="s">
        <v>1214</v>
      </c>
      <c r="C1360" s="128" t="s">
        <v>2982</v>
      </c>
      <c r="D1360" s="129">
        <v>46123.517835648148</v>
      </c>
      <c r="E1360" s="130">
        <v>-349.97</v>
      </c>
      <c r="F1360" s="131">
        <v>4.4999999999999998E-2</v>
      </c>
      <c r="G1360" s="126">
        <f t="shared" si="22"/>
        <v>-349.97</v>
      </c>
      <c r="H1360" s="126" t="s">
        <v>74</v>
      </c>
      <c r="I1360" s="127" t="s">
        <v>477</v>
      </c>
      <c r="J1360" s="126">
        <v>11.5</v>
      </c>
      <c r="K1360" s="126">
        <v>349.97</v>
      </c>
      <c r="L1360" s="129">
        <f>INT(base[[#This Row],[Data de liquidação]])</f>
        <v>46123</v>
      </c>
      <c r="M1360" s="126">
        <f>base[[#This Row],[L/P Bruto]]-base[[#This Row],[L/P Líquido]]</f>
        <v>0</v>
      </c>
      <c r="N1360" s="126">
        <f>base[[#This Row],[L/P Líquido]]/base[[#This Row],[Stake/Responsabilidade]]</f>
        <v>-1</v>
      </c>
      <c r="O1360" s="132">
        <f>IF(base[[#This Row],[L/P Líquido]]&gt;0,1,0)</f>
        <v>0</v>
      </c>
      <c r="P1360" s="132" t="s">
        <v>962</v>
      </c>
      <c r="Q1360" s="132" t="str">
        <f>LEFT(base[[#This Row],[Evento / Mercado]],FIND("vs",base[[#This Row],[Evento / Mercado]])-2)</f>
        <v>RB Leipzig</v>
      </c>
      <c r="R13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1360" s="132" t="e">
        <f>LEFT(base[[#This Row],[Evento / Mercado]],FIND("/",base[[#This Row],[Evento / Mercado]])-2)</f>
        <v>#VALUE!</v>
      </c>
    </row>
    <row r="1361" spans="2:19" ht="15" customHeight="1">
      <c r="B1361" s="128" t="s">
        <v>1213</v>
      </c>
      <c r="C1361" s="128" t="s">
        <v>2982</v>
      </c>
      <c r="D1361" s="129">
        <v>46123.521620370368</v>
      </c>
      <c r="E1361" s="130">
        <v>83.23</v>
      </c>
      <c r="F1361" s="131">
        <v>4.4999999999999998E-2</v>
      </c>
      <c r="G1361" s="126">
        <f t="shared" si="22"/>
        <v>87.15183246073299</v>
      </c>
      <c r="H1361" s="126" t="s">
        <v>231</v>
      </c>
      <c r="I1361" s="127" t="s">
        <v>232</v>
      </c>
      <c r="J1361" s="126">
        <v>1.83</v>
      </c>
      <c r="K1361" s="126">
        <v>105</v>
      </c>
      <c r="L1361" s="129">
        <f>INT(base[[#This Row],[Data de liquidação]])</f>
        <v>46123</v>
      </c>
      <c r="M1361" s="126">
        <f>base[[#This Row],[L/P Bruto]]-base[[#This Row],[L/P Líquido]]</f>
        <v>3.9218324607329862</v>
      </c>
      <c r="N1361" s="126">
        <f>base[[#This Row],[L/P Líquido]]/base[[#This Row],[Stake/Responsabilidade]]</f>
        <v>0.79266666666666674</v>
      </c>
      <c r="O1361" s="132">
        <f>IF(base[[#This Row],[L/P Líquido]]&gt;0,1,0)</f>
        <v>1</v>
      </c>
      <c r="P1361" s="132"/>
      <c r="Q1361" s="132" t="str">
        <f>LEFT(base[[#This Row],[Evento / Mercado]],FIND("vs",base[[#This Row],[Evento / Mercado]])-2)</f>
        <v>Southampton</v>
      </c>
      <c r="R13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Derby County</v>
      </c>
      <c r="S1361" s="132" t="e">
        <f>LEFT(base[[#This Row],[Evento / Mercado]],FIND("/",base[[#This Row],[Evento / Mercado]])-2)</f>
        <v>#VALUE!</v>
      </c>
    </row>
    <row r="1362" spans="2:19" ht="15" customHeight="1">
      <c r="B1362" s="128" t="s">
        <v>1212</v>
      </c>
      <c r="C1362" s="128" t="s">
        <v>2982</v>
      </c>
      <c r="D1362" s="129">
        <v>46123.539305555554</v>
      </c>
      <c r="E1362" s="130">
        <v>30.39</v>
      </c>
      <c r="F1362" s="131">
        <v>4.4999999999999998E-2</v>
      </c>
      <c r="G1362" s="126">
        <f t="shared" si="22"/>
        <v>31.821989528795815</v>
      </c>
      <c r="H1362" s="126" t="s">
        <v>145</v>
      </c>
      <c r="I1362" s="127" t="s">
        <v>301</v>
      </c>
      <c r="J1362" s="126">
        <v>12</v>
      </c>
      <c r="K1362" s="126">
        <v>350.02</v>
      </c>
      <c r="L1362" s="129">
        <f>INT(base[[#This Row],[Data de liquidação]])</f>
        <v>46123</v>
      </c>
      <c r="M1362" s="126">
        <f>base[[#This Row],[L/P Bruto]]-base[[#This Row],[L/P Líquido]]</f>
        <v>1.431989528795814</v>
      </c>
      <c r="N1362" s="126">
        <f>base[[#This Row],[L/P Líquido]]/base[[#This Row],[Stake/Responsabilidade]]</f>
        <v>8.6823610079424032E-2</v>
      </c>
      <c r="O1362" s="132">
        <f>IF(base[[#This Row],[L/P Líquido]]&gt;0,1,0)</f>
        <v>1</v>
      </c>
      <c r="P1362" s="132" t="s">
        <v>981</v>
      </c>
      <c r="Q1362" s="132" t="str">
        <f>LEFT(base[[#This Row],[Evento / Mercado]],FIND("vs",base[[#This Row],[Evento / Mercado]])-2)</f>
        <v>Celtic</v>
      </c>
      <c r="R13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 Mirren</v>
      </c>
      <c r="S1362" s="132" t="e">
        <f>LEFT(base[[#This Row],[Evento / Mercado]],FIND("/",base[[#This Row],[Evento / Mercado]])-2)</f>
        <v>#VALUE!</v>
      </c>
    </row>
    <row r="1363" spans="2:19" ht="15" customHeight="1">
      <c r="B1363" s="128" t="s">
        <v>1211</v>
      </c>
      <c r="C1363" s="128" t="s">
        <v>2982</v>
      </c>
      <c r="D1363" s="129">
        <v>46123.547858796293</v>
      </c>
      <c r="E1363" s="130">
        <v>-105</v>
      </c>
      <c r="F1363" s="131">
        <v>4.4999999999999998E-2</v>
      </c>
      <c r="G1363" s="126">
        <f t="shared" si="22"/>
        <v>-105</v>
      </c>
      <c r="H1363" s="126" t="s">
        <v>231</v>
      </c>
      <c r="I1363" s="127" t="s">
        <v>266</v>
      </c>
      <c r="J1363" s="126">
        <v>1.8</v>
      </c>
      <c r="K1363" s="126">
        <v>105</v>
      </c>
      <c r="L1363" s="129">
        <f>INT(base[[#This Row],[Data de liquidação]])</f>
        <v>46123</v>
      </c>
      <c r="M1363" s="126">
        <f>base[[#This Row],[L/P Bruto]]-base[[#This Row],[L/P Líquido]]</f>
        <v>0</v>
      </c>
      <c r="N1363" s="126">
        <f>base[[#This Row],[L/P Líquido]]/base[[#This Row],[Stake/Responsabilidade]]</f>
        <v>-1</v>
      </c>
      <c r="O1363" s="132">
        <f>IF(base[[#This Row],[L/P Líquido]]&gt;0,1,0)</f>
        <v>0</v>
      </c>
      <c r="P1363" s="132"/>
      <c r="Q1363" s="132" t="str">
        <f>LEFT(base[[#This Row],[Evento / Mercado]],FIND("vs",base[[#This Row],[Evento / Mercado]])-2)</f>
        <v>Elche CF</v>
      </c>
      <c r="R13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Valencia</v>
      </c>
      <c r="S1363" s="132" t="e">
        <f>LEFT(base[[#This Row],[Evento / Mercado]],FIND("/",base[[#This Row],[Evento / Mercado]])-2)</f>
        <v>#VALUE!</v>
      </c>
    </row>
    <row r="1364" spans="2:19" ht="15" customHeight="1">
      <c r="B1364" s="128" t="s">
        <v>1210</v>
      </c>
      <c r="C1364" s="128" t="s">
        <v>2982</v>
      </c>
      <c r="D1364" s="129">
        <v>46123.640347222223</v>
      </c>
      <c r="E1364" s="130">
        <v>-105</v>
      </c>
      <c r="F1364" s="131">
        <v>4.4999999999999998E-2</v>
      </c>
      <c r="G1364" s="126">
        <f t="shared" si="22"/>
        <v>-105</v>
      </c>
      <c r="H1364" s="126" t="s">
        <v>231</v>
      </c>
      <c r="I1364" s="127" t="s">
        <v>266</v>
      </c>
      <c r="J1364" s="126">
        <v>1.65</v>
      </c>
      <c r="K1364" s="126">
        <v>105</v>
      </c>
      <c r="L1364" s="129">
        <f>INT(base[[#This Row],[Data de liquidação]])</f>
        <v>46123</v>
      </c>
      <c r="M1364" s="126">
        <f>base[[#This Row],[L/P Bruto]]-base[[#This Row],[L/P Líquido]]</f>
        <v>0</v>
      </c>
      <c r="N1364" s="126">
        <f>base[[#This Row],[L/P Líquido]]/base[[#This Row],[Stake/Responsabilidade]]</f>
        <v>-1</v>
      </c>
      <c r="O1364" s="132">
        <f>IF(base[[#This Row],[L/P Líquido]]&gt;0,1,0)</f>
        <v>0</v>
      </c>
      <c r="P1364" s="132"/>
      <c r="Q1364" s="132" t="str">
        <f>LEFT(base[[#This Row],[Evento / Mercado]],FIND("vs",base[[#This Row],[Evento / Mercado]])-2)</f>
        <v>Liverpool</v>
      </c>
      <c r="R13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1364" s="132" t="e">
        <f>LEFT(base[[#This Row],[Evento / Mercado]],FIND("/",base[[#This Row],[Evento / Mercado]])-2)</f>
        <v>#VALUE!</v>
      </c>
    </row>
    <row r="1365" spans="2:19" ht="15" customHeight="1">
      <c r="B1365" s="128" t="s">
        <v>1209</v>
      </c>
      <c r="C1365" s="128" t="s">
        <v>2982</v>
      </c>
      <c r="D1365" s="129">
        <v>46123.645949074074</v>
      </c>
      <c r="E1365" s="130">
        <v>41.24</v>
      </c>
      <c r="F1365" s="131">
        <v>4.4999999999999998E-2</v>
      </c>
      <c r="G1365" s="126">
        <f t="shared" si="22"/>
        <v>43.183246073298434</v>
      </c>
      <c r="H1365" s="126" t="s">
        <v>145</v>
      </c>
      <c r="I1365" s="127" t="s">
        <v>301</v>
      </c>
      <c r="J1365" s="126">
        <v>9.8000000000000007</v>
      </c>
      <c r="K1365" s="126">
        <v>379.98</v>
      </c>
      <c r="L1365" s="129">
        <f>INT(base[[#This Row],[Data de liquidação]])</f>
        <v>46123</v>
      </c>
      <c r="M1365" s="126">
        <f>base[[#This Row],[L/P Bruto]]-base[[#This Row],[L/P Líquido]]</f>
        <v>1.9432460732984325</v>
      </c>
      <c r="N1365" s="126">
        <f>base[[#This Row],[L/P Líquido]]/base[[#This Row],[Stake/Responsabilidade]]</f>
        <v>0.10853202800147377</v>
      </c>
      <c r="O1365" s="132">
        <f>IF(base[[#This Row],[L/P Líquido]]&gt;0,1,0)</f>
        <v>1</v>
      </c>
      <c r="P1365" s="132" t="s">
        <v>964</v>
      </c>
      <c r="Q1365" s="132" t="str">
        <f>LEFT(base[[#This Row],[Evento / Mercado]],FIND("vs",base[[#This Row],[Evento / Mercado]])-2)</f>
        <v>FC Barcelona</v>
      </c>
      <c r="R13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Espanyol</v>
      </c>
      <c r="S1365" s="132" t="e">
        <f>LEFT(base[[#This Row],[Evento / Mercado]],FIND("/",base[[#This Row],[Evento / Mercado]])-2)</f>
        <v>#VALUE!</v>
      </c>
    </row>
    <row r="1366" spans="2:19" ht="15" customHeight="1">
      <c r="B1366" s="128" t="s">
        <v>1208</v>
      </c>
      <c r="C1366" s="128" t="s">
        <v>2982</v>
      </c>
      <c r="D1366" s="129">
        <v>46123.727442129632</v>
      </c>
      <c r="E1366" s="130">
        <v>-105</v>
      </c>
      <c r="F1366" s="131">
        <v>4.4999999999999998E-2</v>
      </c>
      <c r="G1366" s="126">
        <f t="shared" si="22"/>
        <v>-105</v>
      </c>
      <c r="H1366" s="126" t="s">
        <v>231</v>
      </c>
      <c r="I1366" s="127" t="s">
        <v>232</v>
      </c>
      <c r="J1366" s="126">
        <v>1.72</v>
      </c>
      <c r="K1366" s="126">
        <v>105</v>
      </c>
      <c r="L1366" s="129">
        <f>INT(base[[#This Row],[Data de liquidação]])</f>
        <v>46123</v>
      </c>
      <c r="M1366" s="126">
        <f>base[[#This Row],[L/P Bruto]]-base[[#This Row],[L/P Líquido]]</f>
        <v>0</v>
      </c>
      <c r="N1366" s="126">
        <f>base[[#This Row],[L/P Líquido]]/base[[#This Row],[Stake/Responsabilidade]]</f>
        <v>-1</v>
      </c>
      <c r="O1366" s="132">
        <f>IF(base[[#This Row],[L/P Líquido]]&gt;0,1,0)</f>
        <v>0</v>
      </c>
      <c r="P1366" s="132"/>
      <c r="Q1366" s="132" t="str">
        <f>LEFT(base[[#This Row],[Evento / Mercado]],FIND("vs",base[[#This Row],[Evento / Mercado]])-2)</f>
        <v>SV Darmstadt 98</v>
      </c>
      <c r="R13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Hannover 96</v>
      </c>
      <c r="S1366" s="132" t="e">
        <f>LEFT(base[[#This Row],[Evento / Mercado]],FIND("/",base[[#This Row],[Evento / Mercado]])-2)</f>
        <v>#VALUE!</v>
      </c>
    </row>
    <row r="1367" spans="2:19" ht="15" customHeight="1">
      <c r="B1367" s="128" t="s">
        <v>1207</v>
      </c>
      <c r="C1367" s="128" t="s">
        <v>2982</v>
      </c>
      <c r="D1367" s="129">
        <v>46123.746817129628</v>
      </c>
      <c r="E1367" s="130">
        <v>29.44</v>
      </c>
      <c r="F1367" s="131">
        <v>4.4999999999999998E-2</v>
      </c>
      <c r="G1367" s="126">
        <f t="shared" si="22"/>
        <v>30.827225130890056</v>
      </c>
      <c r="H1367" s="126" t="s">
        <v>74</v>
      </c>
      <c r="I1367" s="127" t="s">
        <v>541</v>
      </c>
      <c r="J1367" s="126">
        <v>13</v>
      </c>
      <c r="K1367" s="126">
        <v>369.96</v>
      </c>
      <c r="L1367" s="129">
        <f>INT(base[[#This Row],[Data de liquidação]])</f>
        <v>46123</v>
      </c>
      <c r="M1367" s="126">
        <f>base[[#This Row],[L/P Bruto]]-base[[#This Row],[L/P Líquido]]</f>
        <v>1.3872251308900552</v>
      </c>
      <c r="N1367" s="126">
        <f>base[[#This Row],[L/P Líquido]]/base[[#This Row],[Stake/Responsabilidade]]</f>
        <v>7.9576170396799664E-2</v>
      </c>
      <c r="O1367" s="132">
        <f>IF(base[[#This Row],[L/P Líquido]]&gt;0,1,0)</f>
        <v>1</v>
      </c>
      <c r="P1367" s="132" t="s">
        <v>967</v>
      </c>
      <c r="Q1367" s="132" t="str">
        <f>LEFT(base[[#This Row],[Evento / Mercado]],FIND("vs",base[[#This Row],[Evento / Mercado]])-2)</f>
        <v>Heracles Almelo</v>
      </c>
      <c r="R13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1367" s="132" t="e">
        <f>LEFT(base[[#This Row],[Evento / Mercado]],FIND("/",base[[#This Row],[Evento / Mercado]])-2)</f>
        <v>#VALUE!</v>
      </c>
    </row>
    <row r="1368" spans="2:19" ht="15" customHeight="1">
      <c r="B1368" s="128" t="s">
        <v>1206</v>
      </c>
      <c r="C1368" s="128" t="s">
        <v>2982</v>
      </c>
      <c r="D1368" s="129">
        <v>46123.769375000003</v>
      </c>
      <c r="E1368" s="130">
        <v>-105</v>
      </c>
      <c r="F1368" s="131">
        <v>4.4999999999999998E-2</v>
      </c>
      <c r="G1368" s="126">
        <f t="shared" si="22"/>
        <v>-105</v>
      </c>
      <c r="H1368" s="126" t="s">
        <v>231</v>
      </c>
      <c r="I1368" s="127" t="s">
        <v>266</v>
      </c>
      <c r="J1368" s="126">
        <v>2.08</v>
      </c>
      <c r="K1368" s="126">
        <v>105</v>
      </c>
      <c r="L1368" s="129">
        <f>INT(base[[#This Row],[Data de liquidação]])</f>
        <v>46123</v>
      </c>
      <c r="M1368" s="126">
        <f>base[[#This Row],[L/P Bruto]]-base[[#This Row],[L/P Líquido]]</f>
        <v>0</v>
      </c>
      <c r="N1368" s="126">
        <f>base[[#This Row],[L/P Líquido]]/base[[#This Row],[Stake/Responsabilidade]]</f>
        <v>-1</v>
      </c>
      <c r="O1368" s="132">
        <f>IF(base[[#This Row],[L/P Líquido]]&gt;0,1,0)</f>
        <v>0</v>
      </c>
      <c r="P1368" s="132"/>
      <c r="Q1368" s="132" t="str">
        <f>LEFT(base[[#This Row],[Evento / Mercado]],FIND("vs",base[[#This Row],[Evento / Mercado]])-2)</f>
        <v>EC Vitória</v>
      </c>
      <c r="R13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1368" s="132" t="e">
        <f>LEFT(base[[#This Row],[Evento / Mercado]],FIND("/",base[[#This Row],[Evento / Mercado]])-2)</f>
        <v>#VALUE!</v>
      </c>
    </row>
    <row r="1369" spans="2:19" ht="15" customHeight="1">
      <c r="B1369" s="128" t="s">
        <v>1205</v>
      </c>
      <c r="C1369" s="128" t="s">
        <v>2982</v>
      </c>
      <c r="D1369" s="129">
        <v>46123.771643518521</v>
      </c>
      <c r="E1369" s="130">
        <v>-404.99</v>
      </c>
      <c r="F1369" s="131">
        <v>4.4999999999999998E-2</v>
      </c>
      <c r="G1369" s="126">
        <f t="shared" si="22"/>
        <v>-404.99</v>
      </c>
      <c r="H1369" s="126" t="s">
        <v>74</v>
      </c>
      <c r="I1369" s="127" t="s">
        <v>541</v>
      </c>
      <c r="J1369" s="126">
        <v>11.5</v>
      </c>
      <c r="K1369" s="126">
        <v>404.99</v>
      </c>
      <c r="L1369" s="129">
        <f>INT(base[[#This Row],[Data de liquidação]])</f>
        <v>46123</v>
      </c>
      <c r="M1369" s="126">
        <f>base[[#This Row],[L/P Bruto]]-base[[#This Row],[L/P Líquido]]</f>
        <v>0</v>
      </c>
      <c r="N1369" s="126">
        <f>base[[#This Row],[L/P Líquido]]/base[[#This Row],[Stake/Responsabilidade]]</f>
        <v>-1</v>
      </c>
      <c r="O1369" s="132">
        <f>IF(base[[#This Row],[L/P Líquido]]&gt;0,1,0)</f>
        <v>0</v>
      </c>
      <c r="P1369" s="132" t="s">
        <v>965</v>
      </c>
      <c r="Q1369" s="132" t="str">
        <f>LEFT(base[[#This Row],[Evento / Mercado]],FIND("vs",base[[#This Row],[Evento / Mercado]])-2)</f>
        <v>Club Football Estrela</v>
      </c>
      <c r="R13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1369" s="132" t="e">
        <f>LEFT(base[[#This Row],[Evento / Mercado]],FIND("/",base[[#This Row],[Evento / Mercado]])-2)</f>
        <v>#VALUE!</v>
      </c>
    </row>
    <row r="1370" spans="2:19" ht="15" customHeight="1">
      <c r="B1370" s="128" t="s">
        <v>1204</v>
      </c>
      <c r="C1370" s="128" t="s">
        <v>2982</v>
      </c>
      <c r="D1370" s="129">
        <v>46123.780949074076</v>
      </c>
      <c r="E1370" s="130">
        <v>83.23</v>
      </c>
      <c r="F1370" s="131">
        <v>4.4999999999999998E-2</v>
      </c>
      <c r="G1370" s="126">
        <f t="shared" si="22"/>
        <v>87.15183246073299</v>
      </c>
      <c r="H1370" s="126" t="s">
        <v>231</v>
      </c>
      <c r="I1370" s="127" t="s">
        <v>266</v>
      </c>
      <c r="J1370" s="126">
        <v>1.83</v>
      </c>
      <c r="K1370" s="126">
        <v>105</v>
      </c>
      <c r="L1370" s="129">
        <f>INT(base[[#This Row],[Data de liquidação]])</f>
        <v>46123</v>
      </c>
      <c r="M1370" s="126">
        <f>base[[#This Row],[L/P Bruto]]-base[[#This Row],[L/P Líquido]]</f>
        <v>3.9218324607329862</v>
      </c>
      <c r="N1370" s="126">
        <f>base[[#This Row],[L/P Líquido]]/base[[#This Row],[Stake/Responsabilidade]]</f>
        <v>0.79266666666666674</v>
      </c>
      <c r="O1370" s="132">
        <f>IF(base[[#This Row],[L/P Líquido]]&gt;0,1,0)</f>
        <v>1</v>
      </c>
      <c r="P1370" s="132"/>
      <c r="Q1370" s="132" t="str">
        <f>LEFT(base[[#This Row],[Evento / Mercado]],FIND("vs",base[[#This Row],[Evento / Mercado]])-2)</f>
        <v>Clube do Remo</v>
      </c>
      <c r="R13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1370" s="132" t="e">
        <f>LEFT(base[[#This Row],[Evento / Mercado]],FIND("/",base[[#This Row],[Evento / Mercado]])-2)</f>
        <v>#VALUE!</v>
      </c>
    </row>
    <row r="1371" spans="2:19" ht="15" customHeight="1">
      <c r="B1371" s="128" t="s">
        <v>1229</v>
      </c>
      <c r="C1371" s="128" t="s">
        <v>2982</v>
      </c>
      <c r="D1371" s="129">
        <v>46124.414513888885</v>
      </c>
      <c r="E1371" s="130">
        <v>-105</v>
      </c>
      <c r="F1371" s="131">
        <v>4.4999999999999998E-2</v>
      </c>
      <c r="G1371" s="126">
        <f t="shared" si="22"/>
        <v>-105</v>
      </c>
      <c r="H1371" s="126" t="s">
        <v>231</v>
      </c>
      <c r="I1371" s="127" t="s">
        <v>266</v>
      </c>
      <c r="J1371" s="126">
        <v>2.96</v>
      </c>
      <c r="K1371" s="126">
        <v>105</v>
      </c>
      <c r="L1371" s="129">
        <f>INT(base[[#This Row],[Data de liquidação]])</f>
        <v>46124</v>
      </c>
      <c r="M1371" s="126">
        <f>base[[#This Row],[L/P Bruto]]-base[[#This Row],[L/P Líquido]]</f>
        <v>0</v>
      </c>
      <c r="N1371" s="126">
        <f>base[[#This Row],[L/P Líquido]]/base[[#This Row],[Stake/Responsabilidade]]</f>
        <v>-1</v>
      </c>
      <c r="O1371" s="132">
        <f>IF(base[[#This Row],[L/P Líquido]]&gt;0,1,0)</f>
        <v>0</v>
      </c>
      <c r="P1371" s="132"/>
      <c r="Q1371" s="132" t="str">
        <f>LEFT(base[[#This Row],[Evento / Mercado]],FIND("vs",base[[#This Row],[Evento / Mercado]])-2)</f>
        <v>Birmingham City</v>
      </c>
      <c r="R13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Wrexham</v>
      </c>
      <c r="S1371" s="132" t="str">
        <f>LEFT(base[[#This Row],[Evento / Mercado]],FIND("/",base[[#This Row],[Evento / Mercado]])-2)</f>
        <v>Birmingham City vs Wrexham</v>
      </c>
    </row>
    <row r="1372" spans="2:19" ht="15" customHeight="1">
      <c r="B1372" s="128" t="s">
        <v>1228</v>
      </c>
      <c r="C1372" s="128" t="s">
        <v>2982</v>
      </c>
      <c r="D1372" s="129">
        <v>46124.443460648145</v>
      </c>
      <c r="E1372" s="130">
        <v>80.069999999999993</v>
      </c>
      <c r="F1372" s="131">
        <v>4.4999999999999998E-2</v>
      </c>
      <c r="G1372" s="126">
        <f t="shared" si="22"/>
        <v>83.842931937172764</v>
      </c>
      <c r="H1372" s="126" t="s">
        <v>231</v>
      </c>
      <c r="I1372" s="127" t="s">
        <v>266</v>
      </c>
      <c r="J1372" s="126">
        <v>1.8</v>
      </c>
      <c r="K1372" s="126">
        <v>104.8</v>
      </c>
      <c r="L1372" s="129">
        <f>INT(base[[#This Row],[Data de liquidação]])</f>
        <v>46124</v>
      </c>
      <c r="M1372" s="126">
        <f>base[[#This Row],[L/P Bruto]]-base[[#This Row],[L/P Líquido]]</f>
        <v>3.7729319371727712</v>
      </c>
      <c r="N1372" s="126">
        <f>base[[#This Row],[L/P Líquido]]/base[[#This Row],[Stake/Responsabilidade]]</f>
        <v>0.76402671755725182</v>
      </c>
      <c r="O1372" s="132">
        <f>IF(base[[#This Row],[L/P Líquido]]&gt;0,1,0)</f>
        <v>1</v>
      </c>
      <c r="P1372" s="132"/>
      <c r="Q1372" s="132" t="str">
        <f>LEFT(base[[#This Row],[Evento / Mercado]],FIND("vs",base[[#This Row],[Evento / Mercado]])-2)</f>
        <v>Nottingham Forest</v>
      </c>
      <c r="R13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1372" s="132" t="str">
        <f>LEFT(base[[#This Row],[Evento / Mercado]],FIND("/",base[[#This Row],[Evento / Mercado]])-2)</f>
        <v>Nottingham Forest vs Aston Villa</v>
      </c>
    </row>
    <row r="1373" spans="2:19" ht="15" customHeight="1">
      <c r="B1373" s="128" t="s">
        <v>1227</v>
      </c>
      <c r="C1373" s="128" t="s">
        <v>2982</v>
      </c>
      <c r="D1373" s="129">
        <v>46124.463368055556</v>
      </c>
      <c r="E1373" s="130">
        <v>-105</v>
      </c>
      <c r="F1373" s="131">
        <v>4.4999999999999998E-2</v>
      </c>
      <c r="G1373" s="126">
        <f t="shared" si="22"/>
        <v>-105</v>
      </c>
      <c r="H1373" s="126" t="s">
        <v>231</v>
      </c>
      <c r="I1373" s="127" t="s">
        <v>232</v>
      </c>
      <c r="J1373" s="126">
        <v>1.67</v>
      </c>
      <c r="K1373" s="126">
        <v>105</v>
      </c>
      <c r="L1373" s="129">
        <f>INT(base[[#This Row],[Data de liquidação]])</f>
        <v>46124</v>
      </c>
      <c r="M1373" s="126">
        <f>base[[#This Row],[L/P Bruto]]-base[[#This Row],[L/P Líquido]]</f>
        <v>0</v>
      </c>
      <c r="N1373" s="126">
        <f>base[[#This Row],[L/P Líquido]]/base[[#This Row],[Stake/Responsabilidade]]</f>
        <v>-1</v>
      </c>
      <c r="O1373" s="132">
        <f>IF(base[[#This Row],[L/P Líquido]]&gt;0,1,0)</f>
        <v>0</v>
      </c>
      <c r="P1373" s="132"/>
      <c r="Q1373" s="132" t="str">
        <f>LEFT(base[[#This Row],[Evento / Mercado]],FIND("vs",base[[#This Row],[Evento / Mercado]])-2)</f>
        <v>SønderjyskE</v>
      </c>
      <c r="R13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Viborg FF</v>
      </c>
      <c r="S1373" s="132" t="str">
        <f>LEFT(base[[#This Row],[Evento / Mercado]],FIND("/",base[[#This Row],[Evento / Mercado]])-2)</f>
        <v>SønderjyskE vs Viborg FF</v>
      </c>
    </row>
    <row r="1374" spans="2:19" ht="15" customHeight="1">
      <c r="B1374" s="128" t="s">
        <v>1226</v>
      </c>
      <c r="C1374" s="128" t="s">
        <v>2982</v>
      </c>
      <c r="D1374" s="129">
        <v>46124.479571759257</v>
      </c>
      <c r="E1374" s="130">
        <v>17.59</v>
      </c>
      <c r="F1374" s="131">
        <v>4.4999999999999998E-2</v>
      </c>
      <c r="G1374" s="126">
        <f t="shared" si="22"/>
        <v>18.418848167539267</v>
      </c>
      <c r="H1374" s="126" t="s">
        <v>74</v>
      </c>
      <c r="I1374" s="127" t="s">
        <v>476</v>
      </c>
      <c r="J1374" s="126">
        <v>20</v>
      </c>
      <c r="K1374" s="126">
        <v>349.98</v>
      </c>
      <c r="L1374" s="129">
        <f>INT(base[[#This Row],[Data de liquidação]])</f>
        <v>46124</v>
      </c>
      <c r="M1374" s="126">
        <f>base[[#This Row],[L/P Bruto]]-base[[#This Row],[L/P Líquido]]</f>
        <v>0.82884816753926671</v>
      </c>
      <c r="N1374" s="126">
        <f>base[[#This Row],[L/P Líquido]]/base[[#This Row],[Stake/Responsabilidade]]</f>
        <v>5.0260014857991885E-2</v>
      </c>
      <c r="O1374" s="132">
        <f>IF(base[[#This Row],[L/P Líquido]]&gt;0,1,0)</f>
        <v>1</v>
      </c>
      <c r="P1374" s="132" t="s">
        <v>967</v>
      </c>
      <c r="Q1374" s="132" t="str">
        <f>LEFT(base[[#This Row],[Evento / Mercado]],FIND("vs",base[[#This Row],[Evento / Mercado]])-2)</f>
        <v>NEC</v>
      </c>
      <c r="R13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1374" s="132" t="str">
        <f>LEFT(base[[#This Row],[Evento / Mercado]],FIND("/",base[[#This Row],[Evento / Mercado]])-2)</f>
        <v>NEC vs Feyenoord</v>
      </c>
    </row>
    <row r="1375" spans="2:19" ht="15" customHeight="1">
      <c r="B1375" s="128" t="s">
        <v>1225</v>
      </c>
      <c r="C1375" s="128" t="s">
        <v>2982</v>
      </c>
      <c r="D1375" s="129">
        <v>46124.539039351854</v>
      </c>
      <c r="E1375" s="130">
        <v>53.4</v>
      </c>
      <c r="F1375" s="131">
        <v>4.4999999999999998E-2</v>
      </c>
      <c r="G1375" s="126">
        <f t="shared" si="22"/>
        <v>55.916230366492151</v>
      </c>
      <c r="H1375" s="126" t="s">
        <v>145</v>
      </c>
      <c r="I1375" s="127" t="s">
        <v>301</v>
      </c>
      <c r="J1375" s="126">
        <v>8.6</v>
      </c>
      <c r="K1375" s="126">
        <v>424.99</v>
      </c>
      <c r="L1375" s="129">
        <f>INT(base[[#This Row],[Data de liquidação]])</f>
        <v>46124</v>
      </c>
      <c r="M1375" s="126">
        <f>base[[#This Row],[L/P Bruto]]-base[[#This Row],[L/P Líquido]]</f>
        <v>2.5162303664921524</v>
      </c>
      <c r="N1375" s="126">
        <f>base[[#This Row],[L/P Líquido]]/base[[#This Row],[Stake/Responsabilidade]]</f>
        <v>0.1256500152944775</v>
      </c>
      <c r="O1375" s="132">
        <f>IF(base[[#This Row],[L/P Líquido]]&gt;0,1,0)</f>
        <v>1</v>
      </c>
      <c r="P1375" s="132" t="s">
        <v>1058</v>
      </c>
      <c r="Q1375" s="132" t="str">
        <f>LEFT(base[[#This Row],[Evento / Mercado]],FIND("vs",base[[#This Row],[Evento / Mercado]])-2)</f>
        <v>Athlético Paranaense</v>
      </c>
      <c r="R13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1375" s="132" t="str">
        <f>LEFT(base[[#This Row],[Evento / Mercado]],FIND("/",base[[#This Row],[Evento / Mercado]])-2)</f>
        <v>Athlético Paranaense vs Chapecoense</v>
      </c>
    </row>
    <row r="1376" spans="2:19" ht="15" customHeight="1">
      <c r="B1376" s="128" t="s">
        <v>1224</v>
      </c>
      <c r="C1376" s="128" t="s">
        <v>2982</v>
      </c>
      <c r="D1376" s="129">
        <v>46124.558553240742</v>
      </c>
      <c r="E1376" s="130">
        <v>-105</v>
      </c>
      <c r="F1376" s="131">
        <v>4.4999999999999998E-2</v>
      </c>
      <c r="G1376" s="126">
        <f t="shared" si="22"/>
        <v>-105</v>
      </c>
      <c r="H1376" s="126" t="s">
        <v>231</v>
      </c>
      <c r="I1376" s="127" t="s">
        <v>232</v>
      </c>
      <c r="J1376" s="126">
        <v>1.66</v>
      </c>
      <c r="K1376" s="126">
        <v>105</v>
      </c>
      <c r="L1376" s="129">
        <f>INT(base[[#This Row],[Data de liquidação]])</f>
        <v>46124</v>
      </c>
      <c r="M1376" s="126">
        <f>base[[#This Row],[L/P Bruto]]-base[[#This Row],[L/P Líquido]]</f>
        <v>0</v>
      </c>
      <c r="N1376" s="126">
        <f>base[[#This Row],[L/P Líquido]]/base[[#This Row],[Stake/Responsabilidade]]</f>
        <v>-1</v>
      </c>
      <c r="O1376" s="132">
        <f>IF(base[[#This Row],[L/P Líquido]]&gt;0,1,0)</f>
        <v>0</v>
      </c>
      <c r="P1376" s="132"/>
      <c r="Q1376" s="132" t="str">
        <f>LEFT(base[[#This Row],[Evento / Mercado]],FIND("vs",base[[#This Row],[Evento / Mercado]])-2)</f>
        <v>FC Erzgebirge Aue</v>
      </c>
      <c r="R13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Verl</v>
      </c>
      <c r="S1376" s="132" t="str">
        <f>LEFT(base[[#This Row],[Evento / Mercado]],FIND("/",base[[#This Row],[Evento / Mercado]])-2)</f>
        <v>FC Erzgebirge Aue vs SC Verl</v>
      </c>
    </row>
    <row r="1377" spans="2:19" ht="15" customHeight="1">
      <c r="B1377" s="128" t="s">
        <v>1223</v>
      </c>
      <c r="C1377" s="128" t="s">
        <v>2982</v>
      </c>
      <c r="D1377" s="129">
        <v>46124.599641203706</v>
      </c>
      <c r="E1377" s="130">
        <v>45.1</v>
      </c>
      <c r="F1377" s="131">
        <v>4.4999999999999998E-2</v>
      </c>
      <c r="G1377" s="126">
        <f t="shared" si="22"/>
        <v>47.225130890052363</v>
      </c>
      <c r="H1377" s="126" t="s">
        <v>145</v>
      </c>
      <c r="I1377" s="127" t="s">
        <v>301</v>
      </c>
      <c r="J1377" s="126">
        <v>10</v>
      </c>
      <c r="K1377" s="126">
        <v>424.98</v>
      </c>
      <c r="L1377" s="129">
        <f>INT(base[[#This Row],[Data de liquidação]])</f>
        <v>46124</v>
      </c>
      <c r="M1377" s="126">
        <f>base[[#This Row],[L/P Bruto]]-base[[#This Row],[L/P Líquido]]</f>
        <v>2.1251308900523611</v>
      </c>
      <c r="N1377" s="126">
        <f>base[[#This Row],[L/P Líquido]]/base[[#This Row],[Stake/Responsabilidade]]</f>
        <v>0.1061226410654619</v>
      </c>
      <c r="O1377" s="132">
        <f>IF(base[[#This Row],[L/P Líquido]]&gt;0,1,0)</f>
        <v>1</v>
      </c>
      <c r="P1377" s="132" t="s">
        <v>962</v>
      </c>
      <c r="Q1377" s="132" t="str">
        <f>LEFT(base[[#This Row],[Evento / Mercado]],FIND("vs",base[[#This Row],[Evento / Mercado]])-2)</f>
        <v>VfB Stuttgart</v>
      </c>
      <c r="R13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377" s="132" t="str">
        <f>LEFT(base[[#This Row],[Evento / Mercado]],FIND("/",base[[#This Row],[Evento / Mercado]])-2)</f>
        <v>VfB Stuttgart vs Hamburger SV</v>
      </c>
    </row>
    <row r="1378" spans="2:19" ht="15" customHeight="1">
      <c r="B1378" s="128" t="s">
        <v>1222</v>
      </c>
      <c r="C1378" s="128" t="s">
        <v>2982</v>
      </c>
      <c r="D1378" s="129">
        <v>46124.645324074074</v>
      </c>
      <c r="E1378" s="130">
        <v>-105</v>
      </c>
      <c r="F1378" s="131">
        <v>4.4999999999999998E-2</v>
      </c>
      <c r="G1378" s="126">
        <f t="shared" si="22"/>
        <v>-105</v>
      </c>
      <c r="H1378" s="126" t="s">
        <v>231</v>
      </c>
      <c r="I1378" s="127" t="s">
        <v>266</v>
      </c>
      <c r="J1378" s="126">
        <v>1.94</v>
      </c>
      <c r="K1378" s="126">
        <v>105</v>
      </c>
      <c r="L1378" s="129">
        <f>INT(base[[#This Row],[Data de liquidação]])</f>
        <v>46124</v>
      </c>
      <c r="M1378" s="126">
        <f>base[[#This Row],[L/P Bruto]]-base[[#This Row],[L/P Líquido]]</f>
        <v>0</v>
      </c>
      <c r="N1378" s="126">
        <f>base[[#This Row],[L/P Líquido]]/base[[#This Row],[Stake/Responsabilidade]]</f>
        <v>-1</v>
      </c>
      <c r="O1378" s="132">
        <f>IF(base[[#This Row],[L/P Líquido]]&gt;0,1,0)</f>
        <v>0</v>
      </c>
      <c r="P1378" s="132"/>
      <c r="Q1378" s="132" t="str">
        <f>LEFT(base[[#This Row],[Evento / Mercado]],FIND("vs",base[[#This Row],[Evento / Mercado]])-2)</f>
        <v>Hajduk Split</v>
      </c>
      <c r="R13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HNK Gorica</v>
      </c>
      <c r="S1378" s="132" t="str">
        <f>LEFT(base[[#This Row],[Evento / Mercado]],FIND("/",base[[#This Row],[Evento / Mercado]])-2)</f>
        <v>Hajduk Split vs HNK Gorica</v>
      </c>
    </row>
    <row r="1379" spans="2:19" ht="15" customHeight="1">
      <c r="B1379" s="128" t="s">
        <v>1221</v>
      </c>
      <c r="C1379" s="128" t="s">
        <v>2982</v>
      </c>
      <c r="D1379" s="129">
        <v>46124.661620370367</v>
      </c>
      <c r="E1379" s="130">
        <v>20.29</v>
      </c>
      <c r="F1379" s="131">
        <v>4.4999999999999998E-2</v>
      </c>
      <c r="G1379" s="126">
        <f t="shared" si="22"/>
        <v>21.246073298429319</v>
      </c>
      <c r="H1379" s="126" t="s">
        <v>145</v>
      </c>
      <c r="I1379" s="127" t="s">
        <v>301</v>
      </c>
      <c r="J1379" s="126">
        <v>21</v>
      </c>
      <c r="K1379" s="126">
        <v>425</v>
      </c>
      <c r="L1379" s="129">
        <f>INT(base[[#This Row],[Data de liquidação]])</f>
        <v>46124</v>
      </c>
      <c r="M1379" s="126">
        <f>base[[#This Row],[L/P Bruto]]-base[[#This Row],[L/P Líquido]]</f>
        <v>0.95607329842932032</v>
      </c>
      <c r="N1379" s="126">
        <f>base[[#This Row],[L/P Líquido]]/base[[#This Row],[Stake/Responsabilidade]]</f>
        <v>4.7741176470588231E-2</v>
      </c>
      <c r="O1379" s="132">
        <f>IF(base[[#This Row],[L/P Líquido]]&gt;0,1,0)</f>
        <v>1</v>
      </c>
      <c r="P1379" s="132" t="s">
        <v>965</v>
      </c>
      <c r="Q1379" s="132" t="str">
        <f>LEFT(base[[#This Row],[Evento / Mercado]],FIND("vs",base[[#This Row],[Evento / Mercado]])-2)</f>
        <v>Benfica</v>
      </c>
      <c r="R13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Nacional da Madeira</v>
      </c>
      <c r="S1379" s="132" t="str">
        <f>LEFT(base[[#This Row],[Evento / Mercado]],FIND("/",base[[#This Row],[Evento / Mercado]])-2)</f>
        <v>Benfica vs Nacional da Madeira</v>
      </c>
    </row>
    <row r="1380" spans="2:19" ht="15" customHeight="1">
      <c r="B1380" s="128" t="s">
        <v>1220</v>
      </c>
      <c r="C1380" s="128" t="s">
        <v>2982</v>
      </c>
      <c r="D1380" s="129">
        <v>46124.665844907409</v>
      </c>
      <c r="E1380" s="130">
        <v>31.22</v>
      </c>
      <c r="F1380" s="131">
        <v>4.4999999999999998E-2</v>
      </c>
      <c r="G1380" s="126">
        <f t="shared" si="22"/>
        <v>32.691099476439788</v>
      </c>
      <c r="H1380" s="126" t="s">
        <v>145</v>
      </c>
      <c r="I1380" s="127" t="s">
        <v>301</v>
      </c>
      <c r="J1380" s="126">
        <v>14</v>
      </c>
      <c r="K1380" s="126">
        <v>424.97</v>
      </c>
      <c r="L1380" s="129">
        <f>INT(base[[#This Row],[Data de liquidação]])</f>
        <v>46124</v>
      </c>
      <c r="M1380" s="126">
        <f>base[[#This Row],[L/P Bruto]]-base[[#This Row],[L/P Líquido]]</f>
        <v>1.4710994764397896</v>
      </c>
      <c r="N1380" s="126">
        <f>base[[#This Row],[L/P Líquido]]/base[[#This Row],[Stake/Responsabilidade]]</f>
        <v>7.3464009224180518E-2</v>
      </c>
      <c r="O1380" s="132">
        <f>IF(base[[#This Row],[L/P Líquido]]&gt;0,1,0)</f>
        <v>1</v>
      </c>
      <c r="P1380" s="132" t="s">
        <v>966</v>
      </c>
      <c r="Q1380" s="132" t="str">
        <f>LEFT(base[[#This Row],[Evento / Mercado]],FIND("vs",base[[#This Row],[Evento / Mercado]])-2)</f>
        <v>Galatasaray SK</v>
      </c>
      <c r="R13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Kocaelispor</v>
      </c>
      <c r="S1380" s="132" t="str">
        <f>LEFT(base[[#This Row],[Evento / Mercado]],FIND("/",base[[#This Row],[Evento / Mercado]])-2)</f>
        <v>Galatasaray SK vs Kocaelispor</v>
      </c>
    </row>
    <row r="1381" spans="2:19" ht="15" customHeight="1">
      <c r="B1381" s="128" t="s">
        <v>1219</v>
      </c>
      <c r="C1381" s="128" t="s">
        <v>2982</v>
      </c>
      <c r="D1381" s="129">
        <v>46125.746840277781</v>
      </c>
      <c r="E1381" s="130">
        <v>-350</v>
      </c>
      <c r="F1381" s="131">
        <v>4.4999999999999998E-2</v>
      </c>
      <c r="G1381" s="126">
        <f t="shared" si="22"/>
        <v>-350</v>
      </c>
      <c r="H1381" s="126" t="s">
        <v>145</v>
      </c>
      <c r="I1381" s="127" t="s">
        <v>301</v>
      </c>
      <c r="J1381" s="126">
        <v>6.6</v>
      </c>
      <c r="K1381" s="126">
        <v>350</v>
      </c>
      <c r="L1381" s="129">
        <f>INT(base[[#This Row],[Data de liquidação]])</f>
        <v>46125</v>
      </c>
      <c r="M1381" s="126">
        <f>base[[#This Row],[L/P Bruto]]-base[[#This Row],[L/P Líquido]]</f>
        <v>0</v>
      </c>
      <c r="N1381" s="126">
        <f>base[[#This Row],[L/P Líquido]]/base[[#This Row],[Stake/Responsabilidade]]</f>
        <v>-1</v>
      </c>
      <c r="O1381" s="132">
        <f>IF(base[[#This Row],[L/P Líquido]]&gt;0,1,0)</f>
        <v>0</v>
      </c>
      <c r="P1381" s="132" t="s">
        <v>963</v>
      </c>
      <c r="Q1381" s="132" t="str">
        <f>LEFT(base[[#This Row],[Evento / Mercado]],FIND("vs",base[[#This Row],[Evento / Mercado]])-2)</f>
        <v>Manchester United</v>
      </c>
      <c r="R13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1381" s="132" t="str">
        <f>LEFT(base[[#This Row],[Evento / Mercado]],FIND("/",base[[#This Row],[Evento / Mercado]])-2)</f>
        <v>Manchester United vs Leeds United</v>
      </c>
    </row>
    <row r="1382" spans="2:19" ht="15" customHeight="1">
      <c r="B1382" s="128" t="s">
        <v>1232</v>
      </c>
      <c r="C1382" s="128" t="s">
        <v>2982</v>
      </c>
      <c r="D1382" s="129">
        <v>46126.709675925929</v>
      </c>
      <c r="E1382" s="130">
        <v>-10.01</v>
      </c>
      <c r="F1382" s="131">
        <v>4.4999999999999998E-2</v>
      </c>
      <c r="G1382" s="126">
        <f t="shared" si="22"/>
        <v>-10.01</v>
      </c>
      <c r="H1382" s="126" t="s">
        <v>211</v>
      </c>
      <c r="I1382" s="127" t="s">
        <v>1203</v>
      </c>
      <c r="J1382" s="126">
        <v>5.7</v>
      </c>
      <c r="K1382" s="126">
        <v>10.01</v>
      </c>
      <c r="L1382" s="129">
        <f>INT(base[[#This Row],[Data de liquidação]])</f>
        <v>46126</v>
      </c>
      <c r="M1382" s="126">
        <f>base[[#This Row],[L/P Bruto]]-base[[#This Row],[L/P Líquido]]</f>
        <v>0</v>
      </c>
      <c r="N1382" s="126">
        <f>base[[#This Row],[L/P Líquido]]/base[[#This Row],[Stake/Responsabilidade]]</f>
        <v>-1</v>
      </c>
      <c r="O1382" s="132">
        <f>IF(base[[#This Row],[L/P Líquido]]&gt;0,1,0)</f>
        <v>0</v>
      </c>
      <c r="P1382" s="132"/>
      <c r="Q1382" s="132" t="str">
        <f>LEFT(base[[#This Row],[Evento / Mercado]],FIND("vs",base[[#This Row],[Evento / Mercado]])-2)</f>
        <v>Al-Qadisiyah</v>
      </c>
      <c r="R13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Al-Shabab Riyadh</v>
      </c>
      <c r="S1382" s="132" t="str">
        <f>LEFT(base[[#This Row],[Evento / Mercado]],FIND("/",base[[#This Row],[Evento / Mercado]])-2)</f>
        <v>Al-Qadisiyah vs Al-Shabab Riyadh</v>
      </c>
    </row>
    <row r="1383" spans="2:19" ht="15" customHeight="1">
      <c r="B1383" s="128" t="s">
        <v>1231</v>
      </c>
      <c r="C1383" s="128" t="s">
        <v>2982</v>
      </c>
      <c r="D1383" s="129">
        <v>46126.750567129631</v>
      </c>
      <c r="E1383" s="130">
        <v>20.079999999999998</v>
      </c>
      <c r="F1383" s="131">
        <v>4.4999999999999998E-2</v>
      </c>
      <c r="G1383" s="126">
        <f t="shared" si="22"/>
        <v>21.026178010471202</v>
      </c>
      <c r="H1383" s="126" t="s">
        <v>74</v>
      </c>
      <c r="I1383" s="127" t="s">
        <v>1057</v>
      </c>
      <c r="J1383" s="126">
        <v>18.5</v>
      </c>
      <c r="K1383" s="126">
        <v>368.03</v>
      </c>
      <c r="L1383" s="129">
        <f>INT(base[[#This Row],[Data de liquidação]])</f>
        <v>46126</v>
      </c>
      <c r="M1383" s="126">
        <f>base[[#This Row],[L/P Bruto]]-base[[#This Row],[L/P Líquido]]</f>
        <v>0.94617801047120409</v>
      </c>
      <c r="N1383" s="126">
        <f>base[[#This Row],[L/P Líquido]]/base[[#This Row],[Stake/Responsabilidade]]</f>
        <v>5.4560769502486207E-2</v>
      </c>
      <c r="O1383" s="132">
        <f>IF(base[[#This Row],[L/P Líquido]]&gt;0,1,0)</f>
        <v>1</v>
      </c>
      <c r="P1383" s="132" t="s">
        <v>972</v>
      </c>
      <c r="Q1383" s="132" t="str">
        <f>LEFT(base[[#This Row],[Evento / Mercado]],FIND("vs",base[[#This Row],[Evento / Mercado]])-2)</f>
        <v>Atlético de Madrid</v>
      </c>
      <c r="R13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383" s="132" t="str">
        <f>LEFT(base[[#This Row],[Evento / Mercado]],FIND("/",base[[#This Row],[Evento / Mercado]])-2)</f>
        <v>Atlético de Madrid vs FC Barcelona</v>
      </c>
    </row>
    <row r="1384" spans="2:19" ht="15" customHeight="1">
      <c r="B1384" s="128" t="s">
        <v>1230</v>
      </c>
      <c r="C1384" s="128" t="s">
        <v>2982</v>
      </c>
      <c r="D1384" s="129">
        <v>46126.750879629632</v>
      </c>
      <c r="E1384" s="130">
        <v>24.49</v>
      </c>
      <c r="F1384" s="131">
        <v>4.4999999999999998E-2</v>
      </c>
      <c r="G1384" s="126">
        <f t="shared" si="22"/>
        <v>25.643979057591622</v>
      </c>
      <c r="H1384" s="126" t="s">
        <v>1233</v>
      </c>
      <c r="I1384" s="127"/>
      <c r="J1384" s="126">
        <v>4.9000000000000004</v>
      </c>
      <c r="K1384" s="126">
        <v>100</v>
      </c>
      <c r="L1384" s="129">
        <f>INT(base[[#This Row],[Data de liquidação]])</f>
        <v>46126</v>
      </c>
      <c r="M1384" s="126">
        <f>base[[#This Row],[L/P Bruto]]-base[[#This Row],[L/P Líquido]]</f>
        <v>1.1539790575916236</v>
      </c>
      <c r="N1384" s="126">
        <f>base[[#This Row],[L/P Líquido]]/base[[#This Row],[Stake/Responsabilidade]]</f>
        <v>0.24489999999999998</v>
      </c>
      <c r="O1384" s="132">
        <f>IF(base[[#This Row],[L/P Líquido]]&gt;0,1,0)</f>
        <v>1</v>
      </c>
      <c r="P1384" s="132" t="s">
        <v>972</v>
      </c>
      <c r="Q1384" s="132" t="str">
        <f>LEFT(base[[#This Row],[Evento / Mercado]],FIND("vs",base[[#This Row],[Evento / Mercado]])-2)</f>
        <v>Atlético de Madrid</v>
      </c>
      <c r="R13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384" s="132" t="str">
        <f>LEFT(base[[#This Row],[Evento / Mercado]],FIND("/",base[[#This Row],[Evento / Mercado]])-2)</f>
        <v>Atlético de Madrid vs FC Barcelona</v>
      </c>
    </row>
    <row r="1385" spans="2:19" ht="15" customHeight="1">
      <c r="B1385" s="128" t="s">
        <v>1235</v>
      </c>
      <c r="C1385" s="128" t="s">
        <v>2982</v>
      </c>
      <c r="D1385" s="129">
        <v>46127.706145833334</v>
      </c>
      <c r="E1385" s="130">
        <v>20.81</v>
      </c>
      <c r="F1385" s="131">
        <v>4.4999999999999998E-2</v>
      </c>
      <c r="G1385" s="126">
        <f t="shared" si="22"/>
        <v>21.790575916230367</v>
      </c>
      <c r="H1385" s="126" t="s">
        <v>145</v>
      </c>
      <c r="I1385" s="127" t="s">
        <v>301</v>
      </c>
      <c r="J1385" s="126">
        <v>17</v>
      </c>
      <c r="K1385" s="126">
        <v>348.68</v>
      </c>
      <c r="L1385" s="129">
        <f>INT(base[[#This Row],[Data de liquidação]])</f>
        <v>46127</v>
      </c>
      <c r="M1385" s="126">
        <f>base[[#This Row],[L/P Bruto]]-base[[#This Row],[L/P Líquido]]</f>
        <v>0.98057591623036799</v>
      </c>
      <c r="N1385" s="126">
        <f>base[[#This Row],[L/P Líquido]]/base[[#This Row],[Stake/Responsabilidade]]</f>
        <v>5.9682230125043013E-2</v>
      </c>
      <c r="O1385" s="132">
        <f>IF(base[[#This Row],[L/P Líquido]]&gt;0,1,0)</f>
        <v>1</v>
      </c>
      <c r="P1385" s="132" t="s">
        <v>973</v>
      </c>
      <c r="Q1385" s="132" t="str">
        <f>LEFT(base[[#This Row],[Evento / Mercado]],FIND("vs",base[[#This Row],[Evento / Mercado]])-2)</f>
        <v>Al-Nassr Riyadh</v>
      </c>
      <c r="R13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Al-Ettifaq</v>
      </c>
      <c r="S1385" s="132" t="str">
        <f>LEFT(base[[#This Row],[Evento / Mercado]],FIND("/",base[[#This Row],[Evento / Mercado]])-2)</f>
        <v>Al-Nassr Riyadh vs Al-Ettifaq</v>
      </c>
    </row>
    <row r="1386" spans="2:19" ht="15" customHeight="1">
      <c r="B1386" s="128" t="s">
        <v>1234</v>
      </c>
      <c r="C1386" s="128" t="s">
        <v>2982</v>
      </c>
      <c r="D1386" s="129">
        <v>46128.695833333331</v>
      </c>
      <c r="E1386" s="130">
        <v>47.75</v>
      </c>
      <c r="F1386" s="131">
        <v>4.4999999999999998E-2</v>
      </c>
      <c r="G1386" s="126">
        <f t="shared" si="22"/>
        <v>50</v>
      </c>
      <c r="H1386" s="126" t="s">
        <v>1236</v>
      </c>
      <c r="I1386" s="127" t="s">
        <v>213</v>
      </c>
      <c r="J1386" s="126">
        <v>8.1999999999999993</v>
      </c>
      <c r="K1386" s="126">
        <v>50</v>
      </c>
      <c r="L1386" s="129">
        <f>INT(base[[#This Row],[Data de liquidação]])</f>
        <v>46128</v>
      </c>
      <c r="M1386" s="126">
        <f>base[[#This Row],[L/P Bruto]]-base[[#This Row],[L/P Líquido]]</f>
        <v>2.25</v>
      </c>
      <c r="N1386" s="126">
        <f>base[[#This Row],[L/P Líquido]]/base[[#This Row],[Stake/Responsabilidade]]</f>
        <v>0.95499999999999996</v>
      </c>
      <c r="O1386" s="132">
        <f>IF(base[[#This Row],[L/P Líquido]]&gt;0,1,0)</f>
        <v>1</v>
      </c>
      <c r="P1386" s="132"/>
      <c r="Q1386" s="132" t="str">
        <f>LEFT(base[[#This Row],[Evento / Mercado]],FIND("vs",base[[#This Row],[Evento / Mercado]])-2)</f>
        <v>Aston Villa</v>
      </c>
      <c r="R13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Bologna</v>
      </c>
      <c r="S1386" s="132" t="str">
        <f>LEFT(base[[#This Row],[Evento / Mercado]],FIND("/",base[[#This Row],[Evento / Mercado]])-2)</f>
        <v>Aston Villa vs Bologna</v>
      </c>
    </row>
    <row r="1387" spans="2:19" ht="15" customHeight="1">
      <c r="B1387" s="128" t="s">
        <v>1252</v>
      </c>
      <c r="C1387" s="128" t="s">
        <v>2982</v>
      </c>
      <c r="D1387" s="129">
        <v>46128.820891203701</v>
      </c>
      <c r="E1387" s="130">
        <v>47.75</v>
      </c>
      <c r="F1387" s="131">
        <v>4.4999999999999998E-2</v>
      </c>
      <c r="G1387" s="126">
        <f t="shared" si="22"/>
        <v>50</v>
      </c>
      <c r="H1387" s="126" t="s">
        <v>1236</v>
      </c>
      <c r="I1387" s="127" t="s">
        <v>1249</v>
      </c>
      <c r="J1387" s="126">
        <v>10</v>
      </c>
      <c r="K1387" s="126">
        <v>50</v>
      </c>
      <c r="L1387" s="129">
        <f>INT(base[[#This Row],[Data de liquidação]])</f>
        <v>46128</v>
      </c>
      <c r="M1387" s="126">
        <f>base[[#This Row],[L/P Bruto]]-base[[#This Row],[L/P Líquido]]</f>
        <v>2.25</v>
      </c>
      <c r="N1387" s="126">
        <f>base[[#This Row],[L/P Líquido]]/base[[#This Row],[Stake/Responsabilidade]]</f>
        <v>0.95499999999999996</v>
      </c>
      <c r="O1387" s="132">
        <f>IF(base[[#This Row],[L/P Líquido]]&gt;0,1,0)</f>
        <v>1</v>
      </c>
      <c r="P1387" s="132"/>
      <c r="Q1387" s="132" t="str">
        <f>LEFT(base[[#This Row],[Evento / Mercado]],FIND("vs",base[[#This Row],[Evento / Mercado]])-2)</f>
        <v>Palmeiras</v>
      </c>
      <c r="R13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1387" s="132" t="str">
        <f>LEFT(base[[#This Row],[Evento / Mercado]],FIND("/",base[[#This Row],[Evento / Mercado]])-2)</f>
        <v>Palmeiras vs Sporting Cristal</v>
      </c>
    </row>
    <row r="1388" spans="2:19" ht="15" customHeight="1">
      <c r="B1388" s="128" t="s">
        <v>1251</v>
      </c>
      <c r="C1388" s="128" t="s">
        <v>2982</v>
      </c>
      <c r="D1388" s="129">
        <v>46128.860902777778</v>
      </c>
      <c r="E1388" s="130">
        <v>-63.85</v>
      </c>
      <c r="F1388" s="131">
        <v>4.4999999999999998E-2</v>
      </c>
      <c r="G1388" s="126">
        <f t="shared" si="22"/>
        <v>-63.85</v>
      </c>
      <c r="H1388" s="126" t="s">
        <v>1236</v>
      </c>
      <c r="I1388" s="127" t="s">
        <v>213</v>
      </c>
      <c r="J1388" s="126">
        <v>7.4</v>
      </c>
      <c r="K1388" s="126">
        <v>50</v>
      </c>
      <c r="L1388" s="129">
        <f>INT(base[[#This Row],[Data de liquidação]])</f>
        <v>46128</v>
      </c>
      <c r="M1388" s="126">
        <f>base[[#This Row],[L/P Bruto]]-base[[#This Row],[L/P Líquido]]</f>
        <v>0</v>
      </c>
      <c r="N1388" s="126">
        <f>base[[#This Row],[L/P Líquido]]/base[[#This Row],[Stake/Responsabilidade]]</f>
        <v>-1.2770000000000001</v>
      </c>
      <c r="O1388" s="132">
        <f>IF(base[[#This Row],[L/P Líquido]]&gt;0,1,0)</f>
        <v>0</v>
      </c>
      <c r="P1388" s="132"/>
      <c r="Q1388" s="132" t="str">
        <f>LEFT(base[[#This Row],[Evento / Mercado]],FIND("vs",base[[#This Row],[Evento / Mercado]])-2)</f>
        <v>Palmeiras</v>
      </c>
      <c r="R13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1388" s="132" t="str">
        <f>LEFT(base[[#This Row],[Evento / Mercado]],FIND("/",base[[#This Row],[Evento / Mercado]])-2)</f>
        <v>Palmeiras vs Sporting Cristal</v>
      </c>
    </row>
    <row r="1389" spans="2:19" ht="15" customHeight="1">
      <c r="B1389" s="128" t="s">
        <v>1250</v>
      </c>
      <c r="C1389" s="128" t="s">
        <v>2982</v>
      </c>
      <c r="D1389" s="129">
        <v>46128.928495370368</v>
      </c>
      <c r="E1389" s="130">
        <v>47.75</v>
      </c>
      <c r="F1389" s="131">
        <v>4.4999999999999998E-2</v>
      </c>
      <c r="G1389" s="126">
        <f t="shared" si="22"/>
        <v>50</v>
      </c>
      <c r="H1389" s="126" t="s">
        <v>1236</v>
      </c>
      <c r="I1389" s="127" t="s">
        <v>1249</v>
      </c>
      <c r="J1389" s="126">
        <v>8.4</v>
      </c>
      <c r="K1389" s="126">
        <v>50</v>
      </c>
      <c r="L1389" s="129">
        <f>INT(base[[#This Row],[Data de liquidação]])</f>
        <v>46128</v>
      </c>
      <c r="M1389" s="126">
        <f>base[[#This Row],[L/P Bruto]]-base[[#This Row],[L/P Líquido]]</f>
        <v>2.25</v>
      </c>
      <c r="N1389" s="126">
        <f>base[[#This Row],[L/P Líquido]]/base[[#This Row],[Stake/Responsabilidade]]</f>
        <v>0.95499999999999996</v>
      </c>
      <c r="O1389" s="132">
        <f>IF(base[[#This Row],[L/P Líquido]]&gt;0,1,0)</f>
        <v>1</v>
      </c>
      <c r="P1389" s="132"/>
      <c r="Q1389" s="132" t="str">
        <f>LEFT(base[[#This Row],[Evento / Mercado]],FIND("vs",base[[#This Row],[Evento / Mercado]])-2)</f>
        <v>Red Bull Bragantino</v>
      </c>
      <c r="R13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Blooming Santa Cruz</v>
      </c>
      <c r="S1389" s="132" t="str">
        <f>LEFT(base[[#This Row],[Evento / Mercado]],FIND("/",base[[#This Row],[Evento / Mercado]])-2)</f>
        <v>Red Bull Bragantino vs Blooming Santa Cruz</v>
      </c>
    </row>
    <row r="1390" spans="2:19" ht="15" customHeight="1">
      <c r="B1390" s="128" t="s">
        <v>1248</v>
      </c>
      <c r="C1390" s="128" t="s">
        <v>2982</v>
      </c>
      <c r="D1390" s="129">
        <v>46129.404120370367</v>
      </c>
      <c r="E1390" s="130">
        <v>47.75</v>
      </c>
      <c r="F1390" s="131">
        <v>4.4999999999999998E-2</v>
      </c>
      <c r="G1390" s="126">
        <f t="shared" si="22"/>
        <v>50</v>
      </c>
      <c r="H1390" s="126" t="s">
        <v>1236</v>
      </c>
      <c r="I1390" s="127" t="s">
        <v>379</v>
      </c>
      <c r="J1390" s="126">
        <v>9.6</v>
      </c>
      <c r="K1390" s="126">
        <v>50</v>
      </c>
      <c r="L1390" s="129">
        <f>INT(base[[#This Row],[Data de liquidação]])</f>
        <v>46129</v>
      </c>
      <c r="M1390" s="126">
        <f>base[[#This Row],[L/P Bruto]]-base[[#This Row],[L/P Líquido]]</f>
        <v>2.25</v>
      </c>
      <c r="N1390" s="126">
        <f>base[[#This Row],[L/P Líquido]]/base[[#This Row],[Stake/Responsabilidade]]</f>
        <v>0.95499999999999996</v>
      </c>
      <c r="O1390" s="132">
        <f>IF(base[[#This Row],[L/P Líquido]]&gt;0,1,0)</f>
        <v>1</v>
      </c>
      <c r="P1390" s="132"/>
      <c r="Q1390" s="132" t="str">
        <f>LEFT(base[[#This Row],[Evento / Mercado]],FIND("vs",base[[#This Row],[Evento / Mercado]])-2)</f>
        <v>Yunnan Yukun</v>
      </c>
      <c r="R13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1390" s="132" t="str">
        <f>LEFT(base[[#This Row],[Evento / Mercado]],FIND("/",base[[#This Row],[Evento / Mercado]])-2)</f>
        <v>Yunnan Yukun vs Tianjin Jinmenhu</v>
      </c>
    </row>
    <row r="1391" spans="2:19" ht="15" customHeight="1">
      <c r="B1391" s="128" t="s">
        <v>1247</v>
      </c>
      <c r="C1391" s="128" t="s">
        <v>2982</v>
      </c>
      <c r="D1391" s="129">
        <v>46129.671597222223</v>
      </c>
      <c r="E1391" s="130">
        <v>37.049999999999997</v>
      </c>
      <c r="F1391" s="131">
        <v>4.4999999999999998E-2</v>
      </c>
      <c r="G1391" s="126">
        <f t="shared" si="22"/>
        <v>38.795811518324605</v>
      </c>
      <c r="H1391" s="126" t="s">
        <v>122</v>
      </c>
      <c r="I1391" s="127" t="s">
        <v>477</v>
      </c>
      <c r="J1391" s="126">
        <v>11</v>
      </c>
      <c r="K1391" s="126">
        <v>388</v>
      </c>
      <c r="L1391" s="129">
        <f>INT(base[[#This Row],[Data de liquidação]])</f>
        <v>46129</v>
      </c>
      <c r="M1391" s="126">
        <f>base[[#This Row],[L/P Bruto]]-base[[#This Row],[L/P Líquido]]</f>
        <v>1.7458115183246079</v>
      </c>
      <c r="N1391" s="126">
        <f>base[[#This Row],[L/P Líquido]]/base[[#This Row],[Stake/Responsabilidade]]</f>
        <v>9.5489690721649478E-2</v>
      </c>
      <c r="O1391" s="132">
        <f>IF(base[[#This Row],[L/P Líquido]]&gt;0,1,0)</f>
        <v>1</v>
      </c>
      <c r="P1391" s="132" t="s">
        <v>966</v>
      </c>
      <c r="Q1391" s="132" t="str">
        <f>LEFT(base[[#This Row],[Evento / Mercado]],FIND("vs",base[[#This Row],[Evento / Mercado]])-2)</f>
        <v>Fenerbahçe SK</v>
      </c>
      <c r="R13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Caykur Rizespor</v>
      </c>
      <c r="S1391" s="132" t="str">
        <f>LEFT(base[[#This Row],[Evento / Mercado]],FIND("/",base[[#This Row],[Evento / Mercado]])-2)</f>
        <v>Fenerbahçe SK vs Caykur Rizespor</v>
      </c>
    </row>
    <row r="1392" spans="2:19" ht="15" customHeight="1">
      <c r="B1392" s="128" t="s">
        <v>1246</v>
      </c>
      <c r="C1392" s="128" t="s">
        <v>2982</v>
      </c>
      <c r="D1392" s="129">
        <v>46129.672071759262</v>
      </c>
      <c r="E1392" s="130">
        <v>40.69</v>
      </c>
      <c r="F1392" s="131">
        <v>4.4999999999999998E-2</v>
      </c>
      <c r="G1392" s="126">
        <f t="shared" si="22"/>
        <v>42.607329842931939</v>
      </c>
      <c r="H1392" s="126" t="s">
        <v>145</v>
      </c>
      <c r="I1392" s="127" t="s">
        <v>301</v>
      </c>
      <c r="J1392" s="126">
        <f>+(9.8*266.73+9.4*103.27)/base[[#This Row],[Stake/Responsabilidade]]</f>
        <v>9.6883567567567574</v>
      </c>
      <c r="K1392" s="126">
        <f>266.73+103.27</f>
        <v>370</v>
      </c>
      <c r="L1392" s="129">
        <f>INT(base[[#This Row],[Data de liquidação]])</f>
        <v>46129</v>
      </c>
      <c r="M1392" s="126">
        <f>base[[#This Row],[L/P Bruto]]-base[[#This Row],[L/P Líquido]]</f>
        <v>1.9173298429319416</v>
      </c>
      <c r="N1392" s="126">
        <f>base[[#This Row],[L/P Líquido]]/base[[#This Row],[Stake/Responsabilidade]]</f>
        <v>0.10997297297297297</v>
      </c>
      <c r="O1392" s="132">
        <f>IF(base[[#This Row],[L/P Líquido]]&gt;0,1,0)</f>
        <v>1</v>
      </c>
      <c r="P1392" s="132" t="s">
        <v>966</v>
      </c>
      <c r="Q1392" s="132" t="str">
        <f>LEFT(base[[#This Row],[Evento / Mercado]],FIND("vs",base[[#This Row],[Evento / Mercado]])-2)</f>
        <v>Fenerbahçe SK</v>
      </c>
      <c r="R13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Caykur Rizespor</v>
      </c>
      <c r="S1392" s="132" t="str">
        <f>LEFT(base[[#This Row],[Evento / Mercado]],FIND("/",base[[#This Row],[Evento / Mercado]])-2)</f>
        <v>Fenerbahçe SK vs Caykur Rizespor</v>
      </c>
    </row>
    <row r="1393" spans="2:21" ht="15" customHeight="1">
      <c r="B1393" s="128" t="s">
        <v>1245</v>
      </c>
      <c r="C1393" s="128" t="s">
        <v>2982</v>
      </c>
      <c r="D1393" s="129">
        <v>46129.70212962963</v>
      </c>
      <c r="E1393" s="130">
        <v>-75</v>
      </c>
      <c r="F1393" s="131">
        <v>4.4999999999999998E-2</v>
      </c>
      <c r="G1393" s="126">
        <f t="shared" si="22"/>
        <v>-75</v>
      </c>
      <c r="H1393" s="126" t="s">
        <v>1236</v>
      </c>
      <c r="I1393" s="127" t="s">
        <v>213</v>
      </c>
      <c r="J1393" s="126">
        <v>11</v>
      </c>
      <c r="K1393" s="126">
        <v>50</v>
      </c>
      <c r="L1393" s="129">
        <f>INT(base[[#This Row],[Data de liquidação]])</f>
        <v>46129</v>
      </c>
      <c r="M1393" s="126">
        <f>base[[#This Row],[L/P Bruto]]-base[[#This Row],[L/P Líquido]]</f>
        <v>0</v>
      </c>
      <c r="N1393" s="126">
        <f>base[[#This Row],[L/P Líquido]]/base[[#This Row],[Stake/Responsabilidade]]</f>
        <v>-1.5</v>
      </c>
      <c r="O1393" s="132">
        <f>IF(base[[#This Row],[L/P Líquido]]&gt;0,1,0)</f>
        <v>0</v>
      </c>
      <c r="P1393" s="132"/>
      <c r="Q1393" s="132" t="str">
        <f>LEFT(base[[#This Row],[Evento / Mercado]],FIND("vs",base[[#This Row],[Evento / Mercado]])-2)</f>
        <v>Real Sociedad B</v>
      </c>
      <c r="R13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1393" s="132" t="str">
        <f>LEFT(base[[#This Row],[Evento / Mercado]],FIND("/",base[[#This Row],[Evento / Mercado]])-2)</f>
        <v>Real Sociedad B vs Racing Santander</v>
      </c>
      <c r="T1393" s="8">
        <v>16.670000000000002</v>
      </c>
      <c r="U1393" s="9">
        <f>T1393*0.955</f>
        <v>15.91985</v>
      </c>
    </row>
    <row r="1394" spans="2:21" ht="15" customHeight="1">
      <c r="B1394" s="128" t="s">
        <v>1244</v>
      </c>
      <c r="C1394" s="128" t="s">
        <v>2982</v>
      </c>
      <c r="D1394" s="129">
        <v>46129.73746527778</v>
      </c>
      <c r="E1394" s="130">
        <v>55.21</v>
      </c>
      <c r="F1394" s="131">
        <v>4.4999999999999998E-2</v>
      </c>
      <c r="G1394" s="126">
        <f t="shared" si="22"/>
        <v>57.811518324607334</v>
      </c>
      <c r="H1394" s="126" t="s">
        <v>145</v>
      </c>
      <c r="I1394" s="127" t="s">
        <v>301</v>
      </c>
      <c r="J1394" s="126">
        <v>7.4</v>
      </c>
      <c r="K1394" s="126">
        <v>369.98</v>
      </c>
      <c r="L1394" s="129">
        <f>INT(base[[#This Row],[Data de liquidação]])</f>
        <v>46129</v>
      </c>
      <c r="M1394" s="126">
        <f>base[[#This Row],[L/P Bruto]]-base[[#This Row],[L/P Líquido]]</f>
        <v>2.6015183246073335</v>
      </c>
      <c r="N1394" s="126">
        <f>base[[#This Row],[L/P Líquido]]/base[[#This Row],[Stake/Responsabilidade]]</f>
        <v>0.14922428239364288</v>
      </c>
      <c r="O1394" s="132">
        <f>IF(base[[#This Row],[L/P Líquido]]&gt;0,1,0)</f>
        <v>1</v>
      </c>
      <c r="P1394" s="132" t="s">
        <v>970</v>
      </c>
      <c r="Q1394" s="132" t="str">
        <f>LEFT(base[[#This Row],[Evento / Mercado]],FIND("vs",base[[#This Row],[Evento / Mercado]])-2)</f>
        <v>RC Lens</v>
      </c>
      <c r="R13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Toulouse FC</v>
      </c>
      <c r="S1394" s="132" t="str">
        <f>LEFT(base[[#This Row],[Evento / Mercado]],FIND("/",base[[#This Row],[Evento / Mercado]])-2)</f>
        <v>RC Lens vs Toulouse FC</v>
      </c>
      <c r="T1394" s="8">
        <v>24.67</v>
      </c>
      <c r="U1394" s="9">
        <f>T1394*0.955</f>
        <v>23.559850000000001</v>
      </c>
    </row>
    <row r="1395" spans="2:21" ht="15" customHeight="1">
      <c r="B1395" s="128" t="s">
        <v>1243</v>
      </c>
      <c r="C1395" s="128" t="s">
        <v>2982</v>
      </c>
      <c r="D1395" s="129">
        <v>46129.737928240742</v>
      </c>
      <c r="E1395" s="130">
        <v>46.32</v>
      </c>
      <c r="F1395" s="131">
        <v>4.4999999999999998E-2</v>
      </c>
      <c r="G1395" s="126">
        <f t="shared" si="22"/>
        <v>48.502617801047123</v>
      </c>
      <c r="H1395" s="126" t="s">
        <v>122</v>
      </c>
      <c r="I1395" s="127" t="s">
        <v>477</v>
      </c>
      <c r="J1395" s="126">
        <v>9</v>
      </c>
      <c r="K1395" s="126">
        <v>388</v>
      </c>
      <c r="L1395" s="129">
        <f>INT(base[[#This Row],[Data de liquidação]])</f>
        <v>46129</v>
      </c>
      <c r="M1395" s="126">
        <f>base[[#This Row],[L/P Bruto]]-base[[#This Row],[L/P Líquido]]</f>
        <v>2.1826178010471224</v>
      </c>
      <c r="N1395" s="126">
        <f>base[[#This Row],[L/P Líquido]]/base[[#This Row],[Stake/Responsabilidade]]</f>
        <v>0.11938144329896908</v>
      </c>
      <c r="O1395" s="132">
        <f>IF(base[[#This Row],[L/P Líquido]]&gt;0,1,0)</f>
        <v>1</v>
      </c>
      <c r="P1395" s="132" t="s">
        <v>969</v>
      </c>
      <c r="Q1395" s="132" t="str">
        <f>LEFT(base[[#This Row],[Evento / Mercado]],FIND("vs",base[[#This Row],[Evento / Mercado]])-2)</f>
        <v>Internazionale</v>
      </c>
      <c r="R13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1395" s="132" t="str">
        <f>LEFT(base[[#This Row],[Evento / Mercado]],FIND("/",base[[#This Row],[Evento / Mercado]])-2)</f>
        <v>Internazionale vs Cagliari</v>
      </c>
    </row>
    <row r="1396" spans="2:21" ht="15" customHeight="1">
      <c r="B1396" s="128" t="s">
        <v>1242</v>
      </c>
      <c r="C1396" s="128" t="s">
        <v>2982</v>
      </c>
      <c r="D1396" s="129">
        <v>46129.73814814815</v>
      </c>
      <c r="E1396" s="130">
        <v>15.91985</v>
      </c>
      <c r="F1396" s="131">
        <v>4.4999999999999998E-2</v>
      </c>
      <c r="G1396" s="126">
        <f t="shared" si="22"/>
        <v>16.670000000000002</v>
      </c>
      <c r="H1396" s="126" t="s">
        <v>1233</v>
      </c>
      <c r="I1396" s="127"/>
      <c r="J1396" s="126">
        <v>7</v>
      </c>
      <c r="K1396" s="126">
        <v>100.02</v>
      </c>
      <c r="L1396" s="129">
        <f>INT(base[[#This Row],[Data de liquidação]])</f>
        <v>46129</v>
      </c>
      <c r="M1396" s="126">
        <f>base[[#This Row],[L/P Bruto]]-base[[#This Row],[L/P Líquido]]</f>
        <v>0.75015000000000143</v>
      </c>
      <c r="N1396" s="126">
        <f>base[[#This Row],[L/P Líquido]]/base[[#This Row],[Stake/Responsabilidade]]</f>
        <v>0.15916666666666668</v>
      </c>
      <c r="O1396" s="132">
        <f>IF(base[[#This Row],[L/P Líquido]]&gt;0,1,0)</f>
        <v>1</v>
      </c>
      <c r="P1396" s="132" t="s">
        <v>969</v>
      </c>
      <c r="Q1396" s="132" t="str">
        <f>LEFT(base[[#This Row],[Evento / Mercado]],FIND("vs",base[[#This Row],[Evento / Mercado]])-2)</f>
        <v>Internazionale</v>
      </c>
      <c r="R13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1396" s="132" t="str">
        <f>LEFT(base[[#This Row],[Evento / Mercado]],FIND("/",base[[#This Row],[Evento / Mercado]])-2)</f>
        <v>Internazionale vs Cagliari</v>
      </c>
    </row>
    <row r="1397" spans="2:21" ht="15" customHeight="1">
      <c r="B1397" s="128" t="s">
        <v>1242</v>
      </c>
      <c r="C1397" s="128" t="s">
        <v>2982</v>
      </c>
      <c r="D1397" s="129">
        <v>46129.73814814815</v>
      </c>
      <c r="E1397" s="130">
        <v>23.559850000000001</v>
      </c>
      <c r="F1397" s="131">
        <v>4.4999999999999998E-2</v>
      </c>
      <c r="G1397" s="126">
        <f t="shared" si="22"/>
        <v>24.67</v>
      </c>
      <c r="H1397" s="126" t="s">
        <v>145</v>
      </c>
      <c r="I1397" s="127" t="s">
        <v>301</v>
      </c>
      <c r="J1397" s="126">
        <v>16</v>
      </c>
      <c r="K1397" s="126">
        <v>370.05</v>
      </c>
      <c r="L1397" s="129">
        <f>INT(base[[#This Row],[Data de liquidação]])</f>
        <v>46129</v>
      </c>
      <c r="M1397" s="126">
        <f>base[[#This Row],[L/P Bruto]]-base[[#This Row],[L/P Líquido]]</f>
        <v>1.1101500000000009</v>
      </c>
      <c r="N1397" s="126">
        <f>base[[#This Row],[L/P Líquido]]/base[[#This Row],[Stake/Responsabilidade]]</f>
        <v>6.3666666666666663E-2</v>
      </c>
      <c r="O1397" s="132">
        <f>IF(base[[#This Row],[L/P Líquido]]&gt;0,1,0)</f>
        <v>1</v>
      </c>
      <c r="P1397" s="132" t="s">
        <v>969</v>
      </c>
      <c r="Q1397" s="132" t="str">
        <f>LEFT(base[[#This Row],[Evento / Mercado]],FIND("vs",base[[#This Row],[Evento / Mercado]])-2)</f>
        <v>Internazionale</v>
      </c>
      <c r="R13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1397" s="132" t="str">
        <f>LEFT(base[[#This Row],[Evento / Mercado]],FIND("/",base[[#This Row],[Evento / Mercado]])-2)</f>
        <v>Internazionale vs Cagliari</v>
      </c>
    </row>
    <row r="1398" spans="2:21" ht="15" customHeight="1">
      <c r="B1398" s="128" t="s">
        <v>1241</v>
      </c>
      <c r="C1398" s="128" t="s">
        <v>2982</v>
      </c>
      <c r="D1398" s="129">
        <v>46130.449976851851</v>
      </c>
      <c r="E1398" s="130">
        <v>47.75</v>
      </c>
      <c r="F1398" s="131">
        <v>4.4999999999999998E-2</v>
      </c>
      <c r="G1398" s="126">
        <f t="shared" si="22"/>
        <v>50</v>
      </c>
      <c r="H1398" s="126" t="s">
        <v>1236</v>
      </c>
      <c r="I1398" s="127" t="s">
        <v>213</v>
      </c>
      <c r="J1398" s="126">
        <v>6.4</v>
      </c>
      <c r="K1398" s="126">
        <v>50</v>
      </c>
      <c r="L1398" s="129">
        <f>INT(base[[#This Row],[Data de liquidação]])</f>
        <v>46130</v>
      </c>
      <c r="M1398" s="126">
        <f>base[[#This Row],[L/P Bruto]]-base[[#This Row],[L/P Líquido]]</f>
        <v>2.25</v>
      </c>
      <c r="N1398" s="126">
        <f>base[[#This Row],[L/P Líquido]]/base[[#This Row],[Stake/Responsabilidade]]</f>
        <v>0.95499999999999996</v>
      </c>
      <c r="O1398" s="132">
        <f>IF(base[[#This Row],[L/P Líquido]]&gt;0,1,0)</f>
        <v>1</v>
      </c>
      <c r="P1398" s="132"/>
      <c r="Q1398" s="132" t="str">
        <f>LEFT(base[[#This Row],[Evento / Mercado]],FIND("vs",base[[#This Row],[Evento / Mercado]])-2)</f>
        <v>IK Sirius</v>
      </c>
      <c r="R13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Västerås SK FK</v>
      </c>
      <c r="S1398" s="132" t="str">
        <f>LEFT(base[[#This Row],[Evento / Mercado]],FIND("/",base[[#This Row],[Evento / Mercado]])-2)</f>
        <v>IK Sirius vs Västerås SK FK</v>
      </c>
    </row>
    <row r="1399" spans="2:21" ht="15" customHeight="1">
      <c r="B1399" s="128" t="s">
        <v>1240</v>
      </c>
      <c r="C1399" s="128" t="s">
        <v>2982</v>
      </c>
      <c r="D1399" s="129">
        <v>46130.464513888888</v>
      </c>
      <c r="E1399" s="130">
        <v>47.75</v>
      </c>
      <c r="F1399" s="131">
        <v>4.4999999999999998E-2</v>
      </c>
      <c r="G1399" s="126">
        <f t="shared" si="22"/>
        <v>50</v>
      </c>
      <c r="H1399" s="126" t="s">
        <v>1236</v>
      </c>
      <c r="I1399" s="127" t="s">
        <v>379</v>
      </c>
      <c r="J1399" s="126">
        <v>8.4</v>
      </c>
      <c r="K1399" s="126">
        <v>50</v>
      </c>
      <c r="L1399" s="129">
        <f>INT(base[[#This Row],[Data de liquidação]])</f>
        <v>46130</v>
      </c>
      <c r="M1399" s="126">
        <f>base[[#This Row],[L/P Bruto]]-base[[#This Row],[L/P Líquido]]</f>
        <v>2.25</v>
      </c>
      <c r="N1399" s="126">
        <f>base[[#This Row],[L/P Líquido]]/base[[#This Row],[Stake/Responsabilidade]]</f>
        <v>0.95499999999999996</v>
      </c>
      <c r="O1399" s="132">
        <f>IF(base[[#This Row],[L/P Líquido]]&gt;0,1,0)</f>
        <v>1</v>
      </c>
      <c r="P1399" s="132"/>
      <c r="Q1399" s="132" t="str">
        <f>LEFT(base[[#This Row],[Evento / Mercado]],FIND("vs",base[[#This Row],[Evento / Mercado]])-2)</f>
        <v>Werder Bremen</v>
      </c>
      <c r="R13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399" s="132" t="str">
        <f>LEFT(base[[#This Row],[Evento / Mercado]],FIND("/",base[[#This Row],[Evento / Mercado]])-2)</f>
        <v>Werder Bremen vs Hamburger SV</v>
      </c>
    </row>
    <row r="1400" spans="2:21" ht="15" customHeight="1">
      <c r="B1400" s="128" t="s">
        <v>1239</v>
      </c>
      <c r="C1400" s="128" t="s">
        <v>2982</v>
      </c>
      <c r="D1400" s="129">
        <v>46130.571412037039</v>
      </c>
      <c r="E1400" s="130">
        <v>47.75</v>
      </c>
      <c r="F1400" s="131">
        <v>4.4999999999999998E-2</v>
      </c>
      <c r="G1400" s="126">
        <f t="shared" si="22"/>
        <v>50</v>
      </c>
      <c r="H1400" s="126" t="s">
        <v>1236</v>
      </c>
      <c r="I1400" s="127" t="s">
        <v>1249</v>
      </c>
      <c r="J1400" s="126">
        <v>7.8</v>
      </c>
      <c r="K1400" s="126">
        <v>50</v>
      </c>
      <c r="L1400" s="129">
        <f>INT(base[[#This Row],[Data de liquidação]])</f>
        <v>46130</v>
      </c>
      <c r="M1400" s="126">
        <f>base[[#This Row],[L/P Bruto]]-base[[#This Row],[L/P Líquido]]</f>
        <v>2.25</v>
      </c>
      <c r="N1400" s="126">
        <f>base[[#This Row],[L/P Líquido]]/base[[#This Row],[Stake/Responsabilidade]]</f>
        <v>0.95499999999999996</v>
      </c>
      <c r="O1400" s="132">
        <f>IF(base[[#This Row],[L/P Líquido]]&gt;0,1,0)</f>
        <v>1</v>
      </c>
      <c r="P1400" s="132"/>
      <c r="Q1400" s="132" t="str">
        <f>LEFT(base[[#This Row],[Evento / Mercado]],FIND("vs",base[[#This Row],[Evento / Mercado]])-2)</f>
        <v>Aris Thessaloniki</v>
      </c>
      <c r="R14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NFC Volos</v>
      </c>
      <c r="S1400" s="132" t="str">
        <f>LEFT(base[[#This Row],[Evento / Mercado]],FIND("/",base[[#This Row],[Evento / Mercado]])-2)</f>
        <v>Aris Thessaloniki vs NFC Volos</v>
      </c>
    </row>
    <row r="1401" spans="2:21" ht="15" customHeight="1">
      <c r="B1401" s="128" t="s">
        <v>1238</v>
      </c>
      <c r="C1401" s="128" t="s">
        <v>2982</v>
      </c>
      <c r="D1401" s="129">
        <v>46130.574780092589</v>
      </c>
      <c r="E1401" s="130">
        <v>-72.08</v>
      </c>
      <c r="F1401" s="131">
        <v>4.4999999999999998E-2</v>
      </c>
      <c r="G1401" s="126">
        <f t="shared" si="22"/>
        <v>-72.08</v>
      </c>
      <c r="H1401" s="126" t="s">
        <v>1236</v>
      </c>
      <c r="I1401" s="127" t="s">
        <v>1249</v>
      </c>
      <c r="J1401" s="126">
        <v>9.4</v>
      </c>
      <c r="K1401" s="126">
        <v>50</v>
      </c>
      <c r="L1401" s="129">
        <f>INT(base[[#This Row],[Data de liquidação]])</f>
        <v>46130</v>
      </c>
      <c r="M1401" s="126">
        <f>base[[#This Row],[L/P Bruto]]-base[[#This Row],[L/P Líquido]]</f>
        <v>0</v>
      </c>
      <c r="N1401" s="126">
        <f>base[[#This Row],[L/P Líquido]]/base[[#This Row],[Stake/Responsabilidade]]</f>
        <v>-1.4416</v>
      </c>
      <c r="O1401" s="132">
        <f>IF(base[[#This Row],[L/P Líquido]]&gt;0,1,0)</f>
        <v>0</v>
      </c>
      <c r="P1401" s="132"/>
      <c r="Q1401" s="132" t="str">
        <f>LEFT(base[[#This Row],[Evento / Mercado]],FIND("vs",base[[#This Row],[Evento / Mercado]])-2)</f>
        <v>Palermo</v>
      </c>
      <c r="R14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Cesena</v>
      </c>
      <c r="S1401" s="132" t="str">
        <f>LEFT(base[[#This Row],[Evento / Mercado]],FIND("/",base[[#This Row],[Evento / Mercado]])-2)</f>
        <v>Palermo vs Cesena</v>
      </c>
    </row>
    <row r="1402" spans="2:21" ht="15" customHeight="1">
      <c r="B1402" s="128" t="s">
        <v>1237</v>
      </c>
      <c r="C1402" s="128" t="s">
        <v>2982</v>
      </c>
      <c r="D1402" s="129">
        <v>46130.602060185185</v>
      </c>
      <c r="E1402" s="130">
        <v>47.75</v>
      </c>
      <c r="F1402" s="131">
        <v>4.4999999999999998E-2</v>
      </c>
      <c r="G1402" s="126">
        <f t="shared" si="22"/>
        <v>50</v>
      </c>
      <c r="H1402" s="126" t="s">
        <v>1236</v>
      </c>
      <c r="I1402" s="127" t="s">
        <v>1249</v>
      </c>
      <c r="J1402" s="126">
        <v>6.2</v>
      </c>
      <c r="K1402" s="126">
        <v>50</v>
      </c>
      <c r="L1402" s="129">
        <f>INT(base[[#This Row],[Data de liquidação]])</f>
        <v>46130</v>
      </c>
      <c r="M1402" s="126">
        <f>base[[#This Row],[L/P Bruto]]-base[[#This Row],[L/P Líquido]]</f>
        <v>2.25</v>
      </c>
      <c r="N1402" s="126">
        <f>base[[#This Row],[L/P Líquido]]/base[[#This Row],[Stake/Responsabilidade]]</f>
        <v>0.95499999999999996</v>
      </c>
      <c r="O1402" s="132">
        <f>IF(base[[#This Row],[L/P Líquido]]&gt;0,1,0)</f>
        <v>1</v>
      </c>
      <c r="P1402" s="132"/>
      <c r="Q1402" s="132" t="str">
        <f>LEFT(base[[#This Row],[Evento / Mercado]],FIND("vs",base[[#This Row],[Evento / Mercado]])-2)</f>
        <v>Buriram United</v>
      </c>
      <c r="R14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Shabab Al-Ahli Dubai FC</v>
      </c>
      <c r="S1402" s="132" t="str">
        <f>LEFT(base[[#This Row],[Evento / Mercado]],FIND("/",base[[#This Row],[Evento / Mercado]])-2)</f>
        <v>Buriram United vs Shabab Al-Ahli Dubai FC</v>
      </c>
    </row>
    <row r="1403" spans="2:21" ht="15" customHeight="1">
      <c r="B1403" s="128" t="s">
        <v>1267</v>
      </c>
      <c r="C1403" s="128" t="s">
        <v>2982</v>
      </c>
      <c r="D1403" s="129">
        <v>46130.827326388891</v>
      </c>
      <c r="E1403" s="130">
        <v>47.75</v>
      </c>
      <c r="F1403" s="131">
        <v>4.4999999999999998E-2</v>
      </c>
      <c r="G1403" s="126">
        <f t="shared" si="22"/>
        <v>50</v>
      </c>
      <c r="H1403" s="126" t="s">
        <v>1236</v>
      </c>
      <c r="I1403" s="127" t="s">
        <v>379</v>
      </c>
      <c r="J1403" s="126">
        <v>8</v>
      </c>
      <c r="K1403" s="126">
        <v>50</v>
      </c>
      <c r="L1403" s="129">
        <f>INT(base[[#This Row],[Data de liquidação]])</f>
        <v>46130</v>
      </c>
      <c r="M1403" s="126">
        <f>base[[#This Row],[L/P Bruto]]-base[[#This Row],[L/P Líquido]]</f>
        <v>2.25</v>
      </c>
      <c r="N1403" s="126">
        <f>base[[#This Row],[L/P Líquido]]/base[[#This Row],[Stake/Responsabilidade]]</f>
        <v>0.95499999999999996</v>
      </c>
      <c r="O1403" s="132">
        <f>IF(base[[#This Row],[L/P Líquido]]&gt;0,1,0)</f>
        <v>1</v>
      </c>
      <c r="P1403" s="132"/>
      <c r="Q1403" s="132" t="str">
        <f>LEFT(base[[#This Row],[Evento / Mercado]],FIND("vs",base[[#This Row],[Evento / Mercado]])-2)</f>
        <v>Universidad Católica del Ecuador</v>
      </c>
      <c r="R14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Libertad FC</v>
      </c>
      <c r="S1403" s="132" t="str">
        <f>LEFT(base[[#This Row],[Evento / Mercado]],FIND("/",base[[#This Row],[Evento / Mercado]])-2)</f>
        <v>Universidad Católica del Ecuador vs Libertad FC</v>
      </c>
    </row>
    <row r="1404" spans="2:21" ht="15" customHeight="1">
      <c r="B1404" s="128" t="s">
        <v>1266</v>
      </c>
      <c r="C1404" s="128" t="s">
        <v>2982</v>
      </c>
      <c r="D1404" s="129">
        <v>46130.890879629631</v>
      </c>
      <c r="E1404" s="130">
        <v>47.75</v>
      </c>
      <c r="F1404" s="131">
        <v>4.4999999999999998E-2</v>
      </c>
      <c r="G1404" s="126">
        <f t="shared" si="22"/>
        <v>50</v>
      </c>
      <c r="H1404" s="126" t="s">
        <v>1236</v>
      </c>
      <c r="I1404" s="127" t="s">
        <v>1249</v>
      </c>
      <c r="J1404" s="126">
        <v>9</v>
      </c>
      <c r="K1404" s="126">
        <v>50</v>
      </c>
      <c r="L1404" s="129">
        <f>INT(base[[#This Row],[Data de liquidação]])</f>
        <v>46130</v>
      </c>
      <c r="M1404" s="126">
        <f>base[[#This Row],[L/P Bruto]]-base[[#This Row],[L/P Líquido]]</f>
        <v>2.25</v>
      </c>
      <c r="N1404" s="126">
        <f>base[[#This Row],[L/P Líquido]]/base[[#This Row],[Stake/Responsabilidade]]</f>
        <v>0.95499999999999996</v>
      </c>
      <c r="O1404" s="132">
        <f>IF(base[[#This Row],[L/P Líquido]]&gt;0,1,0)</f>
        <v>1</v>
      </c>
      <c r="P1404" s="132"/>
      <c r="Q1404" s="132" t="str">
        <f>LEFT(base[[#This Row],[Evento / Mercado]],FIND("vs",base[[#This Row],[Evento / Mercado]])-2)</f>
        <v>FC Cincinnati</v>
      </c>
      <c r="R14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Chicago Fire</v>
      </c>
      <c r="S1404" s="132" t="str">
        <f>LEFT(base[[#This Row],[Evento / Mercado]],FIND("/",base[[#This Row],[Evento / Mercado]])-2)</f>
        <v>FC Cincinnati vs Chicago Fire</v>
      </c>
    </row>
    <row r="1405" spans="2:21" ht="15" customHeight="1">
      <c r="B1405" s="128" t="s">
        <v>1265</v>
      </c>
      <c r="C1405" s="128" t="s">
        <v>2982</v>
      </c>
      <c r="D1405" s="129">
        <v>46130.907187500001</v>
      </c>
      <c r="E1405" s="130">
        <v>47.75</v>
      </c>
      <c r="F1405" s="131">
        <v>4.4999999999999998E-2</v>
      </c>
      <c r="G1405" s="126">
        <f t="shared" si="22"/>
        <v>50</v>
      </c>
      <c r="H1405" s="126" t="s">
        <v>1236</v>
      </c>
      <c r="I1405" s="127" t="s">
        <v>1249</v>
      </c>
      <c r="J1405" s="126">
        <v>9.6</v>
      </c>
      <c r="K1405" s="126">
        <v>50</v>
      </c>
      <c r="L1405" s="129">
        <f>INT(base[[#This Row],[Data de liquidação]])</f>
        <v>46130</v>
      </c>
      <c r="M1405" s="126">
        <f>base[[#This Row],[L/P Bruto]]-base[[#This Row],[L/P Líquido]]</f>
        <v>2.25</v>
      </c>
      <c r="N1405" s="126">
        <f>base[[#This Row],[L/P Líquido]]/base[[#This Row],[Stake/Responsabilidade]]</f>
        <v>0.95499999999999996</v>
      </c>
      <c r="O1405" s="132">
        <f>IF(base[[#This Row],[L/P Líquido]]&gt;0,1,0)</f>
        <v>1</v>
      </c>
      <c r="P1405" s="132"/>
      <c r="Q1405" s="132" t="str">
        <f>LEFT(base[[#This Row],[Evento / Mercado]],FIND("vs",base[[#This Row],[Evento / Mercado]])-2)</f>
        <v>Club Deportes Santa Cruz</v>
      </c>
      <c r="R14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Union San Felipe</v>
      </c>
      <c r="S1405" s="132" t="str">
        <f>LEFT(base[[#This Row],[Evento / Mercado]],FIND("/",base[[#This Row],[Evento / Mercado]])-2)</f>
        <v>Club Deportes Santa Cruz vs Union San Felipe</v>
      </c>
    </row>
    <row r="1406" spans="2:21" ht="15" customHeight="1">
      <c r="B1406" s="128" t="s">
        <v>1264</v>
      </c>
      <c r="C1406" s="128" t="s">
        <v>2982</v>
      </c>
      <c r="D1406" s="129">
        <v>46130.912349537037</v>
      </c>
      <c r="E1406" s="130">
        <v>47.75</v>
      </c>
      <c r="F1406" s="131">
        <v>4.4999999999999998E-2</v>
      </c>
      <c r="G1406" s="126">
        <f t="shared" si="22"/>
        <v>50</v>
      </c>
      <c r="H1406" s="126" t="s">
        <v>1236</v>
      </c>
      <c r="I1406" s="127" t="s">
        <v>379</v>
      </c>
      <c r="J1406" s="126">
        <v>7</v>
      </c>
      <c r="K1406" s="126">
        <v>50</v>
      </c>
      <c r="L1406" s="129">
        <f>INT(base[[#This Row],[Data de liquidação]])</f>
        <v>46130</v>
      </c>
      <c r="M1406" s="126">
        <f>base[[#This Row],[L/P Bruto]]-base[[#This Row],[L/P Líquido]]</f>
        <v>2.25</v>
      </c>
      <c r="N1406" s="126">
        <f>base[[#This Row],[L/P Líquido]]/base[[#This Row],[Stake/Responsabilidade]]</f>
        <v>0.95499999999999996</v>
      </c>
      <c r="O1406" s="132">
        <f>IF(base[[#This Row],[L/P Líquido]]&gt;0,1,0)</f>
        <v>1</v>
      </c>
      <c r="P1406" s="132"/>
      <c r="Q1406" s="132" t="str">
        <f>LEFT(base[[#This Row],[Evento / Mercado]],FIND("vs",base[[#This Row],[Evento / Mercado]])-2)</f>
        <v>New York City FC</v>
      </c>
      <c r="R14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Charlotte FC</v>
      </c>
      <c r="S1406" s="132" t="str">
        <f>LEFT(base[[#This Row],[Evento / Mercado]],FIND("/",base[[#This Row],[Evento / Mercado]])-2)</f>
        <v>New York City FC vs Charlotte FC</v>
      </c>
    </row>
    <row r="1407" spans="2:21" ht="15" customHeight="1">
      <c r="B1407" s="128" t="s">
        <v>1263</v>
      </c>
      <c r="C1407" s="128" t="s">
        <v>2982</v>
      </c>
      <c r="D1407" s="129">
        <v>46130.9372337963</v>
      </c>
      <c r="E1407" s="130">
        <v>47.75</v>
      </c>
      <c r="F1407" s="131">
        <v>4.4999999999999998E-2</v>
      </c>
      <c r="G1407" s="126">
        <f t="shared" si="22"/>
        <v>50</v>
      </c>
      <c r="H1407" s="126" t="s">
        <v>1236</v>
      </c>
      <c r="I1407" s="127" t="s">
        <v>379</v>
      </c>
      <c r="J1407" s="126">
        <v>7.2</v>
      </c>
      <c r="K1407" s="126">
        <v>50</v>
      </c>
      <c r="L1407" s="129">
        <f>INT(base[[#This Row],[Data de liquidação]])</f>
        <v>46130</v>
      </c>
      <c r="M1407" s="126">
        <f>base[[#This Row],[L/P Bruto]]-base[[#This Row],[L/P Líquido]]</f>
        <v>2.25</v>
      </c>
      <c r="N1407" s="126">
        <f>base[[#This Row],[L/P Líquido]]/base[[#This Row],[Stake/Responsabilidade]]</f>
        <v>0.95499999999999996</v>
      </c>
      <c r="O1407" s="132">
        <f>IF(base[[#This Row],[L/P Líquido]]&gt;0,1,0)</f>
        <v>1</v>
      </c>
      <c r="P1407" s="132"/>
      <c r="Q1407" s="132" t="str">
        <f>LEFT(base[[#This Row],[Evento / Mercado]],FIND("vs",base[[#This Row],[Evento / Mercado]])-2)</f>
        <v>Cruzeiro</v>
      </c>
      <c r="R14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407" s="132" t="str">
        <f>LEFT(base[[#This Row],[Evento / Mercado]],FIND("/",base[[#This Row],[Evento / Mercado]])-2)</f>
        <v>Cruzeiro vs Grêmio FBPA</v>
      </c>
    </row>
    <row r="1408" spans="2:21" ht="15" customHeight="1">
      <c r="B1408" s="128" t="s">
        <v>1262</v>
      </c>
      <c r="C1408" s="128" t="s">
        <v>2982</v>
      </c>
      <c r="D1408" s="129">
        <v>46130.937291666669</v>
      </c>
      <c r="E1408" s="130">
        <v>42.55</v>
      </c>
      <c r="F1408" s="131">
        <v>4.4999999999999998E-2</v>
      </c>
      <c r="G1408" s="126">
        <f t="shared" si="22"/>
        <v>44.554973821989527</v>
      </c>
      <c r="H1408" s="126" t="s">
        <v>145</v>
      </c>
      <c r="I1408" s="127" t="s">
        <v>1268</v>
      </c>
      <c r="J1408" s="126">
        <v>12</v>
      </c>
      <c r="K1408" s="126">
        <v>490.05</v>
      </c>
      <c r="L1408" s="129">
        <f>INT(base[[#This Row],[Data de liquidação]])</f>
        <v>46130</v>
      </c>
      <c r="M1408" s="126">
        <f>base[[#This Row],[L/P Bruto]]-base[[#This Row],[L/P Líquido]]</f>
        <v>2.0049738219895303</v>
      </c>
      <c r="N1408" s="126">
        <f>base[[#This Row],[L/P Líquido]]/base[[#This Row],[Stake/Responsabilidade]]</f>
        <v>8.6827874706662575E-2</v>
      </c>
      <c r="O1408" s="132">
        <f>IF(base[[#This Row],[L/P Líquido]]&gt;0,1,0)</f>
        <v>1</v>
      </c>
      <c r="P1408" s="132" t="s">
        <v>1058</v>
      </c>
      <c r="Q1408" s="132" t="str">
        <f>LEFT(base[[#This Row],[Evento / Mercado]],FIND("vs",base[[#This Row],[Evento / Mercado]])-2)</f>
        <v>Cruzeiro</v>
      </c>
      <c r="R14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408" s="132" t="str">
        <f>LEFT(base[[#This Row],[Evento / Mercado]],FIND("/",base[[#This Row],[Evento / Mercado]])-2)</f>
        <v>Cruzeiro vs Grêmio FBPA</v>
      </c>
    </row>
    <row r="1409" spans="2:21" ht="15" customHeight="1">
      <c r="B1409" s="128" t="s">
        <v>1261</v>
      </c>
      <c r="C1409" s="128" t="s">
        <v>2982</v>
      </c>
      <c r="D1409" s="129">
        <v>46130.958877314813</v>
      </c>
      <c r="E1409" s="130">
        <v>-65.38</v>
      </c>
      <c r="F1409" s="131">
        <v>4.4999999999999998E-2</v>
      </c>
      <c r="G1409" s="126">
        <f t="shared" si="22"/>
        <v>-65.38</v>
      </c>
      <c r="H1409" s="126" t="s">
        <v>1236</v>
      </c>
      <c r="I1409" s="127" t="s">
        <v>1249</v>
      </c>
      <c r="J1409" s="126">
        <v>9</v>
      </c>
      <c r="K1409" s="126">
        <v>50</v>
      </c>
      <c r="L1409" s="129">
        <f>INT(base[[#This Row],[Data de liquidação]])</f>
        <v>46130</v>
      </c>
      <c r="M1409" s="126">
        <f>base[[#This Row],[L/P Bruto]]-base[[#This Row],[L/P Líquido]]</f>
        <v>0</v>
      </c>
      <c r="N1409" s="126">
        <f>base[[#This Row],[L/P Líquido]]/base[[#This Row],[Stake/Responsabilidade]]</f>
        <v>-1.3075999999999999</v>
      </c>
      <c r="O1409" s="132">
        <f>IF(base[[#This Row],[L/P Líquido]]&gt;0,1,0)</f>
        <v>0</v>
      </c>
      <c r="P1409" s="132"/>
      <c r="Q1409" s="132" t="str">
        <f>LEFT(base[[#This Row],[Evento / Mercado]],FIND("vs",base[[#This Row],[Evento / Mercado]])-2)</f>
        <v>Minnesota United</v>
      </c>
      <c r="R14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Portland Timbers</v>
      </c>
      <c r="S1409" s="132" t="str">
        <f>LEFT(base[[#This Row],[Evento / Mercado]],FIND("/",base[[#This Row],[Evento / Mercado]])-2)</f>
        <v>Minnesota United vs Portland Timbers</v>
      </c>
    </row>
    <row r="1410" spans="2:21" ht="15" customHeight="1">
      <c r="B1410" s="128" t="s">
        <v>1260</v>
      </c>
      <c r="C1410" s="128" t="s">
        <v>2982</v>
      </c>
      <c r="D1410" s="129">
        <v>46131.498495370368</v>
      </c>
      <c r="E1410" s="130">
        <v>-100</v>
      </c>
      <c r="F1410" s="131">
        <v>4.4999999999999998E-2</v>
      </c>
      <c r="G1410" s="126">
        <f t="shared" si="22"/>
        <v>-100</v>
      </c>
      <c r="H1410" s="126" t="s">
        <v>1233</v>
      </c>
      <c r="I1410" s="127"/>
      <c r="J1410" s="126">
        <v>4.5</v>
      </c>
      <c r="K1410" s="126">
        <v>100</v>
      </c>
      <c r="L1410" s="129">
        <f>INT(base[[#This Row],[Data de liquidação]])</f>
        <v>46131</v>
      </c>
      <c r="M1410" s="126">
        <f>base[[#This Row],[L/P Bruto]]-base[[#This Row],[L/P Líquido]]</f>
        <v>0</v>
      </c>
      <c r="N1410" s="126">
        <f>base[[#This Row],[L/P Líquido]]/base[[#This Row],[Stake/Responsabilidade]]</f>
        <v>-1</v>
      </c>
      <c r="O1410" s="132">
        <f>IF(base[[#This Row],[L/P Líquido]]&gt;0,1,0)</f>
        <v>0</v>
      </c>
      <c r="P1410" s="132" t="s">
        <v>970</v>
      </c>
      <c r="Q1410" s="132" t="str">
        <f>LEFT(base[[#This Row],[Evento / Mercado]],FIND("vs",base[[#This Row],[Evento / Mercado]])-2)</f>
        <v>AS Monaco</v>
      </c>
      <c r="R14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1410" s="132" t="str">
        <f>LEFT(base[[#This Row],[Evento / Mercado]],FIND("/",base[[#This Row],[Evento / Mercado]])-2)</f>
        <v>AS Monaco vs AJ Auxerre</v>
      </c>
      <c r="T1410" s="8">
        <v>16.670000000000002</v>
      </c>
      <c r="U1410" s="9">
        <f>T1410*0.955</f>
        <v>15.91985</v>
      </c>
    </row>
    <row r="1411" spans="2:21" ht="15" customHeight="1">
      <c r="B1411" s="128" t="s">
        <v>1260</v>
      </c>
      <c r="C1411" s="128" t="s">
        <v>2982</v>
      </c>
      <c r="D1411" s="129">
        <v>46131.498495370368</v>
      </c>
      <c r="E1411" s="130">
        <v>67.31</v>
      </c>
      <c r="F1411" s="131">
        <v>0</v>
      </c>
      <c r="G1411" s="126">
        <f t="shared" ref="G1411:G1474" si="23">IF(E1411&gt;0,E1411/(1-F1411),E1411)</f>
        <v>67.31</v>
      </c>
      <c r="H1411" s="126" t="s">
        <v>145</v>
      </c>
      <c r="I1411" s="127" t="s">
        <v>301</v>
      </c>
      <c r="J1411" s="126">
        <v>6.2</v>
      </c>
      <c r="K1411" s="126">
        <v>350.01</v>
      </c>
      <c r="L1411" s="129">
        <f>INT(base[[#This Row],[Data de liquidação]])</f>
        <v>46131</v>
      </c>
      <c r="M1411" s="126">
        <f>base[[#This Row],[L/P Bruto]]-base[[#This Row],[L/P Líquido]]</f>
        <v>0</v>
      </c>
      <c r="N1411" s="126">
        <f>base[[#This Row],[L/P Líquido]]/base[[#This Row],[Stake/Responsabilidade]]</f>
        <v>0.19230879117739494</v>
      </c>
      <c r="O1411" s="132">
        <f>IF(base[[#This Row],[L/P Líquido]]&gt;0,1,0)</f>
        <v>1</v>
      </c>
      <c r="P1411" s="132" t="s">
        <v>970</v>
      </c>
      <c r="Q1411" s="132" t="str">
        <f>LEFT(base[[#This Row],[Evento / Mercado]],FIND("vs",base[[#This Row],[Evento / Mercado]])-2)</f>
        <v>AS Monaco</v>
      </c>
      <c r="R14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1411" s="132" t="str">
        <f>LEFT(base[[#This Row],[Evento / Mercado]],FIND("/",base[[#This Row],[Evento / Mercado]])-2)</f>
        <v>AS Monaco vs AJ Auxerre</v>
      </c>
      <c r="T1411" s="8">
        <v>67.31</v>
      </c>
      <c r="U1411" s="9">
        <f>T1411*0.955</f>
        <v>64.281049999999993</v>
      </c>
    </row>
    <row r="1412" spans="2:21" ht="15" customHeight="1">
      <c r="B1412" s="128" t="s">
        <v>1259</v>
      </c>
      <c r="C1412" s="128" t="s">
        <v>2982</v>
      </c>
      <c r="D1412" s="129">
        <v>46131.59983796296</v>
      </c>
      <c r="E1412" s="130">
        <v>20.62</v>
      </c>
      <c r="F1412" s="131">
        <v>4.4999999999999998E-2</v>
      </c>
      <c r="G1412" s="126">
        <f t="shared" si="23"/>
        <v>21.591623036649217</v>
      </c>
      <c r="H1412" s="126" t="s">
        <v>74</v>
      </c>
      <c r="I1412" s="127" t="s">
        <v>477</v>
      </c>
      <c r="J1412" s="126">
        <v>23</v>
      </c>
      <c r="K1412" s="126">
        <v>474.98</v>
      </c>
      <c r="L1412" s="129">
        <f>INT(base[[#This Row],[Data de liquidação]])</f>
        <v>46131</v>
      </c>
      <c r="M1412" s="126">
        <f>base[[#This Row],[L/P Bruto]]-base[[#This Row],[L/P Líquido]]</f>
        <v>0.97162303664921623</v>
      </c>
      <c r="N1412" s="126">
        <f>base[[#This Row],[L/P Líquido]]/base[[#This Row],[Stake/Responsabilidade]]</f>
        <v>4.3412354204387556E-2</v>
      </c>
      <c r="O1412" s="132">
        <f>IF(base[[#This Row],[L/P Líquido]]&gt;0,1,0)</f>
        <v>1</v>
      </c>
      <c r="P1412" s="132" t="s">
        <v>962</v>
      </c>
      <c r="Q1412" s="132" t="str">
        <f>LEFT(base[[#This Row],[Evento / Mercado]],FIND("vs",base[[#This Row],[Evento / Mercado]])-2)</f>
        <v>FC Bayern München</v>
      </c>
      <c r="R14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1412" s="132" t="str">
        <f>LEFT(base[[#This Row],[Evento / Mercado]],FIND("/",base[[#This Row],[Evento / Mercado]])-2)</f>
        <v>FC Bayern München vs VfB Stuttgart</v>
      </c>
    </row>
    <row r="1413" spans="2:21" ht="15" customHeight="1">
      <c r="B1413" s="128" t="s">
        <v>1258</v>
      </c>
      <c r="C1413" s="128" t="s">
        <v>2982</v>
      </c>
      <c r="D1413" s="129">
        <v>46131.600474537037</v>
      </c>
      <c r="E1413" s="130">
        <v>19.489999999999998</v>
      </c>
      <c r="F1413" s="131">
        <v>4.4999999999999998E-2</v>
      </c>
      <c r="G1413" s="126">
        <f t="shared" si="23"/>
        <v>20.408376963350786</v>
      </c>
      <c r="H1413" s="126" t="s">
        <v>1233</v>
      </c>
      <c r="I1413" s="127"/>
      <c r="J1413" s="126">
        <v>5.9</v>
      </c>
      <c r="K1413" s="126">
        <v>100</v>
      </c>
      <c r="L1413" s="129">
        <f>INT(base[[#This Row],[Data de liquidação]])</f>
        <v>46131</v>
      </c>
      <c r="M1413" s="126">
        <f>base[[#This Row],[L/P Bruto]]-base[[#This Row],[L/P Líquido]]</f>
        <v>0.91837696335078789</v>
      </c>
      <c r="N1413" s="126">
        <f>base[[#This Row],[L/P Líquido]]/base[[#This Row],[Stake/Responsabilidade]]</f>
        <v>0.19489999999999999</v>
      </c>
      <c r="O1413" s="132">
        <f>IF(base[[#This Row],[L/P Líquido]]&gt;0,1,0)</f>
        <v>1</v>
      </c>
      <c r="P1413" s="132" t="s">
        <v>962</v>
      </c>
      <c r="Q1413" s="132" t="str">
        <f>LEFT(base[[#This Row],[Evento / Mercado]],FIND("vs",base[[#This Row],[Evento / Mercado]])-2)</f>
        <v>FC Bayern München</v>
      </c>
      <c r="R14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1413" s="132" t="str">
        <f>LEFT(base[[#This Row],[Evento / Mercado]],FIND("/",base[[#This Row],[Evento / Mercado]])-2)</f>
        <v>FC Bayern München vs VfB Stuttgart</v>
      </c>
    </row>
    <row r="1414" spans="2:21" ht="15" customHeight="1">
      <c r="B1414" s="128" t="s">
        <v>1257</v>
      </c>
      <c r="C1414" s="128" t="s">
        <v>2982</v>
      </c>
      <c r="D1414" s="129">
        <v>46131.601076388892</v>
      </c>
      <c r="E1414" s="130">
        <v>33.61</v>
      </c>
      <c r="F1414" s="131">
        <v>4.4999999999999998E-2</v>
      </c>
      <c r="G1414" s="126">
        <f t="shared" si="23"/>
        <v>35.193717277486911</v>
      </c>
      <c r="H1414" s="126" t="s">
        <v>122</v>
      </c>
      <c r="I1414" s="127" t="s">
        <v>476</v>
      </c>
      <c r="J1414" s="126">
        <v>14.5</v>
      </c>
      <c r="K1414" s="126">
        <v>475.06</v>
      </c>
      <c r="L1414" s="129">
        <f>INT(base[[#This Row],[Data de liquidação]])</f>
        <v>46131</v>
      </c>
      <c r="M1414" s="126">
        <f>base[[#This Row],[L/P Bruto]]-base[[#This Row],[L/P Líquido]]</f>
        <v>1.5837172774869117</v>
      </c>
      <c r="N1414" s="126">
        <f>base[[#This Row],[L/P Líquido]]/base[[#This Row],[Stake/Responsabilidade]]</f>
        <v>7.0748958026354558E-2</v>
      </c>
      <c r="O1414" s="132">
        <f>IF(base[[#This Row],[L/P Líquido]]&gt;0,1,0)</f>
        <v>1</v>
      </c>
      <c r="P1414" s="132" t="s">
        <v>963</v>
      </c>
      <c r="Q1414" s="132" t="str">
        <f>LEFT(base[[#This Row],[Evento / Mercado]],FIND("vs",base[[#This Row],[Evento / Mercado]])-2)</f>
        <v>Manchester City</v>
      </c>
      <c r="R14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1414" s="132" t="str">
        <f>LEFT(base[[#This Row],[Evento / Mercado]],FIND("/",base[[#This Row],[Evento / Mercado]])-2)</f>
        <v>Manchester City vs Arsenal</v>
      </c>
    </row>
    <row r="1415" spans="2:21" ht="15" customHeight="1">
      <c r="B1415" s="128" t="s">
        <v>1256</v>
      </c>
      <c r="C1415" s="128" t="s">
        <v>2982</v>
      </c>
      <c r="D1415" s="129">
        <v>46131.853067129632</v>
      </c>
      <c r="E1415" s="130">
        <v>57.62</v>
      </c>
      <c r="F1415" s="131">
        <v>4.4999999999999998E-2</v>
      </c>
      <c r="G1415" s="126">
        <f t="shared" si="23"/>
        <v>60.33507853403141</v>
      </c>
      <c r="H1415" s="126" t="s">
        <v>145</v>
      </c>
      <c r="I1415" s="127" t="s">
        <v>301</v>
      </c>
      <c r="J1415" s="126">
        <v>6.8</v>
      </c>
      <c r="K1415" s="126">
        <v>349.97</v>
      </c>
      <c r="L1415" s="129">
        <f>INT(base[[#This Row],[Data de liquidação]])</f>
        <v>46131</v>
      </c>
      <c r="M1415" s="126">
        <f>base[[#This Row],[L/P Bruto]]-base[[#This Row],[L/P Líquido]]</f>
        <v>2.715078534031413</v>
      </c>
      <c r="N1415" s="126">
        <f>base[[#This Row],[L/P Líquido]]/base[[#This Row],[Stake/Responsabilidade]]</f>
        <v>0.1646426836585993</v>
      </c>
      <c r="O1415" s="132">
        <f>IF(base[[#This Row],[L/P Líquido]]&gt;0,1,0)</f>
        <v>1</v>
      </c>
      <c r="P1415" s="132" t="s">
        <v>1058</v>
      </c>
      <c r="Q1415" s="132" t="str">
        <f>LEFT(base[[#This Row],[Evento / Mercado]],FIND("vs",base[[#This Row],[Evento / Mercado]])-2)</f>
        <v>Palmeiras</v>
      </c>
      <c r="R14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1415" s="132" t="str">
        <f>LEFT(base[[#This Row],[Evento / Mercado]],FIND("/",base[[#This Row],[Evento / Mercado]])-2)</f>
        <v>Palmeiras vs Athlético Paranaense</v>
      </c>
    </row>
    <row r="1416" spans="2:21" ht="15" customHeight="1">
      <c r="B1416" s="128" t="s">
        <v>1255</v>
      </c>
      <c r="C1416" s="128" t="s">
        <v>2982</v>
      </c>
      <c r="D1416" s="129">
        <v>46131.881249999999</v>
      </c>
      <c r="E1416" s="130">
        <v>-62.68</v>
      </c>
      <c r="F1416" s="131">
        <v>4.4999999999999998E-2</v>
      </c>
      <c r="G1416" s="126">
        <f t="shared" si="23"/>
        <v>-62.68</v>
      </c>
      <c r="H1416" s="126" t="s">
        <v>1236</v>
      </c>
      <c r="I1416" s="127" t="s">
        <v>1249</v>
      </c>
      <c r="J1416" s="126">
        <v>8</v>
      </c>
      <c r="K1416" s="126">
        <v>50</v>
      </c>
      <c r="L1416" s="129">
        <f>INT(base[[#This Row],[Data de liquidação]])</f>
        <v>46131</v>
      </c>
      <c r="M1416" s="126">
        <f>base[[#This Row],[L/P Bruto]]-base[[#This Row],[L/P Líquido]]</f>
        <v>0</v>
      </c>
      <c r="N1416" s="126">
        <f>base[[#This Row],[L/P Líquido]]/base[[#This Row],[Stake/Responsabilidade]]</f>
        <v>-1.2536</v>
      </c>
      <c r="O1416" s="132">
        <f>IF(base[[#This Row],[L/P Líquido]]&gt;0,1,0)</f>
        <v>0</v>
      </c>
      <c r="P1416" s="132"/>
      <c r="Q1416" s="132" t="str">
        <f>LEFT(base[[#This Row],[Evento / Mercado]],FIND("vs",base[[#This Row],[Evento / Mercado]])-2)</f>
        <v>Flamengo</v>
      </c>
      <c r="R14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1416" s="132" t="str">
        <f>LEFT(base[[#This Row],[Evento / Mercado]],FIND("/",base[[#This Row],[Evento / Mercado]])-2)</f>
        <v>Flamengo vs Esporte Clube Bahia</v>
      </c>
    </row>
    <row r="1417" spans="2:21" ht="15" customHeight="1">
      <c r="B1417" s="128" t="s">
        <v>1254</v>
      </c>
      <c r="C1417" s="128" t="s">
        <v>2982</v>
      </c>
      <c r="D1417" s="129">
        <v>46131.890833333331</v>
      </c>
      <c r="E1417" s="130">
        <v>52.23</v>
      </c>
      <c r="F1417" s="131">
        <v>4.4999999999999998E-2</v>
      </c>
      <c r="G1417" s="126">
        <f t="shared" si="23"/>
        <v>54.691099476439788</v>
      </c>
      <c r="H1417" s="126" t="s">
        <v>145</v>
      </c>
      <c r="I1417" s="127" t="s">
        <v>301</v>
      </c>
      <c r="J1417" s="126">
        <v>7.4</v>
      </c>
      <c r="K1417" s="126">
        <v>350.02</v>
      </c>
      <c r="L1417" s="129">
        <f>INT(base[[#This Row],[Data de liquidação]])</f>
        <v>46131</v>
      </c>
      <c r="M1417" s="126">
        <f>base[[#This Row],[L/P Bruto]]-base[[#This Row],[L/P Líquido]]</f>
        <v>2.4610994764397915</v>
      </c>
      <c r="N1417" s="126">
        <f>base[[#This Row],[L/P Líquido]]/base[[#This Row],[Stake/Responsabilidade]]</f>
        <v>0.14922004456888177</v>
      </c>
      <c r="O1417" s="132">
        <f>IF(base[[#This Row],[L/P Líquido]]&gt;0,1,0)</f>
        <v>1</v>
      </c>
      <c r="P1417" s="132" t="s">
        <v>1058</v>
      </c>
      <c r="Q1417" s="132" t="str">
        <f>LEFT(base[[#This Row],[Evento / Mercado]],FIND("vs",base[[#This Row],[Evento / Mercado]])-2)</f>
        <v>Flamengo</v>
      </c>
      <c r="R14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1417" s="132" t="str">
        <f>LEFT(base[[#This Row],[Evento / Mercado]],FIND("/",base[[#This Row],[Evento / Mercado]])-2)</f>
        <v>Flamengo vs Esporte Clube Bahia</v>
      </c>
    </row>
    <row r="1418" spans="2:21" ht="15" customHeight="1">
      <c r="B1418" s="128" t="s">
        <v>1253</v>
      </c>
      <c r="C1418" s="128" t="s">
        <v>2982</v>
      </c>
      <c r="D1418" s="129">
        <v>46131.890914351854</v>
      </c>
      <c r="E1418" s="130">
        <v>47.75</v>
      </c>
      <c r="F1418" s="131">
        <v>4.4999999999999998E-2</v>
      </c>
      <c r="G1418" s="126">
        <f t="shared" si="23"/>
        <v>50</v>
      </c>
      <c r="H1418" s="126" t="s">
        <v>1236</v>
      </c>
      <c r="I1418" s="127" t="s">
        <v>379</v>
      </c>
      <c r="J1418" s="126">
        <v>12</v>
      </c>
      <c r="K1418" s="126">
        <v>50</v>
      </c>
      <c r="L1418" s="129">
        <f>INT(base[[#This Row],[Data de liquidação]])</f>
        <v>46131</v>
      </c>
      <c r="M1418" s="126">
        <f>base[[#This Row],[L/P Bruto]]-base[[#This Row],[L/P Líquido]]</f>
        <v>2.25</v>
      </c>
      <c r="N1418" s="126">
        <f>base[[#This Row],[L/P Líquido]]/base[[#This Row],[Stake/Responsabilidade]]</f>
        <v>0.95499999999999996</v>
      </c>
      <c r="O1418" s="132">
        <f>IF(base[[#This Row],[L/P Líquido]]&gt;0,1,0)</f>
        <v>1</v>
      </c>
      <c r="P1418" s="132"/>
      <c r="Q1418" s="132" t="str">
        <f>LEFT(base[[#This Row],[Evento / Mercado]],FIND("vs",base[[#This Row],[Evento / Mercado]])-2)</f>
        <v>Los Angeles FC</v>
      </c>
      <c r="R14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Jose Earthquakes</v>
      </c>
      <c r="S1418" s="132" t="str">
        <f>LEFT(base[[#This Row],[Evento / Mercado]],FIND("/",base[[#This Row],[Evento / Mercado]])-2)</f>
        <v>Los Angeles FC vs San Jose Earthquakes</v>
      </c>
    </row>
    <row r="1419" spans="2:21" ht="15" customHeight="1">
      <c r="B1419" s="128" t="s">
        <v>1276</v>
      </c>
      <c r="C1419" s="128" t="s">
        <v>2982</v>
      </c>
      <c r="D1419" s="129">
        <v>46132.483217592591</v>
      </c>
      <c r="E1419" s="130">
        <v>-82.35</v>
      </c>
      <c r="F1419" s="131">
        <v>4.4999999999999998E-2</v>
      </c>
      <c r="G1419" s="126">
        <f t="shared" si="23"/>
        <v>-82.35</v>
      </c>
      <c r="H1419" s="126" t="s">
        <v>1236</v>
      </c>
      <c r="I1419" s="127" t="s">
        <v>1249</v>
      </c>
      <c r="J1419" s="126">
        <v>13.5</v>
      </c>
      <c r="K1419" s="126">
        <v>50</v>
      </c>
      <c r="L1419" s="129">
        <f>INT(base[[#This Row],[Data de liquidação]])</f>
        <v>46132</v>
      </c>
      <c r="M1419" s="126">
        <f>base[[#This Row],[L/P Bruto]]-base[[#This Row],[L/P Líquido]]</f>
        <v>0</v>
      </c>
      <c r="N1419" s="126">
        <f>base[[#This Row],[L/P Líquido]]/base[[#This Row],[Stake/Responsabilidade]]</f>
        <v>-1.6469999999999998</v>
      </c>
      <c r="O1419" s="132">
        <f>IF(base[[#This Row],[L/P Líquido]]&gt;0,1,0)</f>
        <v>0</v>
      </c>
      <c r="P1419" s="132"/>
      <c r="Q1419" s="132" t="str">
        <f>LEFT(base[[#This Row],[Evento / Mercado]],FIND("vs",base[[#This Row],[Evento / Mercado]])-2)</f>
        <v>Cardiff City U21</v>
      </c>
      <c r="R14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Hull City U21</v>
      </c>
      <c r="S1419" s="132" t="str">
        <f>LEFT(base[[#This Row],[Evento / Mercado]],FIND("/",base[[#This Row],[Evento / Mercado]])-2)</f>
        <v>Cardiff City U21 vs Hull City U21</v>
      </c>
    </row>
    <row r="1420" spans="2:21" ht="15" customHeight="1">
      <c r="B1420" s="128" t="s">
        <v>1275</v>
      </c>
      <c r="C1420" s="128" t="s">
        <v>2982</v>
      </c>
      <c r="D1420" s="129">
        <v>46132.642743055556</v>
      </c>
      <c r="E1420" s="130">
        <v>-89.53</v>
      </c>
      <c r="F1420" s="131">
        <v>4.4999999999999998E-2</v>
      </c>
      <c r="G1420" s="126">
        <f t="shared" si="23"/>
        <v>-89.53</v>
      </c>
      <c r="H1420" s="126" t="s">
        <v>1236</v>
      </c>
      <c r="I1420" s="127" t="s">
        <v>379</v>
      </c>
      <c r="J1420" s="126">
        <v>12</v>
      </c>
      <c r="K1420" s="126">
        <v>50</v>
      </c>
      <c r="L1420" s="129">
        <f>INT(base[[#This Row],[Data de liquidação]])</f>
        <v>46132</v>
      </c>
      <c r="M1420" s="126">
        <f>base[[#This Row],[L/P Bruto]]-base[[#This Row],[L/P Líquido]]</f>
        <v>0</v>
      </c>
      <c r="N1420" s="126">
        <f>base[[#This Row],[L/P Líquido]]/base[[#This Row],[Stake/Responsabilidade]]</f>
        <v>-1.7906</v>
      </c>
      <c r="O1420" s="132">
        <f>IF(base[[#This Row],[L/P Líquido]]&gt;0,1,0)</f>
        <v>0</v>
      </c>
      <c r="P1420" s="132"/>
      <c r="Q1420" s="132" t="str">
        <f>LEFT(base[[#This Row],[Evento / Mercado]],FIND("vs",base[[#This Row],[Evento / Mercado]])-2)</f>
        <v>FK Lyn</v>
      </c>
      <c r="R14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Sandnes Ulf</v>
      </c>
      <c r="S1420" s="132" t="str">
        <f>LEFT(base[[#This Row],[Evento / Mercado]],FIND("/",base[[#This Row],[Evento / Mercado]])-2)</f>
        <v>FK Lyn vs Sandnes Ulf</v>
      </c>
    </row>
    <row r="1421" spans="2:21" ht="15" customHeight="1">
      <c r="B1421" s="128" t="s">
        <v>1274</v>
      </c>
      <c r="C1421" s="128" t="s">
        <v>2982</v>
      </c>
      <c r="D1421" s="129">
        <v>46132.661134259259</v>
      </c>
      <c r="E1421" s="130">
        <v>9.5500000000000007</v>
      </c>
      <c r="F1421" s="131">
        <v>4.4999999999999998E-2</v>
      </c>
      <c r="G1421" s="126">
        <f t="shared" si="23"/>
        <v>10.000000000000002</v>
      </c>
      <c r="H1421" s="126" t="s">
        <v>74</v>
      </c>
      <c r="I1421" s="127" t="s">
        <v>1335</v>
      </c>
      <c r="J1421" s="126">
        <v>32</v>
      </c>
      <c r="K1421" s="126">
        <v>310</v>
      </c>
      <c r="L1421" s="129">
        <f>INT(base[[#This Row],[Data de liquidação]])</f>
        <v>46132</v>
      </c>
      <c r="M1421" s="126">
        <f>base[[#This Row],[L/P Bruto]]-base[[#This Row],[L/P Líquido]]</f>
        <v>0.45000000000000107</v>
      </c>
      <c r="N1421" s="126">
        <f>base[[#This Row],[L/P Líquido]]/base[[#This Row],[Stake/Responsabilidade]]</f>
        <v>3.0806451612903227E-2</v>
      </c>
      <c r="O1421" s="132">
        <f>IF(base[[#This Row],[L/P Líquido]]&gt;0,1,0)</f>
        <v>1</v>
      </c>
      <c r="P1421" s="132" t="s">
        <v>982</v>
      </c>
      <c r="Q1421" s="132" t="str">
        <f>LEFT(base[[#This Row],[Evento / Mercado]],FIND("vs",base[[#This Row],[Evento / Mercado]])-2)</f>
        <v>FC Midtjylland</v>
      </c>
      <c r="R14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AGF Aarhus</v>
      </c>
      <c r="S1421" s="132" t="str">
        <f>LEFT(base[[#This Row],[Evento / Mercado]],FIND("/",base[[#This Row],[Evento / Mercado]])-2)</f>
        <v>FC Midtjylland vs AGF Aarhus</v>
      </c>
    </row>
    <row r="1422" spans="2:21" ht="15" customHeight="1">
      <c r="B1422" s="128" t="s">
        <v>1273</v>
      </c>
      <c r="C1422" s="128" t="s">
        <v>2982</v>
      </c>
      <c r="D1422" s="129">
        <v>46132.662037037036</v>
      </c>
      <c r="E1422" s="130">
        <v>9.5500000000000007</v>
      </c>
      <c r="F1422" s="131">
        <v>4.4999999999999998E-2</v>
      </c>
      <c r="G1422" s="126">
        <f t="shared" si="23"/>
        <v>10.000000000000002</v>
      </c>
      <c r="H1422" s="126" t="s">
        <v>74</v>
      </c>
      <c r="I1422" s="127" t="s">
        <v>1335</v>
      </c>
      <c r="J1422" s="126">
        <v>7.6</v>
      </c>
      <c r="K1422" s="126">
        <v>66</v>
      </c>
      <c r="L1422" s="129">
        <f>INT(base[[#This Row],[Data de liquidação]])</f>
        <v>46132</v>
      </c>
      <c r="M1422" s="126">
        <f>base[[#This Row],[L/P Bruto]]-base[[#This Row],[L/P Líquido]]</f>
        <v>0.45000000000000107</v>
      </c>
      <c r="N1422" s="126">
        <f>base[[#This Row],[L/P Líquido]]/base[[#This Row],[Stake/Responsabilidade]]</f>
        <v>0.14469696969696971</v>
      </c>
      <c r="O1422" s="132">
        <f>IF(base[[#This Row],[L/P Líquido]]&gt;0,1,0)</f>
        <v>1</v>
      </c>
      <c r="P1422" s="132" t="s">
        <v>966</v>
      </c>
      <c r="Q1422" s="132" t="str">
        <f>LEFT(base[[#This Row],[Evento / Mercado]],FIND("vs",base[[#This Row],[Evento / Mercado]])-2)</f>
        <v>Gazişehir Gaziantep F.K.</v>
      </c>
      <c r="R14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Kayserispor</v>
      </c>
      <c r="S1422" s="132" t="str">
        <f>LEFT(base[[#This Row],[Evento / Mercado]],FIND("/",base[[#This Row],[Evento / Mercado]])-2)</f>
        <v>Gazişehir Gaziantep F.K. vs Kayserispor</v>
      </c>
    </row>
    <row r="1423" spans="2:21" ht="15" customHeight="1">
      <c r="B1423" s="128" t="s">
        <v>1272</v>
      </c>
      <c r="C1423" s="128" t="s">
        <v>2982</v>
      </c>
      <c r="D1423" s="129">
        <v>46132.727453703701</v>
      </c>
      <c r="E1423" s="130">
        <v>9.5500000000000007</v>
      </c>
      <c r="F1423" s="131">
        <v>4.4999999999999998E-2</v>
      </c>
      <c r="G1423" s="126">
        <f t="shared" si="23"/>
        <v>10.000000000000002</v>
      </c>
      <c r="H1423" s="126" t="s">
        <v>74</v>
      </c>
      <c r="I1423" s="127" t="s">
        <v>1335</v>
      </c>
      <c r="J1423" s="126">
        <v>12</v>
      </c>
      <c r="K1423" s="126">
        <v>110</v>
      </c>
      <c r="L1423" s="129">
        <f>INT(base[[#This Row],[Data de liquidação]])</f>
        <v>46132</v>
      </c>
      <c r="M1423" s="126">
        <f>base[[#This Row],[L/P Bruto]]-base[[#This Row],[L/P Líquido]]</f>
        <v>0.45000000000000107</v>
      </c>
      <c r="N1423" s="126">
        <f>base[[#This Row],[L/P Líquido]]/base[[#This Row],[Stake/Responsabilidade]]</f>
        <v>8.6818181818181822E-2</v>
      </c>
      <c r="O1423" s="132">
        <f>IF(base[[#This Row],[L/P Líquido]]&gt;0,1,0)</f>
        <v>1</v>
      </c>
      <c r="P1423" s="132" t="s">
        <v>977</v>
      </c>
      <c r="Q1423" s="132" t="str">
        <f>LEFT(base[[#This Row],[Evento / Mercado]],FIND("vs",base[[#This Row],[Evento / Mercado]])-2)</f>
        <v>Deportivo La Coruña</v>
      </c>
      <c r="R14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Mirandés</v>
      </c>
      <c r="S1423" s="132" t="str">
        <f>LEFT(base[[#This Row],[Evento / Mercado]],FIND("/",base[[#This Row],[Evento / Mercado]])-2)</f>
        <v>Deportivo La Coruña vs Mirandés</v>
      </c>
    </row>
    <row r="1424" spans="2:21" ht="15" customHeight="1">
      <c r="B1424" s="128" t="s">
        <v>1271</v>
      </c>
      <c r="C1424" s="128" t="s">
        <v>2982</v>
      </c>
      <c r="D1424" s="129">
        <v>46132.822245370371</v>
      </c>
      <c r="E1424" s="130">
        <v>47.75</v>
      </c>
      <c r="F1424" s="131">
        <v>4.4999999999999998E-2</v>
      </c>
      <c r="G1424" s="126">
        <f t="shared" si="23"/>
        <v>50</v>
      </c>
      <c r="H1424" s="126" t="s">
        <v>1236</v>
      </c>
      <c r="I1424" s="127" t="s">
        <v>213</v>
      </c>
      <c r="J1424" s="126">
        <v>9.8000000000000007</v>
      </c>
      <c r="K1424" s="126">
        <v>50</v>
      </c>
      <c r="L1424" s="129">
        <f>INT(base[[#This Row],[Data de liquidação]])</f>
        <v>46132</v>
      </c>
      <c r="M1424" s="126">
        <f>base[[#This Row],[L/P Bruto]]-base[[#This Row],[L/P Líquido]]</f>
        <v>2.25</v>
      </c>
      <c r="N1424" s="126">
        <f>base[[#This Row],[L/P Líquido]]/base[[#This Row],[Stake/Responsabilidade]]</f>
        <v>0.95499999999999996</v>
      </c>
      <c r="O1424" s="132">
        <f>IF(base[[#This Row],[L/P Líquido]]&gt;0,1,0)</f>
        <v>1</v>
      </c>
      <c r="P1424" s="132"/>
      <c r="Q1424" s="132" t="str">
        <f>LEFT(base[[#This Row],[Evento / Mercado]],FIND("vs",base[[#This Row],[Evento / Mercado]])-2)</f>
        <v>Carabobo FC</v>
      </c>
      <c r="R14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Anzoategui FC</v>
      </c>
      <c r="S1424" s="132" t="str">
        <f>LEFT(base[[#This Row],[Evento / Mercado]],FIND("/",base[[#This Row],[Evento / Mercado]])-2)</f>
        <v>Carabobo FC vs Anzoategui FC</v>
      </c>
    </row>
    <row r="1425" spans="2:21" ht="15" customHeight="1">
      <c r="B1425" s="128" t="s">
        <v>1270</v>
      </c>
      <c r="C1425" s="128" t="s">
        <v>2982</v>
      </c>
      <c r="D1425" s="129">
        <v>46132.93310185185</v>
      </c>
      <c r="E1425" s="130">
        <v>2.39</v>
      </c>
      <c r="F1425" s="131">
        <v>4.4999999999999998E-2</v>
      </c>
      <c r="G1425" s="126">
        <f t="shared" si="23"/>
        <v>2.5026178010471205</v>
      </c>
      <c r="H1425" s="126" t="s">
        <v>74</v>
      </c>
      <c r="I1425" s="127" t="s">
        <v>1335</v>
      </c>
      <c r="J1425" s="126">
        <v>21</v>
      </c>
      <c r="K1425" s="126">
        <v>50</v>
      </c>
      <c r="L1425" s="129">
        <f>INT(base[[#This Row],[Data de liquidação]])</f>
        <v>46132</v>
      </c>
      <c r="M1425" s="126">
        <f>base[[#This Row],[L/P Bruto]]-base[[#This Row],[L/P Líquido]]</f>
        <v>0.11261780104712038</v>
      </c>
      <c r="N1425" s="126">
        <f>base[[#This Row],[L/P Líquido]]/base[[#This Row],[Stake/Responsabilidade]]</f>
        <v>4.7800000000000002E-2</v>
      </c>
      <c r="O1425" s="132">
        <f>IF(base[[#This Row],[L/P Líquido]]&gt;0,1,0)</f>
        <v>1</v>
      </c>
      <c r="P1425" s="132" t="s">
        <v>1277</v>
      </c>
      <c r="Q1425" s="132" t="str">
        <f>LEFT(base[[#This Row],[Evento / Mercado]],FIND("vs",base[[#This Row],[Evento / Mercado]])-2)</f>
        <v>CA Peñarol</v>
      </c>
      <c r="R14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Juventud de Las Piedras</v>
      </c>
      <c r="S1425" s="132" t="str">
        <f>LEFT(base[[#This Row],[Evento / Mercado]],FIND("/",base[[#This Row],[Evento / Mercado]])-2)</f>
        <v>CA Peñarol vs Juventud de Las Piedras</v>
      </c>
    </row>
    <row r="1426" spans="2:21" ht="15" customHeight="1">
      <c r="B1426" s="128" t="s">
        <v>1269</v>
      </c>
      <c r="C1426" s="128" t="s">
        <v>2982</v>
      </c>
      <c r="D1426" s="129">
        <v>46132.933171296296</v>
      </c>
      <c r="E1426" s="130">
        <v>38.770000000000003</v>
      </c>
      <c r="F1426" s="131">
        <v>4.4999999999999998E-2</v>
      </c>
      <c r="G1426" s="126">
        <f t="shared" si="23"/>
        <v>40.596858638743463</v>
      </c>
      <c r="H1426" s="126" t="s">
        <v>145</v>
      </c>
      <c r="I1426" s="127" t="s">
        <v>301</v>
      </c>
      <c r="J1426" s="126">
        <v>9.6</v>
      </c>
      <c r="K1426" s="126">
        <v>349.17</v>
      </c>
      <c r="L1426" s="129">
        <f>INT(base[[#This Row],[Data de liquidação]])</f>
        <v>46132</v>
      </c>
      <c r="M1426" s="126">
        <f>base[[#This Row],[L/P Bruto]]-base[[#This Row],[L/P Líquido]]</f>
        <v>1.8268586387434596</v>
      </c>
      <c r="N1426" s="126">
        <f>base[[#This Row],[L/P Líquido]]/base[[#This Row],[Stake/Responsabilidade]]</f>
        <v>0.11103473952515967</v>
      </c>
      <c r="O1426" s="132">
        <f>IF(base[[#This Row],[L/P Líquido]]&gt;0,1,0)</f>
        <v>1</v>
      </c>
      <c r="P1426" s="132" t="s">
        <v>1277</v>
      </c>
      <c r="Q1426" s="132" t="str">
        <f>LEFT(base[[#This Row],[Evento / Mercado]],FIND("vs",base[[#This Row],[Evento / Mercado]])-2)</f>
        <v>CA Peñarol</v>
      </c>
      <c r="R14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Juventud de Las Piedras</v>
      </c>
      <c r="S1426" s="132" t="str">
        <f>LEFT(base[[#This Row],[Evento / Mercado]],FIND("/",base[[#This Row],[Evento / Mercado]])-2)</f>
        <v>CA Peñarol vs Juventud de Las Piedras</v>
      </c>
    </row>
    <row r="1427" spans="2:21" ht="15" customHeight="1">
      <c r="B1427" s="128" t="s">
        <v>1285</v>
      </c>
      <c r="C1427" s="128" t="s">
        <v>2982</v>
      </c>
      <c r="D1427" s="129">
        <v>46133.640949074077</v>
      </c>
      <c r="E1427" s="130">
        <v>2.11</v>
      </c>
      <c r="F1427" s="131">
        <v>4.4999999999999998E-2</v>
      </c>
      <c r="G1427" s="126">
        <f t="shared" si="23"/>
        <v>2.2094240837696333</v>
      </c>
      <c r="H1427" s="126" t="s">
        <v>74</v>
      </c>
      <c r="I1427" s="127" t="s">
        <v>1335</v>
      </c>
      <c r="J1427" s="126">
        <v>25</v>
      </c>
      <c r="K1427" s="126">
        <v>53.01</v>
      </c>
      <c r="L1427" s="129">
        <f>INT(base[[#This Row],[Data de liquidação]])</f>
        <v>46133</v>
      </c>
      <c r="M1427" s="126">
        <f>base[[#This Row],[L/P Bruto]]-base[[#This Row],[L/P Líquido]]</f>
        <v>9.9424083769633409E-2</v>
      </c>
      <c r="N1427" s="126">
        <f>base[[#This Row],[L/P Líquido]]/base[[#This Row],[Stake/Responsabilidade]]</f>
        <v>3.9803810601773251E-2</v>
      </c>
      <c r="O1427" s="132">
        <f>IF(base[[#This Row],[L/P Líquido]]&gt;0,1,0)</f>
        <v>1</v>
      </c>
      <c r="P1427" s="132" t="s">
        <v>1287</v>
      </c>
      <c r="Q1427" s="132" t="str">
        <f>LEFT(base[[#This Row],[Evento / Mercado]],FIND("vs",base[[#This Row],[Evento / Mercado]])-2)</f>
        <v>FC Blau-Weiss Linz</v>
      </c>
      <c r="R14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RZ Pellets WAC</v>
      </c>
      <c r="S1427" s="132" t="str">
        <f>LEFT(base[[#This Row],[Evento / Mercado]],FIND("/",base[[#This Row],[Evento / Mercado]])-2)</f>
        <v>FC Blau-Weiss Linz vs RZ Pellets WAC</v>
      </c>
    </row>
    <row r="1428" spans="2:21" ht="15" customHeight="1">
      <c r="B1428" s="128" t="s">
        <v>1284</v>
      </c>
      <c r="C1428" s="128" t="s">
        <v>2982</v>
      </c>
      <c r="D1428" s="129">
        <v>46133.685335648152</v>
      </c>
      <c r="E1428" s="130">
        <v>47.75</v>
      </c>
      <c r="F1428" s="131">
        <v>4.4999999999999998E-2</v>
      </c>
      <c r="G1428" s="126">
        <f t="shared" si="23"/>
        <v>50</v>
      </c>
      <c r="H1428" s="126" t="s">
        <v>1236</v>
      </c>
      <c r="I1428" s="127" t="s">
        <v>1249</v>
      </c>
      <c r="J1428" s="126">
        <v>5.77</v>
      </c>
      <c r="K1428" s="126">
        <v>50</v>
      </c>
      <c r="L1428" s="129">
        <f>INT(base[[#This Row],[Data de liquidação]])</f>
        <v>46133</v>
      </c>
      <c r="M1428" s="126">
        <f>base[[#This Row],[L/P Bruto]]-base[[#This Row],[L/P Líquido]]</f>
        <v>2.25</v>
      </c>
      <c r="N1428" s="126">
        <f>base[[#This Row],[L/P Líquido]]/base[[#This Row],[Stake/Responsabilidade]]</f>
        <v>0.95499999999999996</v>
      </c>
      <c r="O1428" s="132">
        <f>IF(base[[#This Row],[L/P Líquido]]&gt;0,1,0)</f>
        <v>1</v>
      </c>
      <c r="P1428" s="132"/>
      <c r="Q1428" s="132" t="str">
        <f>LEFT(base[[#This Row],[Evento / Mercado]],FIND("vs",base[[#This Row],[Evento / Mercado]])-2)</f>
        <v>West Bromwich Albion</v>
      </c>
      <c r="R14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Watford</v>
      </c>
      <c r="S1428" s="132" t="str">
        <f>LEFT(base[[#This Row],[Evento / Mercado]],FIND("/",base[[#This Row],[Evento / Mercado]])-2)</f>
        <v>West Bromwich Albion vs Watford</v>
      </c>
    </row>
    <row r="1429" spans="2:21" ht="15" customHeight="1">
      <c r="B1429" s="128" t="s">
        <v>1283</v>
      </c>
      <c r="C1429" s="128" t="s">
        <v>2982</v>
      </c>
      <c r="D1429" s="129">
        <v>46133.704953703702</v>
      </c>
      <c r="E1429" s="130">
        <v>47.75</v>
      </c>
      <c r="F1429" s="131">
        <v>4.4999999999999998E-2</v>
      </c>
      <c r="G1429" s="126">
        <f t="shared" si="23"/>
        <v>50</v>
      </c>
      <c r="H1429" s="126" t="s">
        <v>1236</v>
      </c>
      <c r="I1429" s="127" t="s">
        <v>1249</v>
      </c>
      <c r="J1429" s="126">
        <v>9.4</v>
      </c>
      <c r="K1429" s="126">
        <v>50</v>
      </c>
      <c r="L1429" s="129">
        <f>INT(base[[#This Row],[Data de liquidação]])</f>
        <v>46133</v>
      </c>
      <c r="M1429" s="126">
        <f>base[[#This Row],[L/P Bruto]]-base[[#This Row],[L/P Líquido]]</f>
        <v>2.25</v>
      </c>
      <c r="N1429" s="126">
        <f>base[[#This Row],[L/P Líquido]]/base[[#This Row],[Stake/Responsabilidade]]</f>
        <v>0.95499999999999996</v>
      </c>
      <c r="O1429" s="132">
        <f>IF(base[[#This Row],[L/P Líquido]]&gt;0,1,0)</f>
        <v>1</v>
      </c>
      <c r="P1429" s="132"/>
      <c r="Q1429" s="132" t="str">
        <f>LEFT(base[[#This Row],[Evento / Mercado]],FIND("vs",base[[#This Row],[Evento / Mercado]])-2)</f>
        <v>Leicester City</v>
      </c>
      <c r="R14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Hull City</v>
      </c>
      <c r="S1429" s="132" t="str">
        <f>LEFT(base[[#This Row],[Evento / Mercado]],FIND("/",base[[#This Row],[Evento / Mercado]])-2)</f>
        <v>Leicester City vs Hull City</v>
      </c>
    </row>
    <row r="1430" spans="2:21" ht="15" customHeight="1">
      <c r="B1430" s="128" t="s">
        <v>1282</v>
      </c>
      <c r="C1430" s="128" t="s">
        <v>2982</v>
      </c>
      <c r="D1430" s="129">
        <v>46133.725937499999</v>
      </c>
      <c r="E1430" s="130">
        <v>3</v>
      </c>
      <c r="F1430" s="131">
        <v>4.4999999999999998E-2</v>
      </c>
      <c r="G1430" s="126">
        <f t="shared" si="23"/>
        <v>3.1413612565445028</v>
      </c>
      <c r="H1430" s="126" t="s">
        <v>74</v>
      </c>
      <c r="I1430" s="127" t="s">
        <v>1335</v>
      </c>
      <c r="J1430" s="126">
        <v>18</v>
      </c>
      <c r="K1430" s="126">
        <v>53.38</v>
      </c>
      <c r="L1430" s="129">
        <f>INT(base[[#This Row],[Data de liquidação]])</f>
        <v>46133</v>
      </c>
      <c r="M1430" s="126">
        <f>base[[#This Row],[L/P Bruto]]-base[[#This Row],[L/P Líquido]]</f>
        <v>0.14136125654450282</v>
      </c>
      <c r="N1430" s="126">
        <f>base[[#This Row],[L/P Líquido]]/base[[#This Row],[Stake/Responsabilidade]]</f>
        <v>5.6200824278756084E-2</v>
      </c>
      <c r="O1430" s="132">
        <f>IF(base[[#This Row],[L/P Líquido]]&gt;0,1,0)</f>
        <v>1</v>
      </c>
      <c r="P1430" s="132" t="s">
        <v>1288</v>
      </c>
      <c r="Q1430" s="132" t="str">
        <f>LEFT(base[[#This Row],[Evento / Mercado]],FIND("vs",base[[#This Row],[Evento / Mercado]])-2)</f>
        <v>Racing Genk</v>
      </c>
      <c r="R14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Charleroi</v>
      </c>
      <c r="S1430" s="132" t="str">
        <f>LEFT(base[[#This Row],[Evento / Mercado]],FIND("/",base[[#This Row],[Evento / Mercado]])-2)</f>
        <v>Racing Genk vs Sporting de Charleroi</v>
      </c>
    </row>
    <row r="1431" spans="2:21" ht="15" customHeight="1">
      <c r="B1431" s="128" t="s">
        <v>1281</v>
      </c>
      <c r="C1431" s="128" t="s">
        <v>2982</v>
      </c>
      <c r="D1431" s="129">
        <v>46133.72761574074</v>
      </c>
      <c r="E1431" s="130">
        <v>2.19</v>
      </c>
      <c r="F1431" s="131">
        <v>4.4999999999999998E-2</v>
      </c>
      <c r="G1431" s="126">
        <f t="shared" si="23"/>
        <v>2.2931937172774868</v>
      </c>
      <c r="H1431" s="126" t="s">
        <v>74</v>
      </c>
      <c r="I1431" s="127" t="s">
        <v>1335</v>
      </c>
      <c r="J1431" s="126">
        <v>25</v>
      </c>
      <c r="K1431" s="126">
        <v>54.96</v>
      </c>
      <c r="L1431" s="129">
        <f>INT(base[[#This Row],[Data de liquidação]])</f>
        <v>46133</v>
      </c>
      <c r="M1431" s="126">
        <f>base[[#This Row],[L/P Bruto]]-base[[#This Row],[L/P Líquido]]</f>
        <v>0.10319371727748683</v>
      </c>
      <c r="N1431" s="126">
        <f>base[[#This Row],[L/P Líquido]]/base[[#This Row],[Stake/Responsabilidade]]</f>
        <v>3.9847161572052398E-2</v>
      </c>
      <c r="O1431" s="132">
        <f>IF(base[[#This Row],[L/P Líquido]]&gt;0,1,0)</f>
        <v>1</v>
      </c>
      <c r="P1431" s="132" t="s">
        <v>1288</v>
      </c>
      <c r="Q1431" s="132" t="str">
        <f>LEFT(base[[#This Row],[Evento / Mercado]],FIND("vs",base[[#This Row],[Evento / Mercado]])-2)</f>
        <v>Oud-Heverlee Leuven</v>
      </c>
      <c r="R14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Westerlo</v>
      </c>
      <c r="S1431" s="132" t="str">
        <f>LEFT(base[[#This Row],[Evento / Mercado]],FIND("/",base[[#This Row],[Evento / Mercado]])-2)</f>
        <v>Oud-Heverlee Leuven vs Westerlo</v>
      </c>
    </row>
    <row r="1432" spans="2:21" ht="15" customHeight="1">
      <c r="B1432" s="128" t="s">
        <v>1280</v>
      </c>
      <c r="C1432" s="128" t="s">
        <v>2982</v>
      </c>
      <c r="D1432" s="129">
        <v>46133.735671296294</v>
      </c>
      <c r="E1432" s="130">
        <v>7.51</v>
      </c>
      <c r="F1432" s="131">
        <v>4.4999999999999998E-2</v>
      </c>
      <c r="G1432" s="126">
        <f t="shared" si="23"/>
        <v>7.8638743455497382</v>
      </c>
      <c r="H1432" s="126" t="s">
        <v>74</v>
      </c>
      <c r="I1432" s="127" t="s">
        <v>1335</v>
      </c>
      <c r="J1432" s="126">
        <v>8</v>
      </c>
      <c r="K1432" s="126">
        <v>55.02</v>
      </c>
      <c r="L1432" s="129">
        <f>INT(base[[#This Row],[Data de liquidação]])</f>
        <v>46133</v>
      </c>
      <c r="M1432" s="126">
        <f>base[[#This Row],[L/P Bruto]]-base[[#This Row],[L/P Líquido]]</f>
        <v>0.3538743455497384</v>
      </c>
      <c r="N1432" s="126">
        <f>base[[#This Row],[L/P Líquido]]/base[[#This Row],[Stake/Responsabilidade]]</f>
        <v>0.13649581970192656</v>
      </c>
      <c r="O1432" s="132">
        <f>IF(base[[#This Row],[L/P Líquido]]&gt;0,1,0)</f>
        <v>1</v>
      </c>
      <c r="P1432" s="132" t="s">
        <v>968</v>
      </c>
      <c r="Q1432" s="132" t="str">
        <f>LEFT(base[[#This Row],[Evento / Mercado]],FIND("vs",base[[#This Row],[Evento / Mercado]])-2)</f>
        <v>Leicester City</v>
      </c>
      <c r="R14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Hull City</v>
      </c>
      <c r="S1432" s="132" t="str">
        <f>LEFT(base[[#This Row],[Evento / Mercado]],FIND("/",base[[#This Row],[Evento / Mercado]])-2)</f>
        <v>Leicester City vs Hull City</v>
      </c>
    </row>
    <row r="1433" spans="2:21" ht="15" customHeight="1">
      <c r="B1433" s="128" t="s">
        <v>1279</v>
      </c>
      <c r="C1433" s="128" t="s">
        <v>2982</v>
      </c>
      <c r="D1433" s="129">
        <v>46133.742256944446</v>
      </c>
      <c r="E1433" s="130">
        <v>47.75</v>
      </c>
      <c r="F1433" s="131">
        <v>4.4999999999999998E-2</v>
      </c>
      <c r="G1433" s="126">
        <f t="shared" si="23"/>
        <v>50</v>
      </c>
      <c r="H1433" s="126" t="s">
        <v>1236</v>
      </c>
      <c r="I1433" s="127" t="s">
        <v>1249</v>
      </c>
      <c r="J1433" s="126">
        <v>18.5</v>
      </c>
      <c r="K1433" s="126">
        <v>50</v>
      </c>
      <c r="L1433" s="129">
        <f>INT(base[[#This Row],[Data de liquidação]])</f>
        <v>46133</v>
      </c>
      <c r="M1433" s="126">
        <f>base[[#This Row],[L/P Bruto]]-base[[#This Row],[L/P Líquido]]</f>
        <v>2.25</v>
      </c>
      <c r="N1433" s="126">
        <f>base[[#This Row],[L/P Líquido]]/base[[#This Row],[Stake/Responsabilidade]]</f>
        <v>0.95499999999999996</v>
      </c>
      <c r="O1433" s="132">
        <f>IF(base[[#This Row],[L/P Líquido]]&gt;0,1,0)</f>
        <v>1</v>
      </c>
      <c r="P1433" s="132"/>
      <c r="Q1433" s="132" t="str">
        <f>LEFT(base[[#This Row],[Evento / Mercado]],FIND("vs",base[[#This Row],[Evento / Mercado]])-2)</f>
        <v>Real Madrid</v>
      </c>
      <c r="R14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Alaves</v>
      </c>
      <c r="S1433" s="132" t="str">
        <f>LEFT(base[[#This Row],[Evento / Mercado]],FIND("/",base[[#This Row],[Evento / Mercado]])-2)</f>
        <v>Real Madrid vs Deportivo Alaves</v>
      </c>
    </row>
    <row r="1434" spans="2:21" ht="15" customHeight="1">
      <c r="B1434" s="128" t="s">
        <v>1278</v>
      </c>
      <c r="C1434" s="128" t="s">
        <v>2982</v>
      </c>
      <c r="D1434" s="129">
        <v>46133.772812499999</v>
      </c>
      <c r="E1434" s="130">
        <v>27.589949999999998</v>
      </c>
      <c r="F1434" s="131">
        <v>4.4999999999999998E-2</v>
      </c>
      <c r="G1434" s="126">
        <f t="shared" si="23"/>
        <v>28.89</v>
      </c>
      <c r="H1434" s="126" t="s">
        <v>145</v>
      </c>
      <c r="I1434" s="127" t="s">
        <v>301</v>
      </c>
      <c r="J1434" s="126">
        <v>14.5</v>
      </c>
      <c r="K1434" s="126">
        <v>390.02</v>
      </c>
      <c r="L1434" s="129">
        <f>INT(base[[#This Row],[Data de liquidação]])</f>
        <v>46133</v>
      </c>
      <c r="M1434" s="126">
        <f>base[[#This Row],[L/P Bruto]]-base[[#This Row],[L/P Líquido]]</f>
        <v>1.3000500000000024</v>
      </c>
      <c r="N1434" s="126">
        <f>base[[#This Row],[L/P Líquido]]/base[[#This Row],[Stake/Responsabilidade]]</f>
        <v>7.0739833854674111E-2</v>
      </c>
      <c r="O1434" s="132">
        <f>IF(base[[#This Row],[L/P Líquido]]&gt;0,1,0)</f>
        <v>1</v>
      </c>
      <c r="P1434" s="132" t="s">
        <v>964</v>
      </c>
      <c r="Q1434" s="132" t="str">
        <f>LEFT(base[[#This Row],[Evento / Mercado]],FIND("vs",base[[#This Row],[Evento / Mercado]])-2)</f>
        <v>Real Madrid</v>
      </c>
      <c r="R14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Alaves</v>
      </c>
      <c r="S1434" s="132" t="str">
        <f>LEFT(base[[#This Row],[Evento / Mercado]],FIND("/",base[[#This Row],[Evento / Mercado]])-2)</f>
        <v>Real Madrid vs Deportivo Alaves</v>
      </c>
      <c r="T1434" s="8">
        <v>28.89</v>
      </c>
      <c r="U1434" s="9">
        <f>T1434*0.955</f>
        <v>27.589949999999998</v>
      </c>
    </row>
    <row r="1435" spans="2:21" ht="15" customHeight="1">
      <c r="B1435" s="128" t="s">
        <v>1278</v>
      </c>
      <c r="C1435" s="128" t="s">
        <v>2982</v>
      </c>
      <c r="D1435" s="129">
        <v>46133.772812499999</v>
      </c>
      <c r="E1435" s="130">
        <v>14.04805</v>
      </c>
      <c r="F1435" s="131">
        <v>4.4999999999999998E-2</v>
      </c>
      <c r="G1435" s="126">
        <f t="shared" si="23"/>
        <v>14.71</v>
      </c>
      <c r="H1435" s="126" t="s">
        <v>1233</v>
      </c>
      <c r="I1435" s="127"/>
      <c r="J1435" s="126">
        <v>7.8</v>
      </c>
      <c r="K1435" s="126">
        <v>100.03</v>
      </c>
      <c r="L1435" s="129">
        <f>INT(base[[#This Row],[Data de liquidação]])</f>
        <v>46133</v>
      </c>
      <c r="M1435" s="126">
        <f>base[[#This Row],[L/P Bruto]]-base[[#This Row],[L/P Líquido]]</f>
        <v>0.66195000000000093</v>
      </c>
      <c r="N1435" s="126">
        <f>base[[#This Row],[L/P Líquido]]/base[[#This Row],[Stake/Responsabilidade]]</f>
        <v>0.14043836848945315</v>
      </c>
      <c r="O1435" s="132">
        <f>IF(base[[#This Row],[L/P Líquido]]&gt;0,1,0)</f>
        <v>1</v>
      </c>
      <c r="P1435" s="132" t="s">
        <v>964</v>
      </c>
      <c r="Q1435" s="132" t="str">
        <f>LEFT(base[[#This Row],[Evento / Mercado]],FIND("vs",base[[#This Row],[Evento / Mercado]])-2)</f>
        <v>Real Madrid</v>
      </c>
      <c r="R14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Alaves</v>
      </c>
      <c r="S1435" s="132" t="str">
        <f>LEFT(base[[#This Row],[Evento / Mercado]],FIND("/",base[[#This Row],[Evento / Mercado]])-2)</f>
        <v>Real Madrid vs Deportivo Alaves</v>
      </c>
      <c r="T1435" s="8">
        <v>14.71</v>
      </c>
      <c r="U1435" s="9">
        <f>T1435*0.955</f>
        <v>14.04805</v>
      </c>
    </row>
    <row r="1436" spans="2:21" s="4" customFormat="1" ht="15" customHeight="1">
      <c r="B1436" s="133" t="s">
        <v>1286</v>
      </c>
      <c r="C1436" s="128" t="s">
        <v>2982</v>
      </c>
      <c r="D1436" s="134">
        <v>46134.00953703704</v>
      </c>
      <c r="E1436" s="135">
        <v>-70</v>
      </c>
      <c r="F1436" s="136">
        <v>4.4999999999999998E-2</v>
      </c>
      <c r="G1436" s="137">
        <f t="shared" si="23"/>
        <v>-70</v>
      </c>
      <c r="H1436" s="137" t="s">
        <v>74</v>
      </c>
      <c r="I1436" s="127" t="s">
        <v>1335</v>
      </c>
      <c r="J1436" s="137">
        <v>13.5</v>
      </c>
      <c r="K1436" s="137">
        <v>70</v>
      </c>
      <c r="L1436" s="134">
        <f>INT(base[[#This Row],[Data de liquidação]])</f>
        <v>46134</v>
      </c>
      <c r="M1436" s="137">
        <f>base[[#This Row],[L/P Bruto]]-base[[#This Row],[L/P Líquido]]</f>
        <v>0</v>
      </c>
      <c r="N1436" s="137">
        <f>base[[#This Row],[L/P Líquido]]/base[[#This Row],[Stake/Responsabilidade]]</f>
        <v>-1</v>
      </c>
      <c r="O1436" s="138">
        <f>IF(base[[#This Row],[L/P Líquido]]&gt;0,1,0)</f>
        <v>0</v>
      </c>
      <c r="P1436" s="138" t="s">
        <v>1289</v>
      </c>
      <c r="Q1436" s="138" t="str">
        <f>LEFT(base[[#This Row],[Evento / Mercado]],FIND("vs",base[[#This Row],[Evento / Mercado]])-2)</f>
        <v>Pumas UNAM</v>
      </c>
      <c r="R1436" s="13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Juárez</v>
      </c>
      <c r="S1436" s="138" t="str">
        <f>LEFT(base[[#This Row],[Evento / Mercado]],FIND("/",base[[#This Row],[Evento / Mercado]])-2)</f>
        <v>Pumas UNAM vs FC Juárez</v>
      </c>
    </row>
    <row r="1437" spans="2:21" ht="15" customHeight="1">
      <c r="B1437" s="128" t="s">
        <v>1334</v>
      </c>
      <c r="C1437" s="128" t="s">
        <v>2982</v>
      </c>
      <c r="D1437" s="129">
        <v>46134.437708333331</v>
      </c>
      <c r="E1437" s="130">
        <v>1.77</v>
      </c>
      <c r="F1437" s="136">
        <v>4.4999999999999998E-2</v>
      </c>
      <c r="G1437" s="126">
        <f t="shared" si="23"/>
        <v>1.8534031413612566</v>
      </c>
      <c r="H1437" s="137" t="s">
        <v>74</v>
      </c>
      <c r="I1437" s="127" t="s">
        <v>1335</v>
      </c>
      <c r="J1437" s="126">
        <v>32</v>
      </c>
      <c r="K1437" s="126">
        <v>57.35</v>
      </c>
      <c r="L1437" s="129">
        <f>INT(base[[#This Row],[Data de liquidação]])</f>
        <v>46134</v>
      </c>
      <c r="M1437" s="126">
        <f>base[[#This Row],[L/P Bruto]]-base[[#This Row],[L/P Líquido]]</f>
        <v>8.3403141361256594E-2</v>
      </c>
      <c r="N1437" s="126">
        <f>base[[#This Row],[L/P Líquido]]/base[[#This Row],[Stake/Responsabilidade]]</f>
        <v>3.0863121185701829E-2</v>
      </c>
      <c r="O1437" s="132">
        <f>IF(base[[#This Row],[L/P Líquido]]&gt;0,1,0)</f>
        <v>1</v>
      </c>
      <c r="P1437" s="132"/>
      <c r="Q1437" s="132" t="str">
        <f>LEFT(base[[#This Row],[Evento / Mercado]],FIND("vs",base[[#This Row],[Evento / Mercado]])-2)</f>
        <v>Liaoning Tieren F.C.</v>
      </c>
      <c r="R14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Dalian Yingbo</v>
      </c>
      <c r="S1437" s="132" t="str">
        <f>LEFT(base[[#This Row],[Evento / Mercado]],FIND("/",base[[#This Row],[Evento / Mercado]])-2)</f>
        <v>Liaoning Tieren F.C. vs Dalian Yingbo</v>
      </c>
    </row>
    <row r="1438" spans="2:21" ht="15" customHeight="1">
      <c r="B1438" s="128" t="s">
        <v>1333</v>
      </c>
      <c r="C1438" s="128" t="s">
        <v>2982</v>
      </c>
      <c r="D1438" s="129">
        <v>46134.571539351855</v>
      </c>
      <c r="E1438" s="130">
        <v>47.75</v>
      </c>
      <c r="F1438" s="136">
        <v>4.4999999999999998E-2</v>
      </c>
      <c r="G1438" s="126">
        <f t="shared" si="23"/>
        <v>50</v>
      </c>
      <c r="H1438" s="126" t="s">
        <v>1236</v>
      </c>
      <c r="I1438" s="127" t="s">
        <v>1249</v>
      </c>
      <c r="J1438" s="126">
        <v>9.8000000000000007</v>
      </c>
      <c r="K1438" s="126">
        <v>50</v>
      </c>
      <c r="L1438" s="129">
        <f>INT(base[[#This Row],[Data de liquidação]])</f>
        <v>46134</v>
      </c>
      <c r="M1438" s="126">
        <f>base[[#This Row],[L/P Bruto]]-base[[#This Row],[L/P Líquido]]</f>
        <v>2.25</v>
      </c>
      <c r="N1438" s="126">
        <f>base[[#This Row],[L/P Líquido]]/base[[#This Row],[Stake/Responsabilidade]]</f>
        <v>0.95499999999999996</v>
      </c>
      <c r="O1438" s="132">
        <f>IF(base[[#This Row],[L/P Líquido]]&gt;0,1,0)</f>
        <v>1</v>
      </c>
      <c r="P1438" s="132"/>
      <c r="Q1438" s="132" t="str">
        <f>LEFT(base[[#This Row],[Evento / Mercado]],FIND("vs",base[[#This Row],[Evento / Mercado]])-2)</f>
        <v>FC København</v>
      </c>
      <c r="R14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Odense BK</v>
      </c>
      <c r="S1438" s="132" t="str">
        <f>LEFT(base[[#This Row],[Evento / Mercado]],FIND("/",base[[#This Row],[Evento / Mercado]])-2)</f>
        <v>FC København vs Odense BK</v>
      </c>
    </row>
    <row r="1439" spans="2:21" ht="15" customHeight="1">
      <c r="B1439" s="128" t="s">
        <v>1332</v>
      </c>
      <c r="C1439" s="128" t="s">
        <v>2982</v>
      </c>
      <c r="D1439" s="129">
        <v>46134.637152777781</v>
      </c>
      <c r="E1439" s="130">
        <v>-84.26</v>
      </c>
      <c r="F1439" s="136">
        <v>4.4999999999999998E-2</v>
      </c>
      <c r="G1439" s="126">
        <f t="shared" si="23"/>
        <v>-84.26</v>
      </c>
      <c r="H1439" s="126" t="s">
        <v>1236</v>
      </c>
      <c r="I1439" s="127" t="s">
        <v>1249</v>
      </c>
      <c r="J1439" s="126">
        <v>14.5</v>
      </c>
      <c r="K1439" s="126">
        <v>50</v>
      </c>
      <c r="L1439" s="129">
        <f>INT(base[[#This Row],[Data de liquidação]])</f>
        <v>46134</v>
      </c>
      <c r="M1439" s="126">
        <f>base[[#This Row],[L/P Bruto]]-base[[#This Row],[L/P Líquido]]</f>
        <v>0</v>
      </c>
      <c r="N1439" s="126">
        <f>base[[#This Row],[L/P Líquido]]/base[[#This Row],[Stake/Responsabilidade]]</f>
        <v>-1.6852</v>
      </c>
      <c r="O1439" s="132">
        <f>IF(base[[#This Row],[L/P Líquido]]&gt;0,1,0)</f>
        <v>0</v>
      </c>
      <c r="P1439" s="132"/>
      <c r="Q1439" s="132" t="str">
        <f>LEFT(base[[#This Row],[Evento / Mercado]],FIND("vs",base[[#This Row],[Evento / Mercado]])-2)</f>
        <v>Hammarby IF</v>
      </c>
      <c r="R14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1439" s="132" t="str">
        <f>LEFT(base[[#This Row],[Evento / Mercado]],FIND("/",base[[#This Row],[Evento / Mercado]])-2)</f>
        <v>Hammarby IF vs Halmstads BK</v>
      </c>
    </row>
    <row r="1440" spans="2:21" ht="15" customHeight="1">
      <c r="B1440" s="128" t="s">
        <v>1331</v>
      </c>
      <c r="C1440" s="128" t="s">
        <v>2982</v>
      </c>
      <c r="D1440" s="129">
        <v>46134.668333333335</v>
      </c>
      <c r="E1440" s="130">
        <v>47.75</v>
      </c>
      <c r="F1440" s="136">
        <v>4.4999999999999998E-2</v>
      </c>
      <c r="G1440" s="126">
        <f t="shared" si="23"/>
        <v>50</v>
      </c>
      <c r="H1440" s="126" t="s">
        <v>1236</v>
      </c>
      <c r="I1440" s="127" t="s">
        <v>1249</v>
      </c>
      <c r="J1440" s="126">
        <v>10</v>
      </c>
      <c r="K1440" s="126">
        <v>50</v>
      </c>
      <c r="L1440" s="129">
        <f>INT(base[[#This Row],[Data de liquidação]])</f>
        <v>46134</v>
      </c>
      <c r="M1440" s="126">
        <f>base[[#This Row],[L/P Bruto]]-base[[#This Row],[L/P Líquido]]</f>
        <v>2.25</v>
      </c>
      <c r="N1440" s="126">
        <f>base[[#This Row],[L/P Líquido]]/base[[#This Row],[Stake/Responsabilidade]]</f>
        <v>0.95499999999999996</v>
      </c>
      <c r="O1440" s="132">
        <f>IF(base[[#This Row],[L/P Líquido]]&gt;0,1,0)</f>
        <v>1</v>
      </c>
      <c r="P1440" s="132"/>
      <c r="Q1440" s="132" t="str">
        <f>LEFT(base[[#This Row],[Evento / Mercado]],FIND("vs",base[[#This Row],[Evento / Mercado]])-2)</f>
        <v>Istra 1961</v>
      </c>
      <c r="R14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Dinamo Zagreb</v>
      </c>
      <c r="S1440" s="132" t="str">
        <f>LEFT(base[[#This Row],[Evento / Mercado]],FIND("/",base[[#This Row],[Evento / Mercado]])-2)</f>
        <v>Istra 1961 vs Dinamo Zagreb</v>
      </c>
    </row>
    <row r="1441" spans="2:21" ht="15" customHeight="1">
      <c r="B1441" s="128" t="s">
        <v>1330</v>
      </c>
      <c r="C1441" s="128" t="s">
        <v>2982</v>
      </c>
      <c r="D1441" s="129">
        <v>46134.681979166664</v>
      </c>
      <c r="E1441" s="130">
        <v>2.99</v>
      </c>
      <c r="F1441" s="136">
        <v>4.4999999999999998E-2</v>
      </c>
      <c r="G1441" s="126">
        <f t="shared" si="23"/>
        <v>3.1308900523560212</v>
      </c>
      <c r="H1441" s="137" t="s">
        <v>1339</v>
      </c>
      <c r="I1441" s="127" t="s">
        <v>1388</v>
      </c>
      <c r="J1441" s="126">
        <v>17</v>
      </c>
      <c r="K1441" s="126">
        <v>50.08</v>
      </c>
      <c r="L1441" s="129">
        <f>INT(base[[#This Row],[Data de liquidação]])</f>
        <v>46134</v>
      </c>
      <c r="M1441" s="126">
        <f>base[[#This Row],[L/P Bruto]]-base[[#This Row],[L/P Líquido]]</f>
        <v>0.14089005235602103</v>
      </c>
      <c r="N1441" s="126">
        <f>base[[#This Row],[L/P Líquido]]/base[[#This Row],[Stake/Responsabilidade]]</f>
        <v>5.9704472843450485E-2</v>
      </c>
      <c r="O1441" s="132">
        <f>IF(base[[#This Row],[L/P Líquido]]&gt;0,1,0)</f>
        <v>1</v>
      </c>
      <c r="P1441" s="132"/>
      <c r="Q1441" s="132" t="str">
        <f>LEFT(base[[#This Row],[Evento / Mercado]],FIND("vs",base[[#This Row],[Evento / Mercado]])-2)</f>
        <v>FC Yverdon-Sport</v>
      </c>
      <c r="R14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Neuchâtel Xamax</v>
      </c>
      <c r="S1441" s="132" t="str">
        <f>LEFT(base[[#This Row],[Evento / Mercado]],FIND("/",base[[#This Row],[Evento / Mercado]])-2)</f>
        <v>FC Yverdon-Sport vs Neuchâtel Xamax</v>
      </c>
    </row>
    <row r="1442" spans="2:21" ht="15" customHeight="1">
      <c r="B1442" s="128" t="s">
        <v>1329</v>
      </c>
      <c r="C1442" s="128" t="s">
        <v>2982</v>
      </c>
      <c r="D1442" s="129">
        <v>46134.70416666667</v>
      </c>
      <c r="E1442" s="130">
        <v>3.98</v>
      </c>
      <c r="F1442" s="136">
        <v>4.4999999999999998E-2</v>
      </c>
      <c r="G1442" s="126">
        <f t="shared" si="23"/>
        <v>4.167539267015707</v>
      </c>
      <c r="H1442" s="137" t="s">
        <v>1339</v>
      </c>
      <c r="I1442" s="127" t="s">
        <v>1388</v>
      </c>
      <c r="J1442" s="126">
        <v>27</v>
      </c>
      <c r="K1442" s="126">
        <v>108.42</v>
      </c>
      <c r="L1442" s="129">
        <f>INT(base[[#This Row],[Data de liquidação]])</f>
        <v>46134</v>
      </c>
      <c r="M1442" s="126">
        <f>base[[#This Row],[L/P Bruto]]-base[[#This Row],[L/P Líquido]]</f>
        <v>0.187539267015707</v>
      </c>
      <c r="N1442" s="126">
        <f>base[[#This Row],[L/P Líquido]]/base[[#This Row],[Stake/Responsabilidade]]</f>
        <v>3.6709094263051099E-2</v>
      </c>
      <c r="O1442" s="132">
        <f>IF(base[[#This Row],[L/P Líquido]]&gt;0,1,0)</f>
        <v>1</v>
      </c>
      <c r="P1442" s="132"/>
      <c r="Q1442" s="132" t="str">
        <f>LEFT(base[[#This Row],[Evento / Mercado]],FIND("vs",base[[#This Row],[Evento / Mercado]])-2)</f>
        <v>Viborg FF</v>
      </c>
      <c r="R14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Brøndby IF</v>
      </c>
      <c r="S1442" s="132" t="str">
        <f>LEFT(base[[#This Row],[Evento / Mercado]],FIND("/",base[[#This Row],[Evento / Mercado]])-2)</f>
        <v>Viborg FF vs Brøndby IF</v>
      </c>
    </row>
    <row r="1443" spans="2:21" ht="15" customHeight="1">
      <c r="B1443" s="128" t="s">
        <v>1328</v>
      </c>
      <c r="C1443" s="128" t="s">
        <v>2982</v>
      </c>
      <c r="D1443" s="129">
        <v>46134.704652777778</v>
      </c>
      <c r="E1443" s="130">
        <v>-79.319999999999993</v>
      </c>
      <c r="F1443" s="136">
        <v>4.4999999999999998E-2</v>
      </c>
      <c r="G1443" s="126">
        <f t="shared" si="23"/>
        <v>-79.319999999999993</v>
      </c>
      <c r="H1443" s="126" t="s">
        <v>1236</v>
      </c>
      <c r="I1443" s="127" t="s">
        <v>379</v>
      </c>
      <c r="J1443" s="126">
        <v>9.1999999999999993</v>
      </c>
      <c r="K1443" s="126">
        <v>50</v>
      </c>
      <c r="L1443" s="129">
        <f>INT(base[[#This Row],[Data de liquidação]])</f>
        <v>46134</v>
      </c>
      <c r="M1443" s="126">
        <f>base[[#This Row],[L/P Bruto]]-base[[#This Row],[L/P Líquido]]</f>
        <v>0</v>
      </c>
      <c r="N1443" s="126">
        <f>base[[#This Row],[L/P Líquido]]/base[[#This Row],[Stake/Responsabilidade]]</f>
        <v>-1.5863999999999998</v>
      </c>
      <c r="O1443" s="132">
        <f>IF(base[[#This Row],[L/P Líquido]]&gt;0,1,0)</f>
        <v>0</v>
      </c>
      <c r="P1443" s="132"/>
      <c r="Q1443" s="132" t="str">
        <f>LEFT(base[[#This Row],[Evento / Mercado]],FIND("vs",base[[#This Row],[Evento / Mercado]])-2)</f>
        <v>Viborg FF</v>
      </c>
      <c r="R14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Brøndby IF</v>
      </c>
      <c r="S1443" s="132" t="str">
        <f>LEFT(base[[#This Row],[Evento / Mercado]],FIND("/",base[[#This Row],[Evento / Mercado]])-2)</f>
        <v>Viborg FF vs Brøndby IF</v>
      </c>
    </row>
    <row r="1444" spans="2:21" ht="15" customHeight="1">
      <c r="B1444" s="128" t="s">
        <v>1327</v>
      </c>
      <c r="C1444" s="128" t="s">
        <v>2982</v>
      </c>
      <c r="D1444" s="129">
        <v>46134.73574074074</v>
      </c>
      <c r="E1444" s="130">
        <v>-89.91</v>
      </c>
      <c r="F1444" s="136">
        <v>4.4999999999999998E-2</v>
      </c>
      <c r="G1444" s="126">
        <f t="shared" si="23"/>
        <v>-89.91</v>
      </c>
      <c r="H1444" s="126" t="s">
        <v>1236</v>
      </c>
      <c r="I1444" s="127" t="s">
        <v>1249</v>
      </c>
      <c r="J1444" s="126">
        <v>14</v>
      </c>
      <c r="K1444" s="126">
        <v>50</v>
      </c>
      <c r="L1444" s="129">
        <f>INT(base[[#This Row],[Data de liquidação]])</f>
        <v>46134</v>
      </c>
      <c r="M1444" s="126">
        <f>base[[#This Row],[L/P Bruto]]-base[[#This Row],[L/P Líquido]]</f>
        <v>0</v>
      </c>
      <c r="N1444" s="126">
        <f>base[[#This Row],[L/P Líquido]]/base[[#This Row],[Stake/Responsabilidade]]</f>
        <v>-1.7982</v>
      </c>
      <c r="O1444" s="132">
        <f>IF(base[[#This Row],[L/P Líquido]]&gt;0,1,0)</f>
        <v>0</v>
      </c>
      <c r="P1444" s="132"/>
      <c r="Q1444" s="132" t="str">
        <f>LEFT(base[[#This Row],[Evento / Mercado]],FIND("vs",base[[#This Row],[Evento / Mercado]])-2)</f>
        <v>Middlesbrough</v>
      </c>
      <c r="R14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Wednesday</v>
      </c>
      <c r="S1444" s="132" t="str">
        <f>LEFT(base[[#This Row],[Evento / Mercado]],FIND("/",base[[#This Row],[Evento / Mercado]])-2)</f>
        <v>Middlesbrough vs Sheffield Wednesday</v>
      </c>
    </row>
    <row r="1445" spans="2:21" ht="15" customHeight="1">
      <c r="B1445" s="128" t="s">
        <v>1326</v>
      </c>
      <c r="C1445" s="128" t="s">
        <v>2982</v>
      </c>
      <c r="D1445" s="129">
        <v>46134.736956018518</v>
      </c>
      <c r="E1445" s="130">
        <v>26.07</v>
      </c>
      <c r="F1445" s="136">
        <v>4.4999999999999998E-2</v>
      </c>
      <c r="G1445" s="126">
        <f t="shared" si="23"/>
        <v>27.298429319371728</v>
      </c>
      <c r="H1445" s="126" t="s">
        <v>74</v>
      </c>
      <c r="I1445" s="127" t="s">
        <v>541</v>
      </c>
      <c r="J1445" s="126">
        <v>19.5</v>
      </c>
      <c r="K1445" s="126">
        <v>505.05</v>
      </c>
      <c r="L1445" s="129">
        <f>INT(base[[#This Row],[Data de liquidação]])</f>
        <v>46134</v>
      </c>
      <c r="M1445" s="126">
        <f>base[[#This Row],[L/P Bruto]]-base[[#This Row],[L/P Líquido]]</f>
        <v>1.2284293193717275</v>
      </c>
      <c r="N1445" s="126">
        <f>base[[#This Row],[L/P Líquido]]/base[[#This Row],[Stake/Responsabilidade]]</f>
        <v>5.1618651618651618E-2</v>
      </c>
      <c r="O1445" s="132">
        <f>IF(base[[#This Row],[L/P Líquido]]&gt;0,1,0)</f>
        <v>1</v>
      </c>
      <c r="P1445" s="132" t="s">
        <v>962</v>
      </c>
      <c r="Q1445" s="132" t="str">
        <f>LEFT(base[[#This Row],[Evento / Mercado]],FIND("vs",base[[#This Row],[Evento / Mercado]])-2)</f>
        <v>Bayer 04 Leverkusen</v>
      </c>
      <c r="R14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445" s="132" t="str">
        <f>LEFT(base[[#This Row],[Evento / Mercado]],FIND("/",base[[#This Row],[Evento / Mercado]])-2)</f>
        <v>Bayer 04 Leverkusen vs FC Bayern München</v>
      </c>
    </row>
    <row r="1446" spans="2:21" ht="15" customHeight="1">
      <c r="B1446" s="128" t="s">
        <v>1325</v>
      </c>
      <c r="C1446" s="128" t="s">
        <v>2982</v>
      </c>
      <c r="D1446" s="129">
        <v>46134.737696759257</v>
      </c>
      <c r="E1446" s="130">
        <v>88.070099999999996</v>
      </c>
      <c r="F1446" s="136">
        <v>4.4999999999999998E-2</v>
      </c>
      <c r="G1446" s="126">
        <f t="shared" si="23"/>
        <v>92.22</v>
      </c>
      <c r="H1446" s="126" t="s">
        <v>145</v>
      </c>
      <c r="I1446" s="127" t="s">
        <v>301</v>
      </c>
      <c r="J1446" s="126">
        <v>5.5</v>
      </c>
      <c r="K1446" s="126">
        <v>414.99</v>
      </c>
      <c r="L1446" s="129">
        <f>INT(base[[#This Row],[Data de liquidação]])</f>
        <v>46134</v>
      </c>
      <c r="M1446" s="126">
        <f>base[[#This Row],[L/P Bruto]]-base[[#This Row],[L/P Líquido]]</f>
        <v>4.1499000000000024</v>
      </c>
      <c r="N1446" s="126">
        <f>base[[#This Row],[L/P Líquido]]/base[[#This Row],[Stake/Responsabilidade]]</f>
        <v>0.2122222222222222</v>
      </c>
      <c r="O1446" s="132">
        <f>IF(base[[#This Row],[L/P Líquido]]&gt;0,1,0)</f>
        <v>1</v>
      </c>
      <c r="P1446" s="132" t="s">
        <v>962</v>
      </c>
      <c r="Q1446" s="132" t="str">
        <f>LEFT(base[[#This Row],[Evento / Mercado]],FIND("vs",base[[#This Row],[Evento / Mercado]])-2)</f>
        <v>Bayer 04 Leverkusen</v>
      </c>
      <c r="R14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446" s="132" t="str">
        <f>LEFT(base[[#This Row],[Evento / Mercado]],FIND("/",base[[#This Row],[Evento / Mercado]])-2)</f>
        <v>Bayer 04 Leverkusen vs FC Bayern München</v>
      </c>
      <c r="T1446" s="8">
        <v>92.22</v>
      </c>
      <c r="U1446" s="9">
        <f>T1446*0.955</f>
        <v>88.070099999999996</v>
      </c>
    </row>
    <row r="1447" spans="2:21" ht="15" customHeight="1">
      <c r="B1447" s="128" t="s">
        <v>1325</v>
      </c>
      <c r="C1447" s="128" t="s">
        <v>2982</v>
      </c>
      <c r="D1447" s="129">
        <v>46134.737696759257</v>
      </c>
      <c r="E1447" s="130">
        <v>22.738549999999996</v>
      </c>
      <c r="F1447" s="136">
        <v>4.4999999999999998E-2</v>
      </c>
      <c r="G1447" s="126">
        <f t="shared" si="23"/>
        <v>23.81</v>
      </c>
      <c r="H1447" s="126" t="s">
        <v>1233</v>
      </c>
      <c r="I1447" s="127"/>
      <c r="J1447" s="126">
        <v>5.2</v>
      </c>
      <c r="K1447" s="126">
        <v>100</v>
      </c>
      <c r="L1447" s="129">
        <f>INT(base[[#This Row],[Data de liquidação]])</f>
        <v>46134</v>
      </c>
      <c r="M1447" s="126">
        <f>base[[#This Row],[L/P Bruto]]-base[[#This Row],[L/P Líquido]]</f>
        <v>1.0714500000000022</v>
      </c>
      <c r="N1447" s="126">
        <f>base[[#This Row],[L/P Líquido]]/base[[#This Row],[Stake/Responsabilidade]]</f>
        <v>0.22738549999999996</v>
      </c>
      <c r="O1447" s="132">
        <f>IF(base[[#This Row],[L/P Líquido]]&gt;0,1,0)</f>
        <v>1</v>
      </c>
      <c r="P1447" s="132"/>
      <c r="Q1447" s="132" t="str">
        <f>LEFT(base[[#This Row],[Evento / Mercado]],FIND("vs",base[[#This Row],[Evento / Mercado]])-2)</f>
        <v>Bayer 04 Leverkusen</v>
      </c>
      <c r="R14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447" s="132" t="str">
        <f>LEFT(base[[#This Row],[Evento / Mercado]],FIND("/",base[[#This Row],[Evento / Mercado]])-2)</f>
        <v>Bayer 04 Leverkusen vs FC Bayern München</v>
      </c>
      <c r="T1447" s="8">
        <v>23.81</v>
      </c>
      <c r="U1447" s="9">
        <f>T1447*0.955</f>
        <v>22.738549999999996</v>
      </c>
    </row>
    <row r="1448" spans="2:21" ht="15" customHeight="1">
      <c r="B1448" s="128" t="s">
        <v>1324</v>
      </c>
      <c r="C1448" s="128" t="s">
        <v>2982</v>
      </c>
      <c r="D1448" s="129">
        <v>46134.745439814818</v>
      </c>
      <c r="E1448" s="130">
        <v>18.87</v>
      </c>
      <c r="F1448" s="136">
        <v>4.4999999999999998E-2</v>
      </c>
      <c r="G1448" s="126">
        <f t="shared" si="23"/>
        <v>19.759162303664922</v>
      </c>
      <c r="H1448" s="126" t="s">
        <v>145</v>
      </c>
      <c r="I1448" s="127" t="s">
        <v>300</v>
      </c>
      <c r="J1448" s="126">
        <v>22</v>
      </c>
      <c r="K1448" s="126">
        <v>414.96</v>
      </c>
      <c r="L1448" s="129">
        <f>INT(base[[#This Row],[Data de liquidação]])</f>
        <v>46134</v>
      </c>
      <c r="M1448" s="126">
        <f>base[[#This Row],[L/P Bruto]]-base[[#This Row],[L/P Líquido]]</f>
        <v>0.88916230366492144</v>
      </c>
      <c r="N1448" s="126">
        <f>base[[#This Row],[L/P Líquido]]/base[[#This Row],[Stake/Responsabilidade]]</f>
        <v>4.5474262579525741E-2</v>
      </c>
      <c r="O1448" s="132">
        <f>IF(base[[#This Row],[L/P Líquido]]&gt;0,1,0)</f>
        <v>1</v>
      </c>
      <c r="P1448" s="132" t="s">
        <v>963</v>
      </c>
      <c r="Q1448" s="132" t="str">
        <f>LEFT(base[[#This Row],[Evento / Mercado]],FIND("vs",base[[#This Row],[Evento / Mercado]])-2)</f>
        <v>Burnley</v>
      </c>
      <c r="R14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448" s="132" t="str">
        <f>LEFT(base[[#This Row],[Evento / Mercado]],FIND("/",base[[#This Row],[Evento / Mercado]])-2)</f>
        <v>Burnley vs Manchester City</v>
      </c>
    </row>
    <row r="1449" spans="2:21" ht="15" customHeight="1">
      <c r="B1449" s="128" t="s">
        <v>1323</v>
      </c>
      <c r="C1449" s="128" t="s">
        <v>2982</v>
      </c>
      <c r="D1449" s="129">
        <v>46134.782650462963</v>
      </c>
      <c r="E1449" s="130">
        <v>-504.96</v>
      </c>
      <c r="F1449" s="136">
        <v>4.4999999999999998E-2</v>
      </c>
      <c r="G1449" s="126">
        <f t="shared" si="23"/>
        <v>-504.96</v>
      </c>
      <c r="H1449" s="126" t="s">
        <v>122</v>
      </c>
      <c r="I1449" s="127" t="s">
        <v>477</v>
      </c>
      <c r="J1449" s="126">
        <v>17</v>
      </c>
      <c r="K1449" s="126">
        <v>504.96</v>
      </c>
      <c r="L1449" s="129">
        <f>INT(base[[#This Row],[Data de liquidação]])</f>
        <v>46134</v>
      </c>
      <c r="M1449" s="126">
        <f>base[[#This Row],[L/P Bruto]]-base[[#This Row],[L/P Líquido]]</f>
        <v>0</v>
      </c>
      <c r="N1449" s="126">
        <f>base[[#This Row],[L/P Líquido]]/base[[#This Row],[Stake/Responsabilidade]]</f>
        <v>-1</v>
      </c>
      <c r="O1449" s="132">
        <f>IF(base[[#This Row],[L/P Líquido]]&gt;0,1,0)</f>
        <v>0</v>
      </c>
      <c r="P1449" s="132" t="s">
        <v>964</v>
      </c>
      <c r="Q1449" s="132" t="str">
        <f>LEFT(base[[#This Row],[Evento / Mercado]],FIND("vs",base[[#This Row],[Evento / Mercado]])-2)</f>
        <v>FC Barcelona</v>
      </c>
      <c r="R14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449" s="132" t="str">
        <f>LEFT(base[[#This Row],[Evento / Mercado]],FIND("/",base[[#This Row],[Evento / Mercado]])-2)</f>
        <v>FC Barcelona vs Celta de Vigo</v>
      </c>
    </row>
    <row r="1450" spans="2:21" ht="15" customHeight="1">
      <c r="B1450" s="128" t="s">
        <v>1322</v>
      </c>
      <c r="C1450" s="128" t="s">
        <v>2982</v>
      </c>
      <c r="D1450" s="129">
        <v>46134.783113425925</v>
      </c>
      <c r="E1450" s="130">
        <v>36.03</v>
      </c>
      <c r="F1450" s="136">
        <v>4.4999999999999998E-2</v>
      </c>
      <c r="G1450" s="126">
        <f t="shared" si="23"/>
        <v>37.727748691099478</v>
      </c>
      <c r="H1450" s="126" t="s">
        <v>145</v>
      </c>
      <c r="I1450" s="127" t="s">
        <v>301</v>
      </c>
      <c r="J1450" s="126">
        <v>12</v>
      </c>
      <c r="K1450" s="126">
        <v>415.03</v>
      </c>
      <c r="L1450" s="129">
        <f>INT(base[[#This Row],[Data de liquidação]])</f>
        <v>46134</v>
      </c>
      <c r="M1450" s="126">
        <f>base[[#This Row],[L/P Bruto]]-base[[#This Row],[L/P Líquido]]</f>
        <v>1.697748691099477</v>
      </c>
      <c r="N1450" s="126">
        <f>base[[#This Row],[L/P Líquido]]/base[[#This Row],[Stake/Responsabilidade]]</f>
        <v>8.6813001469773277E-2</v>
      </c>
      <c r="O1450" s="132">
        <f>IF(base[[#This Row],[L/P Líquido]]&gt;0,1,0)</f>
        <v>1</v>
      </c>
      <c r="P1450" s="132" t="s">
        <v>964</v>
      </c>
      <c r="Q1450" s="132" t="str">
        <f>LEFT(base[[#This Row],[Evento / Mercado]],FIND("vs",base[[#This Row],[Evento / Mercado]])-2)</f>
        <v>FC Barcelona</v>
      </c>
      <c r="R14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450" s="132" t="str">
        <f>LEFT(base[[#This Row],[Evento / Mercado]],FIND("/",base[[#This Row],[Evento / Mercado]])-2)</f>
        <v>FC Barcelona vs Celta de Vigo</v>
      </c>
    </row>
    <row r="1451" spans="2:21" ht="15" customHeight="1">
      <c r="B1451" s="128" t="s">
        <v>1321</v>
      </c>
      <c r="C1451" s="128" t="s">
        <v>2982</v>
      </c>
      <c r="D1451" s="129">
        <v>46134.98369212963</v>
      </c>
      <c r="E1451" s="130">
        <v>2.17</v>
      </c>
      <c r="F1451" s="136">
        <v>4.4999999999999998E-2</v>
      </c>
      <c r="G1451" s="126">
        <f t="shared" si="23"/>
        <v>2.2722513089005236</v>
      </c>
      <c r="H1451" s="137" t="s">
        <v>1339</v>
      </c>
      <c r="I1451" s="127" t="s">
        <v>1388</v>
      </c>
      <c r="J1451" s="126">
        <v>23</v>
      </c>
      <c r="K1451" s="126">
        <v>49.94</v>
      </c>
      <c r="L1451" s="129">
        <f>INT(base[[#This Row],[Data de liquidação]])</f>
        <v>46134</v>
      </c>
      <c r="M1451" s="126">
        <f>base[[#This Row],[L/P Bruto]]-base[[#This Row],[L/P Líquido]]</f>
        <v>0.1022513089005237</v>
      </c>
      <c r="N1451" s="126">
        <f>base[[#This Row],[L/P Líquido]]/base[[#This Row],[Stake/Responsabilidade]]</f>
        <v>4.3452142571085303E-2</v>
      </c>
      <c r="O1451" s="132">
        <f>IF(base[[#This Row],[L/P Líquido]]&gt;0,1,0)</f>
        <v>1</v>
      </c>
      <c r="P1451" s="132"/>
      <c r="Q1451" s="132" t="str">
        <f>LEFT(base[[#This Row],[Evento / Mercado]],FIND("vs",base[[#This Row],[Evento / Mercado]])-2)</f>
        <v>FC Dallas</v>
      </c>
      <c r="R14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Minnesota United</v>
      </c>
      <c r="S1451" s="132" t="str">
        <f>LEFT(base[[#This Row],[Evento / Mercado]],FIND("/",base[[#This Row],[Evento / Mercado]])-2)</f>
        <v>FC Dallas vs Minnesota United</v>
      </c>
    </row>
    <row r="1452" spans="2:21" ht="15" customHeight="1">
      <c r="B1452" s="128" t="s">
        <v>1320</v>
      </c>
      <c r="C1452" s="128" t="s">
        <v>2982</v>
      </c>
      <c r="D1452" s="129">
        <v>46134.984849537039</v>
      </c>
      <c r="E1452" s="130">
        <v>2.0699999999999998</v>
      </c>
      <c r="F1452" s="136">
        <v>4.4999999999999998E-2</v>
      </c>
      <c r="G1452" s="126">
        <f t="shared" si="23"/>
        <v>2.1675392670157065</v>
      </c>
      <c r="H1452" s="137" t="s">
        <v>1339</v>
      </c>
      <c r="I1452" s="127" t="s">
        <v>1388</v>
      </c>
      <c r="J1452" s="126">
        <v>24</v>
      </c>
      <c r="K1452" s="126">
        <v>49.91</v>
      </c>
      <c r="L1452" s="129">
        <f>INT(base[[#This Row],[Data de liquidação]])</f>
        <v>46134</v>
      </c>
      <c r="M1452" s="126">
        <f>base[[#This Row],[L/P Bruto]]-base[[#This Row],[L/P Líquido]]</f>
        <v>9.7539267015706699E-2</v>
      </c>
      <c r="N1452" s="126">
        <f>base[[#This Row],[L/P Líquido]]/base[[#This Row],[Stake/Responsabilidade]]</f>
        <v>4.1474654377880185E-2</v>
      </c>
      <c r="O1452" s="132">
        <f>IF(base[[#This Row],[L/P Líquido]]&gt;0,1,0)</f>
        <v>1</v>
      </c>
      <c r="P1452" s="132"/>
      <c r="Q1452" s="132" t="str">
        <f>LEFT(base[[#This Row],[Evento / Mercado]],FIND("vs",base[[#This Row],[Evento / Mercado]])-2)</f>
        <v>Houston Dynamo</v>
      </c>
      <c r="R14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Diego FC</v>
      </c>
      <c r="S1452" s="132" t="str">
        <f>LEFT(base[[#This Row],[Evento / Mercado]],FIND("/",base[[#This Row],[Evento / Mercado]])-2)</f>
        <v>Houston Dynamo vs San Diego FC</v>
      </c>
    </row>
    <row r="1453" spans="2:21" ht="15" customHeight="1">
      <c r="B1453" s="128" t="s">
        <v>1319</v>
      </c>
      <c r="C1453" s="128" t="s">
        <v>2982</v>
      </c>
      <c r="D1453" s="129">
        <v>46134.991747685184</v>
      </c>
      <c r="E1453" s="130">
        <v>-72.150000000000006</v>
      </c>
      <c r="F1453" s="136">
        <v>4.4999999999999998E-2</v>
      </c>
      <c r="G1453" s="126">
        <f t="shared" si="23"/>
        <v>-72.150000000000006</v>
      </c>
      <c r="H1453" s="126" t="s">
        <v>1236</v>
      </c>
      <c r="I1453" s="127" t="s">
        <v>379</v>
      </c>
      <c r="J1453" s="126">
        <v>9</v>
      </c>
      <c r="K1453" s="126">
        <v>50</v>
      </c>
      <c r="L1453" s="129">
        <f>INT(base[[#This Row],[Data de liquidação]])</f>
        <v>46134</v>
      </c>
      <c r="M1453" s="126">
        <f>base[[#This Row],[L/P Bruto]]-base[[#This Row],[L/P Líquido]]</f>
        <v>0</v>
      </c>
      <c r="N1453" s="126">
        <f>base[[#This Row],[L/P Líquido]]/base[[#This Row],[Stake/Responsabilidade]]</f>
        <v>-1.4430000000000001</v>
      </c>
      <c r="O1453" s="132">
        <f>IF(base[[#This Row],[L/P Líquido]]&gt;0,1,0)</f>
        <v>0</v>
      </c>
      <c r="P1453" s="132"/>
      <c r="Q1453" s="132" t="str">
        <f>LEFT(base[[#This Row],[Evento / Mercado]],FIND("vs",base[[#This Row],[Evento / Mercado]])-2)</f>
        <v>Atlético San Luis</v>
      </c>
      <c r="R14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Laguna</v>
      </c>
      <c r="S1453" s="132" t="str">
        <f>LEFT(base[[#This Row],[Evento / Mercado]],FIND("/",base[[#This Row],[Evento / Mercado]])-2)</f>
        <v>Atlético San Luis vs Santos Laguna</v>
      </c>
    </row>
    <row r="1454" spans="2:21" ht="15" customHeight="1">
      <c r="B1454" s="128" t="s">
        <v>1318</v>
      </c>
      <c r="C1454" s="128" t="s">
        <v>2982</v>
      </c>
      <c r="D1454" s="129">
        <v>46135.000451388885</v>
      </c>
      <c r="E1454" s="130">
        <v>3.08</v>
      </c>
      <c r="F1454" s="136">
        <v>4.4999999999999998E-2</v>
      </c>
      <c r="G1454" s="126">
        <f t="shared" si="23"/>
        <v>3.2251308900523563</v>
      </c>
      <c r="H1454" s="137" t="s">
        <v>1339</v>
      </c>
      <c r="I1454" s="127" t="s">
        <v>1388</v>
      </c>
      <c r="J1454" s="126">
        <v>16.5</v>
      </c>
      <c r="K1454" s="126">
        <v>50</v>
      </c>
      <c r="L1454" s="129">
        <f>INT(base[[#This Row],[Data de liquidação]])</f>
        <v>46135</v>
      </c>
      <c r="M1454" s="126">
        <f>base[[#This Row],[L/P Bruto]]-base[[#This Row],[L/P Líquido]]</f>
        <v>0.14513089005235624</v>
      </c>
      <c r="N1454" s="126">
        <f>base[[#This Row],[L/P Líquido]]/base[[#This Row],[Stake/Responsabilidade]]</f>
        <v>6.1600000000000002E-2</v>
      </c>
      <c r="O1454" s="132">
        <f>IF(base[[#This Row],[L/P Líquido]]&gt;0,1,0)</f>
        <v>1</v>
      </c>
      <c r="P1454" s="132"/>
      <c r="Q1454" s="132" t="str">
        <f>LEFT(base[[#This Row],[Evento / Mercado]],FIND("vs",base[[#This Row],[Evento / Mercado]])-2)</f>
        <v>Atlético San Luis</v>
      </c>
      <c r="R14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Laguna</v>
      </c>
      <c r="S1454" s="132" t="str">
        <f>LEFT(base[[#This Row],[Evento / Mercado]],FIND("/",base[[#This Row],[Evento / Mercado]])-2)</f>
        <v>Atlético San Luis vs Santos Laguna</v>
      </c>
    </row>
    <row r="1455" spans="2:21" ht="15" customHeight="1">
      <c r="B1455" s="128" t="s">
        <v>1317</v>
      </c>
      <c r="C1455" s="128" t="s">
        <v>2982</v>
      </c>
      <c r="D1455" s="129">
        <v>46135.041539351849</v>
      </c>
      <c r="E1455" s="130">
        <v>1.91</v>
      </c>
      <c r="F1455" s="136">
        <v>4.4999999999999998E-2</v>
      </c>
      <c r="G1455" s="126">
        <f t="shared" si="23"/>
        <v>2</v>
      </c>
      <c r="H1455" s="126" t="s">
        <v>1339</v>
      </c>
      <c r="I1455" s="127" t="s">
        <v>1236</v>
      </c>
      <c r="J1455" s="126">
        <v>11.5</v>
      </c>
      <c r="K1455" s="126">
        <v>2</v>
      </c>
      <c r="L1455" s="129">
        <f>INT(base[[#This Row],[Data de liquidação]])</f>
        <v>46135</v>
      </c>
      <c r="M1455" s="126">
        <f>base[[#This Row],[L/P Bruto]]-base[[#This Row],[L/P Líquido]]</f>
        <v>9.000000000000008E-2</v>
      </c>
      <c r="N1455" s="126">
        <f>base[[#This Row],[L/P Líquido]]/base[[#This Row],[Stake/Responsabilidade]]</f>
        <v>0.95499999999999996</v>
      </c>
      <c r="O1455" s="132">
        <f>IF(base[[#This Row],[L/P Líquido]]&gt;0,1,0)</f>
        <v>1</v>
      </c>
      <c r="P1455" s="132"/>
      <c r="Q1455" s="132" t="str">
        <f>LEFT(base[[#This Row],[Evento / Mercado]],FIND("vs",base[[#This Row],[Evento / Mercado]])-2)</f>
        <v>San Jose Earthquakes</v>
      </c>
      <c r="R14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1455" s="132" t="str">
        <f>LEFT(base[[#This Row],[Evento / Mercado]],FIND("/",base[[#This Row],[Evento / Mercado]])-2)</f>
        <v>San Jose Earthquakes vs Austin FC</v>
      </c>
    </row>
    <row r="1456" spans="2:21" ht="15" customHeight="1">
      <c r="B1456" s="128" t="s">
        <v>1316</v>
      </c>
      <c r="C1456" s="128" t="s">
        <v>2982</v>
      </c>
      <c r="D1456" s="129">
        <v>46135.606585648151</v>
      </c>
      <c r="E1456" s="130">
        <v>-1.47</v>
      </c>
      <c r="F1456" s="136">
        <v>4.4999999999999998E-2</v>
      </c>
      <c r="G1456" s="126">
        <f t="shared" si="23"/>
        <v>-1.47</v>
      </c>
      <c r="H1456" s="126" t="s">
        <v>1339</v>
      </c>
      <c r="I1456" s="127" t="s">
        <v>1236</v>
      </c>
      <c r="J1456" s="126">
        <v>9.1999999999999993</v>
      </c>
      <c r="K1456" s="126">
        <v>16.399999999999999</v>
      </c>
      <c r="L1456" s="129">
        <f>INT(base[[#This Row],[Data de liquidação]])</f>
        <v>46135</v>
      </c>
      <c r="M1456" s="126">
        <f>base[[#This Row],[L/P Bruto]]-base[[#This Row],[L/P Líquido]]</f>
        <v>0</v>
      </c>
      <c r="N1456" s="126">
        <f>base[[#This Row],[L/P Líquido]]/base[[#This Row],[Stake/Responsabilidade]]</f>
        <v>-8.9634146341463425E-2</v>
      </c>
      <c r="O1456" s="132">
        <f>IF(base[[#This Row],[L/P Líquido]]&gt;0,1,0)</f>
        <v>0</v>
      </c>
      <c r="P1456" s="132"/>
      <c r="Q1456" s="132" t="str">
        <f>LEFT(base[[#This Row],[Evento / Mercado]],FIND("vs",base[[#This Row],[Evento / Mercado]])-2)</f>
        <v>Al Najma Club</v>
      </c>
      <c r="R14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Al-Taawoun Buraidah</v>
      </c>
      <c r="S1456" s="132" t="str">
        <f>LEFT(base[[#This Row],[Evento / Mercado]],FIND("/",base[[#This Row],[Evento / Mercado]])-2)</f>
        <v>Al Najma Club vs Al-Taawoun Buraidah</v>
      </c>
    </row>
    <row r="1457" spans="2:19" ht="15" customHeight="1">
      <c r="B1457" s="128" t="s">
        <v>1315</v>
      </c>
      <c r="C1457" s="128" t="s">
        <v>2982</v>
      </c>
      <c r="D1457" s="129">
        <v>46135.618668981479</v>
      </c>
      <c r="E1457" s="130">
        <v>2.65</v>
      </c>
      <c r="F1457" s="136">
        <v>4.4999999999999998E-2</v>
      </c>
      <c r="G1457" s="126">
        <f t="shared" si="23"/>
        <v>2.7748691099476441</v>
      </c>
      <c r="H1457" s="137" t="s">
        <v>1339</v>
      </c>
      <c r="I1457" s="127" t="s">
        <v>1388</v>
      </c>
      <c r="J1457" s="126">
        <v>19.5</v>
      </c>
      <c r="K1457" s="126">
        <v>51.43</v>
      </c>
      <c r="L1457" s="129">
        <f>INT(base[[#This Row],[Data de liquidação]])</f>
        <v>46135</v>
      </c>
      <c r="M1457" s="126">
        <f>base[[#This Row],[L/P Bruto]]-base[[#This Row],[L/P Líquido]]</f>
        <v>0.12486910994764422</v>
      </c>
      <c r="N1457" s="126">
        <f>base[[#This Row],[L/P Líquido]]/base[[#This Row],[Stake/Responsabilidade]]</f>
        <v>5.1526346490375269E-2</v>
      </c>
      <c r="O1457" s="132">
        <f>IF(base[[#This Row],[L/P Líquido]]&gt;0,1,0)</f>
        <v>1</v>
      </c>
      <c r="P1457" s="132"/>
      <c r="Q1457" s="132" t="str">
        <f>LEFT(base[[#This Row],[Evento / Mercado]],FIND("vs",base[[#This Row],[Evento / Mercado]])-2)</f>
        <v>Randers FC</v>
      </c>
      <c r="R14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Fredericia</v>
      </c>
      <c r="S1457" s="132" t="str">
        <f>LEFT(base[[#This Row],[Evento / Mercado]],FIND("/",base[[#This Row],[Evento / Mercado]])-2)</f>
        <v>Randers FC vs FC Fredericia</v>
      </c>
    </row>
    <row r="1458" spans="2:19" ht="15" customHeight="1">
      <c r="B1458" s="128" t="s">
        <v>1314</v>
      </c>
      <c r="C1458" s="128" t="s">
        <v>2982</v>
      </c>
      <c r="D1458" s="129">
        <v>46135.620289351849</v>
      </c>
      <c r="E1458" s="130">
        <v>1.99</v>
      </c>
      <c r="F1458" s="136">
        <v>4.4999999999999998E-2</v>
      </c>
      <c r="G1458" s="126">
        <f t="shared" si="23"/>
        <v>2.0837696335078535</v>
      </c>
      <c r="H1458" s="137" t="s">
        <v>1339</v>
      </c>
      <c r="I1458" s="127" t="s">
        <v>1388</v>
      </c>
      <c r="J1458" s="126">
        <v>25</v>
      </c>
      <c r="K1458" s="126">
        <v>49.92</v>
      </c>
      <c r="L1458" s="129">
        <f>INT(base[[#This Row],[Data de liquidação]])</f>
        <v>46135</v>
      </c>
      <c r="M1458" s="126">
        <f>base[[#This Row],[L/P Bruto]]-base[[#This Row],[L/P Líquido]]</f>
        <v>9.37696335078535E-2</v>
      </c>
      <c r="N1458" s="126">
        <f>base[[#This Row],[L/P Líquido]]/base[[#This Row],[Stake/Responsabilidade]]</f>
        <v>3.9863782051282048E-2</v>
      </c>
      <c r="O1458" s="132">
        <f>IF(base[[#This Row],[L/P Líquido]]&gt;0,1,0)</f>
        <v>1</v>
      </c>
      <c r="P1458" s="132"/>
      <c r="Q1458" s="132" t="str">
        <f>LEFT(base[[#This Row],[Evento / Mercado]],FIND("vs",base[[#This Row],[Evento / Mercado]])-2)</f>
        <v>FC Nordsjælland</v>
      </c>
      <c r="R14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AGF Aarhus</v>
      </c>
      <c r="S1458" s="132" t="str">
        <f>LEFT(base[[#This Row],[Evento / Mercado]],FIND("/",base[[#This Row],[Evento / Mercado]])-2)</f>
        <v>FC Nordsjælland vs AGF Aarhus</v>
      </c>
    </row>
    <row r="1459" spans="2:19" ht="15" customHeight="1">
      <c r="B1459" s="128" t="s">
        <v>1313</v>
      </c>
      <c r="C1459" s="128" t="s">
        <v>2982</v>
      </c>
      <c r="D1459" s="129">
        <v>46135.636331018519</v>
      </c>
      <c r="E1459" s="130">
        <v>-0.95</v>
      </c>
      <c r="F1459" s="136">
        <v>4.4999999999999998E-2</v>
      </c>
      <c r="G1459" s="126">
        <f t="shared" si="23"/>
        <v>-0.95</v>
      </c>
      <c r="H1459" s="126" t="s">
        <v>1339</v>
      </c>
      <c r="I1459" s="127" t="s">
        <v>1236</v>
      </c>
      <c r="J1459" s="126">
        <v>6.2</v>
      </c>
      <c r="K1459" s="126">
        <v>10.4</v>
      </c>
      <c r="L1459" s="129">
        <f>INT(base[[#This Row],[Data de liquidação]])</f>
        <v>46135</v>
      </c>
      <c r="M1459" s="126">
        <f>base[[#This Row],[L/P Bruto]]-base[[#This Row],[L/P Líquido]]</f>
        <v>0</v>
      </c>
      <c r="N1459" s="126">
        <f>base[[#This Row],[L/P Líquido]]/base[[#This Row],[Stake/Responsabilidade]]</f>
        <v>-9.1346153846153841E-2</v>
      </c>
      <c r="O1459" s="132">
        <f>IF(base[[#This Row],[L/P Líquido]]&gt;0,1,0)</f>
        <v>0</v>
      </c>
      <c r="P1459" s="132"/>
      <c r="Q1459" s="132" t="str">
        <f>LEFT(base[[#This Row],[Evento / Mercado]],FIND("vs",base[[#This Row],[Evento / Mercado]])-2)</f>
        <v>Malmö FF</v>
      </c>
      <c r="R14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1459" s="132" t="str">
        <f>LEFT(base[[#This Row],[Evento / Mercado]],FIND("/",base[[#This Row],[Evento / Mercado]])-2)</f>
        <v>Malmö FF vs IK Sirius</v>
      </c>
    </row>
    <row r="1460" spans="2:19" ht="15" customHeight="1">
      <c r="B1460" s="128" t="s">
        <v>1312</v>
      </c>
      <c r="C1460" s="128" t="s">
        <v>2982</v>
      </c>
      <c r="D1460" s="129">
        <v>46135.66547453704</v>
      </c>
      <c r="E1460" s="130">
        <v>1.64</v>
      </c>
      <c r="F1460" s="136">
        <v>4.4999999999999998E-2</v>
      </c>
      <c r="G1460" s="126">
        <f t="shared" si="23"/>
        <v>1.7172774869109948</v>
      </c>
      <c r="H1460" s="137" t="s">
        <v>1339</v>
      </c>
      <c r="I1460" s="127" t="s">
        <v>1388</v>
      </c>
      <c r="J1460" s="126">
        <v>30</v>
      </c>
      <c r="K1460" s="126">
        <v>49.88</v>
      </c>
      <c r="L1460" s="129">
        <f>INT(base[[#This Row],[Data de liquidação]])</f>
        <v>46135</v>
      </c>
      <c r="M1460" s="126">
        <f>base[[#This Row],[L/P Bruto]]-base[[#This Row],[L/P Líquido]]</f>
        <v>7.7277486910994897E-2</v>
      </c>
      <c r="N1460" s="126">
        <f>base[[#This Row],[L/P Líquido]]/base[[#This Row],[Stake/Responsabilidade]]</f>
        <v>3.2878909382518043E-2</v>
      </c>
      <c r="O1460" s="132">
        <f>IF(base[[#This Row],[L/P Líquido]]&gt;0,1,0)</f>
        <v>1</v>
      </c>
      <c r="P1460" s="132"/>
      <c r="Q1460" s="132" t="str">
        <f>LEFT(base[[#This Row],[Evento / Mercado]],FIND("vs",base[[#This Row],[Evento / Mercado]])-2)</f>
        <v>Malmö FF</v>
      </c>
      <c r="R14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1460" s="132" t="str">
        <f>LEFT(base[[#This Row],[Evento / Mercado]],FIND("/",base[[#This Row],[Evento / Mercado]])-2)</f>
        <v>Malmö FF vs IK Sirius</v>
      </c>
    </row>
    <row r="1461" spans="2:19" ht="15" customHeight="1">
      <c r="B1461" s="128" t="s">
        <v>1311</v>
      </c>
      <c r="C1461" s="128" t="s">
        <v>2982</v>
      </c>
      <c r="D1461" s="129">
        <v>46135.714884259258</v>
      </c>
      <c r="E1461" s="130">
        <v>1.91</v>
      </c>
      <c r="F1461" s="136">
        <v>4.4999999999999998E-2</v>
      </c>
      <c r="G1461" s="126">
        <f t="shared" si="23"/>
        <v>2</v>
      </c>
      <c r="H1461" s="126" t="s">
        <v>1339</v>
      </c>
      <c r="I1461" s="127" t="s">
        <v>1236</v>
      </c>
      <c r="J1461" s="126">
        <v>12</v>
      </c>
      <c r="K1461" s="126">
        <v>2</v>
      </c>
      <c r="L1461" s="129">
        <f>INT(base[[#This Row],[Data de liquidação]])</f>
        <v>46135</v>
      </c>
      <c r="M1461" s="126">
        <f>base[[#This Row],[L/P Bruto]]-base[[#This Row],[L/P Líquido]]</f>
        <v>9.000000000000008E-2</v>
      </c>
      <c r="N1461" s="126">
        <f>base[[#This Row],[L/P Líquido]]/base[[#This Row],[Stake/Responsabilidade]]</f>
        <v>0.95499999999999996</v>
      </c>
      <c r="O1461" s="132">
        <f>IF(base[[#This Row],[L/P Líquido]]&gt;0,1,0)</f>
        <v>1</v>
      </c>
      <c r="P1461" s="132"/>
      <c r="Q1461" s="132" t="str">
        <f>LEFT(base[[#This Row],[Evento / Mercado]],FIND("vs",base[[#This Row],[Evento / Mercado]])-2)</f>
        <v>PSV Eindhoven</v>
      </c>
      <c r="R14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1461" s="132" t="str">
        <f>LEFT(base[[#This Row],[Evento / Mercado]],FIND("/",base[[#This Row],[Evento / Mercado]])-2)</f>
        <v>PSV Eindhoven vs PEC Zwolle</v>
      </c>
    </row>
    <row r="1462" spans="2:19" ht="15" customHeight="1">
      <c r="B1462" s="128" t="s">
        <v>1310</v>
      </c>
      <c r="C1462" s="128" t="s">
        <v>2982</v>
      </c>
      <c r="D1462" s="129">
        <v>46135.748379629629</v>
      </c>
      <c r="E1462" s="130">
        <v>1.64</v>
      </c>
      <c r="F1462" s="136">
        <v>4.4999999999999998E-2</v>
      </c>
      <c r="G1462" s="126">
        <f t="shared" si="23"/>
        <v>1.7172774869109948</v>
      </c>
      <c r="H1462" s="137" t="s">
        <v>1339</v>
      </c>
      <c r="I1462" s="127" t="s">
        <v>1388</v>
      </c>
      <c r="J1462" s="126">
        <v>30</v>
      </c>
      <c r="K1462" s="126">
        <v>49.88</v>
      </c>
      <c r="L1462" s="129">
        <f>INT(base[[#This Row],[Data de liquidação]])</f>
        <v>46135</v>
      </c>
      <c r="M1462" s="126">
        <f>base[[#This Row],[L/P Bruto]]-base[[#This Row],[L/P Líquido]]</f>
        <v>7.7277486910994897E-2</v>
      </c>
      <c r="N1462" s="126">
        <f>base[[#This Row],[L/P Líquido]]/base[[#This Row],[Stake/Responsabilidade]]</f>
        <v>3.2878909382518043E-2</v>
      </c>
      <c r="O1462" s="132">
        <f>IF(base[[#This Row],[L/P Líquido]]&gt;0,1,0)</f>
        <v>1</v>
      </c>
      <c r="P1462" s="132"/>
      <c r="Q1462" s="132" t="str">
        <f>LEFT(base[[#This Row],[Evento / Mercado]],FIND("vs",base[[#This Row],[Evento / Mercado]])-2)</f>
        <v>Salford City</v>
      </c>
      <c r="R14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Bromley</v>
      </c>
      <c r="S1462" s="132" t="str">
        <f>LEFT(base[[#This Row],[Evento / Mercado]],FIND("/",base[[#This Row],[Evento / Mercado]])-2)</f>
        <v>Salford City vs Bromley</v>
      </c>
    </row>
    <row r="1463" spans="2:19" ht="15" customHeight="1">
      <c r="B1463" s="128" t="s">
        <v>1309</v>
      </c>
      <c r="C1463" s="128" t="s">
        <v>2982</v>
      </c>
      <c r="D1463" s="129">
        <v>46136.434374999997</v>
      </c>
      <c r="E1463" s="130">
        <v>-1.17</v>
      </c>
      <c r="F1463" s="136">
        <v>4.4999999999999998E-2</v>
      </c>
      <c r="G1463" s="126">
        <f t="shared" si="23"/>
        <v>-1.17</v>
      </c>
      <c r="H1463" s="126" t="s">
        <v>1339</v>
      </c>
      <c r="I1463" s="127" t="s">
        <v>1236</v>
      </c>
      <c r="J1463" s="126">
        <v>7.6</v>
      </c>
      <c r="K1463" s="126">
        <v>13.2</v>
      </c>
      <c r="L1463" s="129">
        <f>INT(base[[#This Row],[Data de liquidação]])</f>
        <v>46136</v>
      </c>
      <c r="M1463" s="126">
        <f>base[[#This Row],[L/P Bruto]]-base[[#This Row],[L/P Líquido]]</f>
        <v>0</v>
      </c>
      <c r="N1463" s="126">
        <f>base[[#This Row],[L/P Líquido]]/base[[#This Row],[Stake/Responsabilidade]]</f>
        <v>-8.8636363636363638E-2</v>
      </c>
      <c r="O1463" s="132">
        <f>IF(base[[#This Row],[L/P Líquido]]&gt;0,1,0)</f>
        <v>0</v>
      </c>
      <c r="P1463" s="132"/>
      <c r="Q1463" s="132" t="str">
        <f>LEFT(base[[#This Row],[Evento / Mercado]],FIND("vs",base[[#This Row],[Evento / Mercado]])-2)</f>
        <v>Sukhothai FC</v>
      </c>
      <c r="R14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Ratchaburi</v>
      </c>
      <c r="S1463" s="132" t="str">
        <f>LEFT(base[[#This Row],[Evento / Mercado]],FIND("/",base[[#This Row],[Evento / Mercado]])-2)</f>
        <v>Sukhothai FC vs Ratchaburi</v>
      </c>
    </row>
    <row r="1464" spans="2:19" ht="15" customHeight="1">
      <c r="B1464" s="128" t="s">
        <v>1308</v>
      </c>
      <c r="C1464" s="128" t="s">
        <v>2982</v>
      </c>
      <c r="D1464" s="129">
        <v>46136.458715277775</v>
      </c>
      <c r="E1464" s="130">
        <v>-79.58</v>
      </c>
      <c r="F1464" s="136">
        <v>4.4999999999999998E-2</v>
      </c>
      <c r="G1464" s="126">
        <f t="shared" si="23"/>
        <v>-79.58</v>
      </c>
      <c r="H1464" s="126" t="s">
        <v>1236</v>
      </c>
      <c r="I1464" s="127" t="s">
        <v>379</v>
      </c>
      <c r="J1464" s="126">
        <v>12</v>
      </c>
      <c r="K1464" s="126">
        <v>50</v>
      </c>
      <c r="L1464" s="129">
        <f>INT(base[[#This Row],[Data de liquidação]])</f>
        <v>46136</v>
      </c>
      <c r="M1464" s="126">
        <f>base[[#This Row],[L/P Bruto]]-base[[#This Row],[L/P Líquido]]</f>
        <v>0</v>
      </c>
      <c r="N1464" s="126">
        <f>base[[#This Row],[L/P Líquido]]/base[[#This Row],[Stake/Responsabilidade]]</f>
        <v>-1.5915999999999999</v>
      </c>
      <c r="O1464" s="132">
        <f>IF(base[[#This Row],[L/P Líquido]]&gt;0,1,0)</f>
        <v>0</v>
      </c>
      <c r="P1464" s="132"/>
      <c r="Q1464" s="132" t="str">
        <f>LEFT(base[[#This Row],[Evento / Mercado]],FIND("vs",base[[#This Row],[Evento / Mercado]])-2)</f>
        <v>Persib Bandung</v>
      </c>
      <c r="R14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Arema</v>
      </c>
      <c r="S1464" s="132" t="str">
        <f>LEFT(base[[#This Row],[Evento / Mercado]],FIND("/",base[[#This Row],[Evento / Mercado]])-2)</f>
        <v>Persib Bandung vs Arema</v>
      </c>
    </row>
    <row r="1465" spans="2:19" ht="15" customHeight="1">
      <c r="B1465" s="128" t="s">
        <v>1307</v>
      </c>
      <c r="C1465" s="128" t="s">
        <v>2982</v>
      </c>
      <c r="D1465" s="129">
        <v>46136.573321759257</v>
      </c>
      <c r="E1465" s="130">
        <v>47.75</v>
      </c>
      <c r="F1465" s="136">
        <v>4.4999999999999998E-2</v>
      </c>
      <c r="G1465" s="126">
        <f t="shared" si="23"/>
        <v>50</v>
      </c>
      <c r="H1465" s="126" t="s">
        <v>1236</v>
      </c>
      <c r="I1465" s="127" t="s">
        <v>1249</v>
      </c>
      <c r="J1465" s="126">
        <v>10.5</v>
      </c>
      <c r="K1465" s="126">
        <v>50</v>
      </c>
      <c r="L1465" s="129">
        <f>INT(base[[#This Row],[Data de liquidação]])</f>
        <v>46136</v>
      </c>
      <c r="M1465" s="126">
        <f>base[[#This Row],[L/P Bruto]]-base[[#This Row],[L/P Líquido]]</f>
        <v>2.25</v>
      </c>
      <c r="N1465" s="126">
        <f>base[[#This Row],[L/P Líquido]]/base[[#This Row],[Stake/Responsabilidade]]</f>
        <v>0.95499999999999996</v>
      </c>
      <c r="O1465" s="132">
        <f>IF(base[[#This Row],[L/P Líquido]]&gt;0,1,0)</f>
        <v>1</v>
      </c>
      <c r="P1465" s="132"/>
      <c r="Q1465" s="132" t="str">
        <f>LEFT(base[[#This Row],[Evento / Mercado]],FIND("vs",base[[#This Row],[Evento / Mercado]])-2)</f>
        <v>Ústí nad Labem</v>
      </c>
      <c r="R14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Viktoria Žižkov</v>
      </c>
      <c r="S1465" s="132" t="str">
        <f>LEFT(base[[#This Row],[Evento / Mercado]],FIND("/",base[[#This Row],[Evento / Mercado]])-2)</f>
        <v>Ústí nad Labem vs FK Viktoria Žižkov</v>
      </c>
    </row>
    <row r="1466" spans="2:19" ht="15" customHeight="1">
      <c r="B1466" s="128" t="s">
        <v>1306</v>
      </c>
      <c r="C1466" s="128" t="s">
        <v>2982</v>
      </c>
      <c r="D1466" s="129">
        <v>46136.589837962965</v>
      </c>
      <c r="E1466" s="130">
        <v>47.75</v>
      </c>
      <c r="F1466" s="136">
        <v>4.4999999999999998E-2</v>
      </c>
      <c r="G1466" s="126">
        <f t="shared" si="23"/>
        <v>50</v>
      </c>
      <c r="H1466" s="126" t="s">
        <v>1236</v>
      </c>
      <c r="I1466" s="127" t="s">
        <v>1249</v>
      </c>
      <c r="J1466" s="126">
        <v>8.9700000000000006</v>
      </c>
      <c r="K1466" s="126">
        <v>50</v>
      </c>
      <c r="L1466" s="129">
        <f>INT(base[[#This Row],[Data de liquidação]])</f>
        <v>46136</v>
      </c>
      <c r="M1466" s="126">
        <f>base[[#This Row],[L/P Bruto]]-base[[#This Row],[L/P Líquido]]</f>
        <v>2.25</v>
      </c>
      <c r="N1466" s="126">
        <f>base[[#This Row],[L/P Líquido]]/base[[#This Row],[Stake/Responsabilidade]]</f>
        <v>0.95499999999999996</v>
      </c>
      <c r="O1466" s="132">
        <f>IF(base[[#This Row],[L/P Líquido]]&gt;0,1,0)</f>
        <v>1</v>
      </c>
      <c r="P1466" s="132"/>
      <c r="Q1466" s="132" t="str">
        <f>LEFT(base[[#This Row],[Evento / Mercado]],FIND("vs",base[[#This Row],[Evento / Mercado]])-2)</f>
        <v>SJK</v>
      </c>
      <c r="R14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FF Jaro</v>
      </c>
      <c r="S1466" s="132" t="str">
        <f>LEFT(base[[#This Row],[Evento / Mercado]],FIND("/",base[[#This Row],[Evento / Mercado]])-2)</f>
        <v>SJK vs FF Jaro</v>
      </c>
    </row>
    <row r="1467" spans="2:19" ht="15" customHeight="1">
      <c r="B1467" s="128" t="s">
        <v>1305</v>
      </c>
      <c r="C1467" s="128" t="s">
        <v>2982</v>
      </c>
      <c r="D1467" s="129">
        <v>46136.59648148148</v>
      </c>
      <c r="E1467" s="130">
        <v>-71.25</v>
      </c>
      <c r="F1467" s="136">
        <v>4.4999999999999998E-2</v>
      </c>
      <c r="G1467" s="126">
        <f t="shared" si="23"/>
        <v>-71.25</v>
      </c>
      <c r="H1467" s="126" t="s">
        <v>1236</v>
      </c>
      <c r="I1467" s="127" t="s">
        <v>1249</v>
      </c>
      <c r="J1467" s="126">
        <v>8</v>
      </c>
      <c r="K1467" s="126">
        <v>50</v>
      </c>
      <c r="L1467" s="129">
        <f>INT(base[[#This Row],[Data de liquidação]])</f>
        <v>46136</v>
      </c>
      <c r="M1467" s="126">
        <f>base[[#This Row],[L/P Bruto]]-base[[#This Row],[L/P Líquido]]</f>
        <v>0</v>
      </c>
      <c r="N1467" s="126">
        <f>base[[#This Row],[L/P Líquido]]/base[[#This Row],[Stake/Responsabilidade]]</f>
        <v>-1.425</v>
      </c>
      <c r="O1467" s="132">
        <f>IF(base[[#This Row],[L/P Líquido]]&gt;0,1,0)</f>
        <v>0</v>
      </c>
      <c r="P1467" s="132"/>
      <c r="Q1467" s="132" t="str">
        <f>LEFT(base[[#This Row],[Evento / Mercado]],FIND("vs",base[[#This Row],[Evento / Mercado]])-2)</f>
        <v>Zaglebie Lubin</v>
      </c>
      <c r="R14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Termalica Bruk-Bet Nieciecza</v>
      </c>
      <c r="S1467" s="132" t="str">
        <f>LEFT(base[[#This Row],[Evento / Mercado]],FIND("/",base[[#This Row],[Evento / Mercado]])-2)</f>
        <v>Zaglebie Lubin vs Termalica Bruk-Bet Nieciecza</v>
      </c>
    </row>
    <row r="1468" spans="2:19" ht="15" customHeight="1">
      <c r="B1468" s="128" t="s">
        <v>1305</v>
      </c>
      <c r="C1468" s="128" t="s">
        <v>2982</v>
      </c>
      <c r="D1468" s="129">
        <v>46136.59648148148</v>
      </c>
      <c r="E1468" s="130">
        <v>-1.44</v>
      </c>
      <c r="F1468" s="136">
        <v>4.4999999999999998E-2</v>
      </c>
      <c r="G1468" s="126">
        <f t="shared" si="23"/>
        <v>-1.44</v>
      </c>
      <c r="H1468" s="126" t="s">
        <v>1339</v>
      </c>
      <c r="I1468" s="127" t="s">
        <v>1236</v>
      </c>
      <c r="J1468" s="126">
        <v>6.8</v>
      </c>
      <c r="K1468" s="126">
        <v>11.6</v>
      </c>
      <c r="L1468" s="129">
        <f>INT(base[[#This Row],[Data de liquidação]])</f>
        <v>46136</v>
      </c>
      <c r="M1468" s="126">
        <f>base[[#This Row],[L/P Bruto]]-base[[#This Row],[L/P Líquido]]</f>
        <v>0</v>
      </c>
      <c r="N1468" s="126">
        <f>base[[#This Row],[L/P Líquido]]/base[[#This Row],[Stake/Responsabilidade]]</f>
        <v>-0.12413793103448276</v>
      </c>
      <c r="O1468" s="132">
        <f>IF(base[[#This Row],[L/P Líquido]]&gt;0,1,0)</f>
        <v>0</v>
      </c>
      <c r="P1468" s="132"/>
      <c r="Q1468" s="132" t="str">
        <f>LEFT(base[[#This Row],[Evento / Mercado]],FIND("vs",base[[#This Row],[Evento / Mercado]])-2)</f>
        <v>Zaglebie Lubin</v>
      </c>
      <c r="R14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Termalica Bruk-Bet Nieciecza</v>
      </c>
      <c r="S1468" s="132" t="str">
        <f>LEFT(base[[#This Row],[Evento / Mercado]],FIND("/",base[[#This Row],[Evento / Mercado]])-2)</f>
        <v>Zaglebie Lubin vs Termalica Bruk-Bet Nieciecza</v>
      </c>
    </row>
    <row r="1469" spans="2:19" ht="15" customHeight="1">
      <c r="B1469" s="128" t="s">
        <v>1304</v>
      </c>
      <c r="C1469" s="128" t="s">
        <v>2982</v>
      </c>
      <c r="D1469" s="129">
        <v>46136.597071759257</v>
      </c>
      <c r="E1469" s="130">
        <v>1.91</v>
      </c>
      <c r="F1469" s="136">
        <v>4.4999999999999998E-2</v>
      </c>
      <c r="G1469" s="126">
        <f t="shared" si="23"/>
        <v>2</v>
      </c>
      <c r="H1469" s="126" t="s">
        <v>1339</v>
      </c>
      <c r="I1469" s="127" t="s">
        <v>1236</v>
      </c>
      <c r="J1469" s="126">
        <v>6.8</v>
      </c>
      <c r="K1469" s="126">
        <v>2</v>
      </c>
      <c r="L1469" s="129">
        <f>INT(base[[#This Row],[Data de liquidação]])</f>
        <v>46136</v>
      </c>
      <c r="M1469" s="126">
        <f>base[[#This Row],[L/P Bruto]]-base[[#This Row],[L/P Líquido]]</f>
        <v>9.000000000000008E-2</v>
      </c>
      <c r="N1469" s="126">
        <f>base[[#This Row],[L/P Líquido]]/base[[#This Row],[Stake/Responsabilidade]]</f>
        <v>0.95499999999999996</v>
      </c>
      <c r="O1469" s="132">
        <f>IF(base[[#This Row],[L/P Líquido]]&gt;0,1,0)</f>
        <v>1</v>
      </c>
      <c r="P1469" s="132"/>
      <c r="Q1469" s="132" t="str">
        <f>LEFT(base[[#This Row],[Evento / Mercado]],FIND("vs",base[[#This Row],[Evento / Mercado]])-2)</f>
        <v>Al Hazm</v>
      </c>
      <c r="R14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Al-Riyadh</v>
      </c>
      <c r="S1469" s="132" t="str">
        <f>LEFT(base[[#This Row],[Evento / Mercado]],FIND("/",base[[#This Row],[Evento / Mercado]])-2)</f>
        <v>Al Hazm vs Al-Riyadh</v>
      </c>
    </row>
    <row r="1470" spans="2:19" ht="15" customHeight="1">
      <c r="B1470" s="128" t="s">
        <v>1303</v>
      </c>
      <c r="C1470" s="128" t="s">
        <v>2982</v>
      </c>
      <c r="D1470" s="129">
        <v>46136.612650462965</v>
      </c>
      <c r="E1470" s="130">
        <v>1.77</v>
      </c>
      <c r="F1470" s="136">
        <v>4.4999999999999998E-2</v>
      </c>
      <c r="G1470" s="126">
        <f t="shared" si="23"/>
        <v>1.8534031413612566</v>
      </c>
      <c r="H1470" s="137" t="s">
        <v>1339</v>
      </c>
      <c r="I1470" s="127" t="s">
        <v>1388</v>
      </c>
      <c r="J1470" s="126">
        <v>28</v>
      </c>
      <c r="K1470" s="126">
        <v>49.95</v>
      </c>
      <c r="L1470" s="129">
        <f>INT(base[[#This Row],[Data de liquidação]])</f>
        <v>46136</v>
      </c>
      <c r="M1470" s="126">
        <f>base[[#This Row],[L/P Bruto]]-base[[#This Row],[L/P Líquido]]</f>
        <v>8.3403141361256594E-2</v>
      </c>
      <c r="N1470" s="126">
        <f>base[[#This Row],[L/P Líquido]]/base[[#This Row],[Stake/Responsabilidade]]</f>
        <v>3.5435435435435432E-2</v>
      </c>
      <c r="O1470" s="132">
        <f>IF(base[[#This Row],[L/P Líquido]]&gt;0,1,0)</f>
        <v>1</v>
      </c>
      <c r="P1470" s="132"/>
      <c r="Q1470" s="132" t="str">
        <f>LEFT(base[[#This Row],[Evento / Mercado]],FIND("vs",base[[#This Row],[Evento / Mercado]])-2)</f>
        <v>Al-Fateh Al-Hasa</v>
      </c>
      <c r="R14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Al-Khaleej Saihat</v>
      </c>
      <c r="S1470" s="132" t="str">
        <f>LEFT(base[[#This Row],[Evento / Mercado]],FIND("/",base[[#This Row],[Evento / Mercado]])-2)</f>
        <v>Al-Fateh Al-Hasa vs Al-Khaleej Saihat</v>
      </c>
    </row>
    <row r="1471" spans="2:19" ht="15" customHeight="1">
      <c r="B1471" s="128" t="s">
        <v>1302</v>
      </c>
      <c r="C1471" s="128" t="s">
        <v>2982</v>
      </c>
      <c r="D1471" s="129">
        <v>46136.663900462961</v>
      </c>
      <c r="E1471" s="130">
        <v>-1.6</v>
      </c>
      <c r="F1471" s="136">
        <v>4.4999999999999998E-2</v>
      </c>
      <c r="G1471" s="126">
        <f t="shared" si="23"/>
        <v>-1.6</v>
      </c>
      <c r="H1471" s="126" t="s">
        <v>1339</v>
      </c>
      <c r="I1471" s="127" t="s">
        <v>1236</v>
      </c>
      <c r="J1471" s="126">
        <v>7.2</v>
      </c>
      <c r="K1471" s="126">
        <v>12.4</v>
      </c>
      <c r="L1471" s="129">
        <f>INT(base[[#This Row],[Data de liquidação]])</f>
        <v>46136</v>
      </c>
      <c r="M1471" s="126">
        <f>base[[#This Row],[L/P Bruto]]-base[[#This Row],[L/P Líquido]]</f>
        <v>0</v>
      </c>
      <c r="N1471" s="126">
        <f>base[[#This Row],[L/P Líquido]]/base[[#This Row],[Stake/Responsabilidade]]</f>
        <v>-0.12903225806451613</v>
      </c>
      <c r="O1471" s="132">
        <f>IF(base[[#This Row],[L/P Líquido]]&gt;0,1,0)</f>
        <v>0</v>
      </c>
      <c r="P1471" s="132"/>
      <c r="Q1471" s="132" t="str">
        <f>LEFT(base[[#This Row],[Evento / Mercado]],FIND("vs",base[[#This Row],[Evento / Mercado]])-2)</f>
        <v>Monza</v>
      </c>
      <c r="R14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Modena FC 2018</v>
      </c>
      <c r="S1471" s="132" t="str">
        <f>LEFT(base[[#This Row],[Evento / Mercado]],FIND("/",base[[#This Row],[Evento / Mercado]])-2)</f>
        <v>Monza vs Modena FC 2018</v>
      </c>
    </row>
    <row r="1472" spans="2:19" ht="15" customHeight="1">
      <c r="B1472" s="128" t="s">
        <v>1301</v>
      </c>
      <c r="C1472" s="128" t="s">
        <v>2982</v>
      </c>
      <c r="D1472" s="129">
        <v>46136.673090277778</v>
      </c>
      <c r="E1472" s="130">
        <v>1.91</v>
      </c>
      <c r="F1472" s="136">
        <v>4.4999999999999998E-2</v>
      </c>
      <c r="G1472" s="126">
        <f t="shared" si="23"/>
        <v>2</v>
      </c>
      <c r="H1472" s="126" t="s">
        <v>1339</v>
      </c>
      <c r="I1472" s="127" t="s">
        <v>1236</v>
      </c>
      <c r="J1472" s="126">
        <v>17</v>
      </c>
      <c r="K1472" s="126">
        <v>2</v>
      </c>
      <c r="L1472" s="129">
        <f>INT(base[[#This Row],[Data de liquidação]])</f>
        <v>46136</v>
      </c>
      <c r="M1472" s="126">
        <f>base[[#This Row],[L/P Bruto]]-base[[#This Row],[L/P Líquido]]</f>
        <v>9.000000000000008E-2</v>
      </c>
      <c r="N1472" s="126">
        <f>base[[#This Row],[L/P Líquido]]/base[[#This Row],[Stake/Responsabilidade]]</f>
        <v>0.95499999999999996</v>
      </c>
      <c r="O1472" s="132">
        <f>IF(base[[#This Row],[L/P Líquido]]&gt;0,1,0)</f>
        <v>1</v>
      </c>
      <c r="P1472" s="132"/>
      <c r="Q1472" s="132" t="str">
        <f>LEFT(base[[#This Row],[Evento / Mercado]],FIND("vs",base[[#This Row],[Evento / Mercado]])-2)</f>
        <v>Jong AZ Alkmaar</v>
      </c>
      <c r="R14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Roda JC</v>
      </c>
      <c r="S1472" s="132" t="str">
        <f>LEFT(base[[#This Row],[Evento / Mercado]],FIND("/",base[[#This Row],[Evento / Mercado]])-2)</f>
        <v>Jong AZ Alkmaar vs Roda JC</v>
      </c>
    </row>
    <row r="1473" spans="2:19" ht="15" customHeight="1">
      <c r="B1473" s="128" t="s">
        <v>1300</v>
      </c>
      <c r="C1473" s="128" t="s">
        <v>2982</v>
      </c>
      <c r="D1473" s="129">
        <v>46136.674791666665</v>
      </c>
      <c r="E1473" s="130">
        <v>1.91</v>
      </c>
      <c r="F1473" s="136">
        <v>4.4999999999999998E-2</v>
      </c>
      <c r="G1473" s="126">
        <f t="shared" si="23"/>
        <v>2</v>
      </c>
      <c r="H1473" s="126" t="s">
        <v>1339</v>
      </c>
      <c r="I1473" s="127" t="s">
        <v>1236</v>
      </c>
      <c r="J1473" s="126">
        <v>12</v>
      </c>
      <c r="K1473" s="126">
        <v>2</v>
      </c>
      <c r="L1473" s="129">
        <f>INT(base[[#This Row],[Data de liquidação]])</f>
        <v>46136</v>
      </c>
      <c r="M1473" s="126">
        <f>base[[#This Row],[L/P Bruto]]-base[[#This Row],[L/P Líquido]]</f>
        <v>9.000000000000008E-2</v>
      </c>
      <c r="N1473" s="126">
        <f>base[[#This Row],[L/P Líquido]]/base[[#This Row],[Stake/Responsabilidade]]</f>
        <v>0.95499999999999996</v>
      </c>
      <c r="O1473" s="132">
        <f>IF(base[[#This Row],[L/P Líquido]]&gt;0,1,0)</f>
        <v>1</v>
      </c>
      <c r="P1473" s="132"/>
      <c r="Q1473" s="132" t="str">
        <f>LEFT(base[[#This Row],[Evento / Mercado]],FIND("vs",base[[#This Row],[Evento / Mercado]])-2)</f>
        <v>Den Bosch</v>
      </c>
      <c r="R14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ADO Den Haag</v>
      </c>
      <c r="S1473" s="132" t="str">
        <f>LEFT(base[[#This Row],[Evento / Mercado]],FIND("/",base[[#This Row],[Evento / Mercado]])-2)</f>
        <v>Den Bosch vs ADO Den Haag</v>
      </c>
    </row>
    <row r="1474" spans="2:19" ht="15" customHeight="1">
      <c r="B1474" s="128" t="s">
        <v>1299</v>
      </c>
      <c r="C1474" s="128" t="s">
        <v>2982</v>
      </c>
      <c r="D1474" s="129">
        <v>46136.686874999999</v>
      </c>
      <c r="E1474" s="130">
        <v>47.75</v>
      </c>
      <c r="F1474" s="136">
        <v>4.4999999999999998E-2</v>
      </c>
      <c r="G1474" s="126">
        <f t="shared" si="23"/>
        <v>50</v>
      </c>
      <c r="H1474" s="126" t="s">
        <v>1236</v>
      </c>
      <c r="I1474" s="127" t="s">
        <v>1249</v>
      </c>
      <c r="J1474" s="126">
        <v>8</v>
      </c>
      <c r="K1474" s="126">
        <v>50</v>
      </c>
      <c r="L1474" s="129">
        <f>INT(base[[#This Row],[Data de liquidação]])</f>
        <v>46136</v>
      </c>
      <c r="M1474" s="126">
        <f>base[[#This Row],[L/P Bruto]]-base[[#This Row],[L/P Líquido]]</f>
        <v>2.25</v>
      </c>
      <c r="N1474" s="126">
        <f>base[[#This Row],[L/P Líquido]]/base[[#This Row],[Stake/Responsabilidade]]</f>
        <v>0.95499999999999996</v>
      </c>
      <c r="O1474" s="132">
        <f>IF(base[[#This Row],[L/P Líquido]]&gt;0,1,0)</f>
        <v>1</v>
      </c>
      <c r="P1474" s="132"/>
      <c r="Q1474" s="132" t="str">
        <f>LEFT(base[[#This Row],[Evento / Mercado]],FIND("vs",base[[#This Row],[Evento / Mercado]])-2)</f>
        <v>Shelbourne FC</v>
      </c>
      <c r="R14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1474" s="132" t="str">
        <f>LEFT(base[[#This Row],[Evento / Mercado]],FIND("/",base[[#This Row],[Evento / Mercado]])-2)</f>
        <v>Shelbourne FC vs Drogheda United</v>
      </c>
    </row>
    <row r="1475" spans="2:19" ht="15" customHeight="1">
      <c r="B1475" s="128" t="s">
        <v>1298</v>
      </c>
      <c r="C1475" s="128" t="s">
        <v>2982</v>
      </c>
      <c r="D1475" s="129">
        <v>46136.688171296293</v>
      </c>
      <c r="E1475" s="130">
        <v>1.91</v>
      </c>
      <c r="F1475" s="136">
        <v>4.4999999999999998E-2</v>
      </c>
      <c r="G1475" s="126">
        <f t="shared" ref="G1475:G1538" si="24">IF(E1475&gt;0,E1475/(1-F1475),E1475)</f>
        <v>2</v>
      </c>
      <c r="H1475" s="126" t="s">
        <v>1339</v>
      </c>
      <c r="I1475" s="127" t="s">
        <v>1236</v>
      </c>
      <c r="J1475" s="126">
        <v>6.8</v>
      </c>
      <c r="K1475" s="126">
        <v>2</v>
      </c>
      <c r="L1475" s="129">
        <f>INT(base[[#This Row],[Data de liquidação]])</f>
        <v>46136</v>
      </c>
      <c r="M1475" s="126">
        <f>base[[#This Row],[L/P Bruto]]-base[[#This Row],[L/P Líquido]]</f>
        <v>9.000000000000008E-2</v>
      </c>
      <c r="N1475" s="126">
        <f>base[[#This Row],[L/P Líquido]]/base[[#This Row],[Stake/Responsabilidade]]</f>
        <v>0.95499999999999996</v>
      </c>
      <c r="O1475" s="132">
        <f>IF(base[[#This Row],[L/P Líquido]]&gt;0,1,0)</f>
        <v>1</v>
      </c>
      <c r="P1475" s="132"/>
      <c r="Q1475" s="132" t="str">
        <f>LEFT(base[[#This Row],[Evento / Mercado]],FIND("vs",base[[#This Row],[Evento / Mercado]])-2)</f>
        <v>Napoli</v>
      </c>
      <c r="R14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1475" s="132" t="str">
        <f>LEFT(base[[#This Row],[Evento / Mercado]],FIND("/",base[[#This Row],[Evento / Mercado]])-2)</f>
        <v>Napoli vs Cremonese</v>
      </c>
    </row>
    <row r="1476" spans="2:19" ht="15" customHeight="1">
      <c r="B1476" s="128" t="s">
        <v>1297</v>
      </c>
      <c r="C1476" s="128" t="s">
        <v>2982</v>
      </c>
      <c r="D1476" s="129">
        <v>46136.701990740738</v>
      </c>
      <c r="E1476" s="130">
        <v>-77.849999999999994</v>
      </c>
      <c r="F1476" s="136">
        <v>4.4999999999999998E-2</v>
      </c>
      <c r="G1476" s="126">
        <f t="shared" si="24"/>
        <v>-77.849999999999994</v>
      </c>
      <c r="H1476" s="126" t="s">
        <v>1236</v>
      </c>
      <c r="I1476" s="127" t="s">
        <v>379</v>
      </c>
      <c r="J1476" s="126">
        <v>8.69</v>
      </c>
      <c r="K1476" s="126">
        <v>50</v>
      </c>
      <c r="L1476" s="129">
        <f>INT(base[[#This Row],[Data de liquidação]])</f>
        <v>46136</v>
      </c>
      <c r="M1476" s="126">
        <f>base[[#This Row],[L/P Bruto]]-base[[#This Row],[L/P Líquido]]</f>
        <v>0</v>
      </c>
      <c r="N1476" s="126">
        <f>base[[#This Row],[L/P Líquido]]/base[[#This Row],[Stake/Responsabilidade]]</f>
        <v>-1.5569999999999999</v>
      </c>
      <c r="O1476" s="132">
        <f>IF(base[[#This Row],[L/P Líquido]]&gt;0,1,0)</f>
        <v>0</v>
      </c>
      <c r="P1476" s="132"/>
      <c r="Q1476" s="132" t="str">
        <f>LEFT(base[[#This Row],[Evento / Mercado]],FIND("vs",base[[#This Row],[Evento / Mercado]])-2)</f>
        <v>Kazincbarcika SC</v>
      </c>
      <c r="R14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MTK Budapest</v>
      </c>
      <c r="S1476" s="132" t="str">
        <f>LEFT(base[[#This Row],[Evento / Mercado]],FIND("/",base[[#This Row],[Evento / Mercado]])-2)</f>
        <v>Kazincbarcika SC vs MTK Budapest</v>
      </c>
    </row>
    <row r="1477" spans="2:19" ht="15" customHeight="1">
      <c r="B1477" s="128" t="s">
        <v>1296</v>
      </c>
      <c r="C1477" s="128" t="s">
        <v>2982</v>
      </c>
      <c r="D1477" s="129">
        <v>46136.704375000001</v>
      </c>
      <c r="E1477" s="130">
        <v>-66.67</v>
      </c>
      <c r="F1477" s="136">
        <v>4.4999999999999998E-2</v>
      </c>
      <c r="G1477" s="126">
        <f t="shared" si="24"/>
        <v>-66.67</v>
      </c>
      <c r="H1477" s="126" t="s">
        <v>1236</v>
      </c>
      <c r="I1477" s="127" t="s">
        <v>213</v>
      </c>
      <c r="J1477" s="126">
        <v>10.5</v>
      </c>
      <c r="K1477" s="126">
        <v>50</v>
      </c>
      <c r="L1477" s="129">
        <f>INT(base[[#This Row],[Data de liquidação]])</f>
        <v>46136</v>
      </c>
      <c r="M1477" s="126">
        <f>base[[#This Row],[L/P Bruto]]-base[[#This Row],[L/P Líquido]]</f>
        <v>0</v>
      </c>
      <c r="N1477" s="126">
        <f>base[[#This Row],[L/P Líquido]]/base[[#This Row],[Stake/Responsabilidade]]</f>
        <v>-1.3334000000000001</v>
      </c>
      <c r="O1477" s="132">
        <f>IF(base[[#This Row],[L/P Líquido]]&gt;0,1,0)</f>
        <v>0</v>
      </c>
      <c r="P1477" s="132"/>
      <c r="Q1477" s="132" t="str">
        <f>LEFT(base[[#This Row],[Evento / Mercado]],FIND("vs",base[[#This Row],[Evento / Mercado]])-2)</f>
        <v>RB Leipzig</v>
      </c>
      <c r="R14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1477" s="132" t="str">
        <f>LEFT(base[[#This Row],[Evento / Mercado]],FIND("/",base[[#This Row],[Evento / Mercado]])-2)</f>
        <v>RB Leipzig vs 1. FC Union Berlin</v>
      </c>
    </row>
    <row r="1478" spans="2:19" ht="15" customHeight="1">
      <c r="B1478" s="128" t="s">
        <v>1295</v>
      </c>
      <c r="C1478" s="128" t="s">
        <v>2982</v>
      </c>
      <c r="D1478" s="129">
        <v>46136.708321759259</v>
      </c>
      <c r="E1478" s="130">
        <v>3.29</v>
      </c>
      <c r="F1478" s="136">
        <v>4.4999999999999998E-2</v>
      </c>
      <c r="G1478" s="126">
        <f t="shared" si="24"/>
        <v>3.4450261780104712</v>
      </c>
      <c r="H1478" s="137" t="s">
        <v>1339</v>
      </c>
      <c r="I1478" s="127" t="s">
        <v>1388</v>
      </c>
      <c r="J1478" s="126">
        <v>15.5</v>
      </c>
      <c r="K1478" s="126">
        <v>50.03</v>
      </c>
      <c r="L1478" s="129">
        <f>INT(base[[#This Row],[Data de liquidação]])</f>
        <v>46136</v>
      </c>
      <c r="M1478" s="126">
        <f>base[[#This Row],[L/P Bruto]]-base[[#This Row],[L/P Líquido]]</f>
        <v>0.15502617801047114</v>
      </c>
      <c r="N1478" s="126">
        <f>base[[#This Row],[L/P Líquido]]/base[[#This Row],[Stake/Responsabilidade]]</f>
        <v>6.5760543673795718E-2</v>
      </c>
      <c r="O1478" s="132">
        <f>IF(base[[#This Row],[L/P Líquido]]&gt;0,1,0)</f>
        <v>1</v>
      </c>
      <c r="P1478" s="132"/>
      <c r="Q1478" s="132" t="str">
        <f>LEFT(base[[#This Row],[Evento / Mercado]],FIND("vs",base[[#This Row],[Evento / Mercado]])-2)</f>
        <v>Red Star FC 93</v>
      </c>
      <c r="R14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 Avant Guingamp</v>
      </c>
      <c r="S1478" s="132" t="str">
        <f>LEFT(base[[#This Row],[Evento / Mercado]],FIND("/",base[[#This Row],[Evento / Mercado]])-2)</f>
        <v>Red Star FC 93 vs En Avant Guingamp</v>
      </c>
    </row>
    <row r="1479" spans="2:19" ht="15" customHeight="1">
      <c r="B1479" s="128" t="s">
        <v>1294</v>
      </c>
      <c r="C1479" s="128" t="s">
        <v>2982</v>
      </c>
      <c r="D1479" s="129">
        <v>46136.709479166668</v>
      </c>
      <c r="E1479" s="130">
        <v>0.39</v>
      </c>
      <c r="F1479" s="136">
        <v>4.4999999999999998E-2</v>
      </c>
      <c r="G1479" s="126">
        <f t="shared" si="24"/>
        <v>0.40837696335078538</v>
      </c>
      <c r="H1479" s="126" t="s">
        <v>1339</v>
      </c>
      <c r="I1479" s="127" t="s">
        <v>1336</v>
      </c>
      <c r="J1479" s="126">
        <v>1.49</v>
      </c>
      <c r="K1479" s="126">
        <v>2</v>
      </c>
      <c r="L1479" s="129">
        <f>INT(base[[#This Row],[Data de liquidação]])</f>
        <v>46136</v>
      </c>
      <c r="M1479" s="126">
        <f>base[[#This Row],[L/P Bruto]]-base[[#This Row],[L/P Líquido]]</f>
        <v>1.8376963350785369E-2</v>
      </c>
      <c r="N1479" s="126">
        <f>base[[#This Row],[L/P Líquido]]/base[[#This Row],[Stake/Responsabilidade]]</f>
        <v>0.19500000000000001</v>
      </c>
      <c r="O1479" s="132">
        <f>IF(base[[#This Row],[L/P Líquido]]&gt;0,1,0)</f>
        <v>1</v>
      </c>
      <c r="P1479" s="132"/>
      <c r="Q1479" s="132" t="str">
        <f>LEFT(base[[#This Row],[Evento / Mercado]],FIND("vs",base[[#This Row],[Evento / Mercado]])-2)</f>
        <v>FC Eindhoven</v>
      </c>
      <c r="R14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Helmond Sport</v>
      </c>
      <c r="S1479" s="132" t="str">
        <f>LEFT(base[[#This Row],[Evento / Mercado]],FIND("/",base[[#This Row],[Evento / Mercado]])-2)</f>
        <v>FC Eindhoven vs Helmond Sport</v>
      </c>
    </row>
    <row r="1480" spans="2:19" ht="15" customHeight="1">
      <c r="B1480" s="128" t="s">
        <v>1293</v>
      </c>
      <c r="C1480" s="128" t="s">
        <v>2982</v>
      </c>
      <c r="D1480" s="129">
        <v>46136.725127314814</v>
      </c>
      <c r="E1480" s="130">
        <v>61.92</v>
      </c>
      <c r="F1480" s="136">
        <v>4.4999999999999998E-2</v>
      </c>
      <c r="G1480" s="126">
        <f t="shared" si="24"/>
        <v>64.837696335078533</v>
      </c>
      <c r="H1480" s="126" t="s">
        <v>145</v>
      </c>
      <c r="I1480" s="127" t="s">
        <v>301</v>
      </c>
      <c r="J1480" s="126">
        <v>7.4</v>
      </c>
      <c r="K1480" s="126">
        <v>414.98</v>
      </c>
      <c r="L1480" s="129">
        <f>INT(base[[#This Row],[Data de liquidação]])</f>
        <v>46136</v>
      </c>
      <c r="M1480" s="126">
        <f>base[[#This Row],[L/P Bruto]]-base[[#This Row],[L/P Líquido]]</f>
        <v>2.9176963350785314</v>
      </c>
      <c r="N1480" s="126">
        <f>base[[#This Row],[L/P Líquido]]/base[[#This Row],[Stake/Responsabilidade]]</f>
        <v>0.14921201021735986</v>
      </c>
      <c r="O1480" s="132">
        <f>IF(base[[#This Row],[L/P Líquido]]&gt;0,1,0)</f>
        <v>1</v>
      </c>
      <c r="P1480" s="132" t="s">
        <v>962</v>
      </c>
      <c r="Q1480" s="132" t="str">
        <f>LEFT(base[[#This Row],[Evento / Mercado]],FIND("vs",base[[#This Row],[Evento / Mercado]])-2)</f>
        <v>RB Leipzig</v>
      </c>
      <c r="R14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1480" s="132" t="str">
        <f>LEFT(base[[#This Row],[Evento / Mercado]],FIND("/",base[[#This Row],[Evento / Mercado]])-2)</f>
        <v>RB Leipzig vs 1. FC Union Berlin</v>
      </c>
    </row>
    <row r="1481" spans="2:19" ht="15" customHeight="1">
      <c r="B1481" s="128" t="s">
        <v>1292</v>
      </c>
      <c r="C1481" s="128" t="s">
        <v>2982</v>
      </c>
      <c r="D1481" s="129">
        <v>46136.735324074078</v>
      </c>
      <c r="E1481" s="130">
        <v>41.71</v>
      </c>
      <c r="F1481" s="136">
        <v>4.4999999999999998E-2</v>
      </c>
      <c r="G1481" s="126">
        <f t="shared" si="24"/>
        <v>43.675392670157073</v>
      </c>
      <c r="H1481" s="126" t="s">
        <v>145</v>
      </c>
      <c r="I1481" s="127" t="s">
        <v>301</v>
      </c>
      <c r="J1481" s="126">
        <v>10.5</v>
      </c>
      <c r="K1481" s="126">
        <v>414.96</v>
      </c>
      <c r="L1481" s="129">
        <f>INT(base[[#This Row],[Data de liquidação]])</f>
        <v>46136</v>
      </c>
      <c r="M1481" s="126">
        <f>base[[#This Row],[L/P Bruto]]-base[[#This Row],[L/P Líquido]]</f>
        <v>1.9653926701570725</v>
      </c>
      <c r="N1481" s="126">
        <f>base[[#This Row],[L/P Líquido]]/base[[#This Row],[Stake/Responsabilidade]]</f>
        <v>0.10051571235781763</v>
      </c>
      <c r="O1481" s="132">
        <f>IF(base[[#This Row],[L/P Líquido]]&gt;0,1,0)</f>
        <v>1</v>
      </c>
      <c r="P1481" s="132" t="s">
        <v>969</v>
      </c>
      <c r="Q1481" s="132" t="str">
        <f>LEFT(base[[#This Row],[Evento / Mercado]],FIND("vs",base[[#This Row],[Evento / Mercado]])-2)</f>
        <v>Napoli</v>
      </c>
      <c r="R14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1481" s="132" t="str">
        <f>LEFT(base[[#This Row],[Evento / Mercado]],FIND("/",base[[#This Row],[Evento / Mercado]])-2)</f>
        <v>Napoli vs Cremonese</v>
      </c>
    </row>
    <row r="1482" spans="2:19" ht="15" customHeight="1">
      <c r="B1482" s="128" t="s">
        <v>1291</v>
      </c>
      <c r="C1482" s="128" t="s">
        <v>2982</v>
      </c>
      <c r="D1482" s="129">
        <v>46136.750925925924</v>
      </c>
      <c r="E1482" s="130">
        <v>-80.28</v>
      </c>
      <c r="F1482" s="136">
        <v>4.4999999999999998E-2</v>
      </c>
      <c r="G1482" s="126">
        <f t="shared" si="24"/>
        <v>-80.28</v>
      </c>
      <c r="H1482" s="126" t="s">
        <v>1236</v>
      </c>
      <c r="I1482" s="127" t="s">
        <v>1249</v>
      </c>
      <c r="J1482" s="126">
        <v>13</v>
      </c>
      <c r="K1482" s="126">
        <v>50</v>
      </c>
      <c r="L1482" s="129">
        <f>INT(base[[#This Row],[Data de liquidação]])</f>
        <v>46136</v>
      </c>
      <c r="M1482" s="126">
        <f>base[[#This Row],[L/P Bruto]]-base[[#This Row],[L/P Líquido]]</f>
        <v>0</v>
      </c>
      <c r="N1482" s="126">
        <f>base[[#This Row],[L/P Líquido]]/base[[#This Row],[Stake/Responsabilidade]]</f>
        <v>-1.6055999999999999</v>
      </c>
      <c r="O1482" s="132">
        <f>IF(base[[#This Row],[L/P Líquido]]&gt;0,1,0)</f>
        <v>0</v>
      </c>
      <c r="P1482" s="132"/>
      <c r="Q1482" s="132" t="str">
        <f>LEFT(base[[#This Row],[Evento / Mercado]],FIND("vs",base[[#This Row],[Evento / Mercado]])-2)</f>
        <v>Real Betis</v>
      </c>
      <c r="R14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1482" s="132" t="str">
        <f>LEFT(base[[#This Row],[Evento / Mercado]],FIND("/",base[[#This Row],[Evento / Mercado]])-2)</f>
        <v>Real Betis vs Real Madrid</v>
      </c>
    </row>
    <row r="1483" spans="2:19" ht="15" customHeight="1">
      <c r="B1483" s="128" t="s">
        <v>1291</v>
      </c>
      <c r="C1483" s="128" t="s">
        <v>2982</v>
      </c>
      <c r="D1483" s="129">
        <v>46136.750925925924</v>
      </c>
      <c r="E1483" s="130">
        <v>-2.1</v>
      </c>
      <c r="F1483" s="136">
        <v>4.4999999999999998E-2</v>
      </c>
      <c r="G1483" s="126">
        <f t="shared" si="24"/>
        <v>-2.1</v>
      </c>
      <c r="H1483" s="126" t="s">
        <v>1339</v>
      </c>
      <c r="I1483" s="127" t="s">
        <v>1236</v>
      </c>
      <c r="J1483" s="126">
        <v>13</v>
      </c>
      <c r="K1483" s="126">
        <v>24</v>
      </c>
      <c r="L1483" s="129">
        <f>INT(base[[#This Row],[Data de liquidação]])</f>
        <v>46136</v>
      </c>
      <c r="M1483" s="126">
        <f>base[[#This Row],[L/P Bruto]]-base[[#This Row],[L/P Líquido]]</f>
        <v>0</v>
      </c>
      <c r="N1483" s="126">
        <f>base[[#This Row],[L/P Líquido]]/base[[#This Row],[Stake/Responsabilidade]]</f>
        <v>-8.7500000000000008E-2</v>
      </c>
      <c r="O1483" s="132">
        <f>IF(base[[#This Row],[L/P Líquido]]&gt;0,1,0)</f>
        <v>0</v>
      </c>
      <c r="P1483" s="132"/>
      <c r="Q1483" s="132" t="str">
        <f>LEFT(base[[#This Row],[Evento / Mercado]],FIND("vs",base[[#This Row],[Evento / Mercado]])-2)</f>
        <v>Real Betis</v>
      </c>
      <c r="R14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1483" s="132" t="str">
        <f>LEFT(base[[#This Row],[Evento / Mercado]],FIND("/",base[[#This Row],[Evento / Mercado]])-2)</f>
        <v>Real Betis vs Real Madrid</v>
      </c>
    </row>
    <row r="1484" spans="2:19" ht="15" customHeight="1">
      <c r="B1484" s="128" t="s">
        <v>1290</v>
      </c>
      <c r="C1484" s="128" t="s">
        <v>2982</v>
      </c>
      <c r="D1484" s="129">
        <v>46136.751331018517</v>
      </c>
      <c r="E1484" s="130">
        <v>63.93</v>
      </c>
      <c r="F1484" s="136">
        <v>4.4999999999999998E-2</v>
      </c>
      <c r="G1484" s="126">
        <f t="shared" si="24"/>
        <v>66.942408376963357</v>
      </c>
      <c r="H1484" s="126" t="s">
        <v>145</v>
      </c>
      <c r="I1484" s="127" t="s">
        <v>1056</v>
      </c>
      <c r="J1484" s="126">
        <v>7.2</v>
      </c>
      <c r="K1484" s="126">
        <v>415.03</v>
      </c>
      <c r="L1484" s="129">
        <f>INT(base[[#This Row],[Data de liquidação]])</f>
        <v>46136</v>
      </c>
      <c r="M1484" s="126">
        <f>base[[#This Row],[L/P Bruto]]-base[[#This Row],[L/P Líquido]]</f>
        <v>3.0124083769633572</v>
      </c>
      <c r="N1484" s="126">
        <f>base[[#This Row],[L/P Líquido]]/base[[#This Row],[Stake/Responsabilidade]]</f>
        <v>0.15403705756210395</v>
      </c>
      <c r="O1484" s="132">
        <f>IF(base[[#This Row],[L/P Líquido]]&gt;0,1,0)</f>
        <v>1</v>
      </c>
      <c r="P1484" s="132" t="s">
        <v>964</v>
      </c>
      <c r="Q1484" s="132" t="str">
        <f>LEFT(base[[#This Row],[Evento / Mercado]],FIND("vs",base[[#This Row],[Evento / Mercado]])-2)</f>
        <v>Real Betis</v>
      </c>
      <c r="R14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1484" s="132" t="str">
        <f>LEFT(base[[#This Row],[Evento / Mercado]],FIND("/",base[[#This Row],[Evento / Mercado]])-2)</f>
        <v>Real Betis vs Real Madrid</v>
      </c>
    </row>
    <row r="1485" spans="2:19" ht="15" customHeight="1">
      <c r="B1485" s="128" t="s">
        <v>1337</v>
      </c>
      <c r="C1485" s="128" t="s">
        <v>2982</v>
      </c>
      <c r="D1485" s="129">
        <v>46136.938402777778</v>
      </c>
      <c r="E1485" s="130">
        <v>-2</v>
      </c>
      <c r="F1485" s="136">
        <v>4.4999999999999998E-2</v>
      </c>
      <c r="G1485" s="126">
        <f t="shared" si="24"/>
        <v>-2</v>
      </c>
      <c r="H1485" s="126" t="s">
        <v>1339</v>
      </c>
      <c r="I1485" s="127" t="s">
        <v>1338</v>
      </c>
      <c r="J1485" s="126">
        <v>2.35</v>
      </c>
      <c r="K1485" s="126">
        <v>2</v>
      </c>
      <c r="L1485" s="129">
        <f>INT(base[[#This Row],[Data de liquidação]])</f>
        <v>46136</v>
      </c>
      <c r="M1485" s="126">
        <f>base[[#This Row],[L/P Bruto]]-base[[#This Row],[L/P Líquido]]</f>
        <v>0</v>
      </c>
      <c r="N1485" s="126">
        <f>base[[#This Row],[L/P Líquido]]/base[[#This Row],[Stake/Responsabilidade]]</f>
        <v>-1</v>
      </c>
      <c r="O1485" s="132">
        <f>IF(base[[#This Row],[L/P Líquido]]&gt;0,1,0)</f>
        <v>0</v>
      </c>
      <c r="P1485" s="132"/>
      <c r="Q1485" s="132" t="str">
        <f>LEFT(base[[#This Row],[Evento / Mercado]],FIND("vs",base[[#This Row],[Evento / Mercado]])-2)</f>
        <v>Club Independiente Petrolero</v>
      </c>
      <c r="R14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Vinto</v>
      </c>
      <c r="S1485" s="132" t="str">
        <f>LEFT(base[[#This Row],[Evento / Mercado]],FIND("/",base[[#This Row],[Evento / Mercado]])-2)</f>
        <v>Club Independiente Petrolero vs Universitario de Vinto</v>
      </c>
    </row>
    <row r="1486" spans="2:19" ht="15" customHeight="1">
      <c r="B1486" s="128" t="s">
        <v>1387</v>
      </c>
      <c r="C1486" s="128" t="s">
        <v>2982</v>
      </c>
      <c r="D1486" s="129">
        <v>46137.364363425928</v>
      </c>
      <c r="E1486" s="130">
        <v>0.4</v>
      </c>
      <c r="F1486" s="136">
        <v>4.4999999999999998E-2</v>
      </c>
      <c r="G1486" s="126">
        <f t="shared" si="24"/>
        <v>0.41884816753926707</v>
      </c>
      <c r="H1486" s="126" t="s">
        <v>1339</v>
      </c>
      <c r="I1486" s="127" t="s">
        <v>1336</v>
      </c>
      <c r="J1486" s="126">
        <v>1.46</v>
      </c>
      <c r="K1486" s="126">
        <v>2</v>
      </c>
      <c r="L1486" s="129">
        <f>INT(base[[#This Row],[Data de liquidação]])</f>
        <v>46137</v>
      </c>
      <c r="M1486" s="126">
        <f>base[[#This Row],[L/P Bruto]]-base[[#This Row],[L/P Líquido]]</f>
        <v>1.8848167539267047E-2</v>
      </c>
      <c r="N1486" s="126">
        <f>base[[#This Row],[L/P Líquido]]/base[[#This Row],[Stake/Responsabilidade]]</f>
        <v>0.2</v>
      </c>
      <c r="O1486" s="132">
        <f>IF(base[[#This Row],[L/P Líquido]]&gt;0,1,0)</f>
        <v>1</v>
      </c>
      <c r="P1486" s="132"/>
      <c r="Q1486" s="132" t="str">
        <f>LEFT(base[[#This Row],[Evento / Mercado]],FIND("vs",base[[#This Row],[Evento / Mercado]])-2)</f>
        <v>Western Sydney Wanderers</v>
      </c>
      <c r="R14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Melbourne Victory</v>
      </c>
      <c r="S1486" s="132" t="str">
        <f>LEFT(base[[#This Row],[Evento / Mercado]],FIND("/",base[[#This Row],[Evento / Mercado]])-2)</f>
        <v>Western Sydney Wanderers vs Melbourne Victory</v>
      </c>
    </row>
    <row r="1487" spans="2:19" ht="15" customHeight="1">
      <c r="B1487" s="128" t="s">
        <v>1386</v>
      </c>
      <c r="C1487" s="128" t="s">
        <v>2982</v>
      </c>
      <c r="D1487" s="129">
        <v>46137.387175925927</v>
      </c>
      <c r="E1487" s="130">
        <v>47.75</v>
      </c>
      <c r="F1487" s="136">
        <v>4.4999999999999998E-2</v>
      </c>
      <c r="G1487" s="126">
        <f t="shared" si="24"/>
        <v>50</v>
      </c>
      <c r="H1487" s="126" t="s">
        <v>1236</v>
      </c>
      <c r="I1487" s="127" t="s">
        <v>1249</v>
      </c>
      <c r="J1487" s="126">
        <v>7.6</v>
      </c>
      <c r="K1487" s="126">
        <v>50</v>
      </c>
      <c r="L1487" s="129">
        <f>INT(base[[#This Row],[Data de liquidação]])</f>
        <v>46137</v>
      </c>
      <c r="M1487" s="126">
        <f>base[[#This Row],[L/P Bruto]]-base[[#This Row],[L/P Líquido]]</f>
        <v>2.25</v>
      </c>
      <c r="N1487" s="126">
        <f>base[[#This Row],[L/P Líquido]]/base[[#This Row],[Stake/Responsabilidade]]</f>
        <v>0.95499999999999996</v>
      </c>
      <c r="O1487" s="132">
        <f>IF(base[[#This Row],[L/P Líquido]]&gt;0,1,0)</f>
        <v>1</v>
      </c>
      <c r="P1487" s="132"/>
      <c r="Q1487" s="132" t="str">
        <f>LEFT(base[[#This Row],[Evento / Mercado]],FIND("vs",base[[#This Row],[Evento / Mercado]])-2)</f>
        <v>Middlesbrough</v>
      </c>
      <c r="R14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Watford</v>
      </c>
      <c r="S1487" s="132" t="str">
        <f>LEFT(base[[#This Row],[Evento / Mercado]],FIND("/",base[[#This Row],[Evento / Mercado]])-2)</f>
        <v>Middlesbrough vs Watford</v>
      </c>
    </row>
    <row r="1488" spans="2:19" ht="15" customHeight="1">
      <c r="B1488" s="128" t="s">
        <v>1385</v>
      </c>
      <c r="C1488" s="128" t="s">
        <v>2982</v>
      </c>
      <c r="D1488" s="129">
        <v>46137.388368055559</v>
      </c>
      <c r="E1488" s="130">
        <v>47.75</v>
      </c>
      <c r="F1488" s="136">
        <v>4.4999999999999998E-2</v>
      </c>
      <c r="G1488" s="126">
        <f t="shared" si="24"/>
        <v>50</v>
      </c>
      <c r="H1488" s="126" t="s">
        <v>1236</v>
      </c>
      <c r="I1488" s="127" t="s">
        <v>379</v>
      </c>
      <c r="J1488" s="126">
        <v>10</v>
      </c>
      <c r="K1488" s="126">
        <v>50</v>
      </c>
      <c r="L1488" s="129">
        <f>INT(base[[#This Row],[Data de liquidação]])</f>
        <v>46137</v>
      </c>
      <c r="M1488" s="126">
        <f>base[[#This Row],[L/P Bruto]]-base[[#This Row],[L/P Líquido]]</f>
        <v>2.25</v>
      </c>
      <c r="N1488" s="126">
        <f>base[[#This Row],[L/P Líquido]]/base[[#This Row],[Stake/Responsabilidade]]</f>
        <v>0.95499999999999996</v>
      </c>
      <c r="O1488" s="132">
        <f>IF(base[[#This Row],[L/P Líquido]]&gt;0,1,0)</f>
        <v>1</v>
      </c>
      <c r="P1488" s="132"/>
      <c r="Q1488" s="132" t="str">
        <f>LEFT(base[[#This Row],[Evento / Mercado]],FIND("vs",base[[#This Row],[Evento / Mercado]])-2)</f>
        <v>Beijing Guoan</v>
      </c>
      <c r="R14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1488" s="132" t="str">
        <f>LEFT(base[[#This Row],[Evento / Mercado]],FIND("/",base[[#This Row],[Evento / Mercado]])-2)</f>
        <v>Beijing Guoan vs Tianjin Jinmenhu</v>
      </c>
    </row>
    <row r="1489" spans="2:19" ht="15" customHeight="1">
      <c r="B1489" s="128" t="s">
        <v>1384</v>
      </c>
      <c r="C1489" s="128" t="s">
        <v>2982</v>
      </c>
      <c r="D1489" s="129">
        <v>46137.393645833334</v>
      </c>
      <c r="E1489" s="130">
        <v>2.0699999999999998</v>
      </c>
      <c r="F1489" s="136">
        <v>4.4999999999999998E-2</v>
      </c>
      <c r="G1489" s="126">
        <f t="shared" si="24"/>
        <v>2.1675392670157065</v>
      </c>
      <c r="H1489" s="126" t="s">
        <v>1339</v>
      </c>
      <c r="I1489" s="127" t="s">
        <v>1388</v>
      </c>
      <c r="J1489" s="126">
        <v>24</v>
      </c>
      <c r="K1489" s="126">
        <v>49.91</v>
      </c>
      <c r="L1489" s="129">
        <f>INT(base[[#This Row],[Data de liquidação]])</f>
        <v>46137</v>
      </c>
      <c r="M1489" s="126">
        <f>base[[#This Row],[L/P Bruto]]-base[[#This Row],[L/P Líquido]]</f>
        <v>9.7539267015706699E-2</v>
      </c>
      <c r="N1489" s="126">
        <f>base[[#This Row],[L/P Líquido]]/base[[#This Row],[Stake/Responsabilidade]]</f>
        <v>4.1474654377880185E-2</v>
      </c>
      <c r="O1489" s="132">
        <f>IF(base[[#This Row],[L/P Líquido]]&gt;0,1,0)</f>
        <v>1</v>
      </c>
      <c r="P1489" s="132"/>
      <c r="Q1489" s="132" t="str">
        <f>LEFT(base[[#This Row],[Evento / Mercado]],FIND("vs",base[[#This Row],[Evento / Mercado]])-2)</f>
        <v>Vanspor FK</v>
      </c>
      <c r="R14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Ugur Okullari Istanbulspor</v>
      </c>
      <c r="S1489" s="132" t="str">
        <f>LEFT(base[[#This Row],[Evento / Mercado]],FIND("/",base[[#This Row],[Evento / Mercado]])-2)</f>
        <v>Vanspor FK vs Ugur Okullari Istanbulspor</v>
      </c>
    </row>
    <row r="1490" spans="2:19" ht="15" customHeight="1">
      <c r="B1490" s="128" t="s">
        <v>1383</v>
      </c>
      <c r="C1490" s="128" t="s">
        <v>2982</v>
      </c>
      <c r="D1490" s="129">
        <v>46137.400543981479</v>
      </c>
      <c r="E1490" s="130">
        <v>47.75</v>
      </c>
      <c r="F1490" s="136">
        <v>4.4999999999999998E-2</v>
      </c>
      <c r="G1490" s="126">
        <f t="shared" si="24"/>
        <v>50</v>
      </c>
      <c r="H1490" s="126" t="s">
        <v>1236</v>
      </c>
      <c r="I1490" s="127" t="s">
        <v>213</v>
      </c>
      <c r="J1490" s="126">
        <v>16</v>
      </c>
      <c r="K1490" s="126">
        <v>50</v>
      </c>
      <c r="L1490" s="129">
        <f>INT(base[[#This Row],[Data de liquidação]])</f>
        <v>46137</v>
      </c>
      <c r="M1490" s="126">
        <f>base[[#This Row],[L/P Bruto]]-base[[#This Row],[L/P Líquido]]</f>
        <v>2.25</v>
      </c>
      <c r="N1490" s="126">
        <f>base[[#This Row],[L/P Líquido]]/base[[#This Row],[Stake/Responsabilidade]]</f>
        <v>0.95499999999999996</v>
      </c>
      <c r="O1490" s="132">
        <f>IF(base[[#This Row],[L/P Líquido]]&gt;0,1,0)</f>
        <v>1</v>
      </c>
      <c r="P1490" s="132"/>
      <c r="Q1490" s="132" t="str">
        <f>LEFT(base[[#This Row],[Evento / Mercado]],FIND("vs",base[[#This Row],[Evento / Mercado]])-2)</f>
        <v>Stockport County</v>
      </c>
      <c r="R14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Peterborough United</v>
      </c>
      <c r="S1490" s="132" t="str">
        <f>LEFT(base[[#This Row],[Evento / Mercado]],FIND("/",base[[#This Row],[Evento / Mercado]])-2)</f>
        <v>Stockport County vs Peterborough United</v>
      </c>
    </row>
    <row r="1491" spans="2:19" ht="15" customHeight="1">
      <c r="B1491" s="128" t="s">
        <v>1382</v>
      </c>
      <c r="C1491" s="128" t="s">
        <v>2982</v>
      </c>
      <c r="D1491" s="129">
        <v>46137.403912037036</v>
      </c>
      <c r="E1491" s="130">
        <v>-2</v>
      </c>
      <c r="F1491" s="136">
        <v>4.4999999999999998E-2</v>
      </c>
      <c r="G1491" s="126">
        <f t="shared" si="24"/>
        <v>-2</v>
      </c>
      <c r="H1491" s="126" t="s">
        <v>1339</v>
      </c>
      <c r="I1491" s="127" t="s">
        <v>1338</v>
      </c>
      <c r="J1491" s="126">
        <v>2.2999999999999998</v>
      </c>
      <c r="K1491" s="126">
        <v>2</v>
      </c>
      <c r="L1491" s="129">
        <f>INT(base[[#This Row],[Data de liquidação]])</f>
        <v>46137</v>
      </c>
      <c r="M1491" s="126">
        <f>base[[#This Row],[L/P Bruto]]-base[[#This Row],[L/P Líquido]]</f>
        <v>0</v>
      </c>
      <c r="N1491" s="126">
        <f>base[[#This Row],[L/P Líquido]]/base[[#This Row],[Stake/Responsabilidade]]</f>
        <v>-1</v>
      </c>
      <c r="O1491" s="132">
        <f>IF(base[[#This Row],[L/P Líquido]]&gt;0,1,0)</f>
        <v>0</v>
      </c>
      <c r="P1491" s="132"/>
      <c r="Q1491" s="132" t="str">
        <f>LEFT(base[[#This Row],[Evento / Mercado]],FIND("vs",base[[#This Row],[Evento / Mercado]])-2)</f>
        <v>Karlsruher SC</v>
      </c>
      <c r="R14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Hannover 96</v>
      </c>
      <c r="S1491" s="132" t="str">
        <f>LEFT(base[[#This Row],[Evento / Mercado]],FIND("/",base[[#This Row],[Evento / Mercado]])-2)</f>
        <v>Karlsruher SC vs Hannover 96</v>
      </c>
    </row>
    <row r="1492" spans="2:19" ht="15" customHeight="1">
      <c r="B1492" s="128" t="s">
        <v>1381</v>
      </c>
      <c r="C1492" s="128" t="s">
        <v>2982</v>
      </c>
      <c r="D1492" s="129">
        <v>46137.413657407407</v>
      </c>
      <c r="E1492" s="130">
        <v>2.99</v>
      </c>
      <c r="F1492" s="136">
        <v>4.4999999999999998E-2</v>
      </c>
      <c r="G1492" s="126">
        <f t="shared" si="24"/>
        <v>3.1308900523560212</v>
      </c>
      <c r="H1492" s="126" t="s">
        <v>1339</v>
      </c>
      <c r="I1492" s="127" t="s">
        <v>1388</v>
      </c>
      <c r="J1492" s="126">
        <v>17</v>
      </c>
      <c r="K1492" s="126">
        <v>50.08</v>
      </c>
      <c r="L1492" s="129">
        <f>INT(base[[#This Row],[Data de liquidação]])</f>
        <v>46137</v>
      </c>
      <c r="M1492" s="126">
        <f>base[[#This Row],[L/P Bruto]]-base[[#This Row],[L/P Líquido]]</f>
        <v>0.14089005235602103</v>
      </c>
      <c r="N1492" s="126">
        <f>base[[#This Row],[L/P Líquido]]/base[[#This Row],[Stake/Responsabilidade]]</f>
        <v>5.9704472843450485E-2</v>
      </c>
      <c r="O1492" s="132">
        <f>IF(base[[#This Row],[L/P Líquido]]&gt;0,1,0)</f>
        <v>1</v>
      </c>
      <c r="P1492" s="132"/>
      <c r="Q1492" s="132" t="str">
        <f>LEFT(base[[#This Row],[Evento / Mercado]],FIND("vs",base[[#This Row],[Evento / Mercado]])-2)</f>
        <v>Hertha BSC</v>
      </c>
      <c r="R14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1492" s="132" t="str">
        <f>LEFT(base[[#This Row],[Evento / Mercado]],FIND("/",base[[#This Row],[Evento / Mercado]])-2)</f>
        <v>Hertha BSC vs Holstein Kiel</v>
      </c>
    </row>
    <row r="1493" spans="2:19" ht="15" customHeight="1">
      <c r="B1493" s="128" t="s">
        <v>1380</v>
      </c>
      <c r="C1493" s="128" t="s">
        <v>2982</v>
      </c>
      <c r="D1493" s="129">
        <v>46137.413807870369</v>
      </c>
      <c r="E1493" s="130">
        <v>1.59</v>
      </c>
      <c r="F1493" s="136">
        <v>4.4999999999999998E-2</v>
      </c>
      <c r="G1493" s="126">
        <f t="shared" si="24"/>
        <v>1.6649214659685865</v>
      </c>
      <c r="H1493" s="126" t="s">
        <v>1339</v>
      </c>
      <c r="I1493" s="127" t="s">
        <v>1389</v>
      </c>
      <c r="J1493" s="126">
        <v>1.83</v>
      </c>
      <c r="K1493" s="126">
        <v>2</v>
      </c>
      <c r="L1493" s="129">
        <f>INT(base[[#This Row],[Data de liquidação]])</f>
        <v>46137</v>
      </c>
      <c r="M1493" s="126">
        <f>base[[#This Row],[L/P Bruto]]-base[[#This Row],[L/P Líquido]]</f>
        <v>7.4921465968586398E-2</v>
      </c>
      <c r="N1493" s="126">
        <f>base[[#This Row],[L/P Líquido]]/base[[#This Row],[Stake/Responsabilidade]]</f>
        <v>0.79500000000000004</v>
      </c>
      <c r="O1493" s="132">
        <f>IF(base[[#This Row],[L/P Líquido]]&gt;0,1,0)</f>
        <v>1</v>
      </c>
      <c r="P1493" s="132"/>
      <c r="Q1493" s="132" t="str">
        <f>LEFT(base[[#This Row],[Evento / Mercado]],FIND("vs",base[[#This Row],[Evento / Mercado]])-2)</f>
        <v>Hertha BSC</v>
      </c>
      <c r="R14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1493" s="132" t="str">
        <f>LEFT(base[[#This Row],[Evento / Mercado]],FIND("/",base[[#This Row],[Evento / Mercado]])-2)</f>
        <v>Hertha BSC vs Holstein Kiel</v>
      </c>
    </row>
    <row r="1494" spans="2:19" ht="15" customHeight="1">
      <c r="B1494" s="128" t="s">
        <v>1379</v>
      </c>
      <c r="C1494" s="128" t="s">
        <v>2982</v>
      </c>
      <c r="D1494" s="129">
        <v>46137.414606481485</v>
      </c>
      <c r="E1494" s="130">
        <v>2.87</v>
      </c>
      <c r="F1494" s="136">
        <v>4.4999999999999998E-2</v>
      </c>
      <c r="G1494" s="126">
        <f t="shared" si="24"/>
        <v>3.005235602094241</v>
      </c>
      <c r="H1494" s="126" t="s">
        <v>1339</v>
      </c>
      <c r="I1494" s="127" t="s">
        <v>1390</v>
      </c>
      <c r="J1494" s="126">
        <v>11.5</v>
      </c>
      <c r="K1494" s="126">
        <v>31.5</v>
      </c>
      <c r="L1494" s="129">
        <f>INT(base[[#This Row],[Data de liquidação]])</f>
        <v>46137</v>
      </c>
      <c r="M1494" s="126">
        <f>base[[#This Row],[L/P Bruto]]-base[[#This Row],[L/P Líquido]]</f>
        <v>0.1352356020942409</v>
      </c>
      <c r="N1494" s="126">
        <f>base[[#This Row],[L/P Líquido]]/base[[#This Row],[Stake/Responsabilidade]]</f>
        <v>9.1111111111111115E-2</v>
      </c>
      <c r="O1494" s="132">
        <f>IF(base[[#This Row],[L/P Líquido]]&gt;0,1,0)</f>
        <v>1</v>
      </c>
      <c r="P1494" s="132"/>
      <c r="Q1494" s="132" t="str">
        <f>LEFT(base[[#This Row],[Evento / Mercado]],FIND("vs",base[[#This Row],[Evento / Mercado]])-2)</f>
        <v>Chengdu Rongcheng</v>
      </c>
      <c r="R14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1494" s="132" t="str">
        <f>LEFT(base[[#This Row],[Evento / Mercado]],FIND("/",base[[#This Row],[Evento / Mercado]])-2)</f>
        <v>Chengdu Rongcheng vs Zhejiang Professional</v>
      </c>
    </row>
    <row r="1495" spans="2:19" ht="15" customHeight="1">
      <c r="B1495" s="128" t="s">
        <v>1378</v>
      </c>
      <c r="C1495" s="128" t="s">
        <v>2982</v>
      </c>
      <c r="D1495" s="129">
        <v>46137.42046296296</v>
      </c>
      <c r="E1495" s="130">
        <v>47.68</v>
      </c>
      <c r="F1495" s="136">
        <v>4.4999999999999998E-2</v>
      </c>
      <c r="G1495" s="126">
        <f t="shared" si="24"/>
        <v>49.926701570680628</v>
      </c>
      <c r="H1495" s="126" t="s">
        <v>1236</v>
      </c>
      <c r="I1495" s="127" t="s">
        <v>1249</v>
      </c>
      <c r="J1495" s="126">
        <v>7.2</v>
      </c>
      <c r="K1495" s="126">
        <v>49.93</v>
      </c>
      <c r="L1495" s="129">
        <f>INT(base[[#This Row],[Data de liquidação]])</f>
        <v>46137</v>
      </c>
      <c r="M1495" s="126">
        <f>base[[#This Row],[L/P Bruto]]-base[[#This Row],[L/P Líquido]]</f>
        <v>2.2467015706806279</v>
      </c>
      <c r="N1495" s="126">
        <f>base[[#This Row],[L/P Líquido]]/base[[#This Row],[Stake/Responsabilidade]]</f>
        <v>0.95493691167634687</v>
      </c>
      <c r="O1495" s="132">
        <f>IF(base[[#This Row],[L/P Líquido]]&gt;0,1,0)</f>
        <v>1</v>
      </c>
      <c r="P1495" s="132"/>
      <c r="Q1495" s="132" t="str">
        <f>LEFT(base[[#This Row],[Evento / Mercado]],FIND("vs",base[[#This Row],[Evento / Mercado]])-2)</f>
        <v>Shanghai Port</v>
      </c>
      <c r="R14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1495" s="132" t="str">
        <f>LEFT(base[[#This Row],[Evento / Mercado]],FIND("/",base[[#This Row],[Evento / Mercado]])-2)</f>
        <v>Shanghai Port vs Wuhan Three Towns</v>
      </c>
    </row>
    <row r="1496" spans="2:19" ht="15" customHeight="1">
      <c r="B1496" s="128" t="s">
        <v>1377</v>
      </c>
      <c r="C1496" s="128" t="s">
        <v>2982</v>
      </c>
      <c r="D1496" s="129">
        <v>46137.431689814817</v>
      </c>
      <c r="E1496" s="130">
        <v>0.19</v>
      </c>
      <c r="F1496" s="136">
        <v>4.4999999999999998E-2</v>
      </c>
      <c r="G1496" s="126">
        <f t="shared" si="24"/>
        <v>0.19895287958115185</v>
      </c>
      <c r="H1496" s="126" t="s">
        <v>1339</v>
      </c>
      <c r="I1496" s="127" t="s">
        <v>1391</v>
      </c>
      <c r="J1496" s="126">
        <v>3.65</v>
      </c>
      <c r="K1496" s="126">
        <v>4.9000000000000004</v>
      </c>
      <c r="L1496" s="129">
        <f>INT(base[[#This Row],[Data de liquidação]])</f>
        <v>46137</v>
      </c>
      <c r="M1496" s="126">
        <f>base[[#This Row],[L/P Bruto]]-base[[#This Row],[L/P Líquido]]</f>
        <v>8.9528795811518458E-3</v>
      </c>
      <c r="N1496" s="126">
        <f>base[[#This Row],[L/P Líquido]]/base[[#This Row],[Stake/Responsabilidade]]</f>
        <v>3.8775510204081633E-2</v>
      </c>
      <c r="O1496" s="132">
        <f>IF(base[[#This Row],[L/P Líquido]]&gt;0,1,0)</f>
        <v>1</v>
      </c>
      <c r="P1496" s="132"/>
      <c r="Q1496" s="132" t="str">
        <f>LEFT(base[[#This Row],[Evento / Mercado]],FIND("vs",base[[#This Row],[Evento / Mercado]])-2)</f>
        <v>Fulham</v>
      </c>
      <c r="R14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1496" s="132" t="str">
        <f>LEFT(base[[#This Row],[Evento / Mercado]],FIND("/",base[[#This Row],[Evento / Mercado]])-2)</f>
        <v>Fulham vs Aston Villa</v>
      </c>
    </row>
    <row r="1497" spans="2:19" ht="15" customHeight="1">
      <c r="B1497" s="128" t="s">
        <v>1376</v>
      </c>
      <c r="C1497" s="128" t="s">
        <v>2982</v>
      </c>
      <c r="D1497" s="129">
        <v>46137.436145833337</v>
      </c>
      <c r="E1497" s="130">
        <v>3.58</v>
      </c>
      <c r="F1497" s="136">
        <v>4.4999999999999998E-2</v>
      </c>
      <c r="G1497" s="126">
        <f t="shared" si="24"/>
        <v>3.74869109947644</v>
      </c>
      <c r="H1497" s="126" t="s">
        <v>1339</v>
      </c>
      <c r="I1497" s="127" t="s">
        <v>1390</v>
      </c>
      <c r="J1497" s="126">
        <v>9</v>
      </c>
      <c r="K1497" s="126">
        <v>30</v>
      </c>
      <c r="L1497" s="129">
        <f>INT(base[[#This Row],[Data de liquidação]])</f>
        <v>46137</v>
      </c>
      <c r="M1497" s="126">
        <f>base[[#This Row],[L/P Bruto]]-base[[#This Row],[L/P Líquido]]</f>
        <v>0.1686910994764399</v>
      </c>
      <c r="N1497" s="126">
        <f>base[[#This Row],[L/P Líquido]]/base[[#This Row],[Stake/Responsabilidade]]</f>
        <v>0.11933333333333333</v>
      </c>
      <c r="O1497" s="132">
        <f>IF(base[[#This Row],[L/P Líquido]]&gt;0,1,0)</f>
        <v>1</v>
      </c>
      <c r="P1497" s="132"/>
      <c r="Q1497" s="132" t="str">
        <f>LEFT(base[[#This Row],[Evento / Mercado]],FIND("vs",base[[#This Row],[Evento / Mercado]])-2)</f>
        <v>Milton Keynes Dons</v>
      </c>
      <c r="R14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Tranmere Rovers</v>
      </c>
      <c r="S1497" s="132" t="str">
        <f>LEFT(base[[#This Row],[Evento / Mercado]],FIND("/",base[[#This Row],[Evento / Mercado]])-2)</f>
        <v>Milton Keynes Dons vs Tranmere Rovers</v>
      </c>
    </row>
    <row r="1498" spans="2:19" ht="15" customHeight="1">
      <c r="B1498" s="128" t="s">
        <v>1375</v>
      </c>
      <c r="C1498" s="128" t="s">
        <v>2982</v>
      </c>
      <c r="D1498" s="129">
        <v>46137.46534722222</v>
      </c>
      <c r="E1498" s="130">
        <v>-0.98</v>
      </c>
      <c r="F1498" s="136">
        <v>4.4999999999999998E-2</v>
      </c>
      <c r="G1498" s="126">
        <f t="shared" si="24"/>
        <v>-0.98</v>
      </c>
      <c r="H1498" s="126" t="s">
        <v>1339</v>
      </c>
      <c r="I1498" s="127" t="s">
        <v>1236</v>
      </c>
      <c r="J1498" s="126">
        <v>6.56</v>
      </c>
      <c r="K1498" s="126">
        <v>2</v>
      </c>
      <c r="L1498" s="129">
        <f>INT(base[[#This Row],[Data de liquidação]])</f>
        <v>46137</v>
      </c>
      <c r="M1498" s="126">
        <f>base[[#This Row],[L/P Bruto]]-base[[#This Row],[L/P Líquido]]</f>
        <v>0</v>
      </c>
      <c r="N1498" s="126">
        <f>base[[#This Row],[L/P Líquido]]/base[[#This Row],[Stake/Responsabilidade]]</f>
        <v>-0.49</v>
      </c>
      <c r="O1498" s="132">
        <f>IF(base[[#This Row],[L/P Líquido]]&gt;0,1,0)</f>
        <v>0</v>
      </c>
      <c r="P1498" s="132"/>
      <c r="Q1498" s="132" t="str">
        <f>LEFT(base[[#This Row],[Evento / Mercado]],FIND("vs",base[[#This Row],[Evento / Mercado]])-2)</f>
        <v>Korona Kielce</v>
      </c>
      <c r="R14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GKS Katowice</v>
      </c>
      <c r="S1498" s="132" t="str">
        <f>LEFT(base[[#This Row],[Evento / Mercado]],FIND("/",base[[#This Row],[Evento / Mercado]])-2)</f>
        <v>Korona Kielce vs GKS Katowice</v>
      </c>
    </row>
    <row r="1499" spans="2:19" ht="15" customHeight="1">
      <c r="B1499" s="128" t="s">
        <v>1374</v>
      </c>
      <c r="C1499" s="128" t="s">
        <v>2982</v>
      </c>
      <c r="D1499" s="129">
        <v>46137.495763888888</v>
      </c>
      <c r="E1499" s="130">
        <v>0.81</v>
      </c>
      <c r="F1499" s="136">
        <v>4.4999999999999998E-2</v>
      </c>
      <c r="G1499" s="126">
        <f t="shared" si="24"/>
        <v>0.84816753926701582</v>
      </c>
      <c r="H1499" s="126" t="s">
        <v>1339</v>
      </c>
      <c r="I1499" s="127" t="s">
        <v>1389</v>
      </c>
      <c r="J1499" s="126">
        <v>1.43</v>
      </c>
      <c r="K1499" s="126">
        <v>2</v>
      </c>
      <c r="L1499" s="129">
        <f>INT(base[[#This Row],[Data de liquidação]])</f>
        <v>46137</v>
      </c>
      <c r="M1499" s="126">
        <f>base[[#This Row],[L/P Bruto]]-base[[#This Row],[L/P Líquido]]</f>
        <v>3.8167539267015771E-2</v>
      </c>
      <c r="N1499" s="126">
        <f>base[[#This Row],[L/P Líquido]]/base[[#This Row],[Stake/Responsabilidade]]</f>
        <v>0.40500000000000003</v>
      </c>
      <c r="O1499" s="132">
        <f>IF(base[[#This Row],[L/P Líquido]]&gt;0,1,0)</f>
        <v>1</v>
      </c>
      <c r="P1499" s="132"/>
      <c r="Q1499" s="132" t="str">
        <f>LEFT(base[[#This Row],[Evento / Mercado]],FIND("vs",base[[#This Row],[Evento / Mercado]])-2)</f>
        <v>Virtus Entella</v>
      </c>
      <c r="R14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Padova</v>
      </c>
      <c r="S1499" s="132" t="str">
        <f>LEFT(base[[#This Row],[Evento / Mercado]],FIND("/",base[[#This Row],[Evento / Mercado]])-2)</f>
        <v>Virtus Entella vs Padova</v>
      </c>
    </row>
    <row r="1500" spans="2:19" ht="15" customHeight="1">
      <c r="B1500" s="128" t="s">
        <v>1373</v>
      </c>
      <c r="C1500" s="128" t="s">
        <v>2982</v>
      </c>
      <c r="D1500" s="129">
        <v>46137.498900462961</v>
      </c>
      <c r="E1500" s="130">
        <v>52.23</v>
      </c>
      <c r="F1500" s="136">
        <v>4.4999999999999998E-2</v>
      </c>
      <c r="G1500" s="126">
        <f t="shared" si="24"/>
        <v>54.691099476439788</v>
      </c>
      <c r="H1500" s="126" t="s">
        <v>145</v>
      </c>
      <c r="I1500" s="127" t="s">
        <v>301</v>
      </c>
      <c r="J1500" s="126">
        <v>7.4</v>
      </c>
      <c r="K1500" s="126">
        <v>350.02</v>
      </c>
      <c r="L1500" s="129">
        <f>INT(base[[#This Row],[Data de liquidação]])</f>
        <v>46137</v>
      </c>
      <c r="M1500" s="126">
        <f>base[[#This Row],[L/P Bruto]]-base[[#This Row],[L/P Líquido]]</f>
        <v>2.4610994764397915</v>
      </c>
      <c r="N1500" s="126">
        <f>base[[#This Row],[L/P Líquido]]/base[[#This Row],[Stake/Responsabilidade]]</f>
        <v>0.14922004456888177</v>
      </c>
      <c r="O1500" s="132">
        <f>IF(base[[#This Row],[L/P Líquido]]&gt;0,1,0)</f>
        <v>1</v>
      </c>
      <c r="P1500" s="132" t="s">
        <v>970</v>
      </c>
      <c r="Q1500" s="132" t="str">
        <f>LEFT(base[[#This Row],[Evento / Mercado]],FIND("vs",base[[#This Row],[Evento / Mercado]])-2)</f>
        <v>Olympique Lyonnais</v>
      </c>
      <c r="R15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1500" s="132" t="str">
        <f>LEFT(base[[#This Row],[Evento / Mercado]],FIND("/",base[[#This Row],[Evento / Mercado]])-2)</f>
        <v>Olympique Lyonnais vs AJ Auxerre</v>
      </c>
    </row>
    <row r="1501" spans="2:19" ht="15" customHeight="1">
      <c r="B1501" s="128" t="s">
        <v>1372</v>
      </c>
      <c r="C1501" s="128" t="s">
        <v>2982</v>
      </c>
      <c r="D1501" s="129">
        <v>46137.506539351853</v>
      </c>
      <c r="E1501" s="130">
        <v>1.91</v>
      </c>
      <c r="F1501" s="136">
        <v>4.4999999999999998E-2</v>
      </c>
      <c r="G1501" s="126">
        <f t="shared" si="24"/>
        <v>2</v>
      </c>
      <c r="H1501" s="126" t="s">
        <v>1339</v>
      </c>
      <c r="I1501" s="127" t="s">
        <v>1236</v>
      </c>
      <c r="J1501" s="126">
        <v>5.7</v>
      </c>
      <c r="K1501" s="126">
        <v>2</v>
      </c>
      <c r="L1501" s="129">
        <f>INT(base[[#This Row],[Data de liquidação]])</f>
        <v>46137</v>
      </c>
      <c r="M1501" s="126">
        <f>base[[#This Row],[L/P Bruto]]-base[[#This Row],[L/P Líquido]]</f>
        <v>9.000000000000008E-2</v>
      </c>
      <c r="N1501" s="126">
        <f>base[[#This Row],[L/P Líquido]]/base[[#This Row],[Stake/Responsabilidade]]</f>
        <v>0.95499999999999996</v>
      </c>
      <c r="O1501" s="132">
        <f>IF(base[[#This Row],[L/P Líquido]]&gt;0,1,0)</f>
        <v>1</v>
      </c>
      <c r="P1501" s="132"/>
      <c r="Q1501" s="132" t="str">
        <f>LEFT(base[[#This Row],[Evento / Mercado]],FIND("vs",base[[#This Row],[Evento / Mercado]])-2)</f>
        <v>Stoke City</v>
      </c>
      <c r="R15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Portsmouth</v>
      </c>
      <c r="S1501" s="132" t="str">
        <f>LEFT(base[[#This Row],[Evento / Mercado]],FIND("/",base[[#This Row],[Evento / Mercado]])-2)</f>
        <v>Stoke City vs Portsmouth</v>
      </c>
    </row>
    <row r="1502" spans="2:19" ht="15" customHeight="1">
      <c r="B1502" s="128" t="s">
        <v>1371</v>
      </c>
      <c r="C1502" s="128" t="s">
        <v>2982</v>
      </c>
      <c r="D1502" s="129">
        <v>46137.515046296299</v>
      </c>
      <c r="E1502" s="130">
        <v>-2.2000000000000002</v>
      </c>
      <c r="F1502" s="136">
        <v>4.4999999999999998E-2</v>
      </c>
      <c r="G1502" s="126">
        <f t="shared" si="24"/>
        <v>-2.2000000000000002</v>
      </c>
      <c r="H1502" s="126" t="s">
        <v>1339</v>
      </c>
      <c r="I1502" s="127" t="s">
        <v>1236</v>
      </c>
      <c r="J1502" s="126">
        <v>10.5</v>
      </c>
      <c r="K1502" s="126">
        <v>2</v>
      </c>
      <c r="L1502" s="129">
        <f>INT(base[[#This Row],[Data de liquidação]])</f>
        <v>46137</v>
      </c>
      <c r="M1502" s="126">
        <f>base[[#This Row],[L/P Bruto]]-base[[#This Row],[L/P Líquido]]</f>
        <v>0</v>
      </c>
      <c r="N1502" s="126">
        <f>base[[#This Row],[L/P Líquido]]/base[[#This Row],[Stake/Responsabilidade]]</f>
        <v>-1.1000000000000001</v>
      </c>
      <c r="O1502" s="132">
        <f>IF(base[[#This Row],[L/P Líquido]]&gt;0,1,0)</f>
        <v>0</v>
      </c>
      <c r="P1502" s="132"/>
      <c r="Q1502" s="132" t="str">
        <f>LEFT(base[[#This Row],[Evento / Mercado]],FIND("vs",base[[#This Row],[Evento / Mercado]])-2)</f>
        <v>Burton Albion</v>
      </c>
      <c r="R15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Exeter City</v>
      </c>
      <c r="S1502" s="132" t="str">
        <f>LEFT(base[[#This Row],[Evento / Mercado]],FIND("/",base[[#This Row],[Evento / Mercado]])-2)</f>
        <v>Burton Albion vs Exeter City</v>
      </c>
    </row>
    <row r="1503" spans="2:19" ht="15" customHeight="1">
      <c r="B1503" s="128" t="s">
        <v>1370</v>
      </c>
      <c r="C1503" s="128" t="s">
        <v>2982</v>
      </c>
      <c r="D1503" s="129">
        <v>46137.516365740739</v>
      </c>
      <c r="E1503" s="130">
        <v>2.27</v>
      </c>
      <c r="F1503" s="136">
        <v>4.4999999999999998E-2</v>
      </c>
      <c r="G1503" s="126">
        <f t="shared" si="24"/>
        <v>2.3769633507853403</v>
      </c>
      <c r="H1503" s="126" t="s">
        <v>1339</v>
      </c>
      <c r="I1503" s="127" t="s">
        <v>1388</v>
      </c>
      <c r="J1503" s="126">
        <v>22</v>
      </c>
      <c r="K1503" s="126">
        <v>49.98</v>
      </c>
      <c r="L1503" s="129">
        <f>INT(base[[#This Row],[Data de liquidação]])</f>
        <v>46137</v>
      </c>
      <c r="M1503" s="126">
        <f>base[[#This Row],[L/P Bruto]]-base[[#This Row],[L/P Líquido]]</f>
        <v>0.10696335078534025</v>
      </c>
      <c r="N1503" s="126">
        <f>base[[#This Row],[L/P Líquido]]/base[[#This Row],[Stake/Responsabilidade]]</f>
        <v>4.5418167266906763E-2</v>
      </c>
      <c r="O1503" s="132">
        <f>IF(base[[#This Row],[L/P Líquido]]&gt;0,1,0)</f>
        <v>1</v>
      </c>
      <c r="P1503" s="132"/>
      <c r="Q1503" s="132" t="str">
        <f>LEFT(base[[#This Row],[Evento / Mercado]],FIND("vs",base[[#This Row],[Evento / Mercado]])-2)</f>
        <v>VfL Wolfsburg</v>
      </c>
      <c r="R15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1503" s="132" t="str">
        <f>LEFT(base[[#This Row],[Evento / Mercado]],FIND("/",base[[#This Row],[Evento / Mercado]])-2)</f>
        <v>VfL Wolfsburg vs Borussia Mönchengladbach</v>
      </c>
    </row>
    <row r="1504" spans="2:19" ht="15" customHeight="1">
      <c r="B1504" s="128" t="s">
        <v>1369</v>
      </c>
      <c r="C1504" s="128" t="s">
        <v>2982</v>
      </c>
      <c r="D1504" s="129">
        <v>46137.516597222224</v>
      </c>
      <c r="E1504" s="130">
        <v>2.39</v>
      </c>
      <c r="F1504" s="136">
        <v>4.4999999999999998E-2</v>
      </c>
      <c r="G1504" s="126">
        <f t="shared" si="24"/>
        <v>2.5026178010471205</v>
      </c>
      <c r="H1504" s="126" t="s">
        <v>1339</v>
      </c>
      <c r="I1504" s="127" t="s">
        <v>1388</v>
      </c>
      <c r="J1504" s="126">
        <v>21</v>
      </c>
      <c r="K1504" s="126">
        <v>50</v>
      </c>
      <c r="L1504" s="129">
        <f>INT(base[[#This Row],[Data de liquidação]])</f>
        <v>46137</v>
      </c>
      <c r="M1504" s="126">
        <f>base[[#This Row],[L/P Bruto]]-base[[#This Row],[L/P Líquido]]</f>
        <v>0.11261780104712038</v>
      </c>
      <c r="N1504" s="126">
        <f>base[[#This Row],[L/P Líquido]]/base[[#This Row],[Stake/Responsabilidade]]</f>
        <v>4.7800000000000002E-2</v>
      </c>
      <c r="O1504" s="132">
        <f>IF(base[[#This Row],[L/P Líquido]]&gt;0,1,0)</f>
        <v>1</v>
      </c>
      <c r="P1504" s="132"/>
      <c r="Q1504" s="132" t="str">
        <f>LEFT(base[[#This Row],[Evento / Mercado]],FIND("vs",base[[#This Row],[Evento / Mercado]])-2)</f>
        <v>FC Augsburg</v>
      </c>
      <c r="R15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1504" s="132" t="str">
        <f>LEFT(base[[#This Row],[Evento / Mercado]],FIND("/",base[[#This Row],[Evento / Mercado]])-2)</f>
        <v>FC Augsburg vs Eintracht Frankfurt</v>
      </c>
    </row>
    <row r="1505" spans="2:21" ht="15" customHeight="1">
      <c r="B1505" s="128" t="s">
        <v>1368</v>
      </c>
      <c r="C1505" s="128" t="s">
        <v>2982</v>
      </c>
      <c r="D1505" s="129">
        <v>46137.516921296294</v>
      </c>
      <c r="E1505" s="130">
        <v>0.13</v>
      </c>
      <c r="F1505" s="136">
        <v>4.4999999999999998E-2</v>
      </c>
      <c r="G1505" s="126">
        <f t="shared" si="24"/>
        <v>0.13612565445026178</v>
      </c>
      <c r="H1505" s="126" t="s">
        <v>1339</v>
      </c>
      <c r="I1505" s="127" t="s">
        <v>1391</v>
      </c>
      <c r="J1505" s="126">
        <v>3.75</v>
      </c>
      <c r="K1505" s="126">
        <v>5.01</v>
      </c>
      <c r="L1505" s="129">
        <f>INT(base[[#This Row],[Data de liquidação]])</f>
        <v>46137</v>
      </c>
      <c r="M1505" s="126">
        <f>base[[#This Row],[L/P Bruto]]-base[[#This Row],[L/P Líquido]]</f>
        <v>6.1256544502617805E-3</v>
      </c>
      <c r="N1505" s="126">
        <f>base[[#This Row],[L/P Líquido]]/base[[#This Row],[Stake/Responsabilidade]]</f>
        <v>2.5948103792415172E-2</v>
      </c>
      <c r="O1505" s="132">
        <f>IF(base[[#This Row],[L/P Líquido]]&gt;0,1,0)</f>
        <v>1</v>
      </c>
      <c r="P1505" s="132"/>
      <c r="Q1505" s="132" t="str">
        <f>LEFT(base[[#This Row],[Evento / Mercado]],FIND("vs",base[[#This Row],[Evento / Mercado]])-2)</f>
        <v>FC Augsburg</v>
      </c>
      <c r="R15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1505" s="132" t="str">
        <f>LEFT(base[[#This Row],[Evento / Mercado]],FIND("/",base[[#This Row],[Evento / Mercado]])-2)</f>
        <v>FC Augsburg vs Eintracht Frankfurt</v>
      </c>
    </row>
    <row r="1506" spans="2:21" ht="15" customHeight="1">
      <c r="B1506" s="128" t="s">
        <v>1367</v>
      </c>
      <c r="C1506" s="128" t="s">
        <v>2982</v>
      </c>
      <c r="D1506" s="129">
        <v>46137.517916666664</v>
      </c>
      <c r="E1506" s="130">
        <v>-53.97</v>
      </c>
      <c r="F1506" s="136">
        <v>4.4999999999999998E-2</v>
      </c>
      <c r="G1506" s="126">
        <f t="shared" si="24"/>
        <v>-53.97</v>
      </c>
      <c r="H1506" s="126" t="s">
        <v>1236</v>
      </c>
      <c r="I1506" s="127" t="s">
        <v>213</v>
      </c>
      <c r="J1506" s="126">
        <v>7.38</v>
      </c>
      <c r="K1506" s="126">
        <v>50</v>
      </c>
      <c r="L1506" s="129">
        <f>INT(base[[#This Row],[Data de liquidação]])</f>
        <v>46137</v>
      </c>
      <c r="M1506" s="126">
        <f>base[[#This Row],[L/P Bruto]]-base[[#This Row],[L/P Líquido]]</f>
        <v>0</v>
      </c>
      <c r="N1506" s="126">
        <f>base[[#This Row],[L/P Líquido]]/base[[#This Row],[Stake/Responsabilidade]]</f>
        <v>-1.0793999999999999</v>
      </c>
      <c r="O1506" s="132">
        <f>IF(base[[#This Row],[L/P Líquido]]&gt;0,1,0)</f>
        <v>0</v>
      </c>
      <c r="P1506" s="132"/>
      <c r="Q1506" s="132" t="str">
        <f>LEFT(base[[#This Row],[Evento / Mercado]],FIND("vs",base[[#This Row],[Evento / Mercado]])-2)</f>
        <v>Oxford United</v>
      </c>
      <c r="R15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Wednesday</v>
      </c>
      <c r="S1506" s="132" t="str">
        <f>LEFT(base[[#This Row],[Evento / Mercado]],FIND("/",base[[#This Row],[Evento / Mercado]])-2)</f>
        <v>Oxford United vs Sheffield Wednesday</v>
      </c>
    </row>
    <row r="1507" spans="2:21" ht="15" customHeight="1">
      <c r="B1507" s="128" t="s">
        <v>1366</v>
      </c>
      <c r="C1507" s="128" t="s">
        <v>2982</v>
      </c>
      <c r="D1507" s="129">
        <v>46137.521111111113</v>
      </c>
      <c r="E1507" s="130">
        <v>-85.27</v>
      </c>
      <c r="F1507" s="136">
        <v>4.4999999999999998E-2</v>
      </c>
      <c r="G1507" s="126">
        <f t="shared" si="24"/>
        <v>-85.27</v>
      </c>
      <c r="H1507" s="126" t="s">
        <v>1236</v>
      </c>
      <c r="I1507" s="127" t="s">
        <v>213</v>
      </c>
      <c r="J1507" s="126">
        <v>13</v>
      </c>
      <c r="K1507" s="126">
        <v>50</v>
      </c>
      <c r="L1507" s="129">
        <f>INT(base[[#This Row],[Data de liquidação]])</f>
        <v>46137</v>
      </c>
      <c r="M1507" s="126">
        <f>base[[#This Row],[L/P Bruto]]-base[[#This Row],[L/P Líquido]]</f>
        <v>0</v>
      </c>
      <c r="N1507" s="126">
        <f>base[[#This Row],[L/P Líquido]]/base[[#This Row],[Stake/Responsabilidade]]</f>
        <v>-1.7054</v>
      </c>
      <c r="O1507" s="132">
        <f>IF(base[[#This Row],[L/P Líquido]]&gt;0,1,0)</f>
        <v>0</v>
      </c>
      <c r="P1507" s="132"/>
      <c r="Q1507" s="132" t="str">
        <f>LEFT(base[[#This Row],[Evento / Mercado]],FIND("vs",base[[#This Row],[Evento / Mercado]])-2)</f>
        <v>Sheffield United</v>
      </c>
      <c r="R15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Preston North End</v>
      </c>
      <c r="S1507" s="132" t="str">
        <f>LEFT(base[[#This Row],[Evento / Mercado]],FIND("/",base[[#This Row],[Evento / Mercado]])-2)</f>
        <v>Sheffield United vs Preston North End</v>
      </c>
    </row>
    <row r="1508" spans="2:21" ht="15" customHeight="1">
      <c r="B1508" s="128" t="s">
        <v>1365</v>
      </c>
      <c r="C1508" s="128" t="s">
        <v>2982</v>
      </c>
      <c r="D1508" s="129">
        <v>46137.538587962961</v>
      </c>
      <c r="E1508" s="130">
        <v>4.3499999999999996</v>
      </c>
      <c r="F1508" s="136">
        <v>4.4999999999999998E-2</v>
      </c>
      <c r="G1508" s="126">
        <f t="shared" si="24"/>
        <v>4.5549738219895284</v>
      </c>
      <c r="H1508" s="126" t="s">
        <v>1339</v>
      </c>
      <c r="I1508" s="127" t="s">
        <v>1388</v>
      </c>
      <c r="J1508" s="126">
        <v>12.5</v>
      </c>
      <c r="K1508" s="126">
        <v>52.32</v>
      </c>
      <c r="L1508" s="129">
        <f>INT(base[[#This Row],[Data de liquidação]])</f>
        <v>46137</v>
      </c>
      <c r="M1508" s="126">
        <f>base[[#This Row],[L/P Bruto]]-base[[#This Row],[L/P Líquido]]</f>
        <v>0.20497382198952874</v>
      </c>
      <c r="N1508" s="126">
        <f>base[[#This Row],[L/P Líquido]]/base[[#This Row],[Stake/Responsabilidade]]</f>
        <v>8.3142201834862373E-2</v>
      </c>
      <c r="O1508" s="132">
        <f>IF(base[[#This Row],[L/P Líquido]]&gt;0,1,0)</f>
        <v>1</v>
      </c>
      <c r="P1508" s="132"/>
      <c r="Q1508" s="132" t="str">
        <f>LEFT(base[[#This Row],[Evento / Mercado]],FIND("vs",base[[#This Row],[Evento / Mercado]])-2)</f>
        <v>Burton Albion</v>
      </c>
      <c r="R15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Exeter City</v>
      </c>
      <c r="S1508" s="132" t="str">
        <f>LEFT(base[[#This Row],[Evento / Mercado]],FIND("/",base[[#This Row],[Evento / Mercado]])-2)</f>
        <v>Burton Albion vs Exeter City</v>
      </c>
    </row>
    <row r="1509" spans="2:21" ht="15" customHeight="1">
      <c r="B1509" s="128" t="s">
        <v>1364</v>
      </c>
      <c r="C1509" s="128" t="s">
        <v>2982</v>
      </c>
      <c r="D1509" s="129">
        <v>46137.538854166669</v>
      </c>
      <c r="E1509" s="130">
        <v>2.27</v>
      </c>
      <c r="F1509" s="136">
        <v>4.4999999999999998E-2</v>
      </c>
      <c r="G1509" s="126">
        <f t="shared" si="24"/>
        <v>2.3769633507853403</v>
      </c>
      <c r="H1509" s="126" t="s">
        <v>1339</v>
      </c>
      <c r="I1509" s="127" t="s">
        <v>1338</v>
      </c>
      <c r="J1509" s="126">
        <v>2.19</v>
      </c>
      <c r="K1509" s="126">
        <v>2</v>
      </c>
      <c r="L1509" s="129">
        <f>INT(base[[#This Row],[Data de liquidação]])</f>
        <v>46137</v>
      </c>
      <c r="M1509" s="126">
        <f>base[[#This Row],[L/P Bruto]]-base[[#This Row],[L/P Líquido]]</f>
        <v>0.10696335078534025</v>
      </c>
      <c r="N1509" s="126">
        <f>base[[#This Row],[L/P Líquido]]/base[[#This Row],[Stake/Responsabilidade]]</f>
        <v>1.135</v>
      </c>
      <c r="O1509" s="132">
        <f>IF(base[[#This Row],[L/P Líquido]]&gt;0,1,0)</f>
        <v>1</v>
      </c>
      <c r="P1509" s="132"/>
      <c r="Q1509" s="132" t="str">
        <f>LEFT(base[[#This Row],[Evento / Mercado]],FIND("vs",base[[#This Row],[Evento / Mercado]])-2)</f>
        <v>Burton Albion</v>
      </c>
      <c r="R15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Exeter City</v>
      </c>
      <c r="S1509" s="132" t="str">
        <f>LEFT(base[[#This Row],[Evento / Mercado]],FIND("/",base[[#This Row],[Evento / Mercado]])-2)</f>
        <v>Burton Albion vs Exeter City</v>
      </c>
    </row>
    <row r="1510" spans="2:21" ht="15" customHeight="1">
      <c r="B1510" s="128" t="s">
        <v>1363</v>
      </c>
      <c r="C1510" s="128" t="s">
        <v>2982</v>
      </c>
      <c r="D1510" s="129">
        <v>46137.539189814815</v>
      </c>
      <c r="E1510" s="130">
        <v>0.43</v>
      </c>
      <c r="F1510" s="136">
        <v>4.4999999999999998E-2</v>
      </c>
      <c r="G1510" s="126">
        <f t="shared" si="24"/>
        <v>0.45026178010471207</v>
      </c>
      <c r="H1510" s="126" t="s">
        <v>1339</v>
      </c>
      <c r="I1510" s="127" t="s">
        <v>1336</v>
      </c>
      <c r="J1510" s="126">
        <v>1.42</v>
      </c>
      <c r="K1510" s="126">
        <v>2</v>
      </c>
      <c r="L1510" s="129">
        <f>INT(base[[#This Row],[Data de liquidação]])</f>
        <v>46137</v>
      </c>
      <c r="M1510" s="126">
        <f>base[[#This Row],[L/P Bruto]]-base[[#This Row],[L/P Líquido]]</f>
        <v>2.0261780104712079E-2</v>
      </c>
      <c r="N1510" s="126">
        <f>base[[#This Row],[L/P Líquido]]/base[[#This Row],[Stake/Responsabilidade]]</f>
        <v>0.215</v>
      </c>
      <c r="O1510" s="132">
        <f>IF(base[[#This Row],[L/P Líquido]]&gt;0,1,0)</f>
        <v>1</v>
      </c>
      <c r="P1510" s="132"/>
      <c r="Q1510" s="132" t="str">
        <f>LEFT(base[[#This Row],[Evento / Mercado]],FIND("vs",base[[#This Row],[Evento / Mercado]])-2)</f>
        <v>Liverpool</v>
      </c>
      <c r="R15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1510" s="132" t="str">
        <f>LEFT(base[[#This Row],[Evento / Mercado]],FIND("/",base[[#This Row],[Evento / Mercado]])-2)</f>
        <v>Liverpool vs Crystal Palace</v>
      </c>
    </row>
    <row r="1511" spans="2:21" ht="15" customHeight="1">
      <c r="B1511" s="128" t="s">
        <v>1362</v>
      </c>
      <c r="C1511" s="128" t="s">
        <v>2982</v>
      </c>
      <c r="D1511" s="129">
        <v>46137.54</v>
      </c>
      <c r="E1511" s="130">
        <v>-56</v>
      </c>
      <c r="F1511" s="136">
        <v>4.4999999999999998E-2</v>
      </c>
      <c r="G1511" s="126">
        <f t="shared" si="24"/>
        <v>-56</v>
      </c>
      <c r="H1511" s="126" t="s">
        <v>1339</v>
      </c>
      <c r="I1511" s="127" t="s">
        <v>1388</v>
      </c>
      <c r="J1511" s="126">
        <v>29</v>
      </c>
      <c r="K1511" s="126">
        <v>56</v>
      </c>
      <c r="L1511" s="129">
        <f>INT(base[[#This Row],[Data de liquidação]])</f>
        <v>46137</v>
      </c>
      <c r="M1511" s="126">
        <f>base[[#This Row],[L/P Bruto]]-base[[#This Row],[L/P Líquido]]</f>
        <v>0</v>
      </c>
      <c r="N1511" s="126">
        <f>base[[#This Row],[L/P Líquido]]/base[[#This Row],[Stake/Responsabilidade]]</f>
        <v>-1</v>
      </c>
      <c r="O1511" s="132">
        <f>IF(base[[#This Row],[L/P Líquido]]&gt;0,1,0)</f>
        <v>0</v>
      </c>
      <c r="P1511" s="132"/>
      <c r="Q1511" s="132" t="str">
        <f>LEFT(base[[#This Row],[Evento / Mercado]],FIND("vs",base[[#This Row],[Evento / Mercado]])-2)</f>
        <v>Lincoln City</v>
      </c>
      <c r="R15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Wycombe Wanderers</v>
      </c>
      <c r="S1511" s="132" t="str">
        <f>LEFT(base[[#This Row],[Evento / Mercado]],FIND("/",base[[#This Row],[Evento / Mercado]])-2)</f>
        <v>Lincoln City vs Wycombe Wanderers</v>
      </c>
    </row>
    <row r="1512" spans="2:21" ht="15" customHeight="1">
      <c r="B1512" s="128" t="s">
        <v>1361</v>
      </c>
      <c r="C1512" s="128" t="s">
        <v>2982</v>
      </c>
      <c r="D1512" s="129">
        <v>46137.540023148147</v>
      </c>
      <c r="E1512" s="130">
        <v>-86.36</v>
      </c>
      <c r="F1512" s="136">
        <v>4.4999999999999998E-2</v>
      </c>
      <c r="G1512" s="126">
        <f t="shared" si="24"/>
        <v>-86.36</v>
      </c>
      <c r="H1512" s="126" t="s">
        <v>1236</v>
      </c>
      <c r="I1512" s="127" t="s">
        <v>213</v>
      </c>
      <c r="J1512" s="126">
        <v>12</v>
      </c>
      <c r="K1512" s="126">
        <v>50</v>
      </c>
      <c r="L1512" s="129">
        <f>INT(base[[#This Row],[Data de liquidação]])</f>
        <v>46137</v>
      </c>
      <c r="M1512" s="126">
        <f>base[[#This Row],[L/P Bruto]]-base[[#This Row],[L/P Líquido]]</f>
        <v>0</v>
      </c>
      <c r="N1512" s="126">
        <f>base[[#This Row],[L/P Líquido]]/base[[#This Row],[Stake/Responsabilidade]]</f>
        <v>-1.7272000000000001</v>
      </c>
      <c r="O1512" s="132">
        <f>IF(base[[#This Row],[L/P Líquido]]&gt;0,1,0)</f>
        <v>0</v>
      </c>
      <c r="P1512" s="132"/>
      <c r="Q1512" s="132" t="str">
        <f>LEFT(base[[#This Row],[Evento / Mercado]],FIND("vs",base[[#This Row],[Evento / Mercado]])-2)</f>
        <v>Feyenoord</v>
      </c>
      <c r="R15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Groningen</v>
      </c>
      <c r="S1512" s="132" t="str">
        <f>LEFT(base[[#This Row],[Evento / Mercado]],FIND("/",base[[#This Row],[Evento / Mercado]])-2)</f>
        <v>Feyenoord vs FC Groningen</v>
      </c>
    </row>
    <row r="1513" spans="2:21" ht="15" customHeight="1">
      <c r="B1513" s="128" t="s">
        <v>1360</v>
      </c>
      <c r="C1513" s="128" t="s">
        <v>2982</v>
      </c>
      <c r="D1513" s="129">
        <v>46137.540625000001</v>
      </c>
      <c r="E1513" s="130">
        <v>0.49</v>
      </c>
      <c r="F1513" s="136">
        <v>4.4999999999999998E-2</v>
      </c>
      <c r="G1513" s="126">
        <f t="shared" si="24"/>
        <v>0.51308900523560208</v>
      </c>
      <c r="H1513" s="126" t="s">
        <v>1339</v>
      </c>
      <c r="I1513" s="127" t="s">
        <v>1391</v>
      </c>
      <c r="J1513" s="126">
        <v>3.35</v>
      </c>
      <c r="K1513" s="126">
        <v>5.01</v>
      </c>
      <c r="L1513" s="129">
        <f>INT(base[[#This Row],[Data de liquidação]])</f>
        <v>46137</v>
      </c>
      <c r="M1513" s="126">
        <f>base[[#This Row],[L/P Bruto]]-base[[#This Row],[L/P Líquido]]</f>
        <v>2.3089005235602089E-2</v>
      </c>
      <c r="N1513" s="126">
        <f>base[[#This Row],[L/P Líquido]]/base[[#This Row],[Stake/Responsabilidade]]</f>
        <v>9.7804391217564873E-2</v>
      </c>
      <c r="O1513" s="132">
        <f>IF(base[[#This Row],[L/P Líquido]]&gt;0,1,0)</f>
        <v>1</v>
      </c>
      <c r="P1513" s="132"/>
      <c r="Q1513" s="132" t="str">
        <f>LEFT(base[[#This Row],[Evento / Mercado]],FIND("vs",base[[#This Row],[Evento / Mercado]])-2)</f>
        <v>West Ham</v>
      </c>
      <c r="R15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Everton</v>
      </c>
      <c r="S1513" s="132" t="str">
        <f>LEFT(base[[#This Row],[Evento / Mercado]],FIND("/",base[[#This Row],[Evento / Mercado]])-2)</f>
        <v>West Ham vs Everton</v>
      </c>
    </row>
    <row r="1514" spans="2:21" ht="15" customHeight="1">
      <c r="B1514" s="128" t="s">
        <v>1359</v>
      </c>
      <c r="C1514" s="128" t="s">
        <v>2982</v>
      </c>
      <c r="D1514" s="129">
        <v>46137.541550925926</v>
      </c>
      <c r="E1514" s="130">
        <v>2.38</v>
      </c>
      <c r="F1514" s="136">
        <v>4.4999999999999998E-2</v>
      </c>
      <c r="G1514" s="126">
        <f t="shared" si="24"/>
        <v>2.4921465968586389</v>
      </c>
      <c r="H1514" s="126" t="s">
        <v>1339</v>
      </c>
      <c r="I1514" s="127" t="s">
        <v>1338</v>
      </c>
      <c r="J1514" s="126">
        <v>2.2400000000000002</v>
      </c>
      <c r="K1514" s="126">
        <v>2</v>
      </c>
      <c r="L1514" s="129">
        <f>INT(base[[#This Row],[Data de liquidação]])</f>
        <v>46137</v>
      </c>
      <c r="M1514" s="126">
        <f>base[[#This Row],[L/P Bruto]]-base[[#This Row],[L/P Líquido]]</f>
        <v>0.11214659685863904</v>
      </c>
      <c r="N1514" s="126">
        <f>base[[#This Row],[L/P Líquido]]/base[[#This Row],[Stake/Responsabilidade]]</f>
        <v>1.19</v>
      </c>
      <c r="O1514" s="132">
        <f>IF(base[[#This Row],[L/P Líquido]]&gt;0,1,0)</f>
        <v>1</v>
      </c>
      <c r="P1514" s="132"/>
      <c r="Q1514" s="132" t="str">
        <f>LEFT(base[[#This Row],[Evento / Mercado]],FIND("vs",base[[#This Row],[Evento / Mercado]])-2)</f>
        <v>Wolverhampton Wanderers</v>
      </c>
      <c r="R15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1514" s="132" t="str">
        <f>LEFT(base[[#This Row],[Evento / Mercado]],FIND("/",base[[#This Row],[Evento / Mercado]])-2)</f>
        <v>Wolverhampton Wanderers vs Tottenham Hotspur</v>
      </c>
    </row>
    <row r="1515" spans="2:21" ht="15" customHeight="1">
      <c r="B1515" s="128" t="s">
        <v>1358</v>
      </c>
      <c r="C1515" s="128" t="s">
        <v>2982</v>
      </c>
      <c r="D1515" s="129">
        <v>46137.557175925926</v>
      </c>
      <c r="E1515" s="130">
        <v>29.06</v>
      </c>
      <c r="F1515" s="136">
        <v>4.4999999999999998E-2</v>
      </c>
      <c r="G1515" s="126">
        <f t="shared" si="24"/>
        <v>30.42931937172775</v>
      </c>
      <c r="H1515" s="126" t="s">
        <v>122</v>
      </c>
      <c r="I1515" s="127" t="s">
        <v>477</v>
      </c>
      <c r="J1515" s="126">
        <v>12.5</v>
      </c>
      <c r="K1515" s="126">
        <v>349.95</v>
      </c>
      <c r="L1515" s="129">
        <f>INT(base[[#This Row],[Data de liquidação]])</f>
        <v>46137</v>
      </c>
      <c r="M1515" s="126">
        <f>base[[#This Row],[L/P Bruto]]-base[[#This Row],[L/P Líquido]]</f>
        <v>1.3693193717277516</v>
      </c>
      <c r="N1515" s="126">
        <f>base[[#This Row],[L/P Líquido]]/base[[#This Row],[Stake/Responsabilidade]]</f>
        <v>8.3040434347763967E-2</v>
      </c>
      <c r="O1515" s="132">
        <f>IF(base[[#This Row],[L/P Líquido]]&gt;0,1,0)</f>
        <v>1</v>
      </c>
      <c r="P1515" s="132" t="s">
        <v>967</v>
      </c>
      <c r="Q1515" s="132" t="str">
        <f>LEFT(base[[#This Row],[Evento / Mercado]],FIND("vs",base[[#This Row],[Evento / Mercado]])-2)</f>
        <v>Feyenoord</v>
      </c>
      <c r="R15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Groningen</v>
      </c>
      <c r="S1515" s="132" t="str">
        <f>LEFT(base[[#This Row],[Evento / Mercado]],FIND("/",base[[#This Row],[Evento / Mercado]])-2)</f>
        <v>Feyenoord vs FC Groningen</v>
      </c>
    </row>
    <row r="1516" spans="2:21" ht="15" customHeight="1">
      <c r="B1516" s="128" t="s">
        <v>1357</v>
      </c>
      <c r="C1516" s="128" t="s">
        <v>2982</v>
      </c>
      <c r="D1516" s="129">
        <v>46137.590277777781</v>
      </c>
      <c r="E1516" s="130">
        <v>40.711649999999999</v>
      </c>
      <c r="F1516" s="136">
        <v>4.4999999999999998E-2</v>
      </c>
      <c r="G1516" s="126">
        <f t="shared" si="24"/>
        <v>42.63</v>
      </c>
      <c r="H1516" s="126" t="s">
        <v>145</v>
      </c>
      <c r="I1516" s="127" t="s">
        <v>301</v>
      </c>
      <c r="J1516" s="126">
        <v>10.5</v>
      </c>
      <c r="K1516" s="126">
        <v>404.99</v>
      </c>
      <c r="L1516" s="129">
        <f>INT(base[[#This Row],[Data de liquidação]])</f>
        <v>46137</v>
      </c>
      <c r="M1516" s="126">
        <f>base[[#This Row],[L/P Bruto]]-base[[#This Row],[L/P Líquido]]</f>
        <v>1.9183500000000038</v>
      </c>
      <c r="N1516" s="126">
        <f>base[[#This Row],[L/P Líquido]]/base[[#This Row],[Stake/Responsabilidade]]</f>
        <v>0.10052507469320229</v>
      </c>
      <c r="O1516" s="132">
        <f>IF(base[[#This Row],[L/P Líquido]]&gt;0,1,0)</f>
        <v>1</v>
      </c>
      <c r="P1516" s="132" t="s">
        <v>971</v>
      </c>
      <c r="Q1516" s="132" t="str">
        <f>LEFT(base[[#This Row],[Evento / Mercado]],FIND("vs",base[[#This Row],[Evento / Mercado]])-2)</f>
        <v>Venezia</v>
      </c>
      <c r="R15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1516" s="132" t="str">
        <f>LEFT(base[[#This Row],[Evento / Mercado]],FIND("/",base[[#This Row],[Evento / Mercado]])-2)</f>
        <v>Venezia vs Empoli</v>
      </c>
      <c r="T1516" s="8">
        <v>42.63</v>
      </c>
      <c r="U1516" s="9">
        <f>T1516*0.955</f>
        <v>40.711649999999999</v>
      </c>
    </row>
    <row r="1517" spans="2:21" ht="15" customHeight="1">
      <c r="B1517" s="128" t="s">
        <v>1357</v>
      </c>
      <c r="C1517" s="128" t="s">
        <v>2982</v>
      </c>
      <c r="D1517" s="129">
        <v>46137.590277777781</v>
      </c>
      <c r="E1517" s="130">
        <v>20.322400000000002</v>
      </c>
      <c r="F1517" s="136">
        <v>4.4999999999999998E-2</v>
      </c>
      <c r="G1517" s="126">
        <f t="shared" si="24"/>
        <v>21.28</v>
      </c>
      <c r="H1517" s="126" t="s">
        <v>1233</v>
      </c>
      <c r="I1517" s="127"/>
      <c r="J1517" s="126">
        <v>5.7</v>
      </c>
      <c r="K1517" s="126">
        <v>100.02</v>
      </c>
      <c r="L1517" s="129">
        <f>INT(base[[#This Row],[Data de liquidação]])</f>
        <v>46137</v>
      </c>
      <c r="M1517" s="126">
        <f>base[[#This Row],[L/P Bruto]]-base[[#This Row],[L/P Líquido]]</f>
        <v>0.95759999999999934</v>
      </c>
      <c r="N1517" s="126">
        <f>base[[#This Row],[L/P Líquido]]/base[[#This Row],[Stake/Responsabilidade]]</f>
        <v>0.20318336332733455</v>
      </c>
      <c r="O1517" s="132">
        <f>IF(base[[#This Row],[L/P Líquido]]&gt;0,1,0)</f>
        <v>1</v>
      </c>
      <c r="P1517" s="132"/>
      <c r="Q1517" s="132" t="str">
        <f>LEFT(base[[#This Row],[Evento / Mercado]],FIND("vs",base[[#This Row],[Evento / Mercado]])-2)</f>
        <v>Venezia</v>
      </c>
      <c r="R15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1517" s="132" t="str">
        <f>LEFT(base[[#This Row],[Evento / Mercado]],FIND("/",base[[#This Row],[Evento / Mercado]])-2)</f>
        <v>Venezia vs Empoli</v>
      </c>
      <c r="T1517" s="8">
        <v>21.28</v>
      </c>
      <c r="U1517" s="9">
        <f>T1517*0.955</f>
        <v>20.322400000000002</v>
      </c>
    </row>
    <row r="1518" spans="2:21" ht="15" customHeight="1">
      <c r="B1518" s="128" t="s">
        <v>1356</v>
      </c>
      <c r="C1518" s="128" t="s">
        <v>2982</v>
      </c>
      <c r="D1518" s="129">
        <v>46137.611192129632</v>
      </c>
      <c r="E1518" s="130">
        <v>1.91</v>
      </c>
      <c r="F1518" s="136">
        <v>4.4999999999999998E-2</v>
      </c>
      <c r="G1518" s="126">
        <f t="shared" si="24"/>
        <v>2</v>
      </c>
      <c r="H1518" s="126" t="s">
        <v>1339</v>
      </c>
      <c r="I1518" s="127" t="s">
        <v>1236</v>
      </c>
      <c r="J1518" s="126">
        <v>10.09</v>
      </c>
      <c r="K1518" s="126">
        <v>2</v>
      </c>
      <c r="L1518" s="129">
        <f>INT(base[[#This Row],[Data de liquidação]])</f>
        <v>46137</v>
      </c>
      <c r="M1518" s="126">
        <f>base[[#This Row],[L/P Bruto]]-base[[#This Row],[L/P Líquido]]</f>
        <v>9.000000000000008E-2</v>
      </c>
      <c r="N1518" s="126">
        <f>base[[#This Row],[L/P Líquido]]/base[[#This Row],[Stake/Responsabilidade]]</f>
        <v>0.95499999999999996</v>
      </c>
      <c r="O1518" s="132">
        <f>IF(base[[#This Row],[L/P Líquido]]&gt;0,1,0)</f>
        <v>1</v>
      </c>
      <c r="P1518" s="132"/>
      <c r="Q1518" s="132" t="str">
        <f>LEFT(base[[#This Row],[Evento / Mercado]],FIND("vs",base[[#This Row],[Evento / Mercado]])-2)</f>
        <v>Angers SCO</v>
      </c>
      <c r="R15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1518" s="132" t="str">
        <f>LEFT(base[[#This Row],[Evento / Mercado]],FIND("/",base[[#This Row],[Evento / Mercado]])-2)</f>
        <v>Angers SCO vs Paris Saint-Germain</v>
      </c>
    </row>
    <row r="1519" spans="2:21" ht="15" customHeight="1">
      <c r="B1519" s="128" t="s">
        <v>1355</v>
      </c>
      <c r="C1519" s="128" t="s">
        <v>2982</v>
      </c>
      <c r="D1519" s="129">
        <v>46137.633356481485</v>
      </c>
      <c r="E1519" s="130">
        <v>15.4</v>
      </c>
      <c r="F1519" s="136">
        <v>4.4999999999999998E-2</v>
      </c>
      <c r="G1519" s="126">
        <f t="shared" si="24"/>
        <v>16.125654450261781</v>
      </c>
      <c r="H1519" s="126" t="s">
        <v>1233</v>
      </c>
      <c r="I1519" s="127"/>
      <c r="J1519" s="126">
        <v>7.2</v>
      </c>
      <c r="K1519" s="126">
        <v>100.01</v>
      </c>
      <c r="L1519" s="129">
        <f>INT(base[[#This Row],[Data de liquidação]])</f>
        <v>46137</v>
      </c>
      <c r="M1519" s="126">
        <f>base[[#This Row],[L/P Bruto]]-base[[#This Row],[L/P Líquido]]</f>
        <v>0.72565445026178033</v>
      </c>
      <c r="N1519" s="126">
        <f>base[[#This Row],[L/P Líquido]]/base[[#This Row],[Stake/Responsabilidade]]</f>
        <v>0.153984601539846</v>
      </c>
      <c r="O1519" s="132">
        <f>IF(base[[#This Row],[L/P Líquido]]&gt;0,1,0)</f>
        <v>1</v>
      </c>
      <c r="P1519" s="132"/>
      <c r="Q1519" s="132" t="str">
        <f>LEFT(base[[#This Row],[Evento / Mercado]],FIND("vs",base[[#This Row],[Evento / Mercado]])-2)</f>
        <v>Manchester City</v>
      </c>
      <c r="R15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Southampton</v>
      </c>
      <c r="S1519" s="132" t="str">
        <f>LEFT(base[[#This Row],[Evento / Mercado]],FIND("/",base[[#This Row],[Evento / Mercado]])-2)</f>
        <v>Manchester City vs Southampton</v>
      </c>
    </row>
    <row r="1520" spans="2:21" ht="15" customHeight="1">
      <c r="B1520" s="128" t="s">
        <v>1354</v>
      </c>
      <c r="C1520" s="128" t="s">
        <v>2982</v>
      </c>
      <c r="D1520" s="129">
        <v>46137.640810185185</v>
      </c>
      <c r="E1520" s="130">
        <v>33.64</v>
      </c>
      <c r="F1520" s="136">
        <v>4.4999999999999998E-2</v>
      </c>
      <c r="G1520" s="126">
        <f t="shared" si="24"/>
        <v>35.225130890052355</v>
      </c>
      <c r="H1520" s="126" t="s">
        <v>145</v>
      </c>
      <c r="I1520" s="127" t="s">
        <v>301</v>
      </c>
      <c r="J1520" s="126">
        <v>12.5</v>
      </c>
      <c r="K1520" s="126">
        <v>405.03</v>
      </c>
      <c r="L1520" s="129">
        <f>INT(base[[#This Row],[Data de liquidação]])</f>
        <v>46137</v>
      </c>
      <c r="M1520" s="126">
        <f>base[[#This Row],[L/P Bruto]]-base[[#This Row],[L/P Líquido]]</f>
        <v>1.5851308900523549</v>
      </c>
      <c r="N1520" s="126">
        <f>base[[#This Row],[L/P Líquido]]/base[[#This Row],[Stake/Responsabilidade]]</f>
        <v>8.3055576130163206E-2</v>
      </c>
      <c r="O1520" s="132">
        <f>IF(base[[#This Row],[L/P Líquido]]&gt;0,1,0)</f>
        <v>1</v>
      </c>
      <c r="P1520" s="132" t="s">
        <v>981</v>
      </c>
      <c r="Q1520" s="132" t="str">
        <f>LEFT(base[[#This Row],[Evento / Mercado]],FIND("vs",base[[#This Row],[Evento / Mercado]])-2)</f>
        <v>Celtic</v>
      </c>
      <c r="R15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Falkirk</v>
      </c>
      <c r="S1520" s="132" t="str">
        <f>LEFT(base[[#This Row],[Evento / Mercado]],FIND("/",base[[#This Row],[Evento / Mercado]])-2)</f>
        <v>Celtic vs Falkirk</v>
      </c>
    </row>
    <row r="1521" spans="2:21" ht="15" customHeight="1">
      <c r="B1521" s="128" t="s">
        <v>1353</v>
      </c>
      <c r="C1521" s="128" t="s">
        <v>2982</v>
      </c>
      <c r="D1521" s="129">
        <v>46137.64439814815</v>
      </c>
      <c r="E1521" s="130">
        <v>51.617749999999994</v>
      </c>
      <c r="F1521" s="136">
        <v>4.4999999999999998E-2</v>
      </c>
      <c r="G1521" s="126">
        <f t="shared" si="24"/>
        <v>54.05</v>
      </c>
      <c r="H1521" s="126" t="s">
        <v>145</v>
      </c>
      <c r="I1521" s="127" t="s">
        <v>301</v>
      </c>
      <c r="J1521" s="126">
        <v>8.4</v>
      </c>
      <c r="K1521" s="126">
        <v>399.97</v>
      </c>
      <c r="L1521" s="129">
        <f>INT(base[[#This Row],[Data de liquidação]])</f>
        <v>46137</v>
      </c>
      <c r="M1521" s="126">
        <f>base[[#This Row],[L/P Bruto]]-base[[#This Row],[L/P Líquido]]</f>
        <v>2.4322500000000034</v>
      </c>
      <c r="N1521" s="126">
        <f>base[[#This Row],[L/P Líquido]]/base[[#This Row],[Stake/Responsabilidade]]</f>
        <v>0.12905405405405404</v>
      </c>
      <c r="O1521" s="132">
        <f>IF(base[[#This Row],[L/P Líquido]]&gt;0,1,0)</f>
        <v>1</v>
      </c>
      <c r="P1521" s="132" t="s">
        <v>963</v>
      </c>
      <c r="Q1521" s="132" t="str">
        <f>LEFT(base[[#This Row],[Evento / Mercado]],FIND("vs",base[[#This Row],[Evento / Mercado]])-2)</f>
        <v>Arsenal</v>
      </c>
      <c r="R15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1521" s="132" t="str">
        <f>LEFT(base[[#This Row],[Evento / Mercado]],FIND("/",base[[#This Row],[Evento / Mercado]])-2)</f>
        <v>Arsenal vs Newcastle United</v>
      </c>
      <c r="T1521" s="8">
        <v>54.05</v>
      </c>
      <c r="U1521" s="9">
        <f>T1521*0.955</f>
        <v>51.617749999999994</v>
      </c>
    </row>
    <row r="1522" spans="2:21" ht="15" customHeight="1">
      <c r="B1522" s="128" t="s">
        <v>1353</v>
      </c>
      <c r="C1522" s="128" t="s">
        <v>2982</v>
      </c>
      <c r="D1522" s="129">
        <v>46137.64439814815</v>
      </c>
      <c r="E1522" s="130">
        <v>3.7722500000000001</v>
      </c>
      <c r="F1522" s="136">
        <v>4.4999999999999998E-2</v>
      </c>
      <c r="G1522" s="126">
        <f t="shared" si="24"/>
        <v>3.95</v>
      </c>
      <c r="H1522" s="126" t="s">
        <v>1339</v>
      </c>
      <c r="I1522" s="127" t="s">
        <v>1390</v>
      </c>
      <c r="J1522" s="126">
        <v>8.6</v>
      </c>
      <c r="K1522" s="126">
        <v>30.02</v>
      </c>
      <c r="L1522" s="129">
        <f>INT(base[[#This Row],[Data de liquidação]])</f>
        <v>46137</v>
      </c>
      <c r="M1522" s="126">
        <f>base[[#This Row],[L/P Bruto]]-base[[#This Row],[L/P Líquido]]</f>
        <v>0.17775000000000007</v>
      </c>
      <c r="N1522" s="126">
        <f>base[[#This Row],[L/P Líquido]]/base[[#This Row],[Stake/Responsabilidade]]</f>
        <v>0.12565789473684211</v>
      </c>
      <c r="O1522" s="132">
        <f>IF(base[[#This Row],[L/P Líquido]]&gt;0,1,0)</f>
        <v>1</v>
      </c>
      <c r="P1522" s="132"/>
      <c r="Q1522" s="132" t="str">
        <f>LEFT(base[[#This Row],[Evento / Mercado]],FIND("vs",base[[#This Row],[Evento / Mercado]])-2)</f>
        <v>Arsenal</v>
      </c>
      <c r="R15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1522" s="132" t="str">
        <f>LEFT(base[[#This Row],[Evento / Mercado]],FIND("/",base[[#This Row],[Evento / Mercado]])-2)</f>
        <v>Arsenal vs Newcastle United</v>
      </c>
      <c r="T1522" s="8">
        <v>3.95</v>
      </c>
      <c r="U1522" s="9">
        <f>T1522*0.955</f>
        <v>3.7722500000000001</v>
      </c>
    </row>
    <row r="1523" spans="2:21" ht="15" customHeight="1">
      <c r="B1523" s="128" t="s">
        <v>1352</v>
      </c>
      <c r="C1523" s="128" t="s">
        <v>2982</v>
      </c>
      <c r="D1523" s="129">
        <v>46137.644537037035</v>
      </c>
      <c r="E1523" s="130">
        <v>-1.95</v>
      </c>
      <c r="F1523" s="136">
        <v>4.4999999999999998E-2</v>
      </c>
      <c r="G1523" s="126">
        <f t="shared" si="24"/>
        <v>-1.95</v>
      </c>
      <c r="H1523" s="126" t="s">
        <v>1339</v>
      </c>
      <c r="I1523" s="127" t="s">
        <v>1236</v>
      </c>
      <c r="J1523" s="126">
        <v>8.14</v>
      </c>
      <c r="K1523" s="126">
        <v>2</v>
      </c>
      <c r="L1523" s="129">
        <f>INT(base[[#This Row],[Data de liquidação]])</f>
        <v>46137</v>
      </c>
      <c r="M1523" s="126">
        <f>base[[#This Row],[L/P Bruto]]-base[[#This Row],[L/P Líquido]]</f>
        <v>0</v>
      </c>
      <c r="N1523" s="126">
        <f>base[[#This Row],[L/P Líquido]]/base[[#This Row],[Stake/Responsabilidade]]</f>
        <v>-0.97499999999999998</v>
      </c>
      <c r="O1523" s="132">
        <f>IF(base[[#This Row],[L/P Líquido]]&gt;0,1,0)</f>
        <v>0</v>
      </c>
      <c r="P1523" s="132"/>
      <c r="Q1523" s="132" t="str">
        <f>LEFT(base[[#This Row],[Evento / Mercado]],FIND("vs",base[[#This Row],[Evento / Mercado]])-2)</f>
        <v>Arsenal</v>
      </c>
      <c r="R15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1523" s="132" t="str">
        <f>LEFT(base[[#This Row],[Evento / Mercado]],FIND("/",base[[#This Row],[Evento / Mercado]])-2)</f>
        <v>Arsenal vs Newcastle United</v>
      </c>
    </row>
    <row r="1524" spans="2:21" ht="15" customHeight="1">
      <c r="B1524" s="128" t="s">
        <v>1351</v>
      </c>
      <c r="C1524" s="128" t="s">
        <v>2982</v>
      </c>
      <c r="D1524" s="129">
        <v>46137.684560185182</v>
      </c>
      <c r="E1524" s="130">
        <v>2.65</v>
      </c>
      <c r="F1524" s="136">
        <v>4.4999999999999998E-2</v>
      </c>
      <c r="G1524" s="126">
        <f t="shared" si="24"/>
        <v>2.7748691099476441</v>
      </c>
      <c r="H1524" s="126" t="s">
        <v>1339</v>
      </c>
      <c r="I1524" s="127" t="s">
        <v>1388</v>
      </c>
      <c r="J1524" s="126">
        <v>19</v>
      </c>
      <c r="K1524" s="126">
        <v>50.04</v>
      </c>
      <c r="L1524" s="129">
        <f>INT(base[[#This Row],[Data de liquidação]])</f>
        <v>46137</v>
      </c>
      <c r="M1524" s="126">
        <f>base[[#This Row],[L/P Bruto]]-base[[#This Row],[L/P Líquido]]</f>
        <v>0.12486910994764422</v>
      </c>
      <c r="N1524" s="126">
        <f>base[[#This Row],[L/P Líquido]]/base[[#This Row],[Stake/Responsabilidade]]</f>
        <v>5.2957633892885693E-2</v>
      </c>
      <c r="O1524" s="132">
        <f>IF(base[[#This Row],[L/P Líquido]]&gt;0,1,0)</f>
        <v>1</v>
      </c>
      <c r="P1524" s="132"/>
      <c r="Q1524" s="132" t="str">
        <f>LEFT(base[[#This Row],[Evento / Mercado]],FIND("vs",base[[#This Row],[Evento / Mercado]])-2)</f>
        <v>Hapoel Be'er Sheva</v>
      </c>
      <c r="R15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Beitar Jerusalem</v>
      </c>
      <c r="S1524" s="132" t="str">
        <f>LEFT(base[[#This Row],[Evento / Mercado]],FIND("/",base[[#This Row],[Evento / Mercado]])-2)</f>
        <v>Hapoel Be'er Sheva vs Beitar Jerusalem</v>
      </c>
    </row>
    <row r="1525" spans="2:21" ht="15" customHeight="1">
      <c r="B1525" s="128" t="s">
        <v>1350</v>
      </c>
      <c r="C1525" s="128" t="s">
        <v>2982</v>
      </c>
      <c r="D1525" s="129">
        <v>46137.693993055553</v>
      </c>
      <c r="E1525" s="130">
        <v>1.91</v>
      </c>
      <c r="F1525" s="136">
        <v>4.4999999999999998E-2</v>
      </c>
      <c r="G1525" s="126">
        <f t="shared" si="24"/>
        <v>2</v>
      </c>
      <c r="H1525" s="126" t="s">
        <v>1339</v>
      </c>
      <c r="I1525" s="127" t="s">
        <v>1236</v>
      </c>
      <c r="J1525" s="126">
        <v>10</v>
      </c>
      <c r="K1525" s="126">
        <v>2</v>
      </c>
      <c r="L1525" s="129">
        <f>INT(base[[#This Row],[Data de liquidação]])</f>
        <v>46137</v>
      </c>
      <c r="M1525" s="126">
        <f>base[[#This Row],[L/P Bruto]]-base[[#This Row],[L/P Líquido]]</f>
        <v>9.000000000000008E-2</v>
      </c>
      <c r="N1525" s="126">
        <f>base[[#This Row],[L/P Líquido]]/base[[#This Row],[Stake/Responsabilidade]]</f>
        <v>0.95499999999999996</v>
      </c>
      <c r="O1525" s="132">
        <f>IF(base[[#This Row],[L/P Líquido]]&gt;0,1,0)</f>
        <v>1</v>
      </c>
      <c r="P1525" s="132"/>
      <c r="Q1525" s="132" t="str">
        <f>LEFT(base[[#This Row],[Evento / Mercado]],FIND("vs",base[[#This Row],[Evento / Mercado]])-2)</f>
        <v>FC Twente</v>
      </c>
      <c r="R15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NEC</v>
      </c>
      <c r="S1525" s="132" t="str">
        <f>LEFT(base[[#This Row],[Evento / Mercado]],FIND("/",base[[#This Row],[Evento / Mercado]])-2)</f>
        <v>FC Twente vs NEC</v>
      </c>
    </row>
    <row r="1526" spans="2:21" ht="15" customHeight="1">
      <c r="B1526" s="128" t="s">
        <v>1349</v>
      </c>
      <c r="C1526" s="128" t="s">
        <v>2982</v>
      </c>
      <c r="D1526" s="129">
        <v>46137.700173611112</v>
      </c>
      <c r="E1526" s="130">
        <v>-2</v>
      </c>
      <c r="F1526" s="136">
        <v>4.4999999999999998E-2</v>
      </c>
      <c r="G1526" s="126">
        <f t="shared" si="24"/>
        <v>-2</v>
      </c>
      <c r="H1526" s="126" t="s">
        <v>1339</v>
      </c>
      <c r="I1526" s="127" t="s">
        <v>1389</v>
      </c>
      <c r="J1526" s="126">
        <v>1.68</v>
      </c>
      <c r="K1526" s="126">
        <v>2</v>
      </c>
      <c r="L1526" s="129">
        <f>INT(base[[#This Row],[Data de liquidação]])</f>
        <v>46137</v>
      </c>
      <c r="M1526" s="126">
        <f>base[[#This Row],[L/P Bruto]]-base[[#This Row],[L/P Líquido]]</f>
        <v>0</v>
      </c>
      <c r="N1526" s="126">
        <f>base[[#This Row],[L/P Líquido]]/base[[#This Row],[Stake/Responsabilidade]]</f>
        <v>-1</v>
      </c>
      <c r="O1526" s="132">
        <f>IF(base[[#This Row],[L/P Líquido]]&gt;0,1,0)</f>
        <v>0</v>
      </c>
      <c r="P1526" s="132"/>
      <c r="Q1526" s="132" t="str">
        <f>LEFT(base[[#This Row],[Evento / Mercado]],FIND("vs",base[[#This Row],[Evento / Mercado]])-2)</f>
        <v>Saint-Étienne</v>
      </c>
      <c r="R15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Troyes AC</v>
      </c>
      <c r="S1526" s="132" t="str">
        <f>LEFT(base[[#This Row],[Evento / Mercado]],FIND("/",base[[#This Row],[Evento / Mercado]])-2)</f>
        <v>Saint-Étienne vs Troyes AC</v>
      </c>
    </row>
    <row r="1527" spans="2:21" ht="15" customHeight="1">
      <c r="B1527" s="128" t="s">
        <v>1348</v>
      </c>
      <c r="C1527" s="128" t="s">
        <v>2982</v>
      </c>
      <c r="D1527" s="129">
        <v>46137.706134259257</v>
      </c>
      <c r="E1527" s="130">
        <v>21.56</v>
      </c>
      <c r="F1527" s="136">
        <v>4.4999999999999998E-2</v>
      </c>
      <c r="G1527" s="126">
        <f t="shared" si="24"/>
        <v>22.575916230366492</v>
      </c>
      <c r="H1527" s="126" t="s">
        <v>122</v>
      </c>
      <c r="I1527" s="127" t="s">
        <v>542</v>
      </c>
      <c r="J1527" s="126">
        <v>16.5</v>
      </c>
      <c r="K1527" s="126">
        <v>349.99</v>
      </c>
      <c r="L1527" s="129">
        <f>INT(base[[#This Row],[Data de liquidação]])</f>
        <v>46137</v>
      </c>
      <c r="M1527" s="126">
        <f>base[[#This Row],[L/P Bruto]]-base[[#This Row],[L/P Líquido]]</f>
        <v>1.0159162303664928</v>
      </c>
      <c r="N1527" s="126">
        <f>base[[#This Row],[L/P Líquido]]/base[[#This Row],[Stake/Responsabilidade]]</f>
        <v>6.1601760050287148E-2</v>
      </c>
      <c r="O1527" s="132">
        <f>IF(base[[#This Row],[L/P Líquido]]&gt;0,1,0)</f>
        <v>1</v>
      </c>
      <c r="P1527" s="132" t="s">
        <v>967</v>
      </c>
      <c r="Q1527" s="132" t="str">
        <f>LEFT(base[[#This Row],[Evento / Mercado]],FIND("vs",base[[#This Row],[Evento / Mercado]])-2)</f>
        <v>NAC Breda</v>
      </c>
      <c r="R15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1527" s="132" t="str">
        <f>LEFT(base[[#This Row],[Evento / Mercado]],FIND("/",base[[#This Row],[Evento / Mercado]])-2)</f>
        <v>NAC Breda vs Ajax</v>
      </c>
    </row>
    <row r="1528" spans="2:21" ht="15" customHeight="1">
      <c r="B1528" s="128" t="s">
        <v>1347</v>
      </c>
      <c r="C1528" s="128" t="s">
        <v>2982</v>
      </c>
      <c r="D1528" s="129">
        <v>46137.70857638889</v>
      </c>
      <c r="E1528" s="130">
        <v>1.91</v>
      </c>
      <c r="F1528" s="136">
        <v>4.4999999999999998E-2</v>
      </c>
      <c r="G1528" s="126">
        <f t="shared" si="24"/>
        <v>2</v>
      </c>
      <c r="H1528" s="126" t="s">
        <v>1339</v>
      </c>
      <c r="I1528" s="127" t="s">
        <v>1236</v>
      </c>
      <c r="J1528" s="126">
        <v>10.09</v>
      </c>
      <c r="K1528" s="126">
        <v>2</v>
      </c>
      <c r="L1528" s="129">
        <f>INT(base[[#This Row],[Data de liquidação]])</f>
        <v>46137</v>
      </c>
      <c r="M1528" s="126">
        <f>base[[#This Row],[L/P Bruto]]-base[[#This Row],[L/P Líquido]]</f>
        <v>9.000000000000008E-2</v>
      </c>
      <c r="N1528" s="126">
        <f>base[[#This Row],[L/P Líquido]]/base[[#This Row],[Stake/Responsabilidade]]</f>
        <v>0.95499999999999996</v>
      </c>
      <c r="O1528" s="132">
        <f>IF(base[[#This Row],[L/P Líquido]]&gt;0,1,0)</f>
        <v>1</v>
      </c>
      <c r="P1528" s="132"/>
      <c r="Q1528" s="132" t="str">
        <f>LEFT(base[[#This Row],[Evento / Mercado]],FIND("vs",base[[#This Row],[Evento / Mercado]])-2)</f>
        <v>Independiente del Valle</v>
      </c>
      <c r="R15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Leones del Norte</v>
      </c>
      <c r="S1528" s="132" t="str">
        <f>LEFT(base[[#This Row],[Evento / Mercado]],FIND("/",base[[#This Row],[Evento / Mercado]])-2)</f>
        <v>Independiente del Valle vs Leones del Norte</v>
      </c>
    </row>
    <row r="1529" spans="2:21" ht="15" customHeight="1">
      <c r="B1529" s="128" t="s">
        <v>1346</v>
      </c>
      <c r="C1529" s="128" t="s">
        <v>2982</v>
      </c>
      <c r="D1529" s="129">
        <v>46137.732418981483</v>
      </c>
      <c r="E1529" s="130">
        <v>3.18</v>
      </c>
      <c r="F1529" s="136">
        <v>4.4999999999999998E-2</v>
      </c>
      <c r="G1529" s="126">
        <f t="shared" si="24"/>
        <v>3.329842931937173</v>
      </c>
      <c r="H1529" s="126" t="s">
        <v>1339</v>
      </c>
      <c r="I1529" s="127" t="s">
        <v>1388</v>
      </c>
      <c r="J1529" s="126">
        <v>16</v>
      </c>
      <c r="K1529" s="126">
        <v>49.95</v>
      </c>
      <c r="L1529" s="129">
        <f>INT(base[[#This Row],[Data de liquidação]])</f>
        <v>46137</v>
      </c>
      <c r="M1529" s="126">
        <f>base[[#This Row],[L/P Bruto]]-base[[#This Row],[L/P Líquido]]</f>
        <v>0.1498429319371728</v>
      </c>
      <c r="N1529" s="126">
        <f>base[[#This Row],[L/P Líquido]]/base[[#This Row],[Stake/Responsabilidade]]</f>
        <v>6.3663663663663661E-2</v>
      </c>
      <c r="O1529" s="132">
        <f>IF(base[[#This Row],[L/P Líquido]]&gt;0,1,0)</f>
        <v>1</v>
      </c>
      <c r="P1529" s="132"/>
      <c r="Q1529" s="132" t="str">
        <f>LEFT(base[[#This Row],[Evento / Mercado]],FIND("vs",base[[#This Row],[Evento / Mercado]])-2)</f>
        <v>FC Thun</v>
      </c>
      <c r="R15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Lugano</v>
      </c>
      <c r="S1529" s="132" t="str">
        <f>LEFT(base[[#This Row],[Evento / Mercado]],FIND("/",base[[#This Row],[Evento / Mercado]])-2)</f>
        <v>FC Thun vs FC Lugano</v>
      </c>
    </row>
    <row r="1530" spans="2:21" ht="15" customHeight="1">
      <c r="B1530" s="128" t="s">
        <v>1345</v>
      </c>
      <c r="C1530" s="128" t="s">
        <v>2982</v>
      </c>
      <c r="D1530" s="129">
        <v>46137.830462962964</v>
      </c>
      <c r="E1530" s="130">
        <v>-3.31</v>
      </c>
      <c r="F1530" s="136">
        <v>4.4999999999999998E-2</v>
      </c>
      <c r="G1530" s="126">
        <f t="shared" si="24"/>
        <v>-3.31</v>
      </c>
      <c r="H1530" s="126" t="s">
        <v>1339</v>
      </c>
      <c r="I1530" s="127" t="s">
        <v>1236</v>
      </c>
      <c r="J1530" s="126">
        <v>10.5</v>
      </c>
      <c r="K1530" s="126">
        <v>2</v>
      </c>
      <c r="L1530" s="129">
        <f>INT(base[[#This Row],[Data de liquidação]])</f>
        <v>46137</v>
      </c>
      <c r="M1530" s="126">
        <f>base[[#This Row],[L/P Bruto]]-base[[#This Row],[L/P Líquido]]</f>
        <v>0</v>
      </c>
      <c r="N1530" s="126">
        <f>base[[#This Row],[L/P Líquido]]/base[[#This Row],[Stake/Responsabilidade]]</f>
        <v>-1.655</v>
      </c>
      <c r="O1530" s="132">
        <f>IF(base[[#This Row],[L/P Líquido]]&gt;0,1,0)</f>
        <v>0</v>
      </c>
      <c r="P1530" s="132"/>
      <c r="Q1530" s="132" t="str">
        <f>LEFT(base[[#This Row],[Evento / Mercado]],FIND("vs",base[[#This Row],[Evento / Mercado]])-2)</f>
        <v>Deportivo Pereira</v>
      </c>
      <c r="R15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Nacional</v>
      </c>
      <c r="S1530" s="132" t="str">
        <f>LEFT(base[[#This Row],[Evento / Mercado]],FIND("/",base[[#This Row],[Evento / Mercado]])-2)</f>
        <v>Deportivo Pereira vs Atlético Nacional</v>
      </c>
    </row>
    <row r="1531" spans="2:21" ht="15" customHeight="1">
      <c r="B1531" s="128" t="s">
        <v>1344</v>
      </c>
      <c r="C1531" s="128" t="s">
        <v>2982</v>
      </c>
      <c r="D1531" s="129">
        <v>46137.842592592591</v>
      </c>
      <c r="E1531" s="130">
        <v>3.68</v>
      </c>
      <c r="F1531" s="136">
        <v>4.4999999999999998E-2</v>
      </c>
      <c r="G1531" s="126">
        <f t="shared" si="24"/>
        <v>3.8534031413612571</v>
      </c>
      <c r="H1531" s="126" t="s">
        <v>1339</v>
      </c>
      <c r="I1531" s="127" t="s">
        <v>1388</v>
      </c>
      <c r="J1531" s="126">
        <v>14</v>
      </c>
      <c r="K1531" s="126">
        <v>50.05</v>
      </c>
      <c r="L1531" s="129">
        <f>INT(base[[#This Row],[Data de liquidação]])</f>
        <v>46137</v>
      </c>
      <c r="M1531" s="126">
        <f>base[[#This Row],[L/P Bruto]]-base[[#This Row],[L/P Líquido]]</f>
        <v>0.1734031413612569</v>
      </c>
      <c r="N1531" s="126">
        <f>base[[#This Row],[L/P Líquido]]/base[[#This Row],[Stake/Responsabilidade]]</f>
        <v>7.352647352647354E-2</v>
      </c>
      <c r="O1531" s="132">
        <f>IF(base[[#This Row],[L/P Líquido]]&gt;0,1,0)</f>
        <v>1</v>
      </c>
      <c r="P1531" s="132"/>
      <c r="Q1531" s="132" t="str">
        <f>LEFT(base[[#This Row],[Evento / Mercado]],FIND("vs",base[[#This Row],[Evento / Mercado]])-2)</f>
        <v>Academia de Balompie Boliviano</v>
      </c>
      <c r="R15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Blooming Santa Cruz</v>
      </c>
      <c r="S1531" s="132" t="str">
        <f>LEFT(base[[#This Row],[Evento / Mercado]],FIND("/",base[[#This Row],[Evento / Mercado]])-2)</f>
        <v>Academia de Balompie Boliviano vs Blooming Santa Cruz</v>
      </c>
    </row>
    <row r="1532" spans="2:21" ht="15" customHeight="1">
      <c r="B1532" s="128" t="s">
        <v>1343</v>
      </c>
      <c r="C1532" s="128" t="s">
        <v>2982</v>
      </c>
      <c r="D1532" s="129">
        <v>46137.853356481479</v>
      </c>
      <c r="E1532" s="130">
        <v>0.48</v>
      </c>
      <c r="F1532" s="136">
        <v>4.4999999999999998E-2</v>
      </c>
      <c r="G1532" s="126">
        <f t="shared" si="24"/>
        <v>0.50261780104712039</v>
      </c>
      <c r="H1532" s="126" t="s">
        <v>1339</v>
      </c>
      <c r="I1532" s="127" t="s">
        <v>1391</v>
      </c>
      <c r="J1532" s="126">
        <v>3.3</v>
      </c>
      <c r="K1532" s="126">
        <v>4.99</v>
      </c>
      <c r="L1532" s="129">
        <f>INT(base[[#This Row],[Data de liquidação]])</f>
        <v>46137</v>
      </c>
      <c r="M1532" s="126">
        <f>base[[#This Row],[L/P Bruto]]-base[[#This Row],[L/P Líquido]]</f>
        <v>2.2617801047120412E-2</v>
      </c>
      <c r="N1532" s="126">
        <f>base[[#This Row],[L/P Líquido]]/base[[#This Row],[Stake/Responsabilidade]]</f>
        <v>9.6192384769539077E-2</v>
      </c>
      <c r="O1532" s="132">
        <f>IF(base[[#This Row],[L/P Líquido]]&gt;0,1,0)</f>
        <v>1</v>
      </c>
      <c r="P1532" s="132"/>
      <c r="Q1532" s="132" t="str">
        <f>LEFT(base[[#This Row],[Evento / Mercado]],FIND("vs",base[[#This Row],[Evento / Mercado]])-2)</f>
        <v>Clube do Remo</v>
      </c>
      <c r="R15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1532" s="132" t="str">
        <f>LEFT(base[[#This Row],[Evento / Mercado]],FIND("/",base[[#This Row],[Evento / Mercado]])-2)</f>
        <v>Clube do Remo vs Cruzeiro</v>
      </c>
    </row>
    <row r="1533" spans="2:21" ht="15" customHeight="1">
      <c r="B1533" s="128" t="s">
        <v>1342</v>
      </c>
      <c r="C1533" s="128" t="s">
        <v>2982</v>
      </c>
      <c r="D1533" s="129">
        <v>46137.859363425923</v>
      </c>
      <c r="E1533" s="130">
        <v>2.27</v>
      </c>
      <c r="F1533" s="136">
        <v>4.4999999999999998E-2</v>
      </c>
      <c r="G1533" s="126">
        <f t="shared" si="24"/>
        <v>2.3769633507853403</v>
      </c>
      <c r="H1533" s="126" t="s">
        <v>1339</v>
      </c>
      <c r="I1533" s="127" t="s">
        <v>1388</v>
      </c>
      <c r="J1533" s="126">
        <v>21</v>
      </c>
      <c r="K1533" s="126">
        <v>47.6</v>
      </c>
      <c r="L1533" s="129">
        <f>INT(base[[#This Row],[Data de liquidação]])</f>
        <v>46137</v>
      </c>
      <c r="M1533" s="126">
        <f>base[[#This Row],[L/P Bruto]]-base[[#This Row],[L/P Líquido]]</f>
        <v>0.10696335078534025</v>
      </c>
      <c r="N1533" s="126">
        <f>base[[#This Row],[L/P Líquido]]/base[[#This Row],[Stake/Responsabilidade]]</f>
        <v>4.7689075630252098E-2</v>
      </c>
      <c r="O1533" s="132">
        <f>IF(base[[#This Row],[L/P Líquido]]&gt;0,1,0)</f>
        <v>1</v>
      </c>
      <c r="P1533" s="132"/>
      <c r="Q1533" s="132" t="str">
        <f>LEFT(base[[#This Row],[Evento / Mercado]],FIND("vs",base[[#This Row],[Evento / Mercado]])-2)</f>
        <v>Esporte Clube Bahia</v>
      </c>
      <c r="R15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533" s="132" t="str">
        <f>LEFT(base[[#This Row],[Evento / Mercado]],FIND("/",base[[#This Row],[Evento / Mercado]])-2)</f>
        <v>Esporte Clube Bahia vs Santos FC</v>
      </c>
    </row>
    <row r="1534" spans="2:21" ht="15" customHeight="1">
      <c r="B1534" s="128" t="s">
        <v>1341</v>
      </c>
      <c r="C1534" s="128" t="s">
        <v>2982</v>
      </c>
      <c r="D1534" s="129">
        <v>46137.897187499999</v>
      </c>
      <c r="E1534" s="130">
        <v>1.91</v>
      </c>
      <c r="F1534" s="136">
        <v>4.4999999999999998E-2</v>
      </c>
      <c r="G1534" s="126">
        <f t="shared" si="24"/>
        <v>2</v>
      </c>
      <c r="H1534" s="126" t="s">
        <v>1339</v>
      </c>
      <c r="I1534" s="127" t="s">
        <v>1236</v>
      </c>
      <c r="J1534" s="126">
        <v>10</v>
      </c>
      <c r="K1534" s="126">
        <v>2</v>
      </c>
      <c r="L1534" s="129">
        <f>INT(base[[#This Row],[Data de liquidação]])</f>
        <v>46137</v>
      </c>
      <c r="M1534" s="126">
        <f>base[[#This Row],[L/P Bruto]]-base[[#This Row],[L/P Líquido]]</f>
        <v>9.000000000000008E-2</v>
      </c>
      <c r="N1534" s="126">
        <f>base[[#This Row],[L/P Líquido]]/base[[#This Row],[Stake/Responsabilidade]]</f>
        <v>0.95499999999999996</v>
      </c>
      <c r="O1534" s="132">
        <f>IF(base[[#This Row],[L/P Líquido]]&gt;0,1,0)</f>
        <v>1</v>
      </c>
      <c r="P1534" s="132"/>
      <c r="Q1534" s="132" t="str">
        <f>LEFT(base[[#This Row],[Evento / Mercado]],FIND("vs",base[[#This Row],[Evento / Mercado]])-2)</f>
        <v>FC Cincinnati</v>
      </c>
      <c r="R15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York Red Bulls</v>
      </c>
      <c r="S1534" s="132" t="str">
        <f>LEFT(base[[#This Row],[Evento / Mercado]],FIND("/",base[[#This Row],[Evento / Mercado]])-2)</f>
        <v>FC Cincinnati vs New York Red Bulls</v>
      </c>
    </row>
    <row r="1535" spans="2:21" ht="15" customHeight="1">
      <c r="B1535" s="128" t="s">
        <v>1340</v>
      </c>
      <c r="C1535" s="128" t="s">
        <v>2982</v>
      </c>
      <c r="D1535" s="129">
        <v>46137.957268518519</v>
      </c>
      <c r="E1535" s="130">
        <v>0.78</v>
      </c>
      <c r="F1535" s="136">
        <v>4.4999999999999998E-2</v>
      </c>
      <c r="G1535" s="126">
        <f t="shared" si="24"/>
        <v>0.81675392670157076</v>
      </c>
      <c r="H1535" s="126" t="s">
        <v>1339</v>
      </c>
      <c r="I1535" s="127" t="s">
        <v>1389</v>
      </c>
      <c r="J1535" s="126">
        <v>1.41</v>
      </c>
      <c r="K1535" s="126">
        <v>2</v>
      </c>
      <c r="L1535" s="129">
        <f>INT(base[[#This Row],[Data de liquidação]])</f>
        <v>46137</v>
      </c>
      <c r="M1535" s="126">
        <f>base[[#This Row],[L/P Bruto]]-base[[#This Row],[L/P Líquido]]</f>
        <v>3.6753926701570738E-2</v>
      </c>
      <c r="N1535" s="126">
        <f>base[[#This Row],[L/P Líquido]]/base[[#This Row],[Stake/Responsabilidade]]</f>
        <v>0.39</v>
      </c>
      <c r="O1535" s="132">
        <f>IF(base[[#This Row],[L/P Líquido]]&gt;0,1,0)</f>
        <v>1</v>
      </c>
      <c r="P1535" s="132"/>
      <c r="Q1535" s="132" t="str">
        <f>LEFT(base[[#This Row],[Evento / Mercado]],FIND("vs",base[[#This Row],[Evento / Mercado]])-2)</f>
        <v>São Paulo</v>
      </c>
      <c r="R15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1535" s="132" t="str">
        <f>LEFT(base[[#This Row],[Evento / Mercado]],FIND("/",base[[#This Row],[Evento / Mercado]])-2)</f>
        <v>São Paulo vs Mirassol FC</v>
      </c>
    </row>
    <row r="1536" spans="2:21" ht="15" customHeight="1">
      <c r="B1536" s="128" t="s">
        <v>1420</v>
      </c>
      <c r="C1536" s="128" t="s">
        <v>2982</v>
      </c>
      <c r="D1536" s="129">
        <v>46138.007881944446</v>
      </c>
      <c r="E1536" s="130">
        <v>3.77</v>
      </c>
      <c r="F1536" s="136">
        <v>4.4999999999999998E-2</v>
      </c>
      <c r="G1536" s="126">
        <f t="shared" si="24"/>
        <v>3.9476439790575917</v>
      </c>
      <c r="H1536" s="126" t="s">
        <v>1339</v>
      </c>
      <c r="I1536" s="127" t="s">
        <v>1390</v>
      </c>
      <c r="J1536" s="126">
        <v>8.8000000000000007</v>
      </c>
      <c r="K1536" s="126">
        <v>30.81</v>
      </c>
      <c r="L1536" s="129">
        <f>INT(base[[#This Row],[Data de liquidação]])</f>
        <v>46138</v>
      </c>
      <c r="M1536" s="126">
        <f>base[[#This Row],[L/P Bruto]]-base[[#This Row],[L/P Líquido]]</f>
        <v>0.17764397905759166</v>
      </c>
      <c r="N1536" s="126">
        <f>base[[#This Row],[L/P Líquido]]/base[[#This Row],[Stake/Responsabilidade]]</f>
        <v>0.12236286919831224</v>
      </c>
      <c r="O1536" s="132">
        <f>IF(base[[#This Row],[L/P Líquido]]&gt;0,1,0)</f>
        <v>1</v>
      </c>
      <c r="P1536" s="132"/>
      <c r="Q1536" s="132" t="str">
        <f>LEFT(base[[#This Row],[Evento / Mercado]],FIND("vs",base[[#This Row],[Evento / Mercado]])-2)</f>
        <v>CD Guadalajara</v>
      </c>
      <c r="R15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Tijuana</v>
      </c>
      <c r="S1536" s="132" t="str">
        <f>LEFT(base[[#This Row],[Evento / Mercado]],FIND("/",base[[#This Row],[Evento / Mercado]])-2)</f>
        <v>CD Guadalajara vs Club Tijuana</v>
      </c>
    </row>
    <row r="1537" spans="2:19" ht="15" customHeight="1">
      <c r="B1537" s="128" t="s">
        <v>1419</v>
      </c>
      <c r="C1537" s="128" t="s">
        <v>2982</v>
      </c>
      <c r="D1537" s="129">
        <v>46138.272951388892</v>
      </c>
      <c r="E1537" s="130">
        <v>0.4</v>
      </c>
      <c r="F1537" s="136">
        <v>4.4999999999999998E-2</v>
      </c>
      <c r="G1537" s="126">
        <f t="shared" si="24"/>
        <v>0.41884816753926707</v>
      </c>
      <c r="H1537" s="126" t="s">
        <v>1339</v>
      </c>
      <c r="I1537" s="127" t="s">
        <v>1336</v>
      </c>
      <c r="J1537" s="126">
        <v>1.45</v>
      </c>
      <c r="K1537" s="126">
        <v>2</v>
      </c>
      <c r="L1537" s="129">
        <f>INT(base[[#This Row],[Data de liquidação]])</f>
        <v>46138</v>
      </c>
      <c r="M1537" s="126">
        <f>base[[#This Row],[L/P Bruto]]-base[[#This Row],[L/P Líquido]]</f>
        <v>1.8848167539267047E-2</v>
      </c>
      <c r="N1537" s="126">
        <f>base[[#This Row],[L/P Líquido]]/base[[#This Row],[Stake/Responsabilidade]]</f>
        <v>0.2</v>
      </c>
      <c r="O1537" s="132">
        <f>IF(base[[#This Row],[L/P Líquido]]&gt;0,1,0)</f>
        <v>1</v>
      </c>
      <c r="P1537" s="132"/>
      <c r="Q1537" s="132" t="str">
        <f>LEFT(base[[#This Row],[Evento / Mercado]],FIND("vs",base[[#This Row],[Evento / Mercado]])-2)</f>
        <v>Melbourne City FC</v>
      </c>
      <c r="R15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Adelaide United</v>
      </c>
      <c r="S1537" s="132" t="str">
        <f>LEFT(base[[#This Row],[Evento / Mercado]],FIND("/",base[[#This Row],[Evento / Mercado]])-2)</f>
        <v>Melbourne City FC vs Adelaide United</v>
      </c>
    </row>
    <row r="1538" spans="2:19" ht="15" customHeight="1">
      <c r="B1538" s="128" t="s">
        <v>1418</v>
      </c>
      <c r="C1538" s="128" t="s">
        <v>2982</v>
      </c>
      <c r="D1538" s="129">
        <v>46138.393773148149</v>
      </c>
      <c r="E1538" s="130">
        <v>1.91</v>
      </c>
      <c r="F1538" s="136">
        <v>4.4999999999999998E-2</v>
      </c>
      <c r="G1538" s="126">
        <f t="shared" si="24"/>
        <v>2</v>
      </c>
      <c r="H1538" s="126" t="s">
        <v>1339</v>
      </c>
      <c r="I1538" s="127" t="s">
        <v>1388</v>
      </c>
      <c r="J1538" s="126">
        <v>26</v>
      </c>
      <c r="K1538" s="126">
        <v>50</v>
      </c>
      <c r="L1538" s="129">
        <f>INT(base[[#This Row],[Data de liquidação]])</f>
        <v>46138</v>
      </c>
      <c r="M1538" s="126">
        <f>base[[#This Row],[L/P Bruto]]-base[[#This Row],[L/P Líquido]]</f>
        <v>9.000000000000008E-2</v>
      </c>
      <c r="N1538" s="126">
        <f>base[[#This Row],[L/P Líquido]]/base[[#This Row],[Stake/Responsabilidade]]</f>
        <v>3.8199999999999998E-2</v>
      </c>
      <c r="O1538" s="132">
        <f>IF(base[[#This Row],[L/P Líquido]]&gt;0,1,0)</f>
        <v>1</v>
      </c>
      <c r="P1538" s="132"/>
      <c r="Q1538" s="132" t="str">
        <f>LEFT(base[[#This Row],[Evento / Mercado]],FIND("vs",base[[#This Row],[Evento / Mercado]])-2)</f>
        <v>Fiorentina</v>
      </c>
      <c r="R15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Sassuolo</v>
      </c>
      <c r="S1538" s="132" t="str">
        <f>LEFT(base[[#This Row],[Evento / Mercado]],FIND("/",base[[#This Row],[Evento / Mercado]])-2)</f>
        <v>Fiorentina vs Sassuolo</v>
      </c>
    </row>
    <row r="1539" spans="2:19" ht="15" customHeight="1">
      <c r="B1539" s="128" t="s">
        <v>1417</v>
      </c>
      <c r="C1539" s="128" t="s">
        <v>2982</v>
      </c>
      <c r="D1539" s="129">
        <v>46138.408483796295</v>
      </c>
      <c r="E1539" s="130">
        <v>-1.1399999999999999</v>
      </c>
      <c r="F1539" s="136">
        <v>4.4999999999999998E-2</v>
      </c>
      <c r="G1539" s="126">
        <f t="shared" ref="G1539:G1602" si="25">IF(E1539&gt;0,E1539/(1-F1539),E1539)</f>
        <v>-1.1399999999999999</v>
      </c>
      <c r="H1539" s="126" t="s">
        <v>1339</v>
      </c>
      <c r="I1539" s="127" t="s">
        <v>1236</v>
      </c>
      <c r="J1539" s="126">
        <v>6.6</v>
      </c>
      <c r="K1539" s="126">
        <v>2</v>
      </c>
      <c r="L1539" s="129">
        <f>INT(base[[#This Row],[Data de liquidação]])</f>
        <v>46138</v>
      </c>
      <c r="M1539" s="126">
        <f>base[[#This Row],[L/P Bruto]]-base[[#This Row],[L/P Líquido]]</f>
        <v>0</v>
      </c>
      <c r="N1539" s="126">
        <f>base[[#This Row],[L/P Líquido]]/base[[#This Row],[Stake/Responsabilidade]]</f>
        <v>-0.56999999999999995</v>
      </c>
      <c r="O1539" s="132">
        <f>IF(base[[#This Row],[L/P Líquido]]&gt;0,1,0)</f>
        <v>0</v>
      </c>
      <c r="P1539" s="132"/>
      <c r="Q1539" s="132" t="str">
        <f>LEFT(base[[#This Row],[Evento / Mercado]],FIND("vs",base[[#This Row],[Evento / Mercado]])-2)</f>
        <v>VfL Bochum</v>
      </c>
      <c r="R15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SpVgg Greuther Fürth</v>
      </c>
      <c r="S1539" s="132" t="str">
        <f>LEFT(base[[#This Row],[Evento / Mercado]],FIND("/",base[[#This Row],[Evento / Mercado]])-2)</f>
        <v>VfL Bochum vs SpVgg Greuther Fürth</v>
      </c>
    </row>
    <row r="1540" spans="2:19" ht="15" customHeight="1">
      <c r="B1540" s="128" t="s">
        <v>1416</v>
      </c>
      <c r="C1540" s="128" t="s">
        <v>2982</v>
      </c>
      <c r="D1540" s="129">
        <v>46138.429560185185</v>
      </c>
      <c r="E1540" s="130">
        <v>-0.84</v>
      </c>
      <c r="F1540" s="136">
        <v>4.4999999999999998E-2</v>
      </c>
      <c r="G1540" s="126">
        <f t="shared" si="25"/>
        <v>-0.84</v>
      </c>
      <c r="H1540" s="126" t="s">
        <v>1339</v>
      </c>
      <c r="I1540" s="127" t="s">
        <v>1236</v>
      </c>
      <c r="J1540" s="126">
        <v>7.8</v>
      </c>
      <c r="K1540" s="126">
        <v>2</v>
      </c>
      <c r="L1540" s="129">
        <f>INT(base[[#This Row],[Data de liquidação]])</f>
        <v>46138</v>
      </c>
      <c r="M1540" s="126">
        <f>base[[#This Row],[L/P Bruto]]-base[[#This Row],[L/P Líquido]]</f>
        <v>0</v>
      </c>
      <c r="N1540" s="126">
        <f>base[[#This Row],[L/P Líquido]]/base[[#This Row],[Stake/Responsabilidade]]</f>
        <v>-0.42</v>
      </c>
      <c r="O1540" s="132">
        <f>IF(base[[#This Row],[L/P Líquido]]&gt;0,1,0)</f>
        <v>0</v>
      </c>
      <c r="P1540" s="132"/>
      <c r="Q1540" s="132" t="str">
        <f>LEFT(base[[#This Row],[Evento / Mercado]],FIND("vs",base[[#This Row],[Evento / Mercado]])-2)</f>
        <v>KAA Gent</v>
      </c>
      <c r="R15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Brugge</v>
      </c>
      <c r="S1540" s="132" t="str">
        <f>LEFT(base[[#This Row],[Evento / Mercado]],FIND("/",base[[#This Row],[Evento / Mercado]])-2)</f>
        <v>KAA Gent vs Club Brugge</v>
      </c>
    </row>
    <row r="1541" spans="2:19" ht="15" customHeight="1">
      <c r="B1541" s="128" t="s">
        <v>1415</v>
      </c>
      <c r="C1541" s="128" t="s">
        <v>2982</v>
      </c>
      <c r="D1541" s="129">
        <v>46138.434386574074</v>
      </c>
      <c r="E1541" s="130">
        <v>-32.4</v>
      </c>
      <c r="F1541" s="136">
        <v>4.4999999999999998E-2</v>
      </c>
      <c r="G1541" s="126">
        <f t="shared" si="25"/>
        <v>-32.4</v>
      </c>
      <c r="H1541" s="126" t="s">
        <v>1339</v>
      </c>
      <c r="I1541" s="127" t="s">
        <v>1390</v>
      </c>
      <c r="J1541" s="126">
        <v>14.5</v>
      </c>
      <c r="K1541" s="126">
        <v>32.4</v>
      </c>
      <c r="L1541" s="129">
        <f>INT(base[[#This Row],[Data de liquidação]])</f>
        <v>46138</v>
      </c>
      <c r="M1541" s="126">
        <f>base[[#This Row],[L/P Bruto]]-base[[#This Row],[L/P Líquido]]</f>
        <v>0</v>
      </c>
      <c r="N1541" s="126">
        <f>base[[#This Row],[L/P Líquido]]/base[[#This Row],[Stake/Responsabilidade]]</f>
        <v>-1</v>
      </c>
      <c r="O1541" s="132">
        <f>IF(base[[#This Row],[L/P Líquido]]&gt;0,1,0)</f>
        <v>0</v>
      </c>
      <c r="P1541" s="132"/>
      <c r="Q1541" s="132" t="str">
        <f>LEFT(base[[#This Row],[Evento / Mercado]],FIND("vs",base[[#This Row],[Evento / Mercado]])-2)</f>
        <v>Nõmme Kalju FC</v>
      </c>
      <c r="R15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Pärnu JK Vaprus</v>
      </c>
      <c r="S1541" s="132" t="str">
        <f>LEFT(base[[#This Row],[Evento / Mercado]],FIND("/",base[[#This Row],[Evento / Mercado]])-2)</f>
        <v>Nõmme Kalju FC vs Pärnu JK Vaprus</v>
      </c>
    </row>
    <row r="1542" spans="2:19" ht="15" customHeight="1">
      <c r="B1542" s="128" t="s">
        <v>1414</v>
      </c>
      <c r="C1542" s="128" t="s">
        <v>2982</v>
      </c>
      <c r="D1542" s="129">
        <v>46138.435486111113</v>
      </c>
      <c r="E1542" s="130">
        <v>2.39</v>
      </c>
      <c r="F1542" s="136">
        <v>4.4999999999999998E-2</v>
      </c>
      <c r="G1542" s="126">
        <f t="shared" si="25"/>
        <v>2.5026178010471205</v>
      </c>
      <c r="H1542" s="126" t="s">
        <v>1339</v>
      </c>
      <c r="I1542" s="127" t="s">
        <v>1338</v>
      </c>
      <c r="J1542" s="126">
        <v>2.25</v>
      </c>
      <c r="K1542" s="126">
        <v>2</v>
      </c>
      <c r="L1542" s="129">
        <f>INT(base[[#This Row],[Data de liquidação]])</f>
        <v>46138</v>
      </c>
      <c r="M1542" s="126">
        <f>base[[#This Row],[L/P Bruto]]-base[[#This Row],[L/P Líquido]]</f>
        <v>0.11261780104712038</v>
      </c>
      <c r="N1542" s="126">
        <f>base[[#This Row],[L/P Líquido]]/base[[#This Row],[Stake/Responsabilidade]]</f>
        <v>1.1950000000000001</v>
      </c>
      <c r="O1542" s="132">
        <f>IF(base[[#This Row],[L/P Líquido]]&gt;0,1,0)</f>
        <v>1</v>
      </c>
      <c r="P1542" s="132"/>
      <c r="Q1542" s="132" t="str">
        <f>LEFT(base[[#This Row],[Evento / Mercado]],FIND("vs",base[[#This Row],[Evento / Mercado]])-2)</f>
        <v>1. FC Nürnberg</v>
      </c>
      <c r="R15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Magdeburg</v>
      </c>
      <c r="S1542" s="132" t="str">
        <f>LEFT(base[[#This Row],[Evento / Mercado]],FIND("/",base[[#This Row],[Evento / Mercado]])-2)</f>
        <v>1. FC Nürnberg vs 1. FC Magdeburg</v>
      </c>
    </row>
    <row r="1543" spans="2:19" ht="15" customHeight="1">
      <c r="B1543" s="128" t="s">
        <v>1413</v>
      </c>
      <c r="C1543" s="128" t="s">
        <v>2982</v>
      </c>
      <c r="D1543" s="129">
        <v>46138.45553240741</v>
      </c>
      <c r="E1543" s="130">
        <v>1.64</v>
      </c>
      <c r="F1543" s="136">
        <v>4.4999999999999998E-2</v>
      </c>
      <c r="G1543" s="126">
        <f t="shared" si="25"/>
        <v>1.7172774869109948</v>
      </c>
      <c r="H1543" s="126" t="s">
        <v>1339</v>
      </c>
      <c r="I1543" s="127" t="s">
        <v>1388</v>
      </c>
      <c r="J1543" s="126">
        <v>30</v>
      </c>
      <c r="K1543" s="126">
        <v>49.88</v>
      </c>
      <c r="L1543" s="129">
        <f>INT(base[[#This Row],[Data de liquidação]])</f>
        <v>46138</v>
      </c>
      <c r="M1543" s="126">
        <f>base[[#This Row],[L/P Bruto]]-base[[#This Row],[L/P Líquido]]</f>
        <v>7.7277486910994897E-2</v>
      </c>
      <c r="N1543" s="126">
        <f>base[[#This Row],[L/P Líquido]]/base[[#This Row],[Stake/Responsabilidade]]</f>
        <v>3.2878909382518043E-2</v>
      </c>
      <c r="O1543" s="132">
        <f>IF(base[[#This Row],[L/P Líquido]]&gt;0,1,0)</f>
        <v>1</v>
      </c>
      <c r="P1543" s="132"/>
      <c r="Q1543" s="132" t="str">
        <f>LEFT(base[[#This Row],[Evento / Mercado]],FIND("vs",base[[#This Row],[Evento / Mercado]])-2)</f>
        <v>FC Fredericia</v>
      </c>
      <c r="R15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Odense BK</v>
      </c>
      <c r="S1543" s="132" t="str">
        <f>LEFT(base[[#This Row],[Evento / Mercado]],FIND("/",base[[#This Row],[Evento / Mercado]])-2)</f>
        <v>FC Fredericia vs Odense BK</v>
      </c>
    </row>
    <row r="1544" spans="2:19" ht="15" customHeight="1">
      <c r="B1544" s="128" t="s">
        <v>1412</v>
      </c>
      <c r="C1544" s="128" t="s">
        <v>2982</v>
      </c>
      <c r="D1544" s="129">
        <v>46138.457962962966</v>
      </c>
      <c r="E1544" s="130">
        <v>-0.54</v>
      </c>
      <c r="F1544" s="136">
        <v>4.4999999999999998E-2</v>
      </c>
      <c r="G1544" s="126">
        <f t="shared" si="25"/>
        <v>-0.54</v>
      </c>
      <c r="H1544" s="126" t="s">
        <v>1339</v>
      </c>
      <c r="I1544" s="127" t="s">
        <v>1236</v>
      </c>
      <c r="J1544" s="126">
        <v>5.9</v>
      </c>
      <c r="K1544" s="126">
        <v>2</v>
      </c>
      <c r="L1544" s="129">
        <f>INT(base[[#This Row],[Data de liquidação]])</f>
        <v>46138</v>
      </c>
      <c r="M1544" s="126">
        <f>base[[#This Row],[L/P Bruto]]-base[[#This Row],[L/P Líquido]]</f>
        <v>0</v>
      </c>
      <c r="N1544" s="126">
        <f>base[[#This Row],[L/P Líquido]]/base[[#This Row],[Stake/Responsabilidade]]</f>
        <v>-0.27</v>
      </c>
      <c r="O1544" s="132">
        <f>IF(base[[#This Row],[L/P Líquido]]&gt;0,1,0)</f>
        <v>0</v>
      </c>
      <c r="P1544" s="132"/>
      <c r="Q1544" s="132" t="str">
        <f>LEFT(base[[#This Row],[Evento / Mercado]],FIND("vs",base[[#This Row],[Evento / Mercado]])-2)</f>
        <v>Widzew Lódz</v>
      </c>
      <c r="R15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Motor Lublin</v>
      </c>
      <c r="S1544" s="132" t="str">
        <f>LEFT(base[[#This Row],[Evento / Mercado]],FIND("/",base[[#This Row],[Evento / Mercado]])-2)</f>
        <v>Widzew Lódz vs Motor Lublin</v>
      </c>
    </row>
    <row r="1545" spans="2:19" ht="15" customHeight="1">
      <c r="B1545" s="128" t="s">
        <v>1411</v>
      </c>
      <c r="C1545" s="128" t="s">
        <v>2982</v>
      </c>
      <c r="D1545" s="129">
        <v>46138.474537037036</v>
      </c>
      <c r="E1545" s="130">
        <v>-2</v>
      </c>
      <c r="F1545" s="136">
        <v>4.4999999999999998E-2</v>
      </c>
      <c r="G1545" s="126">
        <f t="shared" si="25"/>
        <v>-2</v>
      </c>
      <c r="H1545" s="126" t="s">
        <v>1339</v>
      </c>
      <c r="I1545" s="127" t="s">
        <v>1338</v>
      </c>
      <c r="J1545" s="126">
        <v>2.2400000000000002</v>
      </c>
      <c r="K1545" s="126">
        <v>2</v>
      </c>
      <c r="L1545" s="129">
        <f>INT(base[[#This Row],[Data de liquidação]])</f>
        <v>46138</v>
      </c>
      <c r="M1545" s="126">
        <f>base[[#This Row],[L/P Bruto]]-base[[#This Row],[L/P Líquido]]</f>
        <v>0</v>
      </c>
      <c r="N1545" s="126">
        <f>base[[#This Row],[L/P Líquido]]/base[[#This Row],[Stake/Responsabilidade]]</f>
        <v>-1</v>
      </c>
      <c r="O1545" s="132">
        <f>IF(base[[#This Row],[L/P Líquido]]&gt;0,1,0)</f>
        <v>0</v>
      </c>
      <c r="P1545" s="132"/>
      <c r="Q1545" s="132" t="str">
        <f>LEFT(base[[#This Row],[Evento / Mercado]],FIND("vs",base[[#This Row],[Evento / Mercado]])-2)</f>
        <v>FC Lorient</v>
      </c>
      <c r="R15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Strasbourg</v>
      </c>
      <c r="S1545" s="132" t="str">
        <f>LEFT(base[[#This Row],[Evento / Mercado]],FIND("/",base[[#This Row],[Evento / Mercado]])-2)</f>
        <v>FC Lorient vs RC Strasbourg</v>
      </c>
    </row>
    <row r="1546" spans="2:19" ht="15" customHeight="1">
      <c r="B1546" s="128" t="s">
        <v>1410</v>
      </c>
      <c r="C1546" s="128" t="s">
        <v>2982</v>
      </c>
      <c r="D1546" s="129">
        <v>46138.480150462965</v>
      </c>
      <c r="E1546" s="130">
        <v>-1.0900000000000001</v>
      </c>
      <c r="F1546" s="136">
        <v>4.4999999999999998E-2</v>
      </c>
      <c r="G1546" s="126">
        <f t="shared" si="25"/>
        <v>-1.0900000000000001</v>
      </c>
      <c r="H1546" s="126" t="s">
        <v>1339</v>
      </c>
      <c r="I1546" s="127" t="s">
        <v>1236</v>
      </c>
      <c r="J1546" s="126">
        <v>5.0999999999999996</v>
      </c>
      <c r="K1546" s="126">
        <v>2</v>
      </c>
      <c r="L1546" s="129">
        <f>INT(base[[#This Row],[Data de liquidação]])</f>
        <v>46138</v>
      </c>
      <c r="M1546" s="126">
        <f>base[[#This Row],[L/P Bruto]]-base[[#This Row],[L/P Líquido]]</f>
        <v>0</v>
      </c>
      <c r="N1546" s="126">
        <f>base[[#This Row],[L/P Líquido]]/base[[#This Row],[Stake/Responsabilidade]]</f>
        <v>-0.54500000000000004</v>
      </c>
      <c r="O1546" s="132">
        <f>IF(base[[#This Row],[L/P Líquido]]&gt;0,1,0)</f>
        <v>0</v>
      </c>
      <c r="P1546" s="132"/>
      <c r="Q1546" s="132" t="str">
        <f>LEFT(base[[#This Row],[Evento / Mercado]],FIND("vs",base[[#This Row],[Evento / Mercado]])-2)</f>
        <v>Genoa</v>
      </c>
      <c r="R15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Como</v>
      </c>
      <c r="S1546" s="132" t="str">
        <f>LEFT(base[[#This Row],[Evento / Mercado]],FIND("/",base[[#This Row],[Evento / Mercado]])-2)</f>
        <v>Genoa vs Como</v>
      </c>
    </row>
    <row r="1547" spans="2:19" ht="15" customHeight="1">
      <c r="B1547" s="128" t="s">
        <v>1409</v>
      </c>
      <c r="C1547" s="128" t="s">
        <v>2982</v>
      </c>
      <c r="D1547" s="129">
        <v>46138.494618055556</v>
      </c>
      <c r="E1547" s="130">
        <v>-2.75</v>
      </c>
      <c r="F1547" s="136">
        <v>4.4999999999999998E-2</v>
      </c>
      <c r="G1547" s="126">
        <f t="shared" si="25"/>
        <v>-2.75</v>
      </c>
      <c r="H1547" s="126" t="s">
        <v>1339</v>
      </c>
      <c r="I1547" s="127" t="s">
        <v>1236</v>
      </c>
      <c r="J1547" s="126">
        <v>18</v>
      </c>
      <c r="K1547" s="126">
        <v>2</v>
      </c>
      <c r="L1547" s="129">
        <f>INT(base[[#This Row],[Data de liquidação]])</f>
        <v>46138</v>
      </c>
      <c r="M1547" s="126">
        <f>base[[#This Row],[L/P Bruto]]-base[[#This Row],[L/P Líquido]]</f>
        <v>0</v>
      </c>
      <c r="N1547" s="126">
        <f>base[[#This Row],[L/P Líquido]]/base[[#This Row],[Stake/Responsabilidade]]</f>
        <v>-1.375</v>
      </c>
      <c r="O1547" s="132">
        <f>IF(base[[#This Row],[L/P Líquido]]&gt;0,1,0)</f>
        <v>0</v>
      </c>
      <c r="P1547" s="132"/>
      <c r="Q1547" s="132" t="str">
        <f>LEFT(base[[#This Row],[Evento / Mercado]],FIND("vs",base[[#This Row],[Evento / Mercado]])-2)</f>
        <v>VfB Stuttgart</v>
      </c>
      <c r="R15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Werder Bremen</v>
      </c>
      <c r="S1547" s="132" t="str">
        <f>LEFT(base[[#This Row],[Evento / Mercado]],FIND("/",base[[#This Row],[Evento / Mercado]])-2)</f>
        <v>VfB Stuttgart vs Werder Bremen</v>
      </c>
    </row>
    <row r="1548" spans="2:19" ht="15" customHeight="1">
      <c r="B1548" s="128" t="s">
        <v>1408</v>
      </c>
      <c r="C1548" s="128" t="s">
        <v>2982</v>
      </c>
      <c r="D1548" s="129">
        <v>46138.517835648148</v>
      </c>
      <c r="E1548" s="130">
        <v>64.28</v>
      </c>
      <c r="F1548" s="136">
        <v>4.4999999999999998E-2</v>
      </c>
      <c r="G1548" s="126">
        <f t="shared" si="25"/>
        <v>67.308900523560212</v>
      </c>
      <c r="H1548" s="126" t="s">
        <v>145</v>
      </c>
      <c r="I1548" s="127" t="s">
        <v>301</v>
      </c>
      <c r="J1548" s="126">
        <v>6.2</v>
      </c>
      <c r="K1548" s="126">
        <v>350.01</v>
      </c>
      <c r="L1548" s="129">
        <f>INT(base[[#This Row],[Data de liquidação]])</f>
        <v>46138</v>
      </c>
      <c r="M1548" s="126">
        <f>base[[#This Row],[L/P Bruto]]-base[[#This Row],[L/P Líquido]]</f>
        <v>3.0289005235602104</v>
      </c>
      <c r="N1548" s="126">
        <f>base[[#This Row],[L/P Líquido]]/base[[#This Row],[Stake/Responsabilidade]]</f>
        <v>0.18365189566012399</v>
      </c>
      <c r="O1548" s="132">
        <f>IF(base[[#This Row],[L/P Líquido]]&gt;0,1,0)</f>
        <v>1</v>
      </c>
      <c r="P1548" s="132" t="s">
        <v>962</v>
      </c>
      <c r="Q1548" s="132" t="str">
        <f>LEFT(base[[#This Row],[Evento / Mercado]],FIND("vs",base[[#This Row],[Evento / Mercado]])-2)</f>
        <v>VfB Stuttgart</v>
      </c>
      <c r="R15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Werder Bremen</v>
      </c>
      <c r="S1548" s="132" t="str">
        <f>LEFT(base[[#This Row],[Evento / Mercado]],FIND("/",base[[#This Row],[Evento / Mercado]])-2)</f>
        <v>VfB Stuttgart vs Werder Bremen</v>
      </c>
    </row>
    <row r="1549" spans="2:19" ht="15" customHeight="1">
      <c r="B1549" s="128" t="s">
        <v>1407</v>
      </c>
      <c r="C1549" s="128" t="s">
        <v>2982</v>
      </c>
      <c r="D1549" s="129">
        <v>46138.539212962962</v>
      </c>
      <c r="E1549" s="130">
        <v>1.91</v>
      </c>
      <c r="F1549" s="136">
        <v>4.4999999999999998E-2</v>
      </c>
      <c r="G1549" s="126">
        <f t="shared" si="25"/>
        <v>2</v>
      </c>
      <c r="H1549" s="126" t="s">
        <v>1339</v>
      </c>
      <c r="I1549" s="127" t="s">
        <v>1236</v>
      </c>
      <c r="J1549" s="126">
        <v>9.1999999999999993</v>
      </c>
      <c r="K1549" s="126">
        <v>2</v>
      </c>
      <c r="L1549" s="129">
        <f>INT(base[[#This Row],[Data de liquidação]])</f>
        <v>46138</v>
      </c>
      <c r="M1549" s="126">
        <f>base[[#This Row],[L/P Bruto]]-base[[#This Row],[L/P Líquido]]</f>
        <v>9.000000000000008E-2</v>
      </c>
      <c r="N1549" s="126">
        <f>base[[#This Row],[L/P Líquido]]/base[[#This Row],[Stake/Responsabilidade]]</f>
        <v>0.95499999999999996</v>
      </c>
      <c r="O1549" s="132">
        <f>IF(base[[#This Row],[L/P Líquido]]&gt;0,1,0)</f>
        <v>1</v>
      </c>
      <c r="P1549" s="132"/>
      <c r="Q1549" s="132" t="str">
        <f>LEFT(base[[#This Row],[Evento / Mercado]],FIND("vs",base[[#This Row],[Evento / Mercado]])-2)</f>
        <v>Stade Rennais</v>
      </c>
      <c r="R15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1549" s="132" t="str">
        <f>LEFT(base[[#This Row],[Evento / Mercado]],FIND("/",base[[#This Row],[Evento / Mercado]])-2)</f>
        <v>Stade Rennais vs FC Nantes</v>
      </c>
    </row>
    <row r="1550" spans="2:19" ht="15" customHeight="1">
      <c r="B1550" s="128" t="s">
        <v>1406</v>
      </c>
      <c r="C1550" s="128" t="s">
        <v>2982</v>
      </c>
      <c r="D1550" s="129">
        <v>46138.542592592596</v>
      </c>
      <c r="E1550" s="130">
        <v>15.36</v>
      </c>
      <c r="F1550" s="136">
        <v>4.4999999999999998E-2</v>
      </c>
      <c r="G1550" s="126">
        <f t="shared" si="25"/>
        <v>16.083769633507853</v>
      </c>
      <c r="H1550" s="126" t="s">
        <v>122</v>
      </c>
      <c r="I1550" s="127" t="s">
        <v>476</v>
      </c>
      <c r="J1550" s="126">
        <v>26</v>
      </c>
      <c r="K1550" s="126">
        <v>402</v>
      </c>
      <c r="L1550" s="129">
        <f>INT(base[[#This Row],[Data de liquidação]])</f>
        <v>46138</v>
      </c>
      <c r="M1550" s="126">
        <f>base[[#This Row],[L/P Bruto]]-base[[#This Row],[L/P Líquido]]</f>
        <v>0.72376963350785317</v>
      </c>
      <c r="N1550" s="126">
        <f>base[[#This Row],[L/P Líquido]]/base[[#This Row],[Stake/Responsabilidade]]</f>
        <v>3.8208955223880597E-2</v>
      </c>
      <c r="O1550" s="132">
        <f>IF(base[[#This Row],[L/P Líquido]]&gt;0,1,0)</f>
        <v>1</v>
      </c>
      <c r="P1550" s="132" t="s">
        <v>981</v>
      </c>
      <c r="Q1550" s="132" t="str">
        <f>LEFT(base[[#This Row],[Evento / Mercado]],FIND("vs",base[[#This Row],[Evento / Mercado]])-2)</f>
        <v>Rangers</v>
      </c>
      <c r="R15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Motherwell</v>
      </c>
      <c r="S1550" s="132" t="str">
        <f>LEFT(base[[#This Row],[Evento / Mercado]],FIND("/",base[[#This Row],[Evento / Mercado]])-2)</f>
        <v>Rangers vs Motherwell</v>
      </c>
    </row>
    <row r="1551" spans="2:19" ht="15" customHeight="1">
      <c r="B1551" s="128" t="s">
        <v>1405</v>
      </c>
      <c r="C1551" s="128" t="s">
        <v>2982</v>
      </c>
      <c r="D1551" s="129">
        <v>46138.5783912037</v>
      </c>
      <c r="E1551" s="130">
        <v>2.65</v>
      </c>
      <c r="F1551" s="136">
        <v>4.4999999999999998E-2</v>
      </c>
      <c r="G1551" s="126">
        <f t="shared" si="25"/>
        <v>2.7748691099476441</v>
      </c>
      <c r="H1551" s="126" t="s">
        <v>1339</v>
      </c>
      <c r="I1551" s="127" t="s">
        <v>1388</v>
      </c>
      <c r="J1551" s="126">
        <v>19</v>
      </c>
      <c r="K1551" s="126">
        <v>50.04</v>
      </c>
      <c r="L1551" s="129">
        <f>INT(base[[#This Row],[Data de liquidação]])</f>
        <v>46138</v>
      </c>
      <c r="M1551" s="126">
        <f>base[[#This Row],[L/P Bruto]]-base[[#This Row],[L/P Líquido]]</f>
        <v>0.12486910994764422</v>
      </c>
      <c r="N1551" s="126">
        <f>base[[#This Row],[L/P Líquido]]/base[[#This Row],[Stake/Responsabilidade]]</f>
        <v>5.2957633892885693E-2</v>
      </c>
      <c r="O1551" s="132">
        <f>IF(base[[#This Row],[L/P Líquido]]&gt;0,1,0)</f>
        <v>1</v>
      </c>
      <c r="P1551" s="132"/>
      <c r="Q1551" s="132" t="str">
        <f>LEFT(base[[#This Row],[Evento / Mercado]],FIND("vs",base[[#This Row],[Evento / Mercado]])-2)</f>
        <v>Aalesunds FK</v>
      </c>
      <c r="R15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Kristiansund BK</v>
      </c>
      <c r="S1551" s="132" t="str">
        <f>LEFT(base[[#This Row],[Evento / Mercado]],FIND("/",base[[#This Row],[Evento / Mercado]])-2)</f>
        <v>Aalesunds FK vs Kristiansund BK</v>
      </c>
    </row>
    <row r="1552" spans="2:19" ht="15" customHeight="1">
      <c r="B1552" s="128" t="s">
        <v>1404</v>
      </c>
      <c r="C1552" s="128" t="s">
        <v>2982</v>
      </c>
      <c r="D1552" s="129">
        <v>46138.600358796299</v>
      </c>
      <c r="E1552" s="130">
        <v>4.0999999999999996</v>
      </c>
      <c r="F1552" s="136">
        <v>4.4999999999999998E-2</v>
      </c>
      <c r="G1552" s="126">
        <f t="shared" si="25"/>
        <v>4.2931937172774868</v>
      </c>
      <c r="H1552" s="126" t="s">
        <v>1339</v>
      </c>
      <c r="I1552" s="127" t="s">
        <v>1390</v>
      </c>
      <c r="J1552" s="126">
        <v>8.1999999999999993</v>
      </c>
      <c r="K1552" s="126">
        <v>30.89</v>
      </c>
      <c r="L1552" s="129">
        <f>INT(base[[#This Row],[Data de liquidação]])</f>
        <v>46138</v>
      </c>
      <c r="M1552" s="126">
        <f>base[[#This Row],[L/P Bruto]]-base[[#This Row],[L/P Líquido]]</f>
        <v>0.19319371727748713</v>
      </c>
      <c r="N1552" s="126">
        <f>base[[#This Row],[L/P Líquido]]/base[[#This Row],[Stake/Responsabilidade]]</f>
        <v>0.13272903852379409</v>
      </c>
      <c r="O1552" s="132">
        <f>IF(base[[#This Row],[L/P Líquido]]&gt;0,1,0)</f>
        <v>1</v>
      </c>
      <c r="P1552" s="132"/>
      <c r="Q1552" s="132" t="str">
        <f>LEFT(base[[#This Row],[Evento / Mercado]],FIND("vs",base[[#This Row],[Evento / Mercado]])-2)</f>
        <v>Borussia Dortmund</v>
      </c>
      <c r="R15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1552" s="132" t="str">
        <f>LEFT(base[[#This Row],[Evento / Mercado]],FIND("/",base[[#This Row],[Evento / Mercado]])-2)</f>
        <v>Borussia Dortmund vs SC Freiburg</v>
      </c>
    </row>
    <row r="1553" spans="2:21" ht="15" customHeight="1">
      <c r="B1553" s="128" t="s">
        <v>1403</v>
      </c>
      <c r="C1553" s="128" t="s">
        <v>2982</v>
      </c>
      <c r="D1553" s="129">
        <v>46138.620682870373</v>
      </c>
      <c r="E1553" s="130">
        <v>13.71</v>
      </c>
      <c r="F1553" s="136">
        <v>4.4999999999999998E-2</v>
      </c>
      <c r="G1553" s="126">
        <f t="shared" si="25"/>
        <v>14.356020942408378</v>
      </c>
      <c r="H1553" s="126" t="s">
        <v>122</v>
      </c>
      <c r="I1553" s="127" t="s">
        <v>542</v>
      </c>
      <c r="J1553" s="126">
        <v>29</v>
      </c>
      <c r="K1553" s="126">
        <v>402.08</v>
      </c>
      <c r="L1553" s="129">
        <f>INT(base[[#This Row],[Data de liquidação]])</f>
        <v>46138</v>
      </c>
      <c r="M1553" s="126">
        <f>base[[#This Row],[L/P Bruto]]-base[[#This Row],[L/P Líquido]]</f>
        <v>0.64602094240837715</v>
      </c>
      <c r="N1553" s="126">
        <f>base[[#This Row],[L/P Líquido]]/base[[#This Row],[Stake/Responsabilidade]]</f>
        <v>3.4097692001591726E-2</v>
      </c>
      <c r="O1553" s="132">
        <f>IF(base[[#This Row],[L/P Líquido]]&gt;0,1,0)</f>
        <v>1</v>
      </c>
      <c r="P1553" s="132" t="s">
        <v>969</v>
      </c>
      <c r="Q1553" s="132" t="str">
        <f>LEFT(base[[#This Row],[Evento / Mercado]],FIND("vs",base[[#This Row],[Evento / Mercado]])-2)</f>
        <v>Torino</v>
      </c>
      <c r="R15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Internazionale</v>
      </c>
      <c r="S1553" s="132" t="str">
        <f>LEFT(base[[#This Row],[Evento / Mercado]],FIND("/",base[[#This Row],[Evento / Mercado]])-2)</f>
        <v>Torino vs Internazionale</v>
      </c>
    </row>
    <row r="1554" spans="2:21" ht="15" customHeight="1">
      <c r="B1554" s="128" t="s">
        <v>1402</v>
      </c>
      <c r="C1554" s="128" t="s">
        <v>2982</v>
      </c>
      <c r="D1554" s="129">
        <v>46138.64130787037</v>
      </c>
      <c r="E1554" s="130">
        <v>1.91</v>
      </c>
      <c r="F1554" s="136">
        <v>4.4999999999999998E-2</v>
      </c>
      <c r="G1554" s="126">
        <f t="shared" si="25"/>
        <v>2</v>
      </c>
      <c r="H1554" s="126" t="s">
        <v>1339</v>
      </c>
      <c r="I1554" s="127" t="s">
        <v>1236</v>
      </c>
      <c r="J1554" s="126">
        <v>7.67</v>
      </c>
      <c r="K1554" s="126">
        <v>2</v>
      </c>
      <c r="L1554" s="129">
        <f>INT(base[[#This Row],[Data de liquidação]])</f>
        <v>46138</v>
      </c>
      <c r="M1554" s="126">
        <f>base[[#This Row],[L/P Bruto]]-base[[#This Row],[L/P Líquido]]</f>
        <v>9.000000000000008E-2</v>
      </c>
      <c r="N1554" s="126">
        <f>base[[#This Row],[L/P Líquido]]/base[[#This Row],[Stake/Responsabilidade]]</f>
        <v>0.95499999999999996</v>
      </c>
      <c r="O1554" s="132">
        <f>IF(base[[#This Row],[L/P Líquido]]&gt;0,1,0)</f>
        <v>1</v>
      </c>
      <c r="P1554" s="132"/>
      <c r="Q1554" s="132" t="str">
        <f>LEFT(base[[#This Row],[Evento / Mercado]],FIND("vs",base[[#This Row],[Evento / Mercado]])-2)</f>
        <v>Lillestrøm SK</v>
      </c>
      <c r="R15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1554" s="132" t="str">
        <f>LEFT(base[[#This Row],[Evento / Mercado]],FIND("/",base[[#This Row],[Evento / Mercado]])-2)</f>
        <v>Lillestrøm SK vs Bod</v>
      </c>
    </row>
    <row r="1555" spans="2:21" ht="15" customHeight="1">
      <c r="B1555" s="128" t="s">
        <v>1401</v>
      </c>
      <c r="C1555" s="128" t="s">
        <v>2982</v>
      </c>
      <c r="D1555" s="129">
        <v>46138.663946759261</v>
      </c>
      <c r="E1555" s="130">
        <v>10.130000000000001</v>
      </c>
      <c r="F1555" s="136">
        <v>4.4999999999999998E-2</v>
      </c>
      <c r="G1555" s="126">
        <f t="shared" si="25"/>
        <v>10.607329842931938</v>
      </c>
      <c r="H1555" s="126" t="s">
        <v>122</v>
      </c>
      <c r="I1555" s="127" t="s">
        <v>542</v>
      </c>
      <c r="J1555" s="126">
        <v>34</v>
      </c>
      <c r="K1555" s="126">
        <v>350.13</v>
      </c>
      <c r="L1555" s="129">
        <f>INT(base[[#This Row],[Data de liquidação]])</f>
        <v>46138</v>
      </c>
      <c r="M1555" s="126">
        <f>base[[#This Row],[L/P Bruto]]-base[[#This Row],[L/P Líquido]]</f>
        <v>0.47732984293193681</v>
      </c>
      <c r="N1555" s="126">
        <f>base[[#This Row],[L/P Líquido]]/base[[#This Row],[Stake/Responsabilidade]]</f>
        <v>2.8932110930225918E-2</v>
      </c>
      <c r="O1555" s="132">
        <f>IF(base[[#This Row],[L/P Líquido]]&gt;0,1,0)</f>
        <v>1</v>
      </c>
      <c r="P1555" s="132" t="s">
        <v>1421</v>
      </c>
      <c r="Q1555" s="132" t="str">
        <f>LEFT(base[[#This Row],[Evento / Mercado]],FIND("vs",base[[#This Row],[Evento / Mercado]])-2)</f>
        <v>Club Football Estrela</v>
      </c>
      <c r="R15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Porto</v>
      </c>
      <c r="S1555" s="132" t="str">
        <f>LEFT(base[[#This Row],[Evento / Mercado]],FIND("/",base[[#This Row],[Evento / Mercado]])-2)</f>
        <v>Club Football Estrela vs FC Porto</v>
      </c>
    </row>
    <row r="1556" spans="2:21" ht="15" customHeight="1">
      <c r="B1556" s="128" t="s">
        <v>1400</v>
      </c>
      <c r="C1556" s="128" t="s">
        <v>2982</v>
      </c>
      <c r="D1556" s="129">
        <v>46138.6640625</v>
      </c>
      <c r="E1556" s="130">
        <v>19.49155</v>
      </c>
      <c r="F1556" s="136">
        <v>4.4999999999999998E-2</v>
      </c>
      <c r="G1556" s="126">
        <f t="shared" si="25"/>
        <v>20.41</v>
      </c>
      <c r="H1556" s="126" t="s">
        <v>1233</v>
      </c>
      <c r="I1556" s="127"/>
      <c r="J1556" s="126">
        <v>5.9</v>
      </c>
      <c r="K1556" s="126">
        <v>100.01</v>
      </c>
      <c r="L1556" s="129">
        <f>INT(base[[#This Row],[Data de liquidação]])</f>
        <v>46138</v>
      </c>
      <c r="M1556" s="126">
        <f>base[[#This Row],[L/P Bruto]]-base[[#This Row],[L/P Líquido]]</f>
        <v>0.91844999999999999</v>
      </c>
      <c r="N1556" s="126">
        <f>base[[#This Row],[L/P Líquido]]/base[[#This Row],[Stake/Responsabilidade]]</f>
        <v>0.1948960103989601</v>
      </c>
      <c r="O1556" s="132">
        <f>IF(base[[#This Row],[L/P Líquido]]&gt;0,1,0)</f>
        <v>1</v>
      </c>
      <c r="P1556" s="132"/>
      <c r="Q1556" s="132" t="str">
        <f>LEFT(base[[#This Row],[Evento / Mercado]],FIND("vs",base[[#This Row],[Evento / Mercado]])-2)</f>
        <v>Club Football Estrela</v>
      </c>
      <c r="R15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Porto</v>
      </c>
      <c r="S1556" s="132" t="str">
        <f>LEFT(base[[#This Row],[Evento / Mercado]],FIND("/",base[[#This Row],[Evento / Mercado]])-2)</f>
        <v>Club Football Estrela vs FC Porto</v>
      </c>
      <c r="T1556" s="8">
        <v>20.41</v>
      </c>
      <c r="U1556" s="9">
        <f>T1556*0.955</f>
        <v>19.49155</v>
      </c>
    </row>
    <row r="1557" spans="2:21" ht="15" customHeight="1">
      <c r="B1557" s="128" t="s">
        <v>1400</v>
      </c>
      <c r="C1557" s="128" t="s">
        <v>2982</v>
      </c>
      <c r="D1557" s="129">
        <v>46138.6640625</v>
      </c>
      <c r="E1557" s="130">
        <v>24.76315</v>
      </c>
      <c r="F1557" s="136">
        <v>4.4999999999999998E-2</v>
      </c>
      <c r="G1557" s="126">
        <f t="shared" si="25"/>
        <v>25.93</v>
      </c>
      <c r="H1557" s="126" t="s">
        <v>145</v>
      </c>
      <c r="I1557" s="127" t="s">
        <v>300</v>
      </c>
      <c r="J1557" s="126">
        <v>14.5</v>
      </c>
      <c r="K1557" s="126">
        <v>350.06</v>
      </c>
      <c r="L1557" s="129">
        <f>INT(base[[#This Row],[Data de liquidação]])</f>
        <v>46138</v>
      </c>
      <c r="M1557" s="126">
        <f>base[[#This Row],[L/P Bruto]]-base[[#This Row],[L/P Líquido]]</f>
        <v>1.1668500000000002</v>
      </c>
      <c r="N1557" s="126">
        <f>base[[#This Row],[L/P Líquido]]/base[[#This Row],[Stake/Responsabilidade]]</f>
        <v>7.0739730331943099E-2</v>
      </c>
      <c r="O1557" s="132">
        <f>IF(base[[#This Row],[L/P Líquido]]&gt;0,1,0)</f>
        <v>1</v>
      </c>
      <c r="P1557" s="132" t="s">
        <v>1421</v>
      </c>
      <c r="Q1557" s="132" t="str">
        <f>LEFT(base[[#This Row],[Evento / Mercado]],FIND("vs",base[[#This Row],[Evento / Mercado]])-2)</f>
        <v>Club Football Estrela</v>
      </c>
      <c r="R15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Porto</v>
      </c>
      <c r="S1557" s="132" t="str">
        <f>LEFT(base[[#This Row],[Evento / Mercado]],FIND("/",base[[#This Row],[Evento / Mercado]])-2)</f>
        <v>Club Football Estrela vs FC Porto</v>
      </c>
      <c r="T1557" s="8">
        <v>25.93</v>
      </c>
      <c r="U1557" s="9">
        <f>T1557*0.955</f>
        <v>24.76315</v>
      </c>
    </row>
    <row r="1558" spans="2:21" ht="15" customHeight="1">
      <c r="B1558" s="128" t="s">
        <v>1399</v>
      </c>
      <c r="C1558" s="128" t="s">
        <v>2982</v>
      </c>
      <c r="D1558" s="129">
        <v>46138.738634259258</v>
      </c>
      <c r="E1558" s="130">
        <v>30.39</v>
      </c>
      <c r="F1558" s="136">
        <v>4.4999999999999998E-2</v>
      </c>
      <c r="G1558" s="126">
        <f t="shared" si="25"/>
        <v>31.821989528795815</v>
      </c>
      <c r="H1558" s="126" t="s">
        <v>145</v>
      </c>
      <c r="I1558" s="127" t="s">
        <v>1268</v>
      </c>
      <c r="J1558" s="126">
        <v>12</v>
      </c>
      <c r="K1558" s="126">
        <v>350.02</v>
      </c>
      <c r="L1558" s="129">
        <f>INT(base[[#This Row],[Data de liquidação]])</f>
        <v>46138</v>
      </c>
      <c r="M1558" s="126">
        <f>base[[#This Row],[L/P Bruto]]-base[[#This Row],[L/P Líquido]]</f>
        <v>1.431989528795814</v>
      </c>
      <c r="N1558" s="126">
        <f>base[[#This Row],[L/P Líquido]]/base[[#This Row],[Stake/Responsabilidade]]</f>
        <v>8.6823610079424032E-2</v>
      </c>
      <c r="O1558" s="132">
        <f>IF(base[[#This Row],[L/P Líquido]]&gt;0,1,0)</f>
        <v>1</v>
      </c>
      <c r="P1558" s="132" t="s">
        <v>970</v>
      </c>
      <c r="Q1558" s="132" t="str">
        <f>LEFT(base[[#This Row],[Evento / Mercado]],FIND("vs",base[[#This Row],[Evento / Mercado]])-2)</f>
        <v>Olympique Marseille</v>
      </c>
      <c r="R15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OGC Nice</v>
      </c>
      <c r="S1558" s="132" t="str">
        <f>LEFT(base[[#This Row],[Evento / Mercado]],FIND("/",base[[#This Row],[Evento / Mercado]])-2)</f>
        <v>Olympique Marseille vs OGC Nice</v>
      </c>
    </row>
    <row r="1559" spans="2:21" ht="15" customHeight="1">
      <c r="B1559" s="128" t="s">
        <v>1398</v>
      </c>
      <c r="C1559" s="128" t="s">
        <v>2982</v>
      </c>
      <c r="D1559" s="129">
        <v>46138.756874999999</v>
      </c>
      <c r="E1559" s="130">
        <v>0.85</v>
      </c>
      <c r="F1559" s="136">
        <v>4.4999999999999998E-2</v>
      </c>
      <c r="G1559" s="126">
        <f t="shared" si="25"/>
        <v>0.89005235602094246</v>
      </c>
      <c r="H1559" s="126" t="s">
        <v>1339</v>
      </c>
      <c r="I1559" s="127" t="s">
        <v>1389</v>
      </c>
      <c r="J1559" s="126">
        <v>1.44</v>
      </c>
      <c r="K1559" s="126">
        <v>2</v>
      </c>
      <c r="L1559" s="129">
        <f>INT(base[[#This Row],[Data de liquidação]])</f>
        <v>46138</v>
      </c>
      <c r="M1559" s="126">
        <f>base[[#This Row],[L/P Bruto]]-base[[#This Row],[L/P Líquido]]</f>
        <v>4.0052356020942481E-2</v>
      </c>
      <c r="N1559" s="126">
        <f>base[[#This Row],[L/P Líquido]]/base[[#This Row],[Stake/Responsabilidade]]</f>
        <v>0.42499999999999999</v>
      </c>
      <c r="O1559" s="132">
        <f>IF(base[[#This Row],[L/P Líquido]]&gt;0,1,0)</f>
        <v>1</v>
      </c>
      <c r="P1559" s="132"/>
      <c r="Q1559" s="132" t="str">
        <f>LEFT(base[[#This Row],[Evento / Mercado]],FIND("vs",base[[#This Row],[Evento / Mercado]])-2)</f>
        <v>Grêmio FBPA</v>
      </c>
      <c r="R15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Coritiba</v>
      </c>
      <c r="S1559" s="132" t="str">
        <f>LEFT(base[[#This Row],[Evento / Mercado]],FIND("/",base[[#This Row],[Evento / Mercado]])-2)</f>
        <v>Grêmio FBPA vs Coritiba</v>
      </c>
    </row>
    <row r="1560" spans="2:21" ht="15" customHeight="1">
      <c r="B1560" s="128" t="s">
        <v>1397</v>
      </c>
      <c r="C1560" s="128" t="s">
        <v>2982</v>
      </c>
      <c r="D1560" s="129">
        <v>46138.85465277778</v>
      </c>
      <c r="E1560" s="130">
        <v>2.0699999999999998</v>
      </c>
      <c r="F1560" s="136">
        <v>4.4999999999999998E-2</v>
      </c>
      <c r="G1560" s="126">
        <f t="shared" si="25"/>
        <v>2.1675392670157065</v>
      </c>
      <c r="H1560" s="126" t="s">
        <v>1339</v>
      </c>
      <c r="I1560" s="127" t="s">
        <v>1388</v>
      </c>
      <c r="J1560" s="126">
        <v>24</v>
      </c>
      <c r="K1560" s="126">
        <v>49.91</v>
      </c>
      <c r="L1560" s="129">
        <f>INT(base[[#This Row],[Data de liquidação]])</f>
        <v>46138</v>
      </c>
      <c r="M1560" s="126">
        <f>base[[#This Row],[L/P Bruto]]-base[[#This Row],[L/P Líquido]]</f>
        <v>9.7539267015706699E-2</v>
      </c>
      <c r="N1560" s="126">
        <f>base[[#This Row],[L/P Líquido]]/base[[#This Row],[Stake/Responsabilidade]]</f>
        <v>4.1474654377880185E-2</v>
      </c>
      <c r="O1560" s="132">
        <f>IF(base[[#This Row],[L/P Líquido]]&gt;0,1,0)</f>
        <v>1</v>
      </c>
      <c r="P1560" s="132"/>
      <c r="Q1560" s="132" t="str">
        <f>LEFT(base[[#This Row],[Evento / Mercado]],FIND("vs",base[[#This Row],[Evento / Mercado]])-2)</f>
        <v>Athlético Paranaense</v>
      </c>
      <c r="R15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1560" s="132" t="str">
        <f>LEFT(base[[#This Row],[Evento / Mercado]],FIND("/",base[[#This Row],[Evento / Mercado]])-2)</f>
        <v>Athlético Paranaense vs EC Vitória</v>
      </c>
    </row>
    <row r="1561" spans="2:21" ht="15" customHeight="1">
      <c r="B1561" s="128" t="s">
        <v>1396</v>
      </c>
      <c r="C1561" s="128" t="s">
        <v>2982</v>
      </c>
      <c r="D1561" s="129">
        <v>46138.85491898148</v>
      </c>
      <c r="E1561" s="130">
        <v>57.62</v>
      </c>
      <c r="F1561" s="136">
        <v>4.4999999999999998E-2</v>
      </c>
      <c r="G1561" s="126">
        <f t="shared" si="25"/>
        <v>60.33507853403141</v>
      </c>
      <c r="H1561" s="126" t="s">
        <v>145</v>
      </c>
      <c r="I1561" s="127" t="s">
        <v>301</v>
      </c>
      <c r="J1561" s="126">
        <v>6.8</v>
      </c>
      <c r="K1561" s="126">
        <v>349.97</v>
      </c>
      <c r="L1561" s="129">
        <f>INT(base[[#This Row],[Data de liquidação]])</f>
        <v>46138</v>
      </c>
      <c r="M1561" s="126">
        <f>base[[#This Row],[L/P Bruto]]-base[[#This Row],[L/P Líquido]]</f>
        <v>2.715078534031413</v>
      </c>
      <c r="N1561" s="126">
        <f>base[[#This Row],[L/P Líquido]]/base[[#This Row],[Stake/Responsabilidade]]</f>
        <v>0.1646426836585993</v>
      </c>
      <c r="O1561" s="132">
        <f>IF(base[[#This Row],[L/P Líquido]]&gt;0,1,0)</f>
        <v>1</v>
      </c>
      <c r="P1561" s="132" t="s">
        <v>1058</v>
      </c>
      <c r="Q1561" s="132" t="str">
        <f>LEFT(base[[#This Row],[Evento / Mercado]],FIND("vs",base[[#This Row],[Evento / Mercado]])-2)</f>
        <v>Athlético Paranaense</v>
      </c>
      <c r="R15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1561" s="132" t="str">
        <f>LEFT(base[[#This Row],[Evento / Mercado]],FIND("/",base[[#This Row],[Evento / Mercado]])-2)</f>
        <v>Athlético Paranaense vs EC Vitória</v>
      </c>
    </row>
    <row r="1562" spans="2:21" ht="15" customHeight="1">
      <c r="B1562" s="128" t="s">
        <v>1395</v>
      </c>
      <c r="C1562" s="128" t="s">
        <v>2982</v>
      </c>
      <c r="D1562" s="129">
        <v>46138.870694444442</v>
      </c>
      <c r="E1562" s="130">
        <v>1.83</v>
      </c>
      <c r="F1562" s="136">
        <v>4.4999999999999998E-2</v>
      </c>
      <c r="G1562" s="126">
        <f t="shared" si="25"/>
        <v>1.9162303664921467</v>
      </c>
      <c r="H1562" s="126" t="s">
        <v>1339</v>
      </c>
      <c r="I1562" s="127" t="s">
        <v>1388</v>
      </c>
      <c r="J1562" s="126">
        <v>26</v>
      </c>
      <c r="K1562" s="126">
        <v>48</v>
      </c>
      <c r="L1562" s="129">
        <f>INT(base[[#This Row],[Data de liquidação]])</f>
        <v>46138</v>
      </c>
      <c r="M1562" s="126">
        <f>base[[#This Row],[L/P Bruto]]-base[[#This Row],[L/P Líquido]]</f>
        <v>8.6230366492146659E-2</v>
      </c>
      <c r="N1562" s="126">
        <f>base[[#This Row],[L/P Líquido]]/base[[#This Row],[Stake/Responsabilidade]]</f>
        <v>3.8124999999999999E-2</v>
      </c>
      <c r="O1562" s="132">
        <f>IF(base[[#This Row],[L/P Líquido]]&gt;0,1,0)</f>
        <v>1</v>
      </c>
      <c r="P1562" s="132"/>
      <c r="Q1562" s="132" t="str">
        <f>LEFT(base[[#This Row],[Evento / Mercado]],FIND("vs",base[[#This Row],[Evento / Mercado]])-2)</f>
        <v>Metropolitanos FC</v>
      </c>
      <c r="R15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Estudiantes de Mérida</v>
      </c>
      <c r="S1562" s="132" t="str">
        <f>LEFT(base[[#This Row],[Evento / Mercado]],FIND("/",base[[#This Row],[Evento / Mercado]])-2)</f>
        <v>Metropolitanos FC vs Estudiantes de Mérida</v>
      </c>
    </row>
    <row r="1563" spans="2:21" ht="15" customHeight="1">
      <c r="B1563" s="128" t="s">
        <v>1394</v>
      </c>
      <c r="C1563" s="128" t="s">
        <v>2982</v>
      </c>
      <c r="D1563" s="129">
        <v>46138.870752314811</v>
      </c>
      <c r="E1563" s="130">
        <v>1.22</v>
      </c>
      <c r="F1563" s="136">
        <v>4.4999999999999998E-2</v>
      </c>
      <c r="G1563" s="126">
        <f t="shared" si="25"/>
        <v>1.2774869109947644</v>
      </c>
      <c r="H1563" s="126" t="s">
        <v>1339</v>
      </c>
      <c r="I1563" s="127" t="s">
        <v>1430</v>
      </c>
      <c r="J1563" s="126">
        <v>40</v>
      </c>
      <c r="K1563" s="126">
        <v>49.92</v>
      </c>
      <c r="L1563" s="129">
        <f>INT(base[[#This Row],[Data de liquidação]])</f>
        <v>46138</v>
      </c>
      <c r="M1563" s="126">
        <f>base[[#This Row],[L/P Bruto]]-base[[#This Row],[L/P Líquido]]</f>
        <v>5.748691099476444E-2</v>
      </c>
      <c r="N1563" s="126">
        <f>base[[#This Row],[L/P Líquido]]/base[[#This Row],[Stake/Responsabilidade]]</f>
        <v>2.4439102564102564E-2</v>
      </c>
      <c r="O1563" s="132">
        <f>IF(base[[#This Row],[L/P Líquido]]&gt;0,1,0)</f>
        <v>1</v>
      </c>
      <c r="P1563" s="132"/>
      <c r="Q1563" s="132" t="str">
        <f>LEFT(base[[#This Row],[Evento / Mercado]],FIND("vs",base[[#This Row],[Evento / Mercado]])-2)</f>
        <v>Metropolitanos FC</v>
      </c>
      <c r="R15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Estudiantes de Mérida</v>
      </c>
      <c r="S1563" s="132" t="str">
        <f>LEFT(base[[#This Row],[Evento / Mercado]],FIND("/",base[[#This Row],[Evento / Mercado]])-2)</f>
        <v>Metropolitanos FC vs Estudiantes de Mérida</v>
      </c>
    </row>
    <row r="1564" spans="2:21" ht="15" customHeight="1">
      <c r="B1564" s="128" t="s">
        <v>1393</v>
      </c>
      <c r="C1564" s="128" t="s">
        <v>2982</v>
      </c>
      <c r="D1564" s="129">
        <v>46138.877962962964</v>
      </c>
      <c r="E1564" s="130">
        <v>1.91</v>
      </c>
      <c r="F1564" s="136">
        <v>4.4999999999999998E-2</v>
      </c>
      <c r="G1564" s="126">
        <f t="shared" si="25"/>
        <v>2</v>
      </c>
      <c r="H1564" s="126" t="s">
        <v>1339</v>
      </c>
      <c r="I1564" s="127" t="s">
        <v>1236</v>
      </c>
      <c r="J1564" s="126">
        <v>7.6</v>
      </c>
      <c r="K1564" s="126">
        <v>2</v>
      </c>
      <c r="L1564" s="129">
        <f>INT(base[[#This Row],[Data de liquidação]])</f>
        <v>46138</v>
      </c>
      <c r="M1564" s="126">
        <f>base[[#This Row],[L/P Bruto]]-base[[#This Row],[L/P Líquido]]</f>
        <v>9.000000000000008E-2</v>
      </c>
      <c r="N1564" s="126">
        <f>base[[#This Row],[L/P Líquido]]/base[[#This Row],[Stake/Responsabilidade]]</f>
        <v>0.95499999999999996</v>
      </c>
      <c r="O1564" s="132">
        <f>IF(base[[#This Row],[L/P Líquido]]&gt;0,1,0)</f>
        <v>1</v>
      </c>
      <c r="P1564" s="132"/>
      <c r="Q1564" s="132" t="str">
        <f>LEFT(base[[#This Row],[Evento / Mercado]],FIND("vs",base[[#This Row],[Evento / Mercado]])-2)</f>
        <v>Los Angeles Galaxy</v>
      </c>
      <c r="R15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Salt Lake</v>
      </c>
      <c r="S1564" s="132" t="str">
        <f>LEFT(base[[#This Row],[Evento / Mercado]],FIND("/",base[[#This Row],[Evento / Mercado]])-2)</f>
        <v>Los Angeles Galaxy vs Real Salt Lake</v>
      </c>
    </row>
    <row r="1565" spans="2:21" ht="15" customHeight="1">
      <c r="B1565" s="128" t="s">
        <v>1392</v>
      </c>
      <c r="C1565" s="128" t="s">
        <v>2982</v>
      </c>
      <c r="D1565" s="129">
        <v>46138.920775462961</v>
      </c>
      <c r="E1565" s="130">
        <v>1.83</v>
      </c>
      <c r="F1565" s="136">
        <v>4.4999999999999998E-2</v>
      </c>
      <c r="G1565" s="126">
        <f t="shared" si="25"/>
        <v>1.9162303664921467</v>
      </c>
      <c r="H1565" s="126" t="s">
        <v>1339</v>
      </c>
      <c r="I1565" s="127" t="s">
        <v>1388</v>
      </c>
      <c r="J1565" s="126">
        <v>27</v>
      </c>
      <c r="K1565" s="126">
        <v>49.92</v>
      </c>
      <c r="L1565" s="129">
        <f>INT(base[[#This Row],[Data de liquidação]])</f>
        <v>46138</v>
      </c>
      <c r="M1565" s="126">
        <f>base[[#This Row],[L/P Bruto]]-base[[#This Row],[L/P Líquido]]</f>
        <v>8.6230366492146659E-2</v>
      </c>
      <c r="N1565" s="126">
        <f>base[[#This Row],[L/P Líquido]]/base[[#This Row],[Stake/Responsabilidade]]</f>
        <v>3.6658653846153848E-2</v>
      </c>
      <c r="O1565" s="132">
        <f>IF(base[[#This Row],[L/P Líquido]]&gt;0,1,0)</f>
        <v>1</v>
      </c>
      <c r="P1565" s="132"/>
      <c r="Q1565" s="132" t="str">
        <f>LEFT(base[[#This Row],[Evento / Mercado]],FIND("vs",base[[#This Row],[Evento / Mercado]])-2)</f>
        <v>Santos Laguna</v>
      </c>
      <c r="R15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Monterrey</v>
      </c>
      <c r="S1565" s="132" t="str">
        <f>LEFT(base[[#This Row],[Evento / Mercado]],FIND("/",base[[#This Row],[Evento / Mercado]])-2)</f>
        <v>Santos Laguna vs Monterrey</v>
      </c>
    </row>
    <row r="1566" spans="2:21" ht="15" customHeight="1">
      <c r="B1566" s="128" t="s">
        <v>1428</v>
      </c>
      <c r="C1566" s="128" t="s">
        <v>2982</v>
      </c>
      <c r="D1566" s="129">
        <v>46139.550659722219</v>
      </c>
      <c r="E1566" s="130">
        <v>-50.05</v>
      </c>
      <c r="F1566" s="136">
        <v>4.4999999999999998E-2</v>
      </c>
      <c r="G1566" s="126">
        <f t="shared" si="25"/>
        <v>-50.05</v>
      </c>
      <c r="H1566" s="126" t="s">
        <v>1339</v>
      </c>
      <c r="I1566" s="127" t="s">
        <v>1388</v>
      </c>
      <c r="J1566" s="126">
        <v>12</v>
      </c>
      <c r="K1566" s="126">
        <v>50.05</v>
      </c>
      <c r="L1566" s="129">
        <f>INT(base[[#This Row],[Data de liquidação]])</f>
        <v>46139</v>
      </c>
      <c r="M1566" s="126">
        <f>base[[#This Row],[L/P Bruto]]-base[[#This Row],[L/P Líquido]]</f>
        <v>0</v>
      </c>
      <c r="N1566" s="126">
        <f>base[[#This Row],[L/P Líquido]]/base[[#This Row],[Stake/Responsabilidade]]</f>
        <v>-1</v>
      </c>
      <c r="O1566" s="132">
        <f>IF(base[[#This Row],[L/P Líquido]]&gt;0,1,0)</f>
        <v>0</v>
      </c>
      <c r="P1566" s="132"/>
      <c r="Q1566" s="132" t="str">
        <f>LEFT(base[[#This Row],[Evento / Mercado]],FIND("vs",base[[#This Row],[Evento / Mercado]])-2)</f>
        <v>Al-Rayyan</v>
      </c>
      <c r="R15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Al-Arabi Doha</v>
      </c>
      <c r="S1566" s="132" t="str">
        <f>LEFT(base[[#This Row],[Evento / Mercado]],FIND("/",base[[#This Row],[Evento / Mercado]])-2)</f>
        <v>Al-Rayyan vs Al-Arabi Doha</v>
      </c>
    </row>
    <row r="1567" spans="2:21" ht="15" customHeight="1">
      <c r="B1567" s="128" t="s">
        <v>1427</v>
      </c>
      <c r="C1567" s="128" t="s">
        <v>2982</v>
      </c>
      <c r="D1567" s="129">
        <v>46139.55201388889</v>
      </c>
      <c r="E1567" s="130">
        <v>1.64</v>
      </c>
      <c r="F1567" s="136">
        <v>4.4999999999999998E-2</v>
      </c>
      <c r="G1567" s="126">
        <f t="shared" si="25"/>
        <v>1.7172774869109948</v>
      </c>
      <c r="H1567" s="126" t="s">
        <v>1339</v>
      </c>
      <c r="I1567" s="127" t="s">
        <v>1388</v>
      </c>
      <c r="J1567" s="126">
        <v>30</v>
      </c>
      <c r="K1567" s="126">
        <v>49.88</v>
      </c>
      <c r="L1567" s="129">
        <f>INT(base[[#This Row],[Data de liquidação]])</f>
        <v>46139</v>
      </c>
      <c r="M1567" s="126">
        <f>base[[#This Row],[L/P Bruto]]-base[[#This Row],[L/P Líquido]]</f>
        <v>7.7277486910994897E-2</v>
      </c>
      <c r="N1567" s="126">
        <f>base[[#This Row],[L/P Líquido]]/base[[#This Row],[Stake/Responsabilidade]]</f>
        <v>3.2878909382518043E-2</v>
      </c>
      <c r="O1567" s="132">
        <f>IF(base[[#This Row],[L/P Líquido]]&gt;0,1,0)</f>
        <v>1</v>
      </c>
      <c r="P1567" s="132"/>
      <c r="Q1567" s="132" t="str">
        <f>LEFT(base[[#This Row],[Evento / Mercado]],FIND("vs",base[[#This Row],[Evento / Mercado]])-2)</f>
        <v>Umm-Salal</v>
      </c>
      <c r="R15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Al-Ahli</v>
      </c>
      <c r="S1567" s="132" t="str">
        <f>LEFT(base[[#This Row],[Evento / Mercado]],FIND("/",base[[#This Row],[Evento / Mercado]])-2)</f>
        <v>Umm-Salal vs Al-Ahli</v>
      </c>
    </row>
    <row r="1568" spans="2:21" ht="15" customHeight="1">
      <c r="B1568" s="128" t="s">
        <v>1426</v>
      </c>
      <c r="C1568" s="128" t="s">
        <v>2982</v>
      </c>
      <c r="D1568" s="129">
        <v>46139.553900462961</v>
      </c>
      <c r="E1568" s="130">
        <v>3.08</v>
      </c>
      <c r="F1568" s="136">
        <v>4.4999999999999998E-2</v>
      </c>
      <c r="G1568" s="126">
        <f t="shared" si="25"/>
        <v>3.2251308900523563</v>
      </c>
      <c r="H1568" s="126" t="s">
        <v>1339</v>
      </c>
      <c r="I1568" s="127" t="s">
        <v>1430</v>
      </c>
      <c r="J1568" s="126">
        <v>17.5</v>
      </c>
      <c r="K1568" s="126">
        <v>53.3</v>
      </c>
      <c r="L1568" s="129">
        <f>INT(base[[#This Row],[Data de liquidação]])</f>
        <v>46139</v>
      </c>
      <c r="M1568" s="126">
        <f>base[[#This Row],[L/P Bruto]]-base[[#This Row],[L/P Líquido]]</f>
        <v>0.14513089005235624</v>
      </c>
      <c r="N1568" s="126">
        <f>base[[#This Row],[L/P Líquido]]/base[[#This Row],[Stake/Responsabilidade]]</f>
        <v>5.778611632270169E-2</v>
      </c>
      <c r="O1568" s="132">
        <f>IF(base[[#This Row],[L/P Líquido]]&gt;0,1,0)</f>
        <v>1</v>
      </c>
      <c r="P1568" s="132"/>
      <c r="Q1568" s="132" t="str">
        <f>LEFT(base[[#This Row],[Evento / Mercado]],FIND("vs",base[[#This Row],[Evento / Mercado]])-2)</f>
        <v>Al-Gharafa SC</v>
      </c>
      <c r="R15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Shahaniya</v>
      </c>
      <c r="S1568" s="132" t="str">
        <f>LEFT(base[[#This Row],[Evento / Mercado]],FIND("/",base[[#This Row],[Evento / Mercado]])-2)</f>
        <v>Al-Gharafa SC vs Al Shahaniya</v>
      </c>
    </row>
    <row r="1569" spans="2:21" ht="15" customHeight="1">
      <c r="B1569" s="128" t="s">
        <v>1425</v>
      </c>
      <c r="C1569" s="128" t="s">
        <v>2982</v>
      </c>
      <c r="D1569" s="129">
        <v>46139.609583333331</v>
      </c>
      <c r="E1569" s="130">
        <v>1.91</v>
      </c>
      <c r="F1569" s="136">
        <v>4.4999999999999998E-2</v>
      </c>
      <c r="G1569" s="126">
        <f t="shared" si="25"/>
        <v>2</v>
      </c>
      <c r="H1569" s="126" t="s">
        <v>1339</v>
      </c>
      <c r="I1569" s="127" t="s">
        <v>1236</v>
      </c>
      <c r="J1569" s="126">
        <v>9.6</v>
      </c>
      <c r="K1569" s="126">
        <v>2</v>
      </c>
      <c r="L1569" s="129">
        <f>INT(base[[#This Row],[Data de liquidação]])</f>
        <v>46139</v>
      </c>
      <c r="M1569" s="126">
        <f>base[[#This Row],[L/P Bruto]]-base[[#This Row],[L/P Líquido]]</f>
        <v>9.000000000000008E-2</v>
      </c>
      <c r="N1569" s="126">
        <f>base[[#This Row],[L/P Líquido]]/base[[#This Row],[Stake/Responsabilidade]]</f>
        <v>0.95499999999999996</v>
      </c>
      <c r="O1569" s="132">
        <f>IF(base[[#This Row],[L/P Líquido]]&gt;0,1,0)</f>
        <v>1</v>
      </c>
      <c r="P1569" s="132"/>
      <c r="Q1569" s="132" t="str">
        <f>LEFT(base[[#This Row],[Evento / Mercado]],FIND("vs",base[[#This Row],[Evento / Mercado]])-2)</f>
        <v>BK Häcken</v>
      </c>
      <c r="R15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1569" s="132" t="str">
        <f>LEFT(base[[#This Row],[Evento / Mercado]],FIND("/",base[[#This Row],[Evento / Mercado]])-2)</f>
        <v>BK Häcken vs IK Sirius</v>
      </c>
    </row>
    <row r="1570" spans="2:21" ht="15" customHeight="1">
      <c r="B1570" s="128" t="s">
        <v>1424</v>
      </c>
      <c r="C1570" s="128" t="s">
        <v>2982</v>
      </c>
      <c r="D1570" s="129">
        <v>46139.621064814812</v>
      </c>
      <c r="E1570" s="130">
        <v>1.6999</v>
      </c>
      <c r="F1570" s="136">
        <v>4.4999999999999998E-2</v>
      </c>
      <c r="G1570" s="126">
        <f t="shared" si="25"/>
        <v>1.78</v>
      </c>
      <c r="H1570" s="126" t="s">
        <v>1339</v>
      </c>
      <c r="I1570" s="127" t="s">
        <v>1429</v>
      </c>
      <c r="J1570" s="126">
        <v>1.89</v>
      </c>
      <c r="K1570" s="126">
        <v>2</v>
      </c>
      <c r="L1570" s="129">
        <f>INT(base[[#This Row],[Data de liquidação]])</f>
        <v>46139</v>
      </c>
      <c r="M1570" s="126">
        <f>base[[#This Row],[L/P Bruto]]-base[[#This Row],[L/P Líquido]]</f>
        <v>8.010000000000006E-2</v>
      </c>
      <c r="N1570" s="126">
        <f>base[[#This Row],[L/P Líquido]]/base[[#This Row],[Stake/Responsabilidade]]</f>
        <v>0.84994999999999998</v>
      </c>
      <c r="O1570" s="132">
        <f>IF(base[[#This Row],[L/P Líquido]]&gt;0,1,0)</f>
        <v>1</v>
      </c>
      <c r="P1570" s="132"/>
      <c r="Q1570" s="132" t="str">
        <f>LEFT(base[[#This Row],[Evento / Mercado]],FIND("vs",base[[#This Row],[Evento / Mercado]])-2)</f>
        <v>HNK Gorica</v>
      </c>
      <c r="R15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Istra 1961</v>
      </c>
      <c r="S1570" s="132" t="str">
        <f>LEFT(base[[#This Row],[Evento / Mercado]],FIND("/",base[[#This Row],[Evento / Mercado]])-2)</f>
        <v>HNK Gorica vs Istra 1961</v>
      </c>
      <c r="T1570" s="8">
        <v>1.52</v>
      </c>
      <c r="U1570" s="9">
        <f>T1570*0.955</f>
        <v>1.4516</v>
      </c>
    </row>
    <row r="1571" spans="2:21" ht="15" customHeight="1">
      <c r="B1571" s="128" t="s">
        <v>1424</v>
      </c>
      <c r="C1571" s="128" t="s">
        <v>2982</v>
      </c>
      <c r="D1571" s="129">
        <v>46139.621064814812</v>
      </c>
      <c r="E1571" s="130">
        <v>1.4516</v>
      </c>
      <c r="F1571" s="136">
        <v>4.4999999999999998E-2</v>
      </c>
      <c r="G1571" s="126">
        <f t="shared" si="25"/>
        <v>1.52</v>
      </c>
      <c r="H1571" s="126" t="s">
        <v>1339</v>
      </c>
      <c r="I1571" s="127" t="s">
        <v>1430</v>
      </c>
      <c r="J1571" s="126">
        <v>34</v>
      </c>
      <c r="K1571" s="126">
        <v>50.16</v>
      </c>
      <c r="L1571" s="129">
        <f>INT(base[[#This Row],[Data de liquidação]])</f>
        <v>46139</v>
      </c>
      <c r="M1571" s="126">
        <f>base[[#This Row],[L/P Bruto]]-base[[#This Row],[L/P Líquido]]</f>
        <v>6.8400000000000016E-2</v>
      </c>
      <c r="N1571" s="126">
        <f>base[[#This Row],[L/P Líquido]]/base[[#This Row],[Stake/Responsabilidade]]</f>
        <v>2.8939393939393942E-2</v>
      </c>
      <c r="O1571" s="132">
        <f>IF(base[[#This Row],[L/P Líquido]]&gt;0,1,0)</f>
        <v>1</v>
      </c>
      <c r="P1571" s="132"/>
      <c r="Q1571" s="132" t="str">
        <f>LEFT(base[[#This Row],[Evento / Mercado]],FIND("vs",base[[#This Row],[Evento / Mercado]])-2)</f>
        <v>HNK Gorica</v>
      </c>
      <c r="R15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Istra 1961</v>
      </c>
      <c r="S1571" s="132" t="str">
        <f>LEFT(base[[#This Row],[Evento / Mercado]],FIND("/",base[[#This Row],[Evento / Mercado]])-2)</f>
        <v>HNK Gorica vs Istra 1961</v>
      </c>
      <c r="T1571" s="8">
        <v>1.78</v>
      </c>
      <c r="U1571" s="9">
        <f>T1571*0.955</f>
        <v>1.6999</v>
      </c>
    </row>
    <row r="1572" spans="2:21" ht="15" customHeight="1">
      <c r="B1572" s="128" t="s">
        <v>1423</v>
      </c>
      <c r="C1572" s="128" t="s">
        <v>2982</v>
      </c>
      <c r="D1572" s="129">
        <v>46139.661215277774</v>
      </c>
      <c r="E1572" s="130">
        <v>39.79</v>
      </c>
      <c r="F1572" s="136">
        <v>4.4999999999999998E-2</v>
      </c>
      <c r="G1572" s="126">
        <f t="shared" si="25"/>
        <v>41.66492146596859</v>
      </c>
      <c r="H1572" s="126" t="s">
        <v>145</v>
      </c>
      <c r="I1572" s="127" t="s">
        <v>301</v>
      </c>
      <c r="J1572" s="126">
        <v>9.1999999999999993</v>
      </c>
      <c r="K1572" s="126">
        <v>341.69</v>
      </c>
      <c r="L1572" s="129">
        <f>INT(base[[#This Row],[Data de liquidação]])</f>
        <v>46139</v>
      </c>
      <c r="M1572" s="126">
        <f>base[[#This Row],[L/P Bruto]]-base[[#This Row],[L/P Líquido]]</f>
        <v>1.8749214659685904</v>
      </c>
      <c r="N1572" s="126">
        <f>base[[#This Row],[L/P Líquido]]/base[[#This Row],[Stake/Responsabilidade]]</f>
        <v>0.11645058386256549</v>
      </c>
      <c r="O1572" s="132">
        <f>IF(base[[#This Row],[L/P Líquido]]&gt;0,1,0)</f>
        <v>1</v>
      </c>
      <c r="P1572" s="132" t="s">
        <v>966</v>
      </c>
      <c r="Q1572" s="132" t="str">
        <f>LEFT(base[[#This Row],[Evento / Mercado]],FIND("vs",base[[#This Row],[Evento / Mercado]])-2)</f>
        <v>Besiktas JK</v>
      </c>
      <c r="R15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Fatih Karagümrük Istanbul</v>
      </c>
      <c r="S1572" s="132" t="str">
        <f>LEFT(base[[#This Row],[Evento / Mercado]],FIND("/",base[[#This Row],[Evento / Mercado]])-2)</f>
        <v>Besiktas JK vs Fatih Karagümrük Istanbul</v>
      </c>
    </row>
    <row r="1573" spans="2:21" ht="15" customHeight="1">
      <c r="B1573" s="128" t="s">
        <v>1422</v>
      </c>
      <c r="C1573" s="128" t="s">
        <v>2982</v>
      </c>
      <c r="D1573" s="129">
        <v>46139.661319444444</v>
      </c>
      <c r="E1573" s="130">
        <v>-2</v>
      </c>
      <c r="F1573" s="136">
        <v>4.4999999999999998E-2</v>
      </c>
      <c r="G1573" s="126">
        <f t="shared" si="25"/>
        <v>-2</v>
      </c>
      <c r="H1573" s="126" t="s">
        <v>1339</v>
      </c>
      <c r="I1573" s="127" t="s">
        <v>1431</v>
      </c>
      <c r="J1573" s="126">
        <v>1.83</v>
      </c>
      <c r="K1573" s="126">
        <v>2</v>
      </c>
      <c r="L1573" s="129">
        <f>INT(base[[#This Row],[Data de liquidação]])</f>
        <v>46139</v>
      </c>
      <c r="M1573" s="126">
        <f>base[[#This Row],[L/P Bruto]]-base[[#This Row],[L/P Líquido]]</f>
        <v>0</v>
      </c>
      <c r="N1573" s="126">
        <f>base[[#This Row],[L/P Líquido]]/base[[#This Row],[Stake/Responsabilidade]]</f>
        <v>-1</v>
      </c>
      <c r="O1573" s="132">
        <f>IF(base[[#This Row],[L/P Líquido]]&gt;0,1,0)</f>
        <v>0</v>
      </c>
      <c r="P1573" s="132"/>
      <c r="Q1573" s="132" t="str">
        <f>LEFT(base[[#This Row],[Evento / Mercado]],FIND("vs",base[[#This Row],[Evento / Mercado]])-2)</f>
        <v>Besiktas JK</v>
      </c>
      <c r="R15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Fatih Karagümrük Istanbul</v>
      </c>
      <c r="S1573" s="132" t="str">
        <f>LEFT(base[[#This Row],[Evento / Mercado]],FIND("/",base[[#This Row],[Evento / Mercado]])-2)</f>
        <v>Besiktas JK vs Fatih Karagümrük Istanbul</v>
      </c>
    </row>
    <row r="1574" spans="2:21" ht="15" customHeight="1">
      <c r="B1574" s="128" t="s">
        <v>1433</v>
      </c>
      <c r="C1574" s="128" t="s">
        <v>2982</v>
      </c>
      <c r="D1574" s="129">
        <v>46139.696979166663</v>
      </c>
      <c r="E1574" s="130">
        <v>1.91</v>
      </c>
      <c r="F1574" s="136">
        <v>4.4999999999999998E-2</v>
      </c>
      <c r="G1574" s="126">
        <f t="shared" si="25"/>
        <v>2</v>
      </c>
      <c r="H1574" s="126" t="s">
        <v>1339</v>
      </c>
      <c r="I1574" s="127" t="s">
        <v>1236</v>
      </c>
      <c r="J1574" s="126">
        <v>10</v>
      </c>
      <c r="K1574" s="126">
        <v>2</v>
      </c>
      <c r="L1574" s="129">
        <f>INT(base[[#This Row],[Data de liquidação]])</f>
        <v>46139</v>
      </c>
      <c r="M1574" s="126">
        <f>base[[#This Row],[L/P Bruto]]-base[[#This Row],[L/P Líquido]]</f>
        <v>9.000000000000008E-2</v>
      </c>
      <c r="N1574" s="126">
        <f>base[[#This Row],[L/P Líquido]]/base[[#This Row],[Stake/Responsabilidade]]</f>
        <v>0.95499999999999996</v>
      </c>
      <c r="O1574" s="132">
        <f>IF(base[[#This Row],[L/P Líquido]]&gt;0,1,0)</f>
        <v>1</v>
      </c>
      <c r="P1574" s="132"/>
      <c r="Q1574" s="132" t="str">
        <f>LEFT(base[[#This Row],[Evento / Mercado]],FIND("vs",base[[#This Row],[Evento / Mercado]])-2)</f>
        <v>Manchester United</v>
      </c>
      <c r="R15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1574" s="132" t="str">
        <f>LEFT(base[[#This Row],[Evento / Mercado]],FIND("/",base[[#This Row],[Evento / Mercado]])-2)</f>
        <v>Manchester United vs Brentford</v>
      </c>
    </row>
    <row r="1575" spans="2:21" ht="15" customHeight="1">
      <c r="B1575" s="128" t="s">
        <v>1432</v>
      </c>
      <c r="C1575" s="128" t="s">
        <v>2982</v>
      </c>
      <c r="D1575" s="129">
        <v>46139.854502314818</v>
      </c>
      <c r="E1575" s="130">
        <v>1.99</v>
      </c>
      <c r="F1575" s="136">
        <v>4.4999999999999998E-2</v>
      </c>
      <c r="G1575" s="126">
        <f t="shared" si="25"/>
        <v>2.0837696335078535</v>
      </c>
      <c r="H1575" s="126" t="s">
        <v>1339</v>
      </c>
      <c r="I1575" s="127" t="s">
        <v>1430</v>
      </c>
      <c r="J1575" s="126">
        <v>25</v>
      </c>
      <c r="K1575" s="126">
        <v>49.92</v>
      </c>
      <c r="L1575" s="129">
        <f>INT(base[[#This Row],[Data de liquidação]])</f>
        <v>46139</v>
      </c>
      <c r="M1575" s="126">
        <f>base[[#This Row],[L/P Bruto]]-base[[#This Row],[L/P Líquido]]</f>
        <v>9.37696335078535E-2</v>
      </c>
      <c r="N1575" s="126">
        <f>base[[#This Row],[L/P Líquido]]/base[[#This Row],[Stake/Responsabilidade]]</f>
        <v>3.9863782051282048E-2</v>
      </c>
      <c r="O1575" s="132">
        <f>IF(base[[#This Row],[L/P Líquido]]&gt;0,1,0)</f>
        <v>1</v>
      </c>
      <c r="P1575" s="132"/>
      <c r="Q1575" s="132" t="str">
        <f>LEFT(base[[#This Row],[Evento / Mercado]],FIND("vs",base[[#This Row],[Evento / Mercado]])-2)</f>
        <v>Manta FC</v>
      </c>
      <c r="R15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 del Ecuador</v>
      </c>
      <c r="S1575" s="132" t="str">
        <f>LEFT(base[[#This Row],[Evento / Mercado]],FIND("/",base[[#This Row],[Evento / Mercado]])-2)</f>
        <v>Manta FC vs Universidad Católica del Ecuador</v>
      </c>
    </row>
    <row r="1576" spans="2:21" ht="15" customHeight="1">
      <c r="B1576" s="128" t="s">
        <v>1445</v>
      </c>
      <c r="C1576" s="128" t="s">
        <v>2982</v>
      </c>
      <c r="D1576" s="129">
        <v>46140.608159722222</v>
      </c>
      <c r="E1576" s="130">
        <v>-0.82</v>
      </c>
      <c r="F1576" s="136">
        <v>4.4999999999999998E-2</v>
      </c>
      <c r="G1576" s="126">
        <f t="shared" si="25"/>
        <v>-0.82</v>
      </c>
      <c r="H1576" s="126" t="s">
        <v>1339</v>
      </c>
      <c r="I1576" s="127" t="s">
        <v>1236</v>
      </c>
      <c r="J1576" s="126">
        <v>12.11</v>
      </c>
      <c r="K1576" s="126">
        <v>2</v>
      </c>
      <c r="L1576" s="129">
        <f>INT(base[[#This Row],[Data de liquidação]])</f>
        <v>46140</v>
      </c>
      <c r="M1576" s="126">
        <f>base[[#This Row],[L/P Bruto]]-base[[#This Row],[L/P Líquido]]</f>
        <v>0</v>
      </c>
      <c r="N1576" s="126">
        <f>base[[#This Row],[L/P Líquido]]/base[[#This Row],[Stake/Responsabilidade]]</f>
        <v>-0.41</v>
      </c>
      <c r="O1576" s="132">
        <f>IF(base[[#This Row],[L/P Líquido]]&gt;0,1,0)</f>
        <v>0</v>
      </c>
      <c r="P1576" s="132"/>
      <c r="Q1576" s="132" t="str">
        <f>LEFT(base[[#This Row],[Evento / Mercado]],FIND("vs",base[[#This Row],[Evento / Mercado]])-2)</f>
        <v>Al-Shabab Riyadh</v>
      </c>
      <c r="R15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Al-Fateh Al-Hasa</v>
      </c>
      <c r="S1576" s="132" t="str">
        <f>LEFT(base[[#This Row],[Evento / Mercado]],FIND("/",base[[#This Row],[Evento / Mercado]])-2)</f>
        <v>Al-Shabab Riyadh vs Al-Fateh Al-Hasa</v>
      </c>
    </row>
    <row r="1577" spans="2:21" ht="15" customHeight="1">
      <c r="B1577" s="128" t="s">
        <v>1444</v>
      </c>
      <c r="C1577" s="128" t="s">
        <v>2982</v>
      </c>
      <c r="D1577" s="129">
        <v>46140.645266203705</v>
      </c>
      <c r="E1577" s="130">
        <v>1.91</v>
      </c>
      <c r="F1577" s="136">
        <v>4.4999999999999998E-2</v>
      </c>
      <c r="G1577" s="126">
        <f t="shared" si="25"/>
        <v>2</v>
      </c>
      <c r="H1577" s="126" t="s">
        <v>1339</v>
      </c>
      <c r="I1577" s="127" t="s">
        <v>1388</v>
      </c>
      <c r="J1577" s="126">
        <v>26</v>
      </c>
      <c r="K1577" s="126">
        <v>50</v>
      </c>
      <c r="L1577" s="129">
        <f>INT(base[[#This Row],[Data de liquidação]])</f>
        <v>46140</v>
      </c>
      <c r="M1577" s="126">
        <f>base[[#This Row],[L/P Bruto]]-base[[#This Row],[L/P Líquido]]</f>
        <v>9.000000000000008E-2</v>
      </c>
      <c r="N1577" s="126">
        <f>base[[#This Row],[L/P Líquido]]/base[[#This Row],[Stake/Responsabilidade]]</f>
        <v>3.8199999999999998E-2</v>
      </c>
      <c r="O1577" s="132">
        <f>IF(base[[#This Row],[L/P Líquido]]&gt;0,1,0)</f>
        <v>1</v>
      </c>
      <c r="P1577" s="132"/>
      <c r="Q1577" s="132" t="str">
        <f>LEFT(base[[#This Row],[Evento / Mercado]],FIND("vs",base[[#This Row],[Evento / Mercado]])-2)</f>
        <v>Maccabi Tel Aviv</v>
      </c>
      <c r="R15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Hapoel Be'er Sheva</v>
      </c>
      <c r="S1577" s="132" t="str">
        <f>LEFT(base[[#This Row],[Evento / Mercado]],FIND("/",base[[#This Row],[Evento / Mercado]])-2)</f>
        <v>Maccabi Tel Aviv vs Hapoel Be'er Sheva</v>
      </c>
    </row>
    <row r="1578" spans="2:21" ht="15" customHeight="1">
      <c r="B1578" s="128" t="s">
        <v>1443</v>
      </c>
      <c r="C1578" s="128" t="s">
        <v>2982</v>
      </c>
      <c r="D1578" s="129">
        <v>46140.653287037036</v>
      </c>
      <c r="E1578" s="130">
        <v>2.2200000000000002</v>
      </c>
      <c r="F1578" s="136">
        <v>4.4999999999999998E-2</v>
      </c>
      <c r="G1578" s="126">
        <f t="shared" si="25"/>
        <v>2.3246073298429324</v>
      </c>
      <c r="H1578" s="126" t="s">
        <v>1339</v>
      </c>
      <c r="I1578" s="127" t="s">
        <v>1338</v>
      </c>
      <c r="J1578" s="126">
        <v>2.16</v>
      </c>
      <c r="K1578" s="126">
        <v>2</v>
      </c>
      <c r="L1578" s="129">
        <f>INT(base[[#This Row],[Data de liquidação]])</f>
        <v>46140</v>
      </c>
      <c r="M1578" s="126">
        <f>base[[#This Row],[L/P Bruto]]-base[[#This Row],[L/P Líquido]]</f>
        <v>0.1046073298429322</v>
      </c>
      <c r="N1578" s="126">
        <f>base[[#This Row],[L/P Líquido]]/base[[#This Row],[Stake/Responsabilidade]]</f>
        <v>1.1100000000000001</v>
      </c>
      <c r="O1578" s="132">
        <f>IF(base[[#This Row],[L/P Líquido]]&gt;0,1,0)</f>
        <v>1</v>
      </c>
      <c r="P1578" s="132"/>
      <c r="Q1578" s="132" t="str">
        <f>LEFT(base[[#This Row],[Evento / Mercado]],FIND("vs",base[[#This Row],[Evento / Mercado]])-2)</f>
        <v>Neom SC</v>
      </c>
      <c r="R15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Hazm</v>
      </c>
      <c r="S1578" s="132" t="str">
        <f>LEFT(base[[#This Row],[Evento / Mercado]],FIND("/",base[[#This Row],[Evento / Mercado]])-2)</f>
        <v>Neom SC vs Al Hazm</v>
      </c>
    </row>
    <row r="1579" spans="2:21" ht="15" customHeight="1">
      <c r="B1579" s="128" t="s">
        <v>1442</v>
      </c>
      <c r="C1579" s="128" t="s">
        <v>2982</v>
      </c>
      <c r="D1579" s="129">
        <v>46140.66201388889</v>
      </c>
      <c r="E1579" s="130">
        <v>-5.0999999999999996</v>
      </c>
      <c r="F1579" s="136">
        <v>4.4999999999999998E-2</v>
      </c>
      <c r="G1579" s="126">
        <f t="shared" si="25"/>
        <v>-5.0999999999999996</v>
      </c>
      <c r="H1579" s="126" t="s">
        <v>1339</v>
      </c>
      <c r="I1579" s="127" t="s">
        <v>1446</v>
      </c>
      <c r="J1579" s="126">
        <v>2.12</v>
      </c>
      <c r="K1579" s="126">
        <v>5.0999999999999996</v>
      </c>
      <c r="L1579" s="129">
        <f>INT(base[[#This Row],[Data de liquidação]])</f>
        <v>46140</v>
      </c>
      <c r="M1579" s="126">
        <f>base[[#This Row],[L/P Bruto]]-base[[#This Row],[L/P Líquido]]</f>
        <v>0</v>
      </c>
      <c r="N1579" s="126">
        <f>base[[#This Row],[L/P Líquido]]/base[[#This Row],[Stake/Responsabilidade]]</f>
        <v>-1</v>
      </c>
      <c r="O1579" s="132">
        <f>IF(base[[#This Row],[L/P Líquido]]&gt;0,1,0)</f>
        <v>0</v>
      </c>
      <c r="P1579" s="132"/>
      <c r="Q1579" s="132" t="str">
        <f>LEFT(base[[#This Row],[Evento / Mercado]],FIND("vs",base[[#This Row],[Evento / Mercado]])-2)</f>
        <v>IFK Norrköping</v>
      </c>
      <c r="R15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Landskrona BoIS</v>
      </c>
      <c r="S1579" s="132" t="str">
        <f>LEFT(base[[#This Row],[Evento / Mercado]],FIND("/",base[[#This Row],[Evento / Mercado]])-2)</f>
        <v>IFK Norrköping vs Landskrona BoIS</v>
      </c>
    </row>
    <row r="1580" spans="2:21" ht="15" customHeight="1">
      <c r="B1580" s="128" t="s">
        <v>1441</v>
      </c>
      <c r="C1580" s="128" t="s">
        <v>2982</v>
      </c>
      <c r="D1580" s="129">
        <v>46140.666006944448</v>
      </c>
      <c r="E1580" s="130">
        <v>3.58</v>
      </c>
      <c r="F1580" s="136">
        <v>4.4999999999999998E-2</v>
      </c>
      <c r="G1580" s="126">
        <f t="shared" si="25"/>
        <v>3.74869109947644</v>
      </c>
      <c r="H1580" s="126" t="s">
        <v>1339</v>
      </c>
      <c r="I1580" s="127" t="s">
        <v>1390</v>
      </c>
      <c r="J1580" s="126">
        <v>9</v>
      </c>
      <c r="K1580" s="126">
        <v>30</v>
      </c>
      <c r="L1580" s="129">
        <f>INT(base[[#This Row],[Data de liquidação]])</f>
        <v>46140</v>
      </c>
      <c r="M1580" s="126">
        <f>base[[#This Row],[L/P Bruto]]-base[[#This Row],[L/P Líquido]]</f>
        <v>0.1686910994764399</v>
      </c>
      <c r="N1580" s="126">
        <f>base[[#This Row],[L/P Líquido]]/base[[#This Row],[Stake/Responsabilidade]]</f>
        <v>0.11933333333333333</v>
      </c>
      <c r="O1580" s="132">
        <f>IF(base[[#This Row],[L/P Líquido]]&gt;0,1,0)</f>
        <v>1</v>
      </c>
      <c r="P1580" s="132"/>
      <c r="Q1580" s="132" t="str">
        <f>LEFT(base[[#This Row],[Evento / Mercado]],FIND("vs",base[[#This Row],[Evento / Mercado]])-2)</f>
        <v>Beitar Jerusalem</v>
      </c>
      <c r="R15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Hapoel Petah Tikva</v>
      </c>
      <c r="S1580" s="132" t="str">
        <f>LEFT(base[[#This Row],[Evento / Mercado]],FIND("/",base[[#This Row],[Evento / Mercado]])-2)</f>
        <v>Beitar Jerusalem vs Hapoel Petah Tikva</v>
      </c>
    </row>
    <row r="1581" spans="2:21" ht="15" customHeight="1">
      <c r="B1581" s="128" t="s">
        <v>1440</v>
      </c>
      <c r="C1581" s="128" t="s">
        <v>2982</v>
      </c>
      <c r="D1581" s="129">
        <v>46140.734363425923</v>
      </c>
      <c r="E1581" s="130">
        <v>1.77</v>
      </c>
      <c r="F1581" s="136">
        <v>4.4999999999999998E-2</v>
      </c>
      <c r="G1581" s="126">
        <f t="shared" si="25"/>
        <v>1.8534031413612566</v>
      </c>
      <c r="H1581" s="126" t="s">
        <v>1339</v>
      </c>
      <c r="I1581" s="127" t="s">
        <v>1388</v>
      </c>
      <c r="J1581" s="126">
        <v>28</v>
      </c>
      <c r="K1581" s="126">
        <v>49.95</v>
      </c>
      <c r="L1581" s="129">
        <f>INT(base[[#This Row],[Data de liquidação]])</f>
        <v>46140</v>
      </c>
      <c r="M1581" s="126">
        <f>base[[#This Row],[L/P Bruto]]-base[[#This Row],[L/P Líquido]]</f>
        <v>8.3403141361256594E-2</v>
      </c>
      <c r="N1581" s="126">
        <f>base[[#This Row],[L/P Líquido]]/base[[#This Row],[Stake/Responsabilidade]]</f>
        <v>3.5435435435435432E-2</v>
      </c>
      <c r="O1581" s="132">
        <f>IF(base[[#This Row],[L/P Líquido]]&gt;0,1,0)</f>
        <v>1</v>
      </c>
      <c r="P1581" s="132"/>
      <c r="Q1581" s="132" t="str">
        <f>LEFT(base[[#This Row],[Evento / Mercado]],FIND("vs",base[[#This Row],[Evento / Mercado]])-2)</f>
        <v>Southampton</v>
      </c>
      <c r="R15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Ipswich Town</v>
      </c>
      <c r="S1581" s="132" t="str">
        <f>LEFT(base[[#This Row],[Evento / Mercado]],FIND("/",base[[#This Row],[Evento / Mercado]])-2)</f>
        <v>Southampton vs Ipswich Town</v>
      </c>
    </row>
    <row r="1582" spans="2:21" ht="15" customHeight="1">
      <c r="B1582" s="128" t="s">
        <v>1439</v>
      </c>
      <c r="C1582" s="128" t="s">
        <v>2982</v>
      </c>
      <c r="D1582" s="129">
        <v>46140.735173611109</v>
      </c>
      <c r="E1582" s="130">
        <v>0.39</v>
      </c>
      <c r="F1582" s="136">
        <v>4.4999999999999998E-2</v>
      </c>
      <c r="G1582" s="126">
        <f t="shared" si="25"/>
        <v>0.40837696335078538</v>
      </c>
      <c r="H1582" s="126" t="s">
        <v>1339</v>
      </c>
      <c r="I1582" s="127" t="s">
        <v>1336</v>
      </c>
      <c r="J1582" s="126">
        <v>1.48</v>
      </c>
      <c r="K1582" s="126">
        <v>2</v>
      </c>
      <c r="L1582" s="129">
        <f>INT(base[[#This Row],[Data de liquidação]])</f>
        <v>46140</v>
      </c>
      <c r="M1582" s="126">
        <f>base[[#This Row],[L/P Bruto]]-base[[#This Row],[L/P Líquido]]</f>
        <v>1.8376963350785369E-2</v>
      </c>
      <c r="N1582" s="126">
        <f>base[[#This Row],[L/P Líquido]]/base[[#This Row],[Stake/Responsabilidade]]</f>
        <v>0.19500000000000001</v>
      </c>
      <c r="O1582" s="132">
        <f>IF(base[[#This Row],[L/P Líquido]]&gt;0,1,0)</f>
        <v>1</v>
      </c>
      <c r="P1582" s="132"/>
      <c r="Q1582" s="132" t="str">
        <f>LEFT(base[[#This Row],[Evento / Mercado]],FIND("vs",base[[#This Row],[Evento / Mercado]])-2)</f>
        <v>Peterborough United</v>
      </c>
      <c r="R15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Mansfield Town</v>
      </c>
      <c r="S1582" s="132" t="str">
        <f>LEFT(base[[#This Row],[Evento / Mercado]],FIND("/",base[[#This Row],[Evento / Mercado]])-2)</f>
        <v>Peterborough United vs Mansfield Town</v>
      </c>
    </row>
    <row r="1583" spans="2:21" ht="15" customHeight="1">
      <c r="B1583" s="128" t="s">
        <v>1438</v>
      </c>
      <c r="C1583" s="128" t="s">
        <v>2982</v>
      </c>
      <c r="D1583" s="129">
        <v>46140.735196759262</v>
      </c>
      <c r="E1583" s="130">
        <v>-2</v>
      </c>
      <c r="F1583" s="136">
        <v>4.4999999999999998E-2</v>
      </c>
      <c r="G1583" s="126">
        <f t="shared" si="25"/>
        <v>-2</v>
      </c>
      <c r="H1583" s="126" t="s">
        <v>1339</v>
      </c>
      <c r="I1583" s="127" t="s">
        <v>1431</v>
      </c>
      <c r="J1583" s="126">
        <v>2.3199999999999998</v>
      </c>
      <c r="K1583" s="126">
        <v>2</v>
      </c>
      <c r="L1583" s="129">
        <f>INT(base[[#This Row],[Data de liquidação]])</f>
        <v>46140</v>
      </c>
      <c r="M1583" s="126">
        <f>base[[#This Row],[L/P Bruto]]-base[[#This Row],[L/P Líquido]]</f>
        <v>0</v>
      </c>
      <c r="N1583" s="126">
        <f>base[[#This Row],[L/P Líquido]]/base[[#This Row],[Stake/Responsabilidade]]</f>
        <v>-1</v>
      </c>
      <c r="O1583" s="132">
        <f>IF(base[[#This Row],[L/P Líquido]]&gt;0,1,0)</f>
        <v>0</v>
      </c>
      <c r="P1583" s="132"/>
      <c r="Q1583" s="132" t="str">
        <f>LEFT(base[[#This Row],[Evento / Mercado]],FIND("vs",base[[#This Row],[Evento / Mercado]])-2)</f>
        <v>Peterborough United</v>
      </c>
      <c r="R15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Mansfield Town</v>
      </c>
      <c r="S1583" s="132" t="str">
        <f>LEFT(base[[#This Row],[Evento / Mercado]],FIND("/",base[[#This Row],[Evento / Mercado]])-2)</f>
        <v>Peterborough United vs Mansfield Town</v>
      </c>
    </row>
    <row r="1584" spans="2:21" ht="15" customHeight="1">
      <c r="B1584" s="128" t="s">
        <v>1437</v>
      </c>
      <c r="C1584" s="128" t="s">
        <v>2982</v>
      </c>
      <c r="D1584" s="129">
        <v>46140.736018518517</v>
      </c>
      <c r="E1584" s="130">
        <v>-1.1299999999999999</v>
      </c>
      <c r="F1584" s="136">
        <v>4.4999999999999998E-2</v>
      </c>
      <c r="G1584" s="126">
        <f t="shared" si="25"/>
        <v>-1.1299999999999999</v>
      </c>
      <c r="H1584" s="126" t="s">
        <v>1339</v>
      </c>
      <c r="I1584" s="127" t="s">
        <v>1236</v>
      </c>
      <c r="J1584" s="126">
        <v>7.4</v>
      </c>
      <c r="K1584" s="126">
        <v>2</v>
      </c>
      <c r="L1584" s="129">
        <f>INT(base[[#This Row],[Data de liquidação]])</f>
        <v>46140</v>
      </c>
      <c r="M1584" s="126">
        <f>base[[#This Row],[L/P Bruto]]-base[[#This Row],[L/P Líquido]]</f>
        <v>0</v>
      </c>
      <c r="N1584" s="126">
        <f>base[[#This Row],[L/P Líquido]]/base[[#This Row],[Stake/Responsabilidade]]</f>
        <v>-0.56499999999999995</v>
      </c>
      <c r="O1584" s="132">
        <f>IF(base[[#This Row],[L/P Líquido]]&gt;0,1,0)</f>
        <v>0</v>
      </c>
      <c r="P1584" s="132"/>
      <c r="Q1584" s="132" t="str">
        <f>LEFT(base[[#This Row],[Evento / Mercado]],FIND("vs",base[[#This Row],[Evento / Mercado]])-2)</f>
        <v>Northampton Town</v>
      </c>
      <c r="R15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Barnsley</v>
      </c>
      <c r="S1584" s="132" t="str">
        <f>LEFT(base[[#This Row],[Evento / Mercado]],FIND("/",base[[#This Row],[Evento / Mercado]])-2)</f>
        <v>Northampton Town vs Barnsley</v>
      </c>
    </row>
    <row r="1585" spans="2:21" ht="15" customHeight="1">
      <c r="B1585" s="128" t="s">
        <v>1436</v>
      </c>
      <c r="C1585" s="128" t="s">
        <v>2982</v>
      </c>
      <c r="D1585" s="129">
        <v>46140.736087962963</v>
      </c>
      <c r="E1585" s="130">
        <v>0.33</v>
      </c>
      <c r="F1585" s="136">
        <v>4.4999999999999998E-2</v>
      </c>
      <c r="G1585" s="126">
        <f t="shared" si="25"/>
        <v>0.34554973821989532</v>
      </c>
      <c r="H1585" s="126" t="s">
        <v>1339</v>
      </c>
      <c r="I1585" s="127" t="s">
        <v>1336</v>
      </c>
      <c r="J1585" s="126">
        <v>1.42</v>
      </c>
      <c r="K1585" s="126">
        <v>2</v>
      </c>
      <c r="L1585" s="129">
        <f>INT(base[[#This Row],[Data de liquidação]])</f>
        <v>46140</v>
      </c>
      <c r="M1585" s="126">
        <f>base[[#This Row],[L/P Bruto]]-base[[#This Row],[L/P Líquido]]</f>
        <v>1.5549738219895304E-2</v>
      </c>
      <c r="N1585" s="126">
        <f>base[[#This Row],[L/P Líquido]]/base[[#This Row],[Stake/Responsabilidade]]</f>
        <v>0.16500000000000001</v>
      </c>
      <c r="O1585" s="132">
        <f>IF(base[[#This Row],[L/P Líquido]]&gt;0,1,0)</f>
        <v>1</v>
      </c>
      <c r="P1585" s="132"/>
      <c r="Q1585" s="132" t="str">
        <f>LEFT(base[[#This Row],[Evento / Mercado]],FIND("vs",base[[#This Row],[Evento / Mercado]])-2)</f>
        <v>Northampton Town</v>
      </c>
      <c r="R15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Barnsley</v>
      </c>
      <c r="S1585" s="132" t="str">
        <f>LEFT(base[[#This Row],[Evento / Mercado]],FIND("/",base[[#This Row],[Evento / Mercado]])-2)</f>
        <v>Northampton Town vs Barnsley</v>
      </c>
    </row>
    <row r="1586" spans="2:21" ht="15" customHeight="1">
      <c r="B1586" s="128" t="s">
        <v>1435</v>
      </c>
      <c r="C1586" s="128" t="s">
        <v>2982</v>
      </c>
      <c r="D1586" s="129">
        <v>46140.74800925926</v>
      </c>
      <c r="E1586" s="130">
        <v>20.95</v>
      </c>
      <c r="F1586" s="136">
        <v>0</v>
      </c>
      <c r="G1586" s="126">
        <f t="shared" si="25"/>
        <v>20.95</v>
      </c>
      <c r="H1586" s="126" t="s">
        <v>122</v>
      </c>
      <c r="I1586" s="127" t="s">
        <v>477</v>
      </c>
      <c r="J1586" s="126">
        <v>22</v>
      </c>
      <c r="K1586" s="126">
        <v>439.95</v>
      </c>
      <c r="L1586" s="129">
        <f>INT(base[[#This Row],[Data de liquidação]])</f>
        <v>46140</v>
      </c>
      <c r="M1586" s="126">
        <f>base[[#This Row],[L/P Bruto]]-base[[#This Row],[L/P Líquido]]</f>
        <v>0</v>
      </c>
      <c r="N1586" s="126">
        <f>base[[#This Row],[L/P Líquido]]/base[[#This Row],[Stake/Responsabilidade]]</f>
        <v>4.7619047619047616E-2</v>
      </c>
      <c r="O1586" s="132">
        <f>IF(base[[#This Row],[L/P Líquido]]&gt;0,1,0)</f>
        <v>1</v>
      </c>
      <c r="P1586" s="132"/>
      <c r="Q1586" s="132" t="str">
        <f>LEFT(base[[#This Row],[Evento / Mercado]],FIND("vs",base[[#This Row],[Evento / Mercado]])-2)</f>
        <v>Paris Saint-Germain</v>
      </c>
      <c r="R15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586" s="132" t="str">
        <f>LEFT(base[[#This Row],[Evento / Mercado]],FIND("/",base[[#This Row],[Evento / Mercado]])-2)</f>
        <v>Paris Saint-Germain vs FC Bayern München</v>
      </c>
      <c r="T1586" s="8">
        <v>20.95</v>
      </c>
      <c r="U1586" s="9">
        <f>T1586*0.955</f>
        <v>20.007249999999999</v>
      </c>
    </row>
    <row r="1587" spans="2:21" ht="15" customHeight="1">
      <c r="B1587" s="128" t="s">
        <v>1435</v>
      </c>
      <c r="C1587" s="128" t="s">
        <v>2982</v>
      </c>
      <c r="D1587" s="129">
        <v>46140.74800925926</v>
      </c>
      <c r="E1587" s="130">
        <v>-49.91</v>
      </c>
      <c r="F1587" s="136">
        <v>4.4999999999999998E-2</v>
      </c>
      <c r="G1587" s="126">
        <f t="shared" si="25"/>
        <v>-49.91</v>
      </c>
      <c r="H1587" s="126" t="s">
        <v>1339</v>
      </c>
      <c r="I1587" s="127" t="s">
        <v>1388</v>
      </c>
      <c r="J1587" s="126">
        <v>24</v>
      </c>
      <c r="K1587" s="126">
        <v>49.91</v>
      </c>
      <c r="L1587" s="129">
        <f>INT(base[[#This Row],[Data de liquidação]])</f>
        <v>46140</v>
      </c>
      <c r="M1587" s="126">
        <f>base[[#This Row],[L/P Bruto]]-base[[#This Row],[L/P Líquido]]</f>
        <v>0</v>
      </c>
      <c r="N1587" s="126">
        <f>base[[#This Row],[L/P Líquido]]/base[[#This Row],[Stake/Responsabilidade]]</f>
        <v>-1</v>
      </c>
      <c r="O1587" s="132">
        <f>IF(base[[#This Row],[L/P Líquido]]&gt;0,1,0)</f>
        <v>0</v>
      </c>
      <c r="P1587" s="132" t="s">
        <v>972</v>
      </c>
      <c r="Q1587" s="132" t="str">
        <f>LEFT(base[[#This Row],[Evento / Mercado]],FIND("vs",base[[#This Row],[Evento / Mercado]])-2)</f>
        <v>Paris Saint-Germain</v>
      </c>
      <c r="R15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587" s="132" t="str">
        <f>LEFT(base[[#This Row],[Evento / Mercado]],FIND("/",base[[#This Row],[Evento / Mercado]])-2)</f>
        <v>Paris Saint-Germain vs FC Bayern München</v>
      </c>
      <c r="U1587" s="9"/>
    </row>
    <row r="1588" spans="2:21" ht="15" customHeight="1">
      <c r="B1588" s="128" t="s">
        <v>1434</v>
      </c>
      <c r="C1588" s="128" t="s">
        <v>2982</v>
      </c>
      <c r="D1588" s="129">
        <v>46140.748483796298</v>
      </c>
      <c r="E1588" s="130">
        <v>29.84</v>
      </c>
      <c r="F1588" s="136">
        <v>4.4999999999999998E-2</v>
      </c>
      <c r="G1588" s="126">
        <f t="shared" si="25"/>
        <v>31.246073298429319</v>
      </c>
      <c r="H1588" s="126" t="s">
        <v>1233</v>
      </c>
      <c r="I1588" s="127"/>
      <c r="J1588" s="126">
        <v>4.2</v>
      </c>
      <c r="K1588" s="126">
        <v>100</v>
      </c>
      <c r="L1588" s="129">
        <f>INT(base[[#This Row],[Data de liquidação]])</f>
        <v>46140</v>
      </c>
      <c r="M1588" s="126">
        <f>base[[#This Row],[L/P Bruto]]-base[[#This Row],[L/P Líquido]]</f>
        <v>1.4060732984293196</v>
      </c>
      <c r="N1588" s="126">
        <f>base[[#This Row],[L/P Líquido]]/base[[#This Row],[Stake/Responsabilidade]]</f>
        <v>0.2984</v>
      </c>
      <c r="O1588" s="132">
        <f>IF(base[[#This Row],[L/P Líquido]]&gt;0,1,0)</f>
        <v>1</v>
      </c>
      <c r="P1588" s="132"/>
      <c r="Q1588" s="132" t="str">
        <f>LEFT(base[[#This Row],[Evento / Mercado]],FIND("vs",base[[#This Row],[Evento / Mercado]])-2)</f>
        <v>Paris Saint-Germain</v>
      </c>
      <c r="R15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588" s="132" t="str">
        <f>LEFT(base[[#This Row],[Evento / Mercado]],FIND("/",base[[#This Row],[Evento / Mercado]])-2)</f>
        <v>Paris Saint-Germain vs FC Bayern München</v>
      </c>
    </row>
    <row r="1589" spans="2:21" ht="15" customHeight="1">
      <c r="B1589" s="128" t="s">
        <v>1473</v>
      </c>
      <c r="C1589" s="128" t="s">
        <v>2982</v>
      </c>
      <c r="D1589" s="129">
        <v>46141.420300925929</v>
      </c>
      <c r="E1589" s="130">
        <v>5.0199999999999996</v>
      </c>
      <c r="F1589" s="136">
        <v>4.4999999999999998E-2</v>
      </c>
      <c r="G1589" s="126">
        <f t="shared" si="25"/>
        <v>5.2565445026178006</v>
      </c>
      <c r="H1589" s="126" t="s">
        <v>1339</v>
      </c>
      <c r="I1589" s="127" t="s">
        <v>1430</v>
      </c>
      <c r="J1589" s="126">
        <v>10.5</v>
      </c>
      <c r="K1589" s="126">
        <v>49.97</v>
      </c>
      <c r="L1589" s="129">
        <f>INT(base[[#This Row],[Data de liquidação]])</f>
        <v>46141</v>
      </c>
      <c r="M1589" s="126">
        <f>base[[#This Row],[L/P Bruto]]-base[[#This Row],[L/P Líquido]]</f>
        <v>0.23654450261780102</v>
      </c>
      <c r="N1589" s="126">
        <f>base[[#This Row],[L/P Líquido]]/base[[#This Row],[Stake/Responsabilidade]]</f>
        <v>0.10046027616569941</v>
      </c>
      <c r="O1589" s="132">
        <f>IF(base[[#This Row],[L/P Líquido]]&gt;0,1,0)</f>
        <v>1</v>
      </c>
      <c r="P1589" s="132"/>
      <c r="Q1589" s="132" t="str">
        <f>LEFT(base[[#This Row],[Evento / Mercado]],FIND("vs",base[[#This Row],[Evento / Mercado]])-2)</f>
        <v>Chiangrai United</v>
      </c>
      <c r="R15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Ratchaburi</v>
      </c>
      <c r="S1589" s="132" t="str">
        <f>LEFT(base[[#This Row],[Evento / Mercado]],FIND("/",base[[#This Row],[Evento / Mercado]])-2)</f>
        <v>Chiangrai United vs Ratchaburi</v>
      </c>
    </row>
    <row r="1590" spans="2:21" ht="15" customHeight="1">
      <c r="B1590" s="128" t="s">
        <v>1472</v>
      </c>
      <c r="C1590" s="128" t="s">
        <v>2982</v>
      </c>
      <c r="D1590" s="129">
        <v>46141.422025462962</v>
      </c>
      <c r="E1590" s="130">
        <v>1.91</v>
      </c>
      <c r="F1590" s="136">
        <v>4.4999999999999998E-2</v>
      </c>
      <c r="G1590" s="126">
        <f t="shared" si="25"/>
        <v>2</v>
      </c>
      <c r="H1590" s="126" t="s">
        <v>1339</v>
      </c>
      <c r="I1590" s="127" t="s">
        <v>1236</v>
      </c>
      <c r="J1590" s="126">
        <v>10.09</v>
      </c>
      <c r="K1590" s="126">
        <v>2</v>
      </c>
      <c r="L1590" s="129">
        <f>INT(base[[#This Row],[Data de liquidação]])</f>
        <v>46141</v>
      </c>
      <c r="M1590" s="126">
        <f>base[[#This Row],[L/P Bruto]]-base[[#This Row],[L/P Líquido]]</f>
        <v>9.000000000000008E-2</v>
      </c>
      <c r="N1590" s="126">
        <f>base[[#This Row],[L/P Líquido]]/base[[#This Row],[Stake/Responsabilidade]]</f>
        <v>0.95499999999999996</v>
      </c>
      <c r="O1590" s="132">
        <f>IF(base[[#This Row],[L/P Líquido]]&gt;0,1,0)</f>
        <v>1</v>
      </c>
      <c r="P1590" s="132"/>
      <c r="Q1590" s="132" t="str">
        <f>LEFT(base[[#This Row],[Evento / Mercado]],FIND("vs",base[[#This Row],[Evento / Mercado]])-2)</f>
        <v>Rayong FC</v>
      </c>
      <c r="R15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Buriram United</v>
      </c>
      <c r="S1590" s="132" t="str">
        <f>LEFT(base[[#This Row],[Evento / Mercado]],FIND("/",base[[#This Row],[Evento / Mercado]])-2)</f>
        <v>Rayong FC vs Buriram United</v>
      </c>
    </row>
    <row r="1591" spans="2:21" ht="15" customHeight="1">
      <c r="B1591" s="128" t="s">
        <v>1471</v>
      </c>
      <c r="C1591" s="128" t="s">
        <v>2982</v>
      </c>
      <c r="D1591" s="129">
        <v>46141.436493055553</v>
      </c>
      <c r="E1591" s="130">
        <v>3.29</v>
      </c>
      <c r="F1591" s="136">
        <v>4.4999999999999998E-2</v>
      </c>
      <c r="G1591" s="126">
        <f t="shared" si="25"/>
        <v>3.4450261780104712</v>
      </c>
      <c r="H1591" s="126" t="s">
        <v>1339</v>
      </c>
      <c r="I1591" s="127" t="s">
        <v>1430</v>
      </c>
      <c r="J1591" s="126">
        <v>15.5</v>
      </c>
      <c r="K1591" s="126">
        <v>50.03</v>
      </c>
      <c r="L1591" s="129">
        <f>INT(base[[#This Row],[Data de liquidação]])</f>
        <v>46141</v>
      </c>
      <c r="M1591" s="126">
        <f>base[[#This Row],[L/P Bruto]]-base[[#This Row],[L/P Líquido]]</f>
        <v>0.15502617801047114</v>
      </c>
      <c r="N1591" s="126">
        <f>base[[#This Row],[L/P Líquido]]/base[[#This Row],[Stake/Responsabilidade]]</f>
        <v>6.5760543673795718E-2</v>
      </c>
      <c r="O1591" s="132">
        <f>IF(base[[#This Row],[L/P Líquido]]&gt;0,1,0)</f>
        <v>1</v>
      </c>
      <c r="P1591" s="132"/>
      <c r="Q1591" s="132" t="str">
        <f>LEFT(base[[#This Row],[Evento / Mercado]],FIND("vs",base[[#This Row],[Evento / Mercado]])-2)</f>
        <v>Uthai Thani FC</v>
      </c>
      <c r="R15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Bangkok United</v>
      </c>
      <c r="S1591" s="132" t="str">
        <f>LEFT(base[[#This Row],[Evento / Mercado]],FIND("/",base[[#This Row],[Evento / Mercado]])-2)</f>
        <v>Uthai Thani FC vs Bangkok United</v>
      </c>
    </row>
    <row r="1592" spans="2:21" ht="15" customHeight="1">
      <c r="B1592" s="128" t="s">
        <v>1470</v>
      </c>
      <c r="C1592" s="128" t="s">
        <v>2982</v>
      </c>
      <c r="D1592" s="129">
        <v>46141.598090277781</v>
      </c>
      <c r="E1592" s="130">
        <v>2.39</v>
      </c>
      <c r="F1592" s="136">
        <v>4.4999999999999998E-2</v>
      </c>
      <c r="G1592" s="126">
        <f t="shared" si="25"/>
        <v>2.5026178010471205</v>
      </c>
      <c r="H1592" s="126" t="s">
        <v>1339</v>
      </c>
      <c r="I1592" s="127" t="s">
        <v>1390</v>
      </c>
      <c r="J1592" s="126">
        <v>13</v>
      </c>
      <c r="K1592" s="126">
        <v>30</v>
      </c>
      <c r="L1592" s="129">
        <f>INT(base[[#This Row],[Data de liquidação]])</f>
        <v>46141</v>
      </c>
      <c r="M1592" s="126">
        <f>base[[#This Row],[L/P Bruto]]-base[[#This Row],[L/P Líquido]]</f>
        <v>0.11261780104712038</v>
      </c>
      <c r="N1592" s="126">
        <f>base[[#This Row],[L/P Líquido]]/base[[#This Row],[Stake/Responsabilidade]]</f>
        <v>7.9666666666666677E-2</v>
      </c>
      <c r="O1592" s="132">
        <f>IF(base[[#This Row],[L/P Líquido]]&gt;0,1,0)</f>
        <v>1</v>
      </c>
      <c r="P1592" s="132"/>
      <c r="Q1592" s="132" t="str">
        <f>LEFT(base[[#This Row],[Evento / Mercado]],FIND("vs",base[[#This Row],[Evento / Mercado]])-2)</f>
        <v>Shabab Al-Ahli Dubai FC</v>
      </c>
      <c r="R15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Khor Fakkan</v>
      </c>
      <c r="S1592" s="132" t="str">
        <f>LEFT(base[[#This Row],[Evento / Mercado]],FIND("/",base[[#This Row],[Evento / Mercado]])-2)</f>
        <v>Shabab Al-Ahli Dubai FC vs Khor Fakkan</v>
      </c>
    </row>
    <row r="1593" spans="2:21" ht="15" customHeight="1">
      <c r="B1593" s="128" t="s">
        <v>1469</v>
      </c>
      <c r="C1593" s="128" t="s">
        <v>2982</v>
      </c>
      <c r="D1593" s="129">
        <v>46141.621342592596</v>
      </c>
      <c r="E1593" s="130">
        <v>-2.0299999999999998</v>
      </c>
      <c r="F1593" s="136">
        <v>4.4999999999999998E-2</v>
      </c>
      <c r="G1593" s="126">
        <f t="shared" si="25"/>
        <v>-2.0299999999999998</v>
      </c>
      <c r="H1593" s="126" t="s">
        <v>1339</v>
      </c>
      <c r="I1593" s="127" t="s">
        <v>1236</v>
      </c>
      <c r="J1593" s="126">
        <v>12.5</v>
      </c>
      <c r="K1593" s="126">
        <v>2</v>
      </c>
      <c r="L1593" s="129">
        <f>INT(base[[#This Row],[Data de liquidação]])</f>
        <v>46141</v>
      </c>
      <c r="M1593" s="126">
        <f>base[[#This Row],[L/P Bruto]]-base[[#This Row],[L/P Líquido]]</f>
        <v>0</v>
      </c>
      <c r="N1593" s="126">
        <f>base[[#This Row],[L/P Líquido]]/base[[#This Row],[Stake/Responsabilidade]]</f>
        <v>-1.0149999999999999</v>
      </c>
      <c r="O1593" s="132">
        <f>IF(base[[#This Row],[L/P Líquido]]&gt;0,1,0)</f>
        <v>0</v>
      </c>
      <c r="P1593" s="132"/>
      <c r="Q1593" s="132" t="str">
        <f>LEFT(base[[#This Row],[Evento / Mercado]],FIND("vs",base[[#This Row],[Evento / Mercado]])-2)</f>
        <v>Al-Riyadh</v>
      </c>
      <c r="R15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Al-Qadisiyah</v>
      </c>
      <c r="S1593" s="132" t="str">
        <f>LEFT(base[[#This Row],[Evento / Mercado]],FIND("/",base[[#This Row],[Evento / Mercado]])-2)</f>
        <v>Al-Riyadh vs Al-Qadisiyah</v>
      </c>
    </row>
    <row r="1594" spans="2:21" ht="15" customHeight="1">
      <c r="B1594" s="128" t="s">
        <v>1468</v>
      </c>
      <c r="C1594" s="128" t="s">
        <v>2982</v>
      </c>
      <c r="D1594" s="129">
        <v>46141.624050925922</v>
      </c>
      <c r="E1594" s="130">
        <v>2.61</v>
      </c>
      <c r="F1594" s="136">
        <v>4.4999999999999998E-2</v>
      </c>
      <c r="G1594" s="126">
        <f t="shared" si="25"/>
        <v>2.7329842931937174</v>
      </c>
      <c r="H1594" s="126" t="s">
        <v>1339</v>
      </c>
      <c r="I1594" s="127" t="s">
        <v>1390</v>
      </c>
      <c r="J1594" s="126">
        <v>12</v>
      </c>
      <c r="K1594" s="126">
        <v>30.03</v>
      </c>
      <c r="L1594" s="129">
        <f>INT(base[[#This Row],[Data de liquidação]])</f>
        <v>46141</v>
      </c>
      <c r="M1594" s="126">
        <f>base[[#This Row],[L/P Bruto]]-base[[#This Row],[L/P Líquido]]</f>
        <v>0.12298429319371751</v>
      </c>
      <c r="N1594" s="126">
        <f>base[[#This Row],[L/P Líquido]]/base[[#This Row],[Stake/Responsabilidade]]</f>
        <v>8.6913086913086912E-2</v>
      </c>
      <c r="O1594" s="132">
        <f>IF(base[[#This Row],[L/P Líquido]]&gt;0,1,0)</f>
        <v>1</v>
      </c>
      <c r="P1594" s="132"/>
      <c r="Q1594" s="132" t="str">
        <f>LEFT(base[[#This Row],[Evento / Mercado]],FIND("vs",base[[#This Row],[Evento / Mercado]])-2)</f>
        <v>Al-Muharraq</v>
      </c>
      <c r="R15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Budaiya</v>
      </c>
      <c r="S1594" s="132" t="str">
        <f>LEFT(base[[#This Row],[Evento / Mercado]],FIND("/",base[[#This Row],[Evento / Mercado]])-2)</f>
        <v>Al-Muharraq vs Budaiya</v>
      </c>
    </row>
    <row r="1595" spans="2:21" ht="15" customHeight="1">
      <c r="B1595" s="128" t="s">
        <v>1467</v>
      </c>
      <c r="C1595" s="128" t="s">
        <v>2982</v>
      </c>
      <c r="D1595" s="129">
        <v>46141.639247685183</v>
      </c>
      <c r="E1595" s="130">
        <v>1.77</v>
      </c>
      <c r="F1595" s="136">
        <v>4.4999999999999998E-2</v>
      </c>
      <c r="G1595" s="126">
        <f t="shared" si="25"/>
        <v>1.8534031413612566</v>
      </c>
      <c r="H1595" s="126" t="s">
        <v>1339</v>
      </c>
      <c r="I1595" s="127" t="s">
        <v>1430</v>
      </c>
      <c r="J1595" s="126">
        <v>28</v>
      </c>
      <c r="K1595" s="126">
        <v>49.95</v>
      </c>
      <c r="L1595" s="129">
        <f>INT(base[[#This Row],[Data de liquidação]])</f>
        <v>46141</v>
      </c>
      <c r="M1595" s="126">
        <f>base[[#This Row],[L/P Bruto]]-base[[#This Row],[L/P Líquido]]</f>
        <v>8.3403141361256594E-2</v>
      </c>
      <c r="N1595" s="126">
        <f>base[[#This Row],[L/P Líquido]]/base[[#This Row],[Stake/Responsabilidade]]</f>
        <v>3.5435435435435432E-2</v>
      </c>
      <c r="O1595" s="132">
        <f>IF(base[[#This Row],[L/P Líquido]]&gt;0,1,0)</f>
        <v>1</v>
      </c>
      <c r="P1595" s="132"/>
      <c r="Q1595" s="132" t="str">
        <f>LEFT(base[[#This Row],[Evento / Mercado]],FIND("vs",base[[#This Row],[Evento / Mercado]])-2)</f>
        <v>Hapoel Tel Aviv</v>
      </c>
      <c r="R15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Maccabi Haifa</v>
      </c>
      <c r="S1595" s="132" t="str">
        <f>LEFT(base[[#This Row],[Evento / Mercado]],FIND("/",base[[#This Row],[Evento / Mercado]])-2)</f>
        <v>Hapoel Tel Aviv vs Maccabi Haifa</v>
      </c>
    </row>
    <row r="1596" spans="2:21" ht="15" customHeight="1">
      <c r="B1596" s="128" t="s">
        <v>1466</v>
      </c>
      <c r="C1596" s="128" t="s">
        <v>2982</v>
      </c>
      <c r="D1596" s="129">
        <v>46141.664201388892</v>
      </c>
      <c r="E1596" s="130">
        <v>25.842299999999998</v>
      </c>
      <c r="F1596" s="136">
        <v>4.4999999999999998E-2</v>
      </c>
      <c r="G1596" s="126">
        <f t="shared" si="25"/>
        <v>27.06</v>
      </c>
      <c r="H1596" s="126" t="s">
        <v>74</v>
      </c>
      <c r="I1596" s="127" t="s">
        <v>476</v>
      </c>
      <c r="J1596" s="126">
        <v>18</v>
      </c>
      <c r="K1596" s="126">
        <v>460.02</v>
      </c>
      <c r="L1596" s="129">
        <f>INT(base[[#This Row],[Data de liquidação]])</f>
        <v>46141</v>
      </c>
      <c r="M1596" s="126">
        <f>base[[#This Row],[L/P Bruto]]-base[[#This Row],[L/P Líquido]]</f>
        <v>1.2177000000000007</v>
      </c>
      <c r="N1596" s="126">
        <f>base[[#This Row],[L/P Líquido]]/base[[#This Row],[Stake/Responsabilidade]]</f>
        <v>5.6176470588235293E-2</v>
      </c>
      <c r="O1596" s="132">
        <f>IF(base[[#This Row],[L/P Líquido]]&gt;0,1,0)</f>
        <v>1</v>
      </c>
      <c r="P1596" s="132" t="s">
        <v>982</v>
      </c>
      <c r="Q1596" s="132" t="str">
        <f>LEFT(base[[#This Row],[Evento / Mercado]],FIND("vs",base[[#This Row],[Evento / Mercado]])-2)</f>
        <v>Tromsø</v>
      </c>
      <c r="R15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1596" s="132" t="str">
        <f>LEFT(base[[#This Row],[Evento / Mercado]],FIND("/",base[[#This Row],[Evento / Mercado]])-2)</f>
        <v>Tromsø vs Brann</v>
      </c>
      <c r="T1596" s="8">
        <v>27.06</v>
      </c>
      <c r="U1596" s="9">
        <f>T1596*0.955</f>
        <v>25.842299999999998</v>
      </c>
    </row>
    <row r="1597" spans="2:21" ht="15" customHeight="1">
      <c r="B1597" s="128" t="s">
        <v>1466</v>
      </c>
      <c r="C1597" s="128" t="s">
        <v>2982</v>
      </c>
      <c r="D1597" s="129">
        <v>46141.664201388892</v>
      </c>
      <c r="E1597" s="130">
        <v>2.2728999999999999</v>
      </c>
      <c r="F1597" s="136">
        <v>4.4999999999999998E-2</v>
      </c>
      <c r="G1597" s="126">
        <f t="shared" si="25"/>
        <v>2.38</v>
      </c>
      <c r="H1597" s="126" t="s">
        <v>1339</v>
      </c>
      <c r="I1597" s="127" t="s">
        <v>1388</v>
      </c>
      <c r="J1597" s="126">
        <v>23</v>
      </c>
      <c r="K1597" s="126">
        <v>52.36</v>
      </c>
      <c r="L1597" s="129">
        <f>INT(base[[#This Row],[Data de liquidação]])</f>
        <v>46141</v>
      </c>
      <c r="M1597" s="126">
        <f>base[[#This Row],[L/P Bruto]]-base[[#This Row],[L/P Líquido]]</f>
        <v>0.10709999999999997</v>
      </c>
      <c r="N1597" s="126">
        <f>base[[#This Row],[L/P Líquido]]/base[[#This Row],[Stake/Responsabilidade]]</f>
        <v>4.3409090909090911E-2</v>
      </c>
      <c r="O1597" s="132">
        <f>IF(base[[#This Row],[L/P Líquido]]&gt;0,1,0)</f>
        <v>1</v>
      </c>
      <c r="P1597" s="132"/>
      <c r="Q1597" s="132" t="str">
        <f>LEFT(base[[#This Row],[Evento / Mercado]],FIND("vs",base[[#This Row],[Evento / Mercado]])-2)</f>
        <v>Tromsø</v>
      </c>
      <c r="R15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1597" s="132" t="str">
        <f>LEFT(base[[#This Row],[Evento / Mercado]],FIND("/",base[[#This Row],[Evento / Mercado]])-2)</f>
        <v>Tromsø vs Brann</v>
      </c>
      <c r="T1597" s="8">
        <v>2.38</v>
      </c>
      <c r="U1597" s="9">
        <f>T1597*0.955</f>
        <v>2.2728999999999999</v>
      </c>
    </row>
    <row r="1598" spans="2:21" ht="15" customHeight="1">
      <c r="B1598" s="128" t="s">
        <v>1465</v>
      </c>
      <c r="C1598" s="128" t="s">
        <v>2982</v>
      </c>
      <c r="D1598" s="129">
        <v>46141.705138888887</v>
      </c>
      <c r="E1598" s="130">
        <v>-1.97</v>
      </c>
      <c r="F1598" s="136">
        <v>4.4999999999999998E-2</v>
      </c>
      <c r="G1598" s="126">
        <f t="shared" si="25"/>
        <v>-1.97</v>
      </c>
      <c r="H1598" s="126" t="s">
        <v>1339</v>
      </c>
      <c r="I1598" s="127" t="s">
        <v>1389</v>
      </c>
      <c r="J1598" s="126">
        <v>1.57</v>
      </c>
      <c r="K1598" s="126">
        <v>1.97</v>
      </c>
      <c r="L1598" s="129">
        <f>INT(base[[#This Row],[Data de liquidação]])</f>
        <v>46141</v>
      </c>
      <c r="M1598" s="126">
        <f>base[[#This Row],[L/P Bruto]]-base[[#This Row],[L/P Líquido]]</f>
        <v>0</v>
      </c>
      <c r="N1598" s="126">
        <f>base[[#This Row],[L/P Líquido]]/base[[#This Row],[Stake/Responsabilidade]]</f>
        <v>-1</v>
      </c>
      <c r="O1598" s="132">
        <f>IF(base[[#This Row],[L/P Líquido]]&gt;0,1,0)</f>
        <v>0</v>
      </c>
      <c r="P1598" s="132"/>
      <c r="Q1598" s="132" t="str">
        <f>LEFT(base[[#This Row],[Evento / Mercado]],FIND("vs",base[[#This Row],[Evento / Mercado]])-2)</f>
        <v>Al-Nassr Riyadh</v>
      </c>
      <c r="R15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Ahli Jeddah</v>
      </c>
      <c r="S1598" s="132" t="str">
        <f>LEFT(base[[#This Row],[Evento / Mercado]],FIND("/",base[[#This Row],[Evento / Mercado]])-2)</f>
        <v>Al-Nassr Riyadh vs Al Ahli Jeddah</v>
      </c>
    </row>
    <row r="1599" spans="2:21" ht="15" customHeight="1">
      <c r="B1599" s="128" t="s">
        <v>1464</v>
      </c>
      <c r="C1599" s="128" t="s">
        <v>2982</v>
      </c>
      <c r="D1599" s="129">
        <v>46141.759016203701</v>
      </c>
      <c r="E1599" s="130">
        <v>-3.37</v>
      </c>
      <c r="F1599" s="136">
        <v>4.4999999999999998E-2</v>
      </c>
      <c r="G1599" s="126">
        <f t="shared" si="25"/>
        <v>-3.37</v>
      </c>
      <c r="H1599" s="126" t="s">
        <v>74</v>
      </c>
      <c r="I1599" s="127" t="s">
        <v>477</v>
      </c>
      <c r="J1599" s="126">
        <v>13</v>
      </c>
      <c r="K1599" s="126">
        <v>485.04</v>
      </c>
      <c r="L1599" s="129">
        <f>INT(base[[#This Row],[Data de liquidação]])</f>
        <v>46141</v>
      </c>
      <c r="M1599" s="126">
        <f>base[[#This Row],[L/P Bruto]]-base[[#This Row],[L/P Líquido]]</f>
        <v>0</v>
      </c>
      <c r="N1599" s="126">
        <f>base[[#This Row],[L/P Líquido]]/base[[#This Row],[Stake/Responsabilidade]]</f>
        <v>-6.9478805871680685E-3</v>
      </c>
      <c r="O1599" s="132">
        <f>IF(base[[#This Row],[L/P Líquido]]&gt;0,1,0)</f>
        <v>0</v>
      </c>
      <c r="P1599" s="132" t="s">
        <v>965</v>
      </c>
      <c r="Q1599" s="132" t="str">
        <f>LEFT(base[[#This Row],[Evento / Mercado]],FIND("vs",base[[#This Row],[Evento / Mercado]])-2)</f>
        <v>Sporting CP</v>
      </c>
      <c r="R15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Tondela</v>
      </c>
      <c r="S1599" s="132" t="str">
        <f>LEFT(base[[#This Row],[Evento / Mercado]],FIND("/",base[[#This Row],[Evento / Mercado]])-2)</f>
        <v>Sporting CP vs Tondela</v>
      </c>
    </row>
    <row r="1600" spans="2:21" ht="15" customHeight="1">
      <c r="B1600" s="128" t="s">
        <v>1479</v>
      </c>
      <c r="C1600" s="128" t="s">
        <v>2982</v>
      </c>
      <c r="D1600" s="129">
        <v>46142.744837962964</v>
      </c>
      <c r="E1600" s="130">
        <v>1.77</v>
      </c>
      <c r="F1600" s="136">
        <v>4.4999999999999998E-2</v>
      </c>
      <c r="G1600" s="126">
        <f t="shared" si="25"/>
        <v>1.8534031413612566</v>
      </c>
      <c r="H1600" s="126" t="s">
        <v>1339</v>
      </c>
      <c r="I1600" s="127" t="s">
        <v>1430</v>
      </c>
      <c r="J1600" s="126">
        <v>27</v>
      </c>
      <c r="K1600" s="126">
        <v>49.95</v>
      </c>
      <c r="L1600" s="129">
        <f>INT(base[[#This Row],[Data de liquidação]])</f>
        <v>46142</v>
      </c>
      <c r="M1600" s="126">
        <f>base[[#This Row],[L/P Bruto]]-base[[#This Row],[L/P Líquido]]</f>
        <v>8.3403141361256594E-2</v>
      </c>
      <c r="N1600" s="126">
        <f>base[[#This Row],[L/P Líquido]]/base[[#This Row],[Stake/Responsabilidade]]</f>
        <v>3.5435435435435432E-2</v>
      </c>
      <c r="O1600" s="132">
        <f>IF(base[[#This Row],[L/P Líquido]]&gt;0,1,0)</f>
        <v>1</v>
      </c>
      <c r="P1600" s="132"/>
      <c r="Q1600" s="132" t="str">
        <f>LEFT(base[[#This Row],[Evento / Mercado]],FIND("vs",base[[#This Row],[Evento / Mercado]])-2)</f>
        <v>Nottingham Forest</v>
      </c>
      <c r="R16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1600" s="132" t="str">
        <f>LEFT(base[[#This Row],[Evento / Mercado]],FIND("/",base[[#This Row],[Evento / Mercado]])-2)</f>
        <v>Nottingham Forest vs Aston Villa</v>
      </c>
    </row>
    <row r="1601" spans="2:19" ht="15" customHeight="1">
      <c r="B1601" s="128" t="s">
        <v>1478</v>
      </c>
      <c r="C1601" s="128" t="s">
        <v>2982</v>
      </c>
      <c r="D1601" s="129">
        <v>46142.752766203703</v>
      </c>
      <c r="E1601" s="130">
        <v>1.64</v>
      </c>
      <c r="F1601" s="136">
        <v>4.4999999999999998E-2</v>
      </c>
      <c r="G1601" s="126">
        <f t="shared" si="25"/>
        <v>1.7172774869109948</v>
      </c>
      <c r="H1601" s="126" t="s">
        <v>1339</v>
      </c>
      <c r="I1601" s="127" t="s">
        <v>1388</v>
      </c>
      <c r="J1601" s="126">
        <v>30</v>
      </c>
      <c r="K1601" s="126">
        <v>49.88</v>
      </c>
      <c r="L1601" s="129">
        <f>INT(base[[#This Row],[Data de liquidação]])</f>
        <v>46142</v>
      </c>
      <c r="M1601" s="126">
        <f>base[[#This Row],[L/P Bruto]]-base[[#This Row],[L/P Líquido]]</f>
        <v>7.7277486910994897E-2</v>
      </c>
      <c r="N1601" s="126">
        <f>base[[#This Row],[L/P Líquido]]/base[[#This Row],[Stake/Responsabilidade]]</f>
        <v>3.2878909382518043E-2</v>
      </c>
      <c r="O1601" s="132">
        <f>IF(base[[#This Row],[L/P Líquido]]&gt;0,1,0)</f>
        <v>1</v>
      </c>
      <c r="P1601" s="132"/>
      <c r="Q1601" s="132" t="str">
        <f>LEFT(base[[#This Row],[Evento / Mercado]],FIND("vs",base[[#This Row],[Evento / Mercado]])-2)</f>
        <v>Rayo Vallecano</v>
      </c>
      <c r="R16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Strasbourg</v>
      </c>
      <c r="S1601" s="132" t="str">
        <f>LEFT(base[[#This Row],[Evento / Mercado]],FIND("/",base[[#This Row],[Evento / Mercado]])-2)</f>
        <v>Rayo Vallecano vs RC Strasbourg</v>
      </c>
    </row>
    <row r="1602" spans="2:19" ht="15" customHeight="1">
      <c r="B1602" s="128" t="s">
        <v>1477</v>
      </c>
      <c r="C1602" s="128" t="s">
        <v>2982</v>
      </c>
      <c r="D1602" s="129">
        <v>46142.752951388888</v>
      </c>
      <c r="E1602" s="130">
        <v>1.54</v>
      </c>
      <c r="F1602" s="136">
        <v>4.4999999999999998E-2</v>
      </c>
      <c r="G1602" s="126">
        <f t="shared" si="25"/>
        <v>1.6125654450261782</v>
      </c>
      <c r="H1602" s="126" t="s">
        <v>1339</v>
      </c>
      <c r="I1602" s="127" t="s">
        <v>1430</v>
      </c>
      <c r="J1602" s="126">
        <v>34</v>
      </c>
      <c r="K1602" s="126">
        <v>53.13</v>
      </c>
      <c r="L1602" s="129">
        <f>INT(base[[#This Row],[Data de liquidação]])</f>
        <v>46142</v>
      </c>
      <c r="M1602" s="126">
        <f>base[[#This Row],[L/P Bruto]]-base[[#This Row],[L/P Líquido]]</f>
        <v>7.2565445026178121E-2</v>
      </c>
      <c r="N1602" s="126">
        <f>base[[#This Row],[L/P Líquido]]/base[[#This Row],[Stake/Responsabilidade]]</f>
        <v>2.8985507246376812E-2</v>
      </c>
      <c r="O1602" s="132">
        <f>IF(base[[#This Row],[L/P Líquido]]&gt;0,1,0)</f>
        <v>1</v>
      </c>
      <c r="P1602" s="132"/>
      <c r="Q1602" s="132" t="str">
        <f>LEFT(base[[#This Row],[Evento / Mercado]],FIND("vs",base[[#This Row],[Evento / Mercado]])-2)</f>
        <v>Rayo Vallecano</v>
      </c>
      <c r="R16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Strasbourg</v>
      </c>
      <c r="S1602" s="132" t="str">
        <f>LEFT(base[[#This Row],[Evento / Mercado]],FIND("/",base[[#This Row],[Evento / Mercado]])-2)</f>
        <v>Rayo Vallecano vs RC Strasbourg</v>
      </c>
    </row>
    <row r="1603" spans="2:19" ht="15" customHeight="1">
      <c r="B1603" s="128" t="s">
        <v>1476</v>
      </c>
      <c r="C1603" s="128" t="s">
        <v>2982</v>
      </c>
      <c r="D1603" s="129">
        <v>46142.893854166665</v>
      </c>
      <c r="E1603" s="130">
        <v>20.059999999999999</v>
      </c>
      <c r="F1603" s="136">
        <v>4.4999999999999998E-2</v>
      </c>
      <c r="G1603" s="126">
        <f t="shared" ref="G1603:G1666" si="26">IF(E1603&gt;0,E1603/(1-F1603),E1603)</f>
        <v>21.005235602094242</v>
      </c>
      <c r="H1603" s="126" t="s">
        <v>211</v>
      </c>
      <c r="I1603" s="127" t="s">
        <v>1480</v>
      </c>
      <c r="J1603" s="126">
        <v>1.6</v>
      </c>
      <c r="K1603" s="126">
        <v>35</v>
      </c>
      <c r="L1603" s="129">
        <f>INT(base[[#This Row],[Data de liquidação]])</f>
        <v>46142</v>
      </c>
      <c r="M1603" s="126">
        <f>base[[#This Row],[L/P Bruto]]-base[[#This Row],[L/P Líquido]]</f>
        <v>0.94523560209424318</v>
      </c>
      <c r="N1603" s="126">
        <f>base[[#This Row],[L/P Líquido]]/base[[#This Row],[Stake/Responsabilidade]]</f>
        <v>0.57314285714285707</v>
      </c>
      <c r="O1603" s="132">
        <f>IF(base[[#This Row],[L/P Líquido]]&gt;0,1,0)</f>
        <v>1</v>
      </c>
      <c r="P1603" s="132"/>
      <c r="Q1603" s="132" t="str">
        <f>LEFT(base[[#This Row],[Evento / Mercado]],FIND("vs",base[[#This Row],[Evento / Mercado]])-2)</f>
        <v>Corinthians</v>
      </c>
      <c r="R16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 Peñarol</v>
      </c>
      <c r="S1603" s="132" t="str">
        <f>LEFT(base[[#This Row],[Evento / Mercado]],FIND("/",base[[#This Row],[Evento / Mercado]])-2)</f>
        <v>Corinthians vs CA Peñarol</v>
      </c>
    </row>
    <row r="1604" spans="2:19" ht="15" customHeight="1">
      <c r="B1604" s="128" t="s">
        <v>1586</v>
      </c>
      <c r="C1604" s="128" t="s">
        <v>2982</v>
      </c>
      <c r="D1604" s="129">
        <v>46143.387696759259</v>
      </c>
      <c r="E1604" s="130">
        <v>1.1499999999999999</v>
      </c>
      <c r="F1604" s="136">
        <v>4.4999999999999998E-2</v>
      </c>
      <c r="G1604" s="126">
        <f t="shared" si="26"/>
        <v>1.2041884816753927</v>
      </c>
      <c r="H1604" s="126" t="s">
        <v>1339</v>
      </c>
      <c r="I1604" s="127" t="s">
        <v>1448</v>
      </c>
      <c r="J1604" s="126">
        <v>1.6</v>
      </c>
      <c r="K1604" s="126">
        <v>2</v>
      </c>
      <c r="L1604" s="129">
        <f>INT(base[[#This Row],[Data de liquidação]])</f>
        <v>46143</v>
      </c>
      <c r="M1604" s="126">
        <f>base[[#This Row],[L/P Bruto]]-base[[#This Row],[L/P Líquido]]</f>
        <v>5.4188481675392808E-2</v>
      </c>
      <c r="N1604" s="126">
        <f>base[[#This Row],[L/P Líquido]]/base[[#This Row],[Stake/Responsabilidade]]</f>
        <v>0.57499999999999996</v>
      </c>
      <c r="O1604" s="132">
        <f>IF(base[[#This Row],[L/P Líquido]]&gt;0,1,0)</f>
        <v>1</v>
      </c>
      <c r="P1604" s="132"/>
      <c r="Q1604" s="132" t="str">
        <f>LEFT(base[[#This Row],[Evento / Mercado]],FIND("vs",base[[#This Row],[Evento / Mercado]])-2)</f>
        <v>Shandong Taishan</v>
      </c>
      <c r="R16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West Coast</v>
      </c>
      <c r="S1604" s="132" t="str">
        <f>LEFT(base[[#This Row],[Evento / Mercado]],FIND("/",base[[#This Row],[Evento / Mercado]])-2)</f>
        <v>Shandong Taishan vs Qingdao West Coast</v>
      </c>
    </row>
    <row r="1605" spans="2:19" ht="15" customHeight="1">
      <c r="B1605" s="128" t="s">
        <v>1585</v>
      </c>
      <c r="C1605" s="128" t="s">
        <v>2982</v>
      </c>
      <c r="D1605" s="129">
        <v>46143.430532407408</v>
      </c>
      <c r="E1605" s="130">
        <v>77.98</v>
      </c>
      <c r="F1605" s="136">
        <v>4.4999999999999998E-2</v>
      </c>
      <c r="G1605" s="126">
        <f t="shared" si="26"/>
        <v>81.654450261780113</v>
      </c>
      <c r="H1605" s="126" t="s">
        <v>231</v>
      </c>
      <c r="I1605" s="127" t="s">
        <v>266</v>
      </c>
      <c r="J1605" s="126">
        <v>1.71</v>
      </c>
      <c r="K1605" s="126">
        <v>115</v>
      </c>
      <c r="L1605" s="129">
        <f>INT(base[[#This Row],[Data de liquidação]])</f>
        <v>46143</v>
      </c>
      <c r="M1605" s="126">
        <f>base[[#This Row],[L/P Bruto]]-base[[#This Row],[L/P Líquido]]</f>
        <v>3.6744502617801089</v>
      </c>
      <c r="N1605" s="126">
        <f>base[[#This Row],[L/P Líquido]]/base[[#This Row],[Stake/Responsabilidade]]</f>
        <v>0.67808695652173911</v>
      </c>
      <c r="O1605" s="132">
        <f>IF(base[[#This Row],[L/P Líquido]]&gt;0,1,0)</f>
        <v>1</v>
      </c>
      <c r="P1605" s="132"/>
      <c r="Q1605" s="132" t="str">
        <f>LEFT(base[[#This Row],[Evento / Mercado]],FIND("vs",base[[#This Row],[Evento / Mercado]])-2)</f>
        <v>Palermo</v>
      </c>
      <c r="R16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1605" s="132" t="str">
        <f>LEFT(base[[#This Row],[Evento / Mercado]],FIND("/",base[[#This Row],[Evento / Mercado]])-2)</f>
        <v>Palermo vs Catanzaro</v>
      </c>
    </row>
    <row r="1606" spans="2:19" ht="15" customHeight="1">
      <c r="B1606" s="128" t="s">
        <v>1584</v>
      </c>
      <c r="C1606" s="128" t="s">
        <v>2982</v>
      </c>
      <c r="D1606" s="129">
        <v>46143.437291666669</v>
      </c>
      <c r="E1606" s="130">
        <v>3.68</v>
      </c>
      <c r="F1606" s="136">
        <v>4.4999999999999998E-2</v>
      </c>
      <c r="G1606" s="126">
        <f t="shared" si="26"/>
        <v>3.8534031413612571</v>
      </c>
      <c r="H1606" s="126" t="s">
        <v>1339</v>
      </c>
      <c r="I1606" s="127" t="s">
        <v>1446</v>
      </c>
      <c r="J1606" s="126">
        <v>2.3199999999999998</v>
      </c>
      <c r="K1606" s="126">
        <v>5.08</v>
      </c>
      <c r="L1606" s="129">
        <f>INT(base[[#This Row],[Data de liquidação]])</f>
        <v>46143</v>
      </c>
      <c r="M1606" s="126">
        <f>base[[#This Row],[L/P Bruto]]-base[[#This Row],[L/P Líquido]]</f>
        <v>0.1734031413612569</v>
      </c>
      <c r="N1606" s="126">
        <f>base[[#This Row],[L/P Líquido]]/base[[#This Row],[Stake/Responsabilidade]]</f>
        <v>0.72440944881889768</v>
      </c>
      <c r="O1606" s="132">
        <f>IF(base[[#This Row],[L/P Líquido]]&gt;0,1,0)</f>
        <v>1</v>
      </c>
      <c r="P1606" s="132"/>
      <c r="Q1606" s="132" t="str">
        <f>LEFT(base[[#This Row],[Evento / Mercado]],FIND("vs",base[[#This Row],[Evento / Mercado]])-2)</f>
        <v>Shandong Taishan</v>
      </c>
      <c r="R16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West Coast</v>
      </c>
      <c r="S1606" s="132" t="str">
        <f>LEFT(base[[#This Row],[Evento / Mercado]],FIND("/",base[[#This Row],[Evento / Mercado]])-2)</f>
        <v>Shandong Taishan vs Qingdao West Coast</v>
      </c>
    </row>
    <row r="1607" spans="2:19" ht="15" customHeight="1">
      <c r="B1607" s="128" t="s">
        <v>1583</v>
      </c>
      <c r="C1607" s="128" t="s">
        <v>2982</v>
      </c>
      <c r="D1607" s="129">
        <v>46143.466481481482</v>
      </c>
      <c r="E1607" s="130">
        <v>2.46</v>
      </c>
      <c r="F1607" s="136">
        <v>4.4999999999999998E-2</v>
      </c>
      <c r="G1607" s="126">
        <f t="shared" si="26"/>
        <v>2.5759162303664924</v>
      </c>
      <c r="H1607" s="126" t="s">
        <v>1339</v>
      </c>
      <c r="I1607" s="127" t="s">
        <v>1446</v>
      </c>
      <c r="J1607" s="126">
        <v>2.94</v>
      </c>
      <c r="K1607" s="126">
        <v>5.01</v>
      </c>
      <c r="L1607" s="129">
        <f>INT(base[[#This Row],[Data de liquidação]])</f>
        <v>46143</v>
      </c>
      <c r="M1607" s="126">
        <f>base[[#This Row],[L/P Bruto]]-base[[#This Row],[L/P Líquido]]</f>
        <v>0.11591623036649246</v>
      </c>
      <c r="N1607" s="126">
        <f>base[[#This Row],[L/P Líquido]]/base[[#This Row],[Stake/Responsabilidade]]</f>
        <v>0.49101796407185633</v>
      </c>
      <c r="O1607" s="132">
        <f>IF(base[[#This Row],[L/P Líquido]]&gt;0,1,0)</f>
        <v>1</v>
      </c>
      <c r="P1607" s="132"/>
      <c r="Q1607" s="132" t="str">
        <f>LEFT(base[[#This Row],[Evento / Mercado]],FIND("vs",base[[#This Row],[Evento / Mercado]])-2)</f>
        <v>Kuching City</v>
      </c>
      <c r="R16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Terengganu FC</v>
      </c>
      <c r="S1607" s="132" t="str">
        <f>LEFT(base[[#This Row],[Evento / Mercado]],FIND("/",base[[#This Row],[Evento / Mercado]])-2)</f>
        <v>Kuching City vs Terengganu FC</v>
      </c>
    </row>
    <row r="1608" spans="2:19" ht="15" customHeight="1">
      <c r="B1608" s="128" t="s">
        <v>1582</v>
      </c>
      <c r="C1608" s="128" t="s">
        <v>2982</v>
      </c>
      <c r="D1608" s="129">
        <v>46143.484131944446</v>
      </c>
      <c r="E1608" s="130">
        <v>-0.9</v>
      </c>
      <c r="F1608" s="136">
        <v>4.4999999999999998E-2</v>
      </c>
      <c r="G1608" s="126">
        <f t="shared" si="26"/>
        <v>-0.9</v>
      </c>
      <c r="H1608" s="126" t="s">
        <v>1339</v>
      </c>
      <c r="I1608" s="127" t="s">
        <v>1236</v>
      </c>
      <c r="J1608" s="126">
        <v>9</v>
      </c>
      <c r="K1608" s="126">
        <v>2</v>
      </c>
      <c r="L1608" s="129">
        <f>INT(base[[#This Row],[Data de liquidação]])</f>
        <v>46143</v>
      </c>
      <c r="M1608" s="126">
        <f>base[[#This Row],[L/P Bruto]]-base[[#This Row],[L/P Líquido]]</f>
        <v>0</v>
      </c>
      <c r="N1608" s="126">
        <f>base[[#This Row],[L/P Líquido]]/base[[#This Row],[Stake/Responsabilidade]]</f>
        <v>-0.45</v>
      </c>
      <c r="O1608" s="132">
        <f>IF(base[[#This Row],[L/P Líquido]]&gt;0,1,0)</f>
        <v>0</v>
      </c>
      <c r="P1608" s="132"/>
      <c r="Q1608" s="132" t="str">
        <f>LEFT(base[[#This Row],[Evento / Mercado]],FIND("vs",base[[#This Row],[Evento / Mercado]])-2)</f>
        <v>Spezia</v>
      </c>
      <c r="R16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Venezia</v>
      </c>
      <c r="S1608" s="132" t="str">
        <f>LEFT(base[[#This Row],[Evento / Mercado]],FIND("/",base[[#This Row],[Evento / Mercado]])-2)</f>
        <v>Spezia vs Venezia</v>
      </c>
    </row>
    <row r="1609" spans="2:19" ht="15" customHeight="1">
      <c r="B1609" s="128" t="s">
        <v>1581</v>
      </c>
      <c r="C1609" s="128" t="s">
        <v>2982</v>
      </c>
      <c r="D1609" s="129">
        <v>46143.500625000001</v>
      </c>
      <c r="E1609" s="130">
        <v>1.64</v>
      </c>
      <c r="F1609" s="136">
        <v>4.4999999999999998E-2</v>
      </c>
      <c r="G1609" s="126">
        <f t="shared" si="26"/>
        <v>1.7172774869109948</v>
      </c>
      <c r="H1609" s="126" t="s">
        <v>1339</v>
      </c>
      <c r="I1609" s="127" t="s">
        <v>1388</v>
      </c>
      <c r="J1609" s="126">
        <v>30</v>
      </c>
      <c r="K1609" s="126">
        <v>49.88</v>
      </c>
      <c r="L1609" s="129">
        <f>INT(base[[#This Row],[Data de liquidação]])</f>
        <v>46143</v>
      </c>
      <c r="M1609" s="126">
        <f>base[[#This Row],[L/P Bruto]]-base[[#This Row],[L/P Líquido]]</f>
        <v>7.7277486910994897E-2</v>
      </c>
      <c r="N1609" s="126">
        <f>base[[#This Row],[L/P Líquido]]/base[[#This Row],[Stake/Responsabilidade]]</f>
        <v>3.2878909382518043E-2</v>
      </c>
      <c r="O1609" s="132">
        <f>IF(base[[#This Row],[L/P Líquido]]&gt;0,1,0)</f>
        <v>1</v>
      </c>
      <c r="P1609" s="132"/>
      <c r="Q1609" s="132" t="str">
        <f>LEFT(base[[#This Row],[Evento / Mercado]],FIND("vs",base[[#This Row],[Evento / Mercado]])-2)</f>
        <v>Carrarese</v>
      </c>
      <c r="R16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Cesena</v>
      </c>
      <c r="S1609" s="132" t="str">
        <f>LEFT(base[[#This Row],[Evento / Mercado]],FIND("/",base[[#This Row],[Evento / Mercado]])-2)</f>
        <v>Carrarese vs Cesena</v>
      </c>
    </row>
    <row r="1610" spans="2:19" ht="15" customHeight="1">
      <c r="B1610" s="128" t="s">
        <v>1580</v>
      </c>
      <c r="C1610" s="128" t="s">
        <v>2982</v>
      </c>
      <c r="D1610" s="129">
        <v>46143.503287037034</v>
      </c>
      <c r="E1610" s="130">
        <v>1.29</v>
      </c>
      <c r="F1610" s="136">
        <v>4.4999999999999998E-2</v>
      </c>
      <c r="G1610" s="126">
        <f t="shared" si="26"/>
        <v>1.3507853403141363</v>
      </c>
      <c r="H1610" s="126" t="s">
        <v>1339</v>
      </c>
      <c r="I1610" s="127" t="s">
        <v>1430</v>
      </c>
      <c r="J1610" s="126">
        <v>30</v>
      </c>
      <c r="K1610" s="126">
        <v>49.88</v>
      </c>
      <c r="L1610" s="129">
        <f>INT(base[[#This Row],[Data de liquidação]])</f>
        <v>46143</v>
      </c>
      <c r="M1610" s="126">
        <f>base[[#This Row],[L/P Bruto]]-base[[#This Row],[L/P Líquido]]</f>
        <v>6.0785340314136294E-2</v>
      </c>
      <c r="N1610" s="126">
        <f>base[[#This Row],[L/P Líquido]]/base[[#This Row],[Stake/Responsabilidade]]</f>
        <v>2.5862068965517241E-2</v>
      </c>
      <c r="O1610" s="132">
        <f>IF(base[[#This Row],[L/P Líquido]]&gt;0,1,0)</f>
        <v>1</v>
      </c>
      <c r="P1610" s="132"/>
      <c r="Q1610" s="132" t="str">
        <f>LEFT(base[[#This Row],[Evento / Mercado]],FIND("vs",base[[#This Row],[Evento / Mercado]])-2)</f>
        <v>Empoli</v>
      </c>
      <c r="R16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Avellino</v>
      </c>
      <c r="S1610" s="132" t="str">
        <f>LEFT(base[[#This Row],[Evento / Mercado]],FIND("/",base[[#This Row],[Evento / Mercado]])-2)</f>
        <v>Empoli vs Avellino</v>
      </c>
    </row>
    <row r="1611" spans="2:19" ht="15" customHeight="1">
      <c r="B1611" s="128" t="s">
        <v>1579</v>
      </c>
      <c r="C1611" s="128" t="s">
        <v>2982</v>
      </c>
      <c r="D1611" s="129">
        <v>46143.535185185188</v>
      </c>
      <c r="E1611" s="130">
        <v>-115</v>
      </c>
      <c r="F1611" s="136">
        <v>4.4999999999999998E-2</v>
      </c>
      <c r="G1611" s="126">
        <f t="shared" si="26"/>
        <v>-115</v>
      </c>
      <c r="H1611" s="126" t="s">
        <v>231</v>
      </c>
      <c r="I1611" s="127" t="s">
        <v>266</v>
      </c>
      <c r="J1611" s="126">
        <v>1.63</v>
      </c>
      <c r="K1611" s="126">
        <v>115</v>
      </c>
      <c r="L1611" s="129">
        <f>INT(base[[#This Row],[Data de liquidação]])</f>
        <v>46143</v>
      </c>
      <c r="M1611" s="126">
        <f>base[[#This Row],[L/P Bruto]]-base[[#This Row],[L/P Líquido]]</f>
        <v>0</v>
      </c>
      <c r="N1611" s="126">
        <f>base[[#This Row],[L/P Líquido]]/base[[#This Row],[Stake/Responsabilidade]]</f>
        <v>-1</v>
      </c>
      <c r="O1611" s="132">
        <f>IF(base[[#This Row],[L/P Líquido]]&gt;0,1,0)</f>
        <v>0</v>
      </c>
      <c r="P1611" s="132"/>
      <c r="Q1611" s="132" t="str">
        <f>LEFT(base[[#This Row],[Evento / Mercado]],FIND("vs",base[[#This Row],[Evento / Mercado]])-2)</f>
        <v>Haugesund</v>
      </c>
      <c r="R16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Sandnes Ulf</v>
      </c>
      <c r="S1611" s="132" t="str">
        <f>LEFT(base[[#This Row],[Evento / Mercado]],FIND("/",base[[#This Row],[Evento / Mercado]])-2)</f>
        <v>Haugesund vs Sandnes Ulf</v>
      </c>
    </row>
    <row r="1612" spans="2:19" ht="15" customHeight="1">
      <c r="B1612" s="128" t="s">
        <v>1578</v>
      </c>
      <c r="C1612" s="128" t="s">
        <v>2982</v>
      </c>
      <c r="D1612" s="129">
        <v>46143.542013888888</v>
      </c>
      <c r="E1612" s="130">
        <v>1.84</v>
      </c>
      <c r="F1612" s="136">
        <v>4.4999999999999998E-2</v>
      </c>
      <c r="G1612" s="126">
        <f t="shared" si="26"/>
        <v>1.9267015706806285</v>
      </c>
      <c r="H1612" s="126" t="s">
        <v>1339</v>
      </c>
      <c r="I1612" s="127" t="s">
        <v>1431</v>
      </c>
      <c r="J1612" s="126">
        <v>1.96</v>
      </c>
      <c r="K1612" s="126">
        <v>2</v>
      </c>
      <c r="L1612" s="129">
        <f>INT(base[[#This Row],[Data de liquidação]])</f>
        <v>46143</v>
      </c>
      <c r="M1612" s="126">
        <f>base[[#This Row],[L/P Bruto]]-base[[#This Row],[L/P Líquido]]</f>
        <v>8.6701570680628448E-2</v>
      </c>
      <c r="N1612" s="126">
        <f>base[[#This Row],[L/P Líquido]]/base[[#This Row],[Stake/Responsabilidade]]</f>
        <v>0.92</v>
      </c>
      <c r="O1612" s="132">
        <f>IF(base[[#This Row],[L/P Líquido]]&gt;0,1,0)</f>
        <v>1</v>
      </c>
      <c r="P1612" s="132"/>
      <c r="Q1612" s="132" t="str">
        <f>LEFT(base[[#This Row],[Evento / Mercado]],FIND("vs",base[[#This Row],[Evento / Mercado]])-2)</f>
        <v>Andorra FC</v>
      </c>
      <c r="R16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Albacete Balompié</v>
      </c>
      <c r="S1612" s="132" t="str">
        <f>LEFT(base[[#This Row],[Evento / Mercado]],FIND("/",base[[#This Row],[Evento / Mercado]])-2)</f>
        <v>Andorra FC vs Albacete Balompié</v>
      </c>
    </row>
    <row r="1613" spans="2:19" ht="15" customHeight="1">
      <c r="B1613" s="128" t="s">
        <v>1577</v>
      </c>
      <c r="C1613" s="128" t="s">
        <v>2982</v>
      </c>
      <c r="D1613" s="129">
        <v>46143.620937500003</v>
      </c>
      <c r="E1613" s="130">
        <v>46.56</v>
      </c>
      <c r="F1613" s="136">
        <v>4.4999999999999998E-2</v>
      </c>
      <c r="G1613" s="126">
        <f t="shared" si="26"/>
        <v>48.753926701570684</v>
      </c>
      <c r="H1613" s="126" t="s">
        <v>145</v>
      </c>
      <c r="I1613" s="127" t="s">
        <v>301</v>
      </c>
      <c r="J1613" s="126">
        <v>9</v>
      </c>
      <c r="K1613" s="126">
        <v>390</v>
      </c>
      <c r="L1613" s="129">
        <f>INT(base[[#This Row],[Data de liquidação]])</f>
        <v>46143</v>
      </c>
      <c r="M1613" s="126">
        <f>base[[#This Row],[L/P Bruto]]-base[[#This Row],[L/P Líquido]]</f>
        <v>2.1939267015706818</v>
      </c>
      <c r="N1613" s="126">
        <f>base[[#This Row],[L/P Líquido]]/base[[#This Row],[Stake/Responsabilidade]]</f>
        <v>0.11938461538461539</v>
      </c>
      <c r="O1613" s="132">
        <f>IF(base[[#This Row],[L/P Líquido]]&gt;0,1,0)</f>
        <v>1</v>
      </c>
      <c r="P1613" s="132" t="s">
        <v>1668</v>
      </c>
      <c r="Q1613" s="132" t="str">
        <f>LEFT(base[[#This Row],[Evento / Mercado]],FIND("vs",base[[#This Row],[Evento / Mercado]])-2)</f>
        <v>Viking FK</v>
      </c>
      <c r="R16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Rosenborg BK</v>
      </c>
      <c r="S1613" s="132" t="str">
        <f>LEFT(base[[#This Row],[Evento / Mercado]],FIND("/",base[[#This Row],[Evento / Mercado]])-2)</f>
        <v>Viking FK vs Rosenborg BK</v>
      </c>
    </row>
    <row r="1614" spans="2:19" ht="15" customHeight="1">
      <c r="B1614" s="128" t="s">
        <v>1576</v>
      </c>
      <c r="C1614" s="128" t="s">
        <v>2982</v>
      </c>
      <c r="D1614" s="129">
        <v>46143.636504629627</v>
      </c>
      <c r="E1614" s="130">
        <v>1.22</v>
      </c>
      <c r="F1614" s="136">
        <v>4.4999999999999998E-2</v>
      </c>
      <c r="G1614" s="126">
        <f t="shared" si="26"/>
        <v>1.2774869109947644</v>
      </c>
      <c r="H1614" s="126" t="s">
        <v>1339</v>
      </c>
      <c r="I1614" s="127" t="s">
        <v>1448</v>
      </c>
      <c r="J1614" s="126">
        <v>1.64</v>
      </c>
      <c r="K1614" s="126">
        <v>2</v>
      </c>
      <c r="L1614" s="129">
        <f>INT(base[[#This Row],[Data de liquidação]])</f>
        <v>46143</v>
      </c>
      <c r="M1614" s="126">
        <f>base[[#This Row],[L/P Bruto]]-base[[#This Row],[L/P Líquido]]</f>
        <v>5.748691099476444E-2</v>
      </c>
      <c r="N1614" s="126">
        <f>base[[#This Row],[L/P Líquido]]/base[[#This Row],[Stake/Responsabilidade]]</f>
        <v>0.61</v>
      </c>
      <c r="O1614" s="132">
        <f>IF(base[[#This Row],[L/P Líquido]]&gt;0,1,0)</f>
        <v>1</v>
      </c>
      <c r="P1614" s="132"/>
      <c r="Q1614" s="132" t="str">
        <f>LEFT(base[[#This Row],[Evento / Mercado]],FIND("vs",base[[#This Row],[Evento / Mercado]])-2)</f>
        <v>Al Diraiyah</v>
      </c>
      <c r="R16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Abha</v>
      </c>
      <c r="S1614" s="132" t="str">
        <f>LEFT(base[[#This Row],[Evento / Mercado]],FIND("/",base[[#This Row],[Evento / Mercado]])-2)</f>
        <v>Al Diraiyah vs Abha</v>
      </c>
    </row>
    <row r="1615" spans="2:19" ht="15" customHeight="1">
      <c r="B1615" s="128" t="s">
        <v>1575</v>
      </c>
      <c r="C1615" s="128" t="s">
        <v>2982</v>
      </c>
      <c r="D1615" s="129">
        <v>46143.642002314817</v>
      </c>
      <c r="E1615" s="130">
        <v>2.65</v>
      </c>
      <c r="F1615" s="136">
        <v>4.4999999999999998E-2</v>
      </c>
      <c r="G1615" s="126">
        <f t="shared" si="26"/>
        <v>2.7748691099476441</v>
      </c>
      <c r="H1615" s="126" t="s">
        <v>1339</v>
      </c>
      <c r="I1615" s="127" t="s">
        <v>1388</v>
      </c>
      <c r="J1615" s="126">
        <v>20</v>
      </c>
      <c r="K1615" s="126">
        <v>52.82</v>
      </c>
      <c r="L1615" s="129">
        <f>INT(base[[#This Row],[Data de liquidação]])</f>
        <v>46143</v>
      </c>
      <c r="M1615" s="126">
        <f>base[[#This Row],[L/P Bruto]]-base[[#This Row],[L/P Líquido]]</f>
        <v>0.12486910994764422</v>
      </c>
      <c r="N1615" s="126">
        <f>base[[#This Row],[L/P Líquido]]/base[[#This Row],[Stake/Responsabilidade]]</f>
        <v>5.0170390003786446E-2</v>
      </c>
      <c r="O1615" s="132">
        <f>IF(base[[#This Row],[L/P Líquido]]&gt;0,1,0)</f>
        <v>1</v>
      </c>
      <c r="P1615" s="132"/>
      <c r="Q1615" s="132" t="str">
        <f>LEFT(base[[#This Row],[Evento / Mercado]],FIND("vs",base[[#This Row],[Evento / Mercado]])-2)</f>
        <v>HB Køge</v>
      </c>
      <c r="R16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Boldklubben af 1893</v>
      </c>
      <c r="S1615" s="132" t="str">
        <f>LEFT(base[[#This Row],[Evento / Mercado]],FIND("/",base[[#This Row],[Evento / Mercado]])-2)</f>
        <v>HB Køge vs Boldklubben af 1893</v>
      </c>
    </row>
    <row r="1616" spans="2:19" ht="15" customHeight="1">
      <c r="B1616" s="128" t="s">
        <v>1574</v>
      </c>
      <c r="C1616" s="128" t="s">
        <v>2982</v>
      </c>
      <c r="D1616" s="129">
        <v>46143.663483796299</v>
      </c>
      <c r="E1616" s="130">
        <v>2.5099999999999998</v>
      </c>
      <c r="F1616" s="136">
        <v>4.4999999999999998E-2</v>
      </c>
      <c r="G1616" s="126">
        <f t="shared" si="26"/>
        <v>2.6282722513089003</v>
      </c>
      <c r="H1616" s="126" t="s">
        <v>1339</v>
      </c>
      <c r="I1616" s="127" t="s">
        <v>1388</v>
      </c>
      <c r="J1616" s="126">
        <v>21</v>
      </c>
      <c r="K1616" s="126">
        <v>52.6</v>
      </c>
      <c r="L1616" s="129">
        <f>INT(base[[#This Row],[Data de liquidação]])</f>
        <v>46143</v>
      </c>
      <c r="M1616" s="126">
        <f>base[[#This Row],[L/P Bruto]]-base[[#This Row],[L/P Líquido]]</f>
        <v>0.11827225130890051</v>
      </c>
      <c r="N1616" s="126">
        <f>base[[#This Row],[L/P Líquido]]/base[[#This Row],[Stake/Responsabilidade]]</f>
        <v>4.771863117870722E-2</v>
      </c>
      <c r="O1616" s="132">
        <f>IF(base[[#This Row],[L/P Líquido]]&gt;0,1,0)</f>
        <v>1</v>
      </c>
      <c r="P1616" s="132"/>
      <c r="Q1616" s="132" t="str">
        <f>LEFT(base[[#This Row],[Evento / Mercado]],FIND("vs",base[[#This Row],[Evento / Mercado]])-2)</f>
        <v>Brøndby IF</v>
      </c>
      <c r="R16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Nordsjælland</v>
      </c>
      <c r="S1616" s="132" t="str">
        <f>LEFT(base[[#This Row],[Evento / Mercado]],FIND("/",base[[#This Row],[Evento / Mercado]])-2)</f>
        <v>Brøndby IF vs FC Nordsjælland</v>
      </c>
    </row>
    <row r="1617" spans="2:19" ht="15" customHeight="1">
      <c r="B1617" s="128" t="s">
        <v>1573</v>
      </c>
      <c r="C1617" s="128" t="s">
        <v>2982</v>
      </c>
      <c r="D1617" s="129">
        <v>46143.663784722223</v>
      </c>
      <c r="E1617" s="130">
        <v>0.92</v>
      </c>
      <c r="F1617" s="136">
        <v>4.4999999999999998E-2</v>
      </c>
      <c r="G1617" s="126">
        <f t="shared" si="26"/>
        <v>0.96335078534031426</v>
      </c>
      <c r="H1617" s="126" t="s">
        <v>1339</v>
      </c>
      <c r="I1617" s="127" t="s">
        <v>1336</v>
      </c>
      <c r="J1617" s="126">
        <v>1.45</v>
      </c>
      <c r="K1617" s="126">
        <v>5</v>
      </c>
      <c r="L1617" s="129">
        <f>INT(base[[#This Row],[Data de liquidação]])</f>
        <v>46143</v>
      </c>
      <c r="M1617" s="126">
        <f>base[[#This Row],[L/P Bruto]]-base[[#This Row],[L/P Líquido]]</f>
        <v>4.3350785340314224E-2</v>
      </c>
      <c r="N1617" s="126">
        <f>base[[#This Row],[L/P Líquido]]/base[[#This Row],[Stake/Responsabilidade]]</f>
        <v>0.184</v>
      </c>
      <c r="O1617" s="132">
        <f>IF(base[[#This Row],[L/P Líquido]]&gt;0,1,0)</f>
        <v>1</v>
      </c>
      <c r="P1617" s="132"/>
      <c r="Q1617" s="132" t="str">
        <f>LEFT(base[[#This Row],[Evento / Mercado]],FIND("vs",base[[#This Row],[Evento / Mercado]])-2)</f>
        <v>Brøndby IF</v>
      </c>
      <c r="R16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Nordsjælland</v>
      </c>
      <c r="S1617" s="132" t="str">
        <f>LEFT(base[[#This Row],[Evento / Mercado]],FIND("/",base[[#This Row],[Evento / Mercado]])-2)</f>
        <v>Brøndby IF vs FC Nordsjælland</v>
      </c>
    </row>
    <row r="1618" spans="2:19" ht="15" customHeight="1">
      <c r="B1618" s="128" t="s">
        <v>1572</v>
      </c>
      <c r="C1618" s="128" t="s">
        <v>2982</v>
      </c>
      <c r="D1618" s="129">
        <v>46143.681655092594</v>
      </c>
      <c r="E1618" s="130">
        <v>1.64</v>
      </c>
      <c r="F1618" s="136">
        <v>4.4999999999999998E-2</v>
      </c>
      <c r="G1618" s="126">
        <f t="shared" si="26"/>
        <v>1.7172774869109948</v>
      </c>
      <c r="H1618" s="126" t="s">
        <v>1339</v>
      </c>
      <c r="I1618" s="127" t="s">
        <v>1388</v>
      </c>
      <c r="J1618" s="126">
        <v>30</v>
      </c>
      <c r="K1618" s="126">
        <v>49.88</v>
      </c>
      <c r="L1618" s="129">
        <f>INT(base[[#This Row],[Data de liquidação]])</f>
        <v>46143</v>
      </c>
      <c r="M1618" s="126">
        <f>base[[#This Row],[L/P Bruto]]-base[[#This Row],[L/P Líquido]]</f>
        <v>7.7277486910994897E-2</v>
      </c>
      <c r="N1618" s="126">
        <f>base[[#This Row],[L/P Líquido]]/base[[#This Row],[Stake/Responsabilidade]]</f>
        <v>3.2878909382518043E-2</v>
      </c>
      <c r="O1618" s="132">
        <f>IF(base[[#This Row],[L/P Líquido]]&gt;0,1,0)</f>
        <v>1</v>
      </c>
      <c r="P1618" s="132"/>
      <c r="Q1618" s="132" t="str">
        <f>LEFT(base[[#This Row],[Evento / Mercado]],FIND("vs",base[[#This Row],[Evento / Mercado]])-2)</f>
        <v>Stade Nyonnais</v>
      </c>
      <c r="R16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Wil 1900</v>
      </c>
      <c r="S1618" s="132" t="str">
        <f>LEFT(base[[#This Row],[Evento / Mercado]],FIND("/",base[[#This Row],[Evento / Mercado]])-2)</f>
        <v>Stade Nyonnais vs FC Wil 1900</v>
      </c>
    </row>
    <row r="1619" spans="2:19" ht="15" customHeight="1">
      <c r="B1619" s="128" t="s">
        <v>1571</v>
      </c>
      <c r="C1619" s="128" t="s">
        <v>2982</v>
      </c>
      <c r="D1619" s="129">
        <v>46143.684745370374</v>
      </c>
      <c r="E1619" s="130">
        <v>-0.92</v>
      </c>
      <c r="F1619" s="136">
        <v>4.4999999999999998E-2</v>
      </c>
      <c r="G1619" s="126">
        <f t="shared" si="26"/>
        <v>-0.92</v>
      </c>
      <c r="H1619" s="126" t="s">
        <v>1339</v>
      </c>
      <c r="I1619" s="127" t="s">
        <v>1236</v>
      </c>
      <c r="J1619" s="126">
        <v>7</v>
      </c>
      <c r="K1619" s="126">
        <v>2</v>
      </c>
      <c r="L1619" s="129">
        <f>INT(base[[#This Row],[Data de liquidação]])</f>
        <v>46143</v>
      </c>
      <c r="M1619" s="126">
        <f>base[[#This Row],[L/P Bruto]]-base[[#This Row],[L/P Líquido]]</f>
        <v>0</v>
      </c>
      <c r="N1619" s="126">
        <f>base[[#This Row],[L/P Líquido]]/base[[#This Row],[Stake/Responsabilidade]]</f>
        <v>-0.46</v>
      </c>
      <c r="O1619" s="132">
        <f>IF(base[[#This Row],[L/P Líquido]]&gt;0,1,0)</f>
        <v>0</v>
      </c>
      <c r="P1619" s="132"/>
      <c r="Q1619" s="132" t="str">
        <f>LEFT(base[[#This Row],[Evento / Mercado]],FIND("vs",base[[#This Row],[Evento / Mercado]])-2)</f>
        <v>Al Diraiyah</v>
      </c>
      <c r="R16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Abha</v>
      </c>
      <c r="S1619" s="132" t="str">
        <f>LEFT(base[[#This Row],[Evento / Mercado]],FIND("/",base[[#This Row],[Evento / Mercado]])-2)</f>
        <v>Al Diraiyah vs Abha</v>
      </c>
    </row>
    <row r="1620" spans="2:19" ht="15" customHeight="1">
      <c r="B1620" s="128" t="s">
        <v>1570</v>
      </c>
      <c r="C1620" s="128" t="s">
        <v>2982</v>
      </c>
      <c r="D1620" s="129">
        <v>46143.698113425926</v>
      </c>
      <c r="E1620" s="130">
        <v>2.61</v>
      </c>
      <c r="F1620" s="136">
        <v>4.4999999999999998E-2</v>
      </c>
      <c r="G1620" s="126">
        <f t="shared" si="26"/>
        <v>2.7329842931937174</v>
      </c>
      <c r="H1620" s="126" t="s">
        <v>1339</v>
      </c>
      <c r="I1620" s="127" t="s">
        <v>1390</v>
      </c>
      <c r="J1620" s="126">
        <v>12.5</v>
      </c>
      <c r="K1620" s="126">
        <v>31.39</v>
      </c>
      <c r="L1620" s="129">
        <f>INT(base[[#This Row],[Data de liquidação]])</f>
        <v>46143</v>
      </c>
      <c r="M1620" s="126">
        <f>base[[#This Row],[L/P Bruto]]-base[[#This Row],[L/P Líquido]]</f>
        <v>0.12298429319371751</v>
      </c>
      <c r="N1620" s="126">
        <f>base[[#This Row],[L/P Líquido]]/base[[#This Row],[Stake/Responsabilidade]]</f>
        <v>8.3147499203568009E-2</v>
      </c>
      <c r="O1620" s="132">
        <f>IF(base[[#This Row],[L/P Líquido]]&gt;0,1,0)</f>
        <v>1</v>
      </c>
      <c r="P1620" s="132"/>
      <c r="Q1620" s="132" t="str">
        <f>LEFT(base[[#This Row],[Evento / Mercado]],FIND("vs",base[[#This Row],[Evento / Mercado]])-2)</f>
        <v>Al Diraiyah</v>
      </c>
      <c r="R16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Abha</v>
      </c>
      <c r="S1620" s="132" t="str">
        <f>LEFT(base[[#This Row],[Evento / Mercado]],FIND("/",base[[#This Row],[Evento / Mercado]])-2)</f>
        <v>Al Diraiyah vs Abha</v>
      </c>
    </row>
    <row r="1621" spans="2:19" ht="15" customHeight="1">
      <c r="B1621" s="128" t="s">
        <v>1569</v>
      </c>
      <c r="C1621" s="128" t="s">
        <v>2982</v>
      </c>
      <c r="D1621" s="129">
        <v>46143.745289351849</v>
      </c>
      <c r="E1621" s="130">
        <v>-2</v>
      </c>
      <c r="F1621" s="136">
        <v>4.4999999999999998E-2</v>
      </c>
      <c r="G1621" s="126">
        <f t="shared" si="26"/>
        <v>-2</v>
      </c>
      <c r="H1621" s="126" t="s">
        <v>1339</v>
      </c>
      <c r="I1621" s="127" t="s">
        <v>1429</v>
      </c>
      <c r="J1621" s="126">
        <v>2.2400000000000002</v>
      </c>
      <c r="K1621" s="126">
        <v>2</v>
      </c>
      <c r="L1621" s="129">
        <f>INT(base[[#This Row],[Data de liquidação]])</f>
        <v>46143</v>
      </c>
      <c r="M1621" s="126">
        <f>base[[#This Row],[L/P Bruto]]-base[[#This Row],[L/P Líquido]]</f>
        <v>0</v>
      </c>
      <c r="N1621" s="126">
        <f>base[[#This Row],[L/P Líquido]]/base[[#This Row],[Stake/Responsabilidade]]</f>
        <v>-1</v>
      </c>
      <c r="O1621" s="132">
        <f>IF(base[[#This Row],[L/P Líquido]]&gt;0,1,0)</f>
        <v>0</v>
      </c>
      <c r="P1621" s="132"/>
      <c r="Q1621" s="132" t="str">
        <f>LEFT(base[[#This Row],[Evento / Mercado]],FIND("vs",base[[#This Row],[Evento / Mercado]])-2)</f>
        <v>Bohemian FC</v>
      </c>
      <c r="R16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Derry City</v>
      </c>
      <c r="S1621" s="132" t="str">
        <f>LEFT(base[[#This Row],[Evento / Mercado]],FIND("/",base[[#This Row],[Evento / Mercado]])-2)</f>
        <v>Bohemian FC vs Derry City</v>
      </c>
    </row>
    <row r="1622" spans="2:19" ht="15" customHeight="1">
      <c r="B1622" s="128" t="s">
        <v>1568</v>
      </c>
      <c r="C1622" s="128" t="s">
        <v>2982</v>
      </c>
      <c r="D1622" s="129">
        <v>46143.746504629627</v>
      </c>
      <c r="E1622" s="130">
        <v>-115</v>
      </c>
      <c r="F1622" s="136">
        <v>4.4999999999999998E-2</v>
      </c>
      <c r="G1622" s="126">
        <f t="shared" si="26"/>
        <v>-115</v>
      </c>
      <c r="H1622" s="126" t="s">
        <v>231</v>
      </c>
      <c r="I1622" s="127" t="s">
        <v>232</v>
      </c>
      <c r="J1622" s="126">
        <v>1.92</v>
      </c>
      <c r="K1622" s="126">
        <v>115</v>
      </c>
      <c r="L1622" s="129">
        <f>INT(base[[#This Row],[Data de liquidação]])</f>
        <v>46143</v>
      </c>
      <c r="M1622" s="126">
        <f>base[[#This Row],[L/P Bruto]]-base[[#This Row],[L/P Líquido]]</f>
        <v>0</v>
      </c>
      <c r="N1622" s="126">
        <f>base[[#This Row],[L/P Líquido]]/base[[#This Row],[Stake/Responsabilidade]]</f>
        <v>-1</v>
      </c>
      <c r="O1622" s="132">
        <f>IF(base[[#This Row],[L/P Líquido]]&gt;0,1,0)</f>
        <v>0</v>
      </c>
      <c r="P1622" s="132"/>
      <c r="Q1622" s="132" t="str">
        <f>LEFT(base[[#This Row],[Evento / Mercado]],FIND("vs",base[[#This Row],[Evento / Mercado]])-2)</f>
        <v>Girona</v>
      </c>
      <c r="R16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Mallorca</v>
      </c>
      <c r="S1622" s="132" t="str">
        <f>LEFT(base[[#This Row],[Evento / Mercado]],FIND("/",base[[#This Row],[Evento / Mercado]])-2)</f>
        <v>Girona vs Real Mallorca</v>
      </c>
    </row>
    <row r="1623" spans="2:19" ht="15" customHeight="1">
      <c r="B1623" s="128" t="s">
        <v>1567</v>
      </c>
      <c r="C1623" s="128" t="s">
        <v>2982</v>
      </c>
      <c r="D1623" s="129">
        <v>46143.751423611109</v>
      </c>
      <c r="E1623" s="130">
        <v>-115</v>
      </c>
      <c r="F1623" s="136">
        <v>4.4999999999999998E-2</v>
      </c>
      <c r="G1623" s="126">
        <f t="shared" si="26"/>
        <v>-115</v>
      </c>
      <c r="H1623" s="126" t="s">
        <v>231</v>
      </c>
      <c r="I1623" s="127" t="s">
        <v>232</v>
      </c>
      <c r="J1623" s="126">
        <v>2.27</v>
      </c>
      <c r="K1623" s="126">
        <v>115</v>
      </c>
      <c r="L1623" s="129">
        <f>INT(base[[#This Row],[Data de liquidação]])</f>
        <v>46143</v>
      </c>
      <c r="M1623" s="126">
        <f>base[[#This Row],[L/P Bruto]]-base[[#This Row],[L/P Líquido]]</f>
        <v>0</v>
      </c>
      <c r="N1623" s="126">
        <f>base[[#This Row],[L/P Líquido]]/base[[#This Row],[Stake/Responsabilidade]]</f>
        <v>-1</v>
      </c>
      <c r="O1623" s="132">
        <f>IF(base[[#This Row],[L/P Líquido]]&gt;0,1,0)</f>
        <v>0</v>
      </c>
      <c r="P1623" s="132"/>
      <c r="Q1623" s="132" t="str">
        <f>LEFT(base[[#This Row],[Evento / Mercado]],FIND("vs",base[[#This Row],[Evento / Mercado]])-2)</f>
        <v>Real Zaragoza</v>
      </c>
      <c r="R16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Granada CF</v>
      </c>
      <c r="S1623" s="132" t="str">
        <f>LEFT(base[[#This Row],[Evento / Mercado]],FIND("/",base[[#This Row],[Evento / Mercado]])-2)</f>
        <v>Real Zaragoza vs Granada CF</v>
      </c>
    </row>
    <row r="1624" spans="2:19" ht="15" customHeight="1">
      <c r="B1624" s="128" t="s">
        <v>1566</v>
      </c>
      <c r="C1624" s="128" t="s">
        <v>2982</v>
      </c>
      <c r="D1624" s="129">
        <v>46143.91133101852</v>
      </c>
      <c r="E1624" s="130">
        <v>3.82</v>
      </c>
      <c r="F1624" s="136">
        <v>4.4999999999999998E-2</v>
      </c>
      <c r="G1624" s="126">
        <f t="shared" si="26"/>
        <v>4</v>
      </c>
      <c r="H1624" s="126" t="s">
        <v>1339</v>
      </c>
      <c r="I1624" s="127" t="s">
        <v>1430</v>
      </c>
      <c r="J1624" s="126">
        <v>14</v>
      </c>
      <c r="K1624" s="126">
        <v>52</v>
      </c>
      <c r="L1624" s="129">
        <f>INT(base[[#This Row],[Data de liquidação]])</f>
        <v>46143</v>
      </c>
      <c r="M1624" s="126">
        <f>base[[#This Row],[L/P Bruto]]-base[[#This Row],[L/P Líquido]]</f>
        <v>0.18000000000000016</v>
      </c>
      <c r="N1624" s="126">
        <f>base[[#This Row],[L/P Líquido]]/base[[#This Row],[Stake/Responsabilidade]]</f>
        <v>7.3461538461538453E-2</v>
      </c>
      <c r="O1624" s="132">
        <f>IF(base[[#This Row],[L/P Líquido]]&gt;0,1,0)</f>
        <v>1</v>
      </c>
      <c r="P1624" s="132"/>
      <c r="Q1624" s="132" t="str">
        <f>LEFT(base[[#This Row],[Evento / Mercado]],FIND("vs",base[[#This Row],[Evento / Mercado]])-2)</f>
        <v>Once Caldas</v>
      </c>
      <c r="R16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Nacional</v>
      </c>
      <c r="S1624" s="132" t="str">
        <f>LEFT(base[[#This Row],[Evento / Mercado]],FIND("/",base[[#This Row],[Evento / Mercado]])-2)</f>
        <v>Once Caldas vs Atlético Nacional</v>
      </c>
    </row>
    <row r="1625" spans="2:19" ht="15" customHeight="1">
      <c r="B1625" s="128" t="s">
        <v>1667</v>
      </c>
      <c r="C1625" s="128" t="s">
        <v>2982</v>
      </c>
      <c r="D1625" s="129">
        <v>46144.374027777776</v>
      </c>
      <c r="E1625" s="130">
        <v>74.680000000000007</v>
      </c>
      <c r="F1625" s="136">
        <v>4.4999999999999998E-2</v>
      </c>
      <c r="G1625" s="126">
        <f t="shared" si="26"/>
        <v>78.198952879581157</v>
      </c>
      <c r="H1625" s="126" t="s">
        <v>231</v>
      </c>
      <c r="I1625" s="127" t="s">
        <v>266</v>
      </c>
      <c r="J1625" s="126">
        <v>1.68</v>
      </c>
      <c r="K1625" s="126">
        <v>115</v>
      </c>
      <c r="L1625" s="129">
        <f>INT(base[[#This Row],[Data de liquidação]])</f>
        <v>46144</v>
      </c>
      <c r="M1625" s="126">
        <f>base[[#This Row],[L/P Bruto]]-base[[#This Row],[L/P Líquido]]</f>
        <v>3.5189528795811498</v>
      </c>
      <c r="N1625" s="126">
        <f>base[[#This Row],[L/P Líquido]]/base[[#This Row],[Stake/Responsabilidade]]</f>
        <v>0.6493913043478261</v>
      </c>
      <c r="O1625" s="132">
        <f>IF(base[[#This Row],[L/P Líquido]]&gt;0,1,0)</f>
        <v>1</v>
      </c>
      <c r="P1625" s="132"/>
      <c r="Q1625" s="132" t="str">
        <f>LEFT(base[[#This Row],[Evento / Mercado]],FIND("vs",base[[#This Row],[Evento / Mercado]])-2)</f>
        <v>Wrexham</v>
      </c>
      <c r="R16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Middlesbrough</v>
      </c>
      <c r="S1625" s="132" t="str">
        <f>LEFT(base[[#This Row],[Evento / Mercado]],FIND("/",base[[#This Row],[Evento / Mercado]])-2)</f>
        <v>Wrexham vs Middlesbrough</v>
      </c>
    </row>
    <row r="1626" spans="2:19" ht="15" customHeight="1">
      <c r="B1626" s="128" t="s">
        <v>1666</v>
      </c>
      <c r="C1626" s="128" t="s">
        <v>2982</v>
      </c>
      <c r="D1626" s="129">
        <v>46144.378703703704</v>
      </c>
      <c r="E1626" s="130">
        <v>1.21</v>
      </c>
      <c r="F1626" s="136">
        <v>4.4999999999999998E-2</v>
      </c>
      <c r="G1626" s="126">
        <f t="shared" si="26"/>
        <v>1.2670157068062828</v>
      </c>
      <c r="H1626" s="126" t="s">
        <v>1339</v>
      </c>
      <c r="I1626" s="127" t="s">
        <v>1448</v>
      </c>
      <c r="J1626" s="126">
        <v>1.63</v>
      </c>
      <c r="K1626" s="126">
        <v>2</v>
      </c>
      <c r="L1626" s="129">
        <f>INT(base[[#This Row],[Data de liquidação]])</f>
        <v>46144</v>
      </c>
      <c r="M1626" s="126">
        <f>base[[#This Row],[L/P Bruto]]-base[[#This Row],[L/P Líquido]]</f>
        <v>5.7015706806282873E-2</v>
      </c>
      <c r="N1626" s="126">
        <f>base[[#This Row],[L/P Líquido]]/base[[#This Row],[Stake/Responsabilidade]]</f>
        <v>0.60499999999999998</v>
      </c>
      <c r="O1626" s="132">
        <f>IF(base[[#This Row],[L/P Líquido]]&gt;0,1,0)</f>
        <v>1</v>
      </c>
      <c r="P1626" s="132"/>
      <c r="Q1626" s="132" t="str">
        <f>LEFT(base[[#This Row],[Evento / Mercado]],FIND("vs",base[[#This Row],[Evento / Mercado]])-2)</f>
        <v>Millwall</v>
      </c>
      <c r="R16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1626" s="132" t="str">
        <f>LEFT(base[[#This Row],[Evento / Mercado]],FIND("/",base[[#This Row],[Evento / Mercado]])-2)</f>
        <v>Millwall vs Oxford United</v>
      </c>
    </row>
    <row r="1627" spans="2:19" ht="15" customHeight="1">
      <c r="B1627" s="128" t="s">
        <v>1665</v>
      </c>
      <c r="C1627" s="128" t="s">
        <v>2982</v>
      </c>
      <c r="D1627" s="129">
        <v>46144.385335648149</v>
      </c>
      <c r="E1627" s="130">
        <v>1.91</v>
      </c>
      <c r="F1627" s="136">
        <v>4.4999999999999998E-2</v>
      </c>
      <c r="G1627" s="126">
        <f t="shared" si="26"/>
        <v>2</v>
      </c>
      <c r="H1627" s="126" t="s">
        <v>1339</v>
      </c>
      <c r="I1627" s="127" t="s">
        <v>1236</v>
      </c>
      <c r="J1627" s="126">
        <v>7.37</v>
      </c>
      <c r="K1627" s="126">
        <v>2</v>
      </c>
      <c r="L1627" s="129">
        <f>INT(base[[#This Row],[Data de liquidação]])</f>
        <v>46144</v>
      </c>
      <c r="M1627" s="126">
        <f>base[[#This Row],[L/P Bruto]]-base[[#This Row],[L/P Líquido]]</f>
        <v>9.000000000000008E-2</v>
      </c>
      <c r="N1627" s="126">
        <f>base[[#This Row],[L/P Líquido]]/base[[#This Row],[Stake/Responsabilidade]]</f>
        <v>0.95499999999999996</v>
      </c>
      <c r="O1627" s="132">
        <f>IF(base[[#This Row],[L/P Líquido]]&gt;0,1,0)</f>
        <v>1</v>
      </c>
      <c r="P1627" s="132"/>
      <c r="Q1627" s="132" t="str">
        <f>LEFT(base[[#This Row],[Evento / Mercado]],FIND("vs",base[[#This Row],[Evento / Mercado]])-2)</f>
        <v>Watford</v>
      </c>
      <c r="R16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1627" s="132" t="str">
        <f>LEFT(base[[#This Row],[Evento / Mercado]],FIND("/",base[[#This Row],[Evento / Mercado]])-2)</f>
        <v>Watford vs Coventry City</v>
      </c>
    </row>
    <row r="1628" spans="2:19" ht="15" customHeight="1">
      <c r="B1628" s="128" t="s">
        <v>1664</v>
      </c>
      <c r="C1628" s="128" t="s">
        <v>2982</v>
      </c>
      <c r="D1628" s="129">
        <v>46144.401863425926</v>
      </c>
      <c r="E1628" s="130">
        <v>1.91</v>
      </c>
      <c r="F1628" s="136">
        <v>4.4999999999999998E-2</v>
      </c>
      <c r="G1628" s="126">
        <f t="shared" si="26"/>
        <v>2</v>
      </c>
      <c r="H1628" s="126" t="s">
        <v>1339</v>
      </c>
      <c r="I1628" s="127" t="s">
        <v>1236</v>
      </c>
      <c r="J1628" s="126">
        <v>7.2</v>
      </c>
      <c r="K1628" s="126">
        <v>2</v>
      </c>
      <c r="L1628" s="129">
        <f>INT(base[[#This Row],[Data de liquidação]])</f>
        <v>46144</v>
      </c>
      <c r="M1628" s="126">
        <f>base[[#This Row],[L/P Bruto]]-base[[#This Row],[L/P Líquido]]</f>
        <v>9.000000000000008E-2</v>
      </c>
      <c r="N1628" s="126">
        <f>base[[#This Row],[L/P Líquido]]/base[[#This Row],[Stake/Responsabilidade]]</f>
        <v>0.95499999999999996</v>
      </c>
      <c r="O1628" s="132">
        <f>IF(base[[#This Row],[L/P Líquido]]&gt;0,1,0)</f>
        <v>1</v>
      </c>
      <c r="P1628" s="132"/>
      <c r="Q1628" s="132" t="str">
        <f>LEFT(base[[#This Row],[Evento / Mercado]],FIND("vs",base[[#This Row],[Evento / Mercado]])-2)</f>
        <v>Millwall</v>
      </c>
      <c r="R16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1628" s="132" t="str">
        <f>LEFT(base[[#This Row],[Evento / Mercado]],FIND("/",base[[#This Row],[Evento / Mercado]])-2)</f>
        <v>Millwall vs Oxford United</v>
      </c>
    </row>
    <row r="1629" spans="2:19" ht="15" customHeight="1">
      <c r="B1629" s="128" t="s">
        <v>1663</v>
      </c>
      <c r="C1629" s="128" t="s">
        <v>2982</v>
      </c>
      <c r="D1629" s="129">
        <v>46144.40384259259</v>
      </c>
      <c r="E1629" s="130">
        <v>69.19</v>
      </c>
      <c r="F1629" s="136">
        <v>4.4999999999999998E-2</v>
      </c>
      <c r="G1629" s="126">
        <f t="shared" si="26"/>
        <v>72.450261780104711</v>
      </c>
      <c r="H1629" s="126" t="s">
        <v>231</v>
      </c>
      <c r="I1629" s="127" t="s">
        <v>266</v>
      </c>
      <c r="J1629" s="126">
        <v>1.63</v>
      </c>
      <c r="K1629" s="126">
        <v>115</v>
      </c>
      <c r="L1629" s="129">
        <f>INT(base[[#This Row],[Data de liquidação]])</f>
        <v>46144</v>
      </c>
      <c r="M1629" s="126">
        <f>base[[#This Row],[L/P Bruto]]-base[[#This Row],[L/P Líquido]]</f>
        <v>3.2602617801047131</v>
      </c>
      <c r="N1629" s="126">
        <f>base[[#This Row],[L/P Líquido]]/base[[#This Row],[Stake/Responsabilidade]]</f>
        <v>0.60165217391304349</v>
      </c>
      <c r="O1629" s="132">
        <f>IF(base[[#This Row],[L/P Líquido]]&gt;0,1,0)</f>
        <v>1</v>
      </c>
      <c r="P1629" s="132"/>
      <c r="Q1629" s="132" t="str">
        <f>LEFT(base[[#This Row],[Evento / Mercado]],FIND("vs",base[[#This Row],[Evento / Mercado]])-2)</f>
        <v>Arminia Bielefeld</v>
      </c>
      <c r="R16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Bochum</v>
      </c>
      <c r="S1629" s="132" t="str">
        <f>LEFT(base[[#This Row],[Evento / Mercado]],FIND("/",base[[#This Row],[Evento / Mercado]])-2)</f>
        <v>Arminia Bielefeld vs VfL Bochum</v>
      </c>
    </row>
    <row r="1630" spans="2:19" ht="15" customHeight="1">
      <c r="B1630" s="128" t="s">
        <v>1662</v>
      </c>
      <c r="C1630" s="128" t="s">
        <v>2982</v>
      </c>
      <c r="D1630" s="129">
        <v>46144.412615740737</v>
      </c>
      <c r="E1630" s="130">
        <v>-1.29</v>
      </c>
      <c r="F1630" s="136">
        <v>4.4999999999999998E-2</v>
      </c>
      <c r="G1630" s="126">
        <f t="shared" si="26"/>
        <v>-1.29</v>
      </c>
      <c r="H1630" s="126" t="s">
        <v>1339</v>
      </c>
      <c r="I1630" s="127" t="s">
        <v>1236</v>
      </c>
      <c r="J1630" s="126">
        <v>8.4</v>
      </c>
      <c r="K1630" s="126">
        <v>2</v>
      </c>
      <c r="L1630" s="129">
        <f>INT(base[[#This Row],[Data de liquidação]])</f>
        <v>46144</v>
      </c>
      <c r="M1630" s="126">
        <f>base[[#This Row],[L/P Bruto]]-base[[#This Row],[L/P Líquido]]</f>
        <v>0</v>
      </c>
      <c r="N1630" s="126">
        <f>base[[#This Row],[L/P Líquido]]/base[[#This Row],[Stake/Responsabilidade]]</f>
        <v>-0.64500000000000002</v>
      </c>
      <c r="O1630" s="132">
        <f>IF(base[[#This Row],[L/P Líquido]]&gt;0,1,0)</f>
        <v>0</v>
      </c>
      <c r="P1630" s="132"/>
      <c r="Q1630" s="132" t="str">
        <f>LEFT(base[[#This Row],[Evento / Mercado]],FIND("vs",base[[#This Row],[Evento / Mercado]])-2)</f>
        <v>Derby County</v>
      </c>
      <c r="R16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United</v>
      </c>
      <c r="S1630" s="132" t="str">
        <f>LEFT(base[[#This Row],[Evento / Mercado]],FIND("/",base[[#This Row],[Evento / Mercado]])-2)</f>
        <v>Derby County vs Sheffield United</v>
      </c>
    </row>
    <row r="1631" spans="2:19" ht="15" customHeight="1">
      <c r="B1631" s="128" t="s">
        <v>1661</v>
      </c>
      <c r="C1631" s="128" t="s">
        <v>2982</v>
      </c>
      <c r="D1631" s="129">
        <v>46144.412627314814</v>
      </c>
      <c r="E1631" s="130">
        <v>2.77</v>
      </c>
      <c r="F1631" s="136">
        <v>4.4999999999999998E-2</v>
      </c>
      <c r="G1631" s="126">
        <f t="shared" si="26"/>
        <v>2.9005235602094244</v>
      </c>
      <c r="H1631" s="126" t="s">
        <v>1339</v>
      </c>
      <c r="I1631" s="127" t="s">
        <v>1430</v>
      </c>
      <c r="J1631" s="126">
        <v>17.5</v>
      </c>
      <c r="K1631" s="126">
        <v>47.85</v>
      </c>
      <c r="L1631" s="129">
        <f>INT(base[[#This Row],[Data de liquidação]])</f>
        <v>46144</v>
      </c>
      <c r="M1631" s="126">
        <f>base[[#This Row],[L/P Bruto]]-base[[#This Row],[L/P Líquido]]</f>
        <v>0.13052356020942435</v>
      </c>
      <c r="N1631" s="126">
        <f>base[[#This Row],[L/P Líquido]]/base[[#This Row],[Stake/Responsabilidade]]</f>
        <v>5.7889237199582028E-2</v>
      </c>
      <c r="O1631" s="132">
        <f>IF(base[[#This Row],[L/P Líquido]]&gt;0,1,0)</f>
        <v>1</v>
      </c>
      <c r="P1631" s="132"/>
      <c r="Q1631" s="132" t="str">
        <f>LEFT(base[[#This Row],[Evento / Mercado]],FIND("vs",base[[#This Row],[Evento / Mercado]])-2)</f>
        <v>Holstein Kiel</v>
      </c>
      <c r="R16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1631" s="132" t="str">
        <f>LEFT(base[[#This Row],[Evento / Mercado]],FIND("/",base[[#This Row],[Evento / Mercado]])-2)</f>
        <v>Holstein Kiel vs Eintracht Braunschweig</v>
      </c>
    </row>
    <row r="1632" spans="2:19" ht="15" customHeight="1">
      <c r="B1632" s="128" t="s">
        <v>1660</v>
      </c>
      <c r="C1632" s="128" t="s">
        <v>2982</v>
      </c>
      <c r="D1632" s="129">
        <v>46144.412719907406</v>
      </c>
      <c r="E1632" s="130">
        <v>-115</v>
      </c>
      <c r="F1632" s="136">
        <v>4.4999999999999998E-2</v>
      </c>
      <c r="G1632" s="126">
        <f t="shared" si="26"/>
        <v>-115</v>
      </c>
      <c r="H1632" s="126" t="s">
        <v>231</v>
      </c>
      <c r="I1632" s="127" t="s">
        <v>232</v>
      </c>
      <c r="J1632" s="126">
        <v>1.97</v>
      </c>
      <c r="K1632" s="126">
        <v>115</v>
      </c>
      <c r="L1632" s="129">
        <f>INT(base[[#This Row],[Data de liquidação]])</f>
        <v>46144</v>
      </c>
      <c r="M1632" s="126">
        <f>base[[#This Row],[L/P Bruto]]-base[[#This Row],[L/P Líquido]]</f>
        <v>0</v>
      </c>
      <c r="N1632" s="126">
        <f>base[[#This Row],[L/P Líquido]]/base[[#This Row],[Stake/Responsabilidade]]</f>
        <v>-1</v>
      </c>
      <c r="O1632" s="132">
        <f>IF(base[[#This Row],[L/P Líquido]]&gt;0,1,0)</f>
        <v>0</v>
      </c>
      <c r="P1632" s="132"/>
      <c r="Q1632" s="132" t="str">
        <f>LEFT(base[[#This Row],[Evento / Mercado]],FIND("vs",base[[#This Row],[Evento / Mercado]])-2)</f>
        <v>Holstein Kiel</v>
      </c>
      <c r="R16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1632" s="132" t="str">
        <f>LEFT(base[[#This Row],[Evento / Mercado]],FIND("/",base[[#This Row],[Evento / Mercado]])-2)</f>
        <v>Holstein Kiel vs Eintracht Braunschweig</v>
      </c>
    </row>
    <row r="1633" spans="2:21" ht="15" customHeight="1">
      <c r="B1633" s="128" t="s">
        <v>1659</v>
      </c>
      <c r="C1633" s="128" t="s">
        <v>2982</v>
      </c>
      <c r="D1633" s="129">
        <v>46144.414513888885</v>
      </c>
      <c r="E1633" s="130">
        <v>-2</v>
      </c>
      <c r="F1633" s="136">
        <v>4.4999999999999998E-2</v>
      </c>
      <c r="G1633" s="126">
        <f t="shared" si="26"/>
        <v>-2</v>
      </c>
      <c r="H1633" s="126" t="s">
        <v>1339</v>
      </c>
      <c r="I1633" s="127" t="s">
        <v>1429</v>
      </c>
      <c r="J1633" s="126">
        <v>2.02</v>
      </c>
      <c r="K1633" s="126">
        <v>2</v>
      </c>
      <c r="L1633" s="129">
        <f>INT(base[[#This Row],[Data de liquidação]])</f>
        <v>46144</v>
      </c>
      <c r="M1633" s="126">
        <f>base[[#This Row],[L/P Bruto]]-base[[#This Row],[L/P Líquido]]</f>
        <v>0</v>
      </c>
      <c r="N1633" s="126">
        <f>base[[#This Row],[L/P Líquido]]/base[[#This Row],[Stake/Responsabilidade]]</f>
        <v>-1</v>
      </c>
      <c r="O1633" s="132">
        <f>IF(base[[#This Row],[L/P Líquido]]&gt;0,1,0)</f>
        <v>0</v>
      </c>
      <c r="P1633" s="132"/>
      <c r="Q1633" s="132" t="str">
        <f>LEFT(base[[#This Row],[Evento / Mercado]],FIND("vs",base[[#This Row],[Evento / Mercado]])-2)</f>
        <v>Arminia Bielefeld</v>
      </c>
      <c r="R16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Bochum</v>
      </c>
      <c r="S1633" s="132" t="str">
        <f>LEFT(base[[#This Row],[Evento / Mercado]],FIND("/",base[[#This Row],[Evento / Mercado]])-2)</f>
        <v>Arminia Bielefeld vs VfL Bochum</v>
      </c>
    </row>
    <row r="1634" spans="2:21" ht="15" customHeight="1">
      <c r="B1634" s="128" t="s">
        <v>1659</v>
      </c>
      <c r="C1634" s="128" t="s">
        <v>2982</v>
      </c>
      <c r="D1634" s="129">
        <v>46144.414513888885</v>
      </c>
      <c r="E1634" s="130">
        <v>1.79</v>
      </c>
      <c r="F1634" s="136">
        <v>0</v>
      </c>
      <c r="G1634" s="126">
        <f t="shared" si="26"/>
        <v>1.79</v>
      </c>
      <c r="H1634" s="126" t="s">
        <v>1339</v>
      </c>
      <c r="I1634" s="127" t="s">
        <v>1430</v>
      </c>
      <c r="J1634" s="126">
        <v>28</v>
      </c>
      <c r="K1634" s="126">
        <v>48.33</v>
      </c>
      <c r="L1634" s="129">
        <f>INT(base[[#This Row],[Data de liquidação]])</f>
        <v>46144</v>
      </c>
      <c r="M1634" s="126">
        <f>base[[#This Row],[L/P Bruto]]-base[[#This Row],[L/P Líquido]]</f>
        <v>0</v>
      </c>
      <c r="N1634" s="126">
        <f>base[[#This Row],[L/P Líquido]]/base[[#This Row],[Stake/Responsabilidade]]</f>
        <v>3.7037037037037042E-2</v>
      </c>
      <c r="O1634" s="132">
        <f>IF(base[[#This Row],[L/P Líquido]]&gt;0,1,0)</f>
        <v>1</v>
      </c>
      <c r="P1634" s="132"/>
      <c r="Q1634" s="132" t="str">
        <f>LEFT(base[[#This Row],[Evento / Mercado]],FIND("vs",base[[#This Row],[Evento / Mercado]])-2)</f>
        <v>Arminia Bielefeld</v>
      </c>
      <c r="R16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Bochum</v>
      </c>
      <c r="S1634" s="132" t="str">
        <f>LEFT(base[[#This Row],[Evento / Mercado]],FIND("/",base[[#This Row],[Evento / Mercado]])-2)</f>
        <v>Arminia Bielefeld vs VfL Bochum</v>
      </c>
      <c r="T1634" s="8">
        <v>1.79</v>
      </c>
      <c r="U1634" s="9">
        <f>T1634*0.955</f>
        <v>1.7094499999999999</v>
      </c>
    </row>
    <row r="1635" spans="2:21" ht="15" customHeight="1">
      <c r="B1635" s="128" t="s">
        <v>1658</v>
      </c>
      <c r="C1635" s="128" t="s">
        <v>2982</v>
      </c>
      <c r="D1635" s="129">
        <v>46144.416620370372</v>
      </c>
      <c r="E1635" s="130">
        <v>85.66</v>
      </c>
      <c r="F1635" s="136">
        <v>4.4999999999999998E-2</v>
      </c>
      <c r="G1635" s="126">
        <f t="shared" si="26"/>
        <v>89.696335078534034</v>
      </c>
      <c r="H1635" s="126" t="s">
        <v>231</v>
      </c>
      <c r="I1635" s="127" t="s">
        <v>232</v>
      </c>
      <c r="J1635" s="126">
        <v>1.78</v>
      </c>
      <c r="K1635" s="126">
        <v>115</v>
      </c>
      <c r="L1635" s="129">
        <f>INT(base[[#This Row],[Data de liquidação]])</f>
        <v>46144</v>
      </c>
      <c r="M1635" s="126">
        <f>base[[#This Row],[L/P Bruto]]-base[[#This Row],[L/P Líquido]]</f>
        <v>4.0363350785340373</v>
      </c>
      <c r="N1635" s="126">
        <f>base[[#This Row],[L/P Líquido]]/base[[#This Row],[Stake/Responsabilidade]]</f>
        <v>0.74486956521739123</v>
      </c>
      <c r="O1635" s="132">
        <f>IF(base[[#This Row],[L/P Líquido]]&gt;0,1,0)</f>
        <v>1</v>
      </c>
      <c r="P1635" s="132"/>
      <c r="Q1635" s="132" t="str">
        <f>LEFT(base[[#This Row],[Evento / Mercado]],FIND("vs",base[[#This Row],[Evento / Mercado]])-2)</f>
        <v>Derby County</v>
      </c>
      <c r="R16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United</v>
      </c>
      <c r="S1635" s="132" t="str">
        <f>LEFT(base[[#This Row],[Evento / Mercado]],FIND("/",base[[#This Row],[Evento / Mercado]])-2)</f>
        <v>Derby County vs Sheffield United</v>
      </c>
    </row>
    <row r="1636" spans="2:21" ht="15" customHeight="1">
      <c r="B1636" s="128" t="s">
        <v>1657</v>
      </c>
      <c r="C1636" s="128" t="s">
        <v>2982</v>
      </c>
      <c r="D1636" s="129">
        <v>46144.426886574074</v>
      </c>
      <c r="E1636" s="130">
        <v>1.91</v>
      </c>
      <c r="F1636" s="136">
        <v>4.4999999999999998E-2</v>
      </c>
      <c r="G1636" s="126">
        <f t="shared" si="26"/>
        <v>2</v>
      </c>
      <c r="H1636" s="126" t="s">
        <v>1339</v>
      </c>
      <c r="I1636" s="127" t="s">
        <v>1236</v>
      </c>
      <c r="J1636" s="126">
        <v>7</v>
      </c>
      <c r="K1636" s="126">
        <v>2</v>
      </c>
      <c r="L1636" s="129">
        <f>INT(base[[#This Row],[Data de liquidação]])</f>
        <v>46144</v>
      </c>
      <c r="M1636" s="126">
        <f>base[[#This Row],[L/P Bruto]]-base[[#This Row],[L/P Líquido]]</f>
        <v>9.000000000000008E-2</v>
      </c>
      <c r="N1636" s="126">
        <f>base[[#This Row],[L/P Líquido]]/base[[#This Row],[Stake/Responsabilidade]]</f>
        <v>0.95499999999999996</v>
      </c>
      <c r="O1636" s="132">
        <f>IF(base[[#This Row],[L/P Líquido]]&gt;0,1,0)</f>
        <v>1</v>
      </c>
      <c r="P1636" s="132"/>
      <c r="Q1636" s="132" t="str">
        <f>LEFT(base[[#This Row],[Evento / Mercado]],FIND("vs",base[[#This Row],[Evento / Mercado]])-2)</f>
        <v>Villarreal</v>
      </c>
      <c r="R16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1636" s="132" t="str">
        <f>LEFT(base[[#This Row],[Evento / Mercado]],FIND("/",base[[#This Row],[Evento / Mercado]])-2)</f>
        <v>Villarreal vs Levante UD</v>
      </c>
    </row>
    <row r="1637" spans="2:21" ht="15" customHeight="1">
      <c r="B1637" s="128" t="s">
        <v>1656</v>
      </c>
      <c r="C1637" s="128" t="s">
        <v>2982</v>
      </c>
      <c r="D1637" s="129">
        <v>46144.431886574072</v>
      </c>
      <c r="E1637" s="130">
        <v>2.5099999999999998</v>
      </c>
      <c r="F1637" s="136">
        <v>4.4999999999999998E-2</v>
      </c>
      <c r="G1637" s="126">
        <f t="shared" si="26"/>
        <v>2.6282722513089003</v>
      </c>
      <c r="H1637" s="126" t="s">
        <v>1339</v>
      </c>
      <c r="I1637" s="127" t="s">
        <v>1430</v>
      </c>
      <c r="J1637" s="126">
        <v>20</v>
      </c>
      <c r="K1637" s="126">
        <v>49.97</v>
      </c>
      <c r="L1637" s="129">
        <f>INT(base[[#This Row],[Data de liquidação]])</f>
        <v>46144</v>
      </c>
      <c r="M1637" s="126">
        <f>base[[#This Row],[L/P Bruto]]-base[[#This Row],[L/P Líquido]]</f>
        <v>0.11827225130890051</v>
      </c>
      <c r="N1637" s="126">
        <f>base[[#This Row],[L/P Líquido]]/base[[#This Row],[Stake/Responsabilidade]]</f>
        <v>5.0230138082849707E-2</v>
      </c>
      <c r="O1637" s="132">
        <f>IF(base[[#This Row],[L/P Líquido]]&gt;0,1,0)</f>
        <v>1</v>
      </c>
      <c r="P1637" s="132"/>
      <c r="Q1637" s="132" t="str">
        <f>LEFT(base[[#This Row],[Evento / Mercado]],FIND("vs",base[[#This Row],[Evento / Mercado]])-2)</f>
        <v>Bristol City</v>
      </c>
      <c r="R16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Stoke City</v>
      </c>
      <c r="S1637" s="132" t="str">
        <f>LEFT(base[[#This Row],[Evento / Mercado]],FIND("/",base[[#This Row],[Evento / Mercado]])-2)</f>
        <v>Bristol City vs Stoke City</v>
      </c>
    </row>
    <row r="1638" spans="2:21" ht="15" customHeight="1">
      <c r="B1638" s="128" t="s">
        <v>1655</v>
      </c>
      <c r="C1638" s="128" t="s">
        <v>2982</v>
      </c>
      <c r="D1638" s="129">
        <v>46144.433379629627</v>
      </c>
      <c r="E1638" s="130">
        <v>0.6</v>
      </c>
      <c r="F1638" s="136">
        <v>4.4999999999999998E-2</v>
      </c>
      <c r="G1638" s="126">
        <f t="shared" si="26"/>
        <v>0.62827225130890052</v>
      </c>
      <c r="H1638" s="126" t="s">
        <v>1339</v>
      </c>
      <c r="I1638" s="127" t="s">
        <v>1391</v>
      </c>
      <c r="J1638" s="126">
        <v>3.75</v>
      </c>
      <c r="K1638" s="126">
        <v>10.37</v>
      </c>
      <c r="L1638" s="129">
        <f>INT(base[[#This Row],[Data de liquidação]])</f>
        <v>46144</v>
      </c>
      <c r="M1638" s="126">
        <f>base[[#This Row],[L/P Bruto]]-base[[#This Row],[L/P Líquido]]</f>
        <v>2.8272251308900542E-2</v>
      </c>
      <c r="N1638" s="126">
        <f>base[[#This Row],[L/P Líquido]]/base[[#This Row],[Stake/Responsabilidade]]</f>
        <v>5.7859209257473482E-2</v>
      </c>
      <c r="O1638" s="132">
        <f>IF(base[[#This Row],[L/P Líquido]]&gt;0,1,0)</f>
        <v>1</v>
      </c>
      <c r="P1638" s="132"/>
      <c r="Q1638" s="132" t="str">
        <f>LEFT(base[[#This Row],[Evento / Mercado]],FIND("vs",base[[#This Row],[Evento / Mercado]])-2)</f>
        <v>Watford</v>
      </c>
      <c r="R16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1638" s="132" t="str">
        <f>LEFT(base[[#This Row],[Evento / Mercado]],FIND("/",base[[#This Row],[Evento / Mercado]])-2)</f>
        <v>Watford vs Coventry City</v>
      </c>
    </row>
    <row r="1639" spans="2:21" ht="15" customHeight="1">
      <c r="B1639" s="128" t="s">
        <v>1654</v>
      </c>
      <c r="C1639" s="128" t="s">
        <v>2982</v>
      </c>
      <c r="D1639" s="129">
        <v>46144.433865740742</v>
      </c>
      <c r="E1639" s="130">
        <v>3.58</v>
      </c>
      <c r="F1639" s="136">
        <v>4.4999999999999998E-2</v>
      </c>
      <c r="G1639" s="126">
        <f t="shared" si="26"/>
        <v>3.74869109947644</v>
      </c>
      <c r="H1639" s="126" t="s">
        <v>1339</v>
      </c>
      <c r="I1639" s="127" t="s">
        <v>1390</v>
      </c>
      <c r="J1639" s="126">
        <v>9</v>
      </c>
      <c r="K1639" s="126">
        <v>30</v>
      </c>
      <c r="L1639" s="129">
        <f>INT(base[[#This Row],[Data de liquidação]])</f>
        <v>46144</v>
      </c>
      <c r="M1639" s="126">
        <f>base[[#This Row],[L/P Bruto]]-base[[#This Row],[L/P Líquido]]</f>
        <v>0.1686910994764399</v>
      </c>
      <c r="N1639" s="126">
        <f>base[[#This Row],[L/P Líquido]]/base[[#This Row],[Stake/Responsabilidade]]</f>
        <v>0.11933333333333333</v>
      </c>
      <c r="O1639" s="132">
        <f>IF(base[[#This Row],[L/P Líquido]]&gt;0,1,0)</f>
        <v>1</v>
      </c>
      <c r="P1639" s="132"/>
      <c r="Q1639" s="132" t="str">
        <f>LEFT(base[[#This Row],[Evento / Mercado]],FIND("vs",base[[#This Row],[Evento / Mercado]])-2)</f>
        <v>Millwall</v>
      </c>
      <c r="R16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1639" s="132" t="str">
        <f>LEFT(base[[#This Row],[Evento / Mercado]],FIND("/",base[[#This Row],[Evento / Mercado]])-2)</f>
        <v>Millwall vs Oxford United</v>
      </c>
    </row>
    <row r="1640" spans="2:21" ht="15" customHeight="1">
      <c r="B1640" s="128" t="s">
        <v>1653</v>
      </c>
      <c r="C1640" s="128" t="s">
        <v>2982</v>
      </c>
      <c r="D1640" s="129">
        <v>46144.434641203705</v>
      </c>
      <c r="E1640" s="130">
        <v>-5</v>
      </c>
      <c r="F1640" s="136">
        <v>4.4999999999999998E-2</v>
      </c>
      <c r="G1640" s="126">
        <f t="shared" si="26"/>
        <v>-5</v>
      </c>
      <c r="H1640" s="126" t="s">
        <v>1339</v>
      </c>
      <c r="I1640" s="127" t="s">
        <v>1338</v>
      </c>
      <c r="J1640" s="126">
        <v>2.3199999999999998</v>
      </c>
      <c r="K1640" s="126">
        <v>5</v>
      </c>
      <c r="L1640" s="129">
        <f>INT(base[[#This Row],[Data de liquidação]])</f>
        <v>46144</v>
      </c>
      <c r="M1640" s="126">
        <f>base[[#This Row],[L/P Bruto]]-base[[#This Row],[L/P Líquido]]</f>
        <v>0</v>
      </c>
      <c r="N1640" s="126">
        <f>base[[#This Row],[L/P Líquido]]/base[[#This Row],[Stake/Responsabilidade]]</f>
        <v>-1</v>
      </c>
      <c r="O1640" s="132">
        <f>IF(base[[#This Row],[L/P Líquido]]&gt;0,1,0)</f>
        <v>0</v>
      </c>
      <c r="P1640" s="132"/>
      <c r="Q1640" s="132" t="str">
        <f>LEFT(base[[#This Row],[Evento / Mercado]],FIND("vs",base[[#This Row],[Evento / Mercado]])-2)</f>
        <v>Villarreal</v>
      </c>
      <c r="R16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1640" s="132" t="str">
        <f>LEFT(base[[#This Row],[Evento / Mercado]],FIND("/",base[[#This Row],[Evento / Mercado]])-2)</f>
        <v>Villarreal vs Levante UD</v>
      </c>
    </row>
    <row r="1641" spans="2:21" ht="15" customHeight="1">
      <c r="B1641" s="128" t="s">
        <v>1652</v>
      </c>
      <c r="C1641" s="128" t="s">
        <v>2982</v>
      </c>
      <c r="D1641" s="129">
        <v>46144.435416666667</v>
      </c>
      <c r="E1641" s="130">
        <v>36.130000000000003</v>
      </c>
      <c r="F1641" s="136">
        <v>4.4999999999999998E-2</v>
      </c>
      <c r="G1641" s="126">
        <f t="shared" si="26"/>
        <v>37.832460732984295</v>
      </c>
      <c r="H1641" s="126" t="s">
        <v>145</v>
      </c>
      <c r="I1641" s="127" t="s">
        <v>301</v>
      </c>
      <c r="J1641" s="126">
        <v>12.5</v>
      </c>
      <c r="K1641" s="126">
        <v>435.04</v>
      </c>
      <c r="L1641" s="129">
        <f>INT(base[[#This Row],[Data de liquidação]])</f>
        <v>46144</v>
      </c>
      <c r="M1641" s="126">
        <f>base[[#This Row],[L/P Bruto]]-base[[#This Row],[L/P Líquido]]</f>
        <v>1.7024607329842922</v>
      </c>
      <c r="N1641" s="126">
        <f>base[[#This Row],[L/P Líquido]]/base[[#This Row],[Stake/Responsabilidade]]</f>
        <v>8.3049834497977204E-2</v>
      </c>
      <c r="O1641" s="132">
        <f>IF(base[[#This Row],[L/P Líquido]]&gt;0,1,0)</f>
        <v>1</v>
      </c>
      <c r="P1641" s="132" t="s">
        <v>968</v>
      </c>
      <c r="Q1641" s="132" t="str">
        <f>LEFT(base[[#This Row],[Evento / Mercado]],FIND("vs",base[[#This Row],[Evento / Mercado]])-2)</f>
        <v>Ipswich Town</v>
      </c>
      <c r="R16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Queens Park Rangers</v>
      </c>
      <c r="S1641" s="132" t="str">
        <f>LEFT(base[[#This Row],[Evento / Mercado]],FIND("/",base[[#This Row],[Evento / Mercado]])-2)</f>
        <v>Ipswich Town vs Queens Park Rangers</v>
      </c>
    </row>
    <row r="1642" spans="2:21" ht="15" customHeight="1">
      <c r="B1642" s="128" t="s">
        <v>1651</v>
      </c>
      <c r="C1642" s="128" t="s">
        <v>2982</v>
      </c>
      <c r="D1642" s="129">
        <v>46144.436006944445</v>
      </c>
      <c r="E1642" s="130">
        <v>1.76</v>
      </c>
      <c r="F1642" s="136">
        <v>4.4999999999999998E-2</v>
      </c>
      <c r="G1642" s="126">
        <f t="shared" si="26"/>
        <v>1.842931937172775</v>
      </c>
      <c r="H1642" s="126" t="s">
        <v>1339</v>
      </c>
      <c r="I1642" s="127" t="s">
        <v>1429</v>
      </c>
      <c r="J1642" s="126">
        <v>1.92</v>
      </c>
      <c r="K1642" s="126">
        <v>2</v>
      </c>
      <c r="L1642" s="129">
        <f>INT(base[[#This Row],[Data de liquidação]])</f>
        <v>46144</v>
      </c>
      <c r="M1642" s="126">
        <f>base[[#This Row],[L/P Bruto]]-base[[#This Row],[L/P Líquido]]</f>
        <v>8.2931937172775028E-2</v>
      </c>
      <c r="N1642" s="126">
        <f>base[[#This Row],[L/P Líquido]]/base[[#This Row],[Stake/Responsabilidade]]</f>
        <v>0.88</v>
      </c>
      <c r="O1642" s="132">
        <f>IF(base[[#This Row],[L/P Líquido]]&gt;0,1,0)</f>
        <v>1</v>
      </c>
      <c r="P1642" s="132"/>
      <c r="Q1642" s="132" t="str">
        <f>LEFT(base[[#This Row],[Evento / Mercado]],FIND("vs",base[[#This Row],[Evento / Mercado]])-2)</f>
        <v>Swansea City</v>
      </c>
      <c r="R16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Charlton Athletic</v>
      </c>
      <c r="S1642" s="132" t="str">
        <f>LEFT(base[[#This Row],[Evento / Mercado]],FIND("/",base[[#This Row],[Evento / Mercado]])-2)</f>
        <v>Swansea City vs Charlton Athletic</v>
      </c>
    </row>
    <row r="1643" spans="2:21" ht="15" customHeight="1">
      <c r="B1643" s="128" t="s">
        <v>1650</v>
      </c>
      <c r="C1643" s="128" t="s">
        <v>2982</v>
      </c>
      <c r="D1643" s="129">
        <v>46144.437592592592</v>
      </c>
      <c r="E1643" s="130">
        <v>2.27</v>
      </c>
      <c r="F1643" s="136">
        <v>4.4999999999999998E-2</v>
      </c>
      <c r="G1643" s="126">
        <f t="shared" si="26"/>
        <v>2.3769633507853403</v>
      </c>
      <c r="H1643" s="126" t="s">
        <v>1339</v>
      </c>
      <c r="I1643" s="127" t="s">
        <v>1388</v>
      </c>
      <c r="J1643" s="126">
        <v>22</v>
      </c>
      <c r="K1643" s="126">
        <v>49.98</v>
      </c>
      <c r="L1643" s="129">
        <f>INT(base[[#This Row],[Data de liquidação]])</f>
        <v>46144</v>
      </c>
      <c r="M1643" s="126">
        <f>base[[#This Row],[L/P Bruto]]-base[[#This Row],[L/P Líquido]]</f>
        <v>0.10696335078534025</v>
      </c>
      <c r="N1643" s="126">
        <f>base[[#This Row],[L/P Líquido]]/base[[#This Row],[Stake/Responsabilidade]]</f>
        <v>4.5418167266906763E-2</v>
      </c>
      <c r="O1643" s="132">
        <f>IF(base[[#This Row],[L/P Líquido]]&gt;0,1,0)</f>
        <v>1</v>
      </c>
      <c r="P1643" s="132"/>
      <c r="Q1643" s="132" t="str">
        <f>LEFT(base[[#This Row],[Evento / Mercado]],FIND("vs",base[[#This Row],[Evento / Mercado]])-2)</f>
        <v>Hull City</v>
      </c>
      <c r="R16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1643" s="132" t="str">
        <f>LEFT(base[[#This Row],[Evento / Mercado]],FIND("/",base[[#This Row],[Evento / Mercado]])-2)</f>
        <v>Hull City vs Norwich City</v>
      </c>
    </row>
    <row r="1644" spans="2:21" ht="15" customHeight="1">
      <c r="B1644" s="128" t="s">
        <v>1649</v>
      </c>
      <c r="C1644" s="128" t="s">
        <v>2982</v>
      </c>
      <c r="D1644" s="129">
        <v>46144.438530092593</v>
      </c>
      <c r="E1644" s="130">
        <v>1.31</v>
      </c>
      <c r="F1644" s="136">
        <v>4.4999999999999998E-2</v>
      </c>
      <c r="G1644" s="126">
        <f t="shared" si="26"/>
        <v>1.3717277486910995</v>
      </c>
      <c r="H1644" s="126" t="s">
        <v>1339</v>
      </c>
      <c r="I1644" s="127" t="s">
        <v>1336</v>
      </c>
      <c r="J1644" s="126">
        <v>1.45</v>
      </c>
      <c r="K1644" s="126">
        <v>5</v>
      </c>
      <c r="L1644" s="129">
        <f>INT(base[[#This Row],[Data de liquidação]])</f>
        <v>46144</v>
      </c>
      <c r="M1644" s="126">
        <f>base[[#This Row],[L/P Bruto]]-base[[#This Row],[L/P Líquido]]</f>
        <v>6.1727748691099427E-2</v>
      </c>
      <c r="N1644" s="126">
        <f>base[[#This Row],[L/P Líquido]]/base[[#This Row],[Stake/Responsabilidade]]</f>
        <v>0.26200000000000001</v>
      </c>
      <c r="O1644" s="132">
        <f>IF(base[[#This Row],[L/P Líquido]]&gt;0,1,0)</f>
        <v>1</v>
      </c>
      <c r="P1644" s="132"/>
      <c r="Q1644" s="132" t="str">
        <f>LEFT(base[[#This Row],[Evento / Mercado]],FIND("vs",base[[#This Row],[Evento / Mercado]])-2)</f>
        <v>Hull City</v>
      </c>
      <c r="R16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1644" s="132" t="str">
        <f>LEFT(base[[#This Row],[Evento / Mercado]],FIND("/",base[[#This Row],[Evento / Mercado]])-2)</f>
        <v>Hull City vs Norwich City</v>
      </c>
    </row>
    <row r="1645" spans="2:21" ht="15" customHeight="1">
      <c r="B1645" s="128" t="s">
        <v>1648</v>
      </c>
      <c r="C1645" s="128" t="s">
        <v>2982</v>
      </c>
      <c r="D1645" s="129">
        <v>46144.438831018517</v>
      </c>
      <c r="E1645" s="130">
        <v>1.01</v>
      </c>
      <c r="F1645" s="136">
        <v>4.4999999999999998E-2</v>
      </c>
      <c r="G1645" s="126">
        <f t="shared" si="26"/>
        <v>1.0575916230366493</v>
      </c>
      <c r="H1645" s="126" t="s">
        <v>1339</v>
      </c>
      <c r="I1645" s="127" t="s">
        <v>1336</v>
      </c>
      <c r="J1645" s="126">
        <v>1.49</v>
      </c>
      <c r="K1645" s="126">
        <v>5</v>
      </c>
      <c r="L1645" s="129">
        <f>INT(base[[#This Row],[Data de liquidação]])</f>
        <v>46144</v>
      </c>
      <c r="M1645" s="126">
        <f>base[[#This Row],[L/P Bruto]]-base[[#This Row],[L/P Líquido]]</f>
        <v>4.7591623036649322E-2</v>
      </c>
      <c r="N1645" s="126">
        <f>base[[#This Row],[L/P Líquido]]/base[[#This Row],[Stake/Responsabilidade]]</f>
        <v>0.20200000000000001</v>
      </c>
      <c r="O1645" s="132">
        <f>IF(base[[#This Row],[L/P Líquido]]&gt;0,1,0)</f>
        <v>1</v>
      </c>
      <c r="P1645" s="132"/>
      <c r="Q1645" s="132" t="str">
        <f>LEFT(base[[#This Row],[Evento / Mercado]],FIND("vs",base[[#This Row],[Evento / Mercado]])-2)</f>
        <v>Villarreal</v>
      </c>
      <c r="R16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1645" s="132" t="str">
        <f>LEFT(base[[#This Row],[Evento / Mercado]],FIND("/",base[[#This Row],[Evento / Mercado]])-2)</f>
        <v>Villarreal vs Levante UD</v>
      </c>
    </row>
    <row r="1646" spans="2:21" ht="15" customHeight="1">
      <c r="B1646" s="128" t="s">
        <v>1647</v>
      </c>
      <c r="C1646" s="128" t="s">
        <v>2982</v>
      </c>
      <c r="D1646" s="129">
        <v>46144.45888888889</v>
      </c>
      <c r="E1646" s="130">
        <v>1.43</v>
      </c>
      <c r="F1646" s="136">
        <v>4.4999999999999998E-2</v>
      </c>
      <c r="G1646" s="126">
        <f t="shared" si="26"/>
        <v>1.4973821989528795</v>
      </c>
      <c r="H1646" s="126" t="s">
        <v>1339</v>
      </c>
      <c r="I1646" s="127" t="s">
        <v>1429</v>
      </c>
      <c r="J1646" s="126">
        <v>1.75</v>
      </c>
      <c r="K1646" s="126">
        <v>2</v>
      </c>
      <c r="L1646" s="129">
        <f>INT(base[[#This Row],[Data de liquidação]])</f>
        <v>46144</v>
      </c>
      <c r="M1646" s="126">
        <f>base[[#This Row],[L/P Bruto]]-base[[#This Row],[L/P Líquido]]</f>
        <v>6.7382198952879557E-2</v>
      </c>
      <c r="N1646" s="126">
        <f>base[[#This Row],[L/P Líquido]]/base[[#This Row],[Stake/Responsabilidade]]</f>
        <v>0.71499999999999997</v>
      </c>
      <c r="O1646" s="132">
        <f>IF(base[[#This Row],[L/P Líquido]]&gt;0,1,0)</f>
        <v>1</v>
      </c>
      <c r="P1646" s="132"/>
      <c r="Q1646" s="132" t="str">
        <f>LEFT(base[[#This Row],[Evento / Mercado]],FIND("vs",base[[#This Row],[Evento / Mercado]])-2)</f>
        <v>Villarreal</v>
      </c>
      <c r="R16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1646" s="132" t="str">
        <f>LEFT(base[[#This Row],[Evento / Mercado]],FIND("/",base[[#This Row],[Evento / Mercado]])-2)</f>
        <v>Villarreal vs Levante UD</v>
      </c>
    </row>
    <row r="1647" spans="2:21" ht="15" customHeight="1">
      <c r="B1647" s="128" t="s">
        <v>1646</v>
      </c>
      <c r="C1647" s="128" t="s">
        <v>2982</v>
      </c>
      <c r="D1647" s="129">
        <v>46144.471446759257</v>
      </c>
      <c r="E1647" s="130">
        <v>1.91</v>
      </c>
      <c r="F1647" s="136">
        <v>4.4999999999999998E-2</v>
      </c>
      <c r="G1647" s="126">
        <f t="shared" si="26"/>
        <v>2</v>
      </c>
      <c r="H1647" s="126" t="s">
        <v>1339</v>
      </c>
      <c r="I1647" s="127" t="s">
        <v>1236</v>
      </c>
      <c r="J1647" s="126">
        <v>9.1999999999999993</v>
      </c>
      <c r="K1647" s="126">
        <v>2</v>
      </c>
      <c r="L1647" s="129">
        <f>INT(base[[#This Row],[Data de liquidação]])</f>
        <v>46144</v>
      </c>
      <c r="M1647" s="126">
        <f>base[[#This Row],[L/P Bruto]]-base[[#This Row],[L/P Líquido]]</f>
        <v>9.000000000000008E-2</v>
      </c>
      <c r="N1647" s="126">
        <f>base[[#This Row],[L/P Líquido]]/base[[#This Row],[Stake/Responsabilidade]]</f>
        <v>0.95499999999999996</v>
      </c>
      <c r="O1647" s="132">
        <f>IF(base[[#This Row],[L/P Líquido]]&gt;0,1,0)</f>
        <v>1</v>
      </c>
      <c r="P1647" s="132"/>
      <c r="Q1647" s="132" t="str">
        <f>LEFT(base[[#This Row],[Evento / Mercado]],FIND("vs",base[[#This Row],[Evento / Mercado]])-2)</f>
        <v>Werder Bremen</v>
      </c>
      <c r="R16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Augsburg</v>
      </c>
      <c r="S1647" s="132" t="str">
        <f>LEFT(base[[#This Row],[Evento / Mercado]],FIND("/",base[[#This Row],[Evento / Mercado]])-2)</f>
        <v>Werder Bremen vs FC Augsburg</v>
      </c>
    </row>
    <row r="1648" spans="2:21" ht="15" customHeight="1">
      <c r="B1648" s="128" t="s">
        <v>1645</v>
      </c>
      <c r="C1648" s="128" t="s">
        <v>2982</v>
      </c>
      <c r="D1648" s="129">
        <v>46144.496307870373</v>
      </c>
      <c r="E1648" s="130">
        <v>0.77</v>
      </c>
      <c r="F1648" s="136">
        <v>4.4999999999999998E-2</v>
      </c>
      <c r="G1648" s="126">
        <f t="shared" si="26"/>
        <v>0.80628272251308908</v>
      </c>
      <c r="H1648" s="126" t="s">
        <v>1339</v>
      </c>
      <c r="I1648" s="127" t="s">
        <v>1336</v>
      </c>
      <c r="J1648" s="126">
        <v>1.41</v>
      </c>
      <c r="K1648" s="126">
        <v>5</v>
      </c>
      <c r="L1648" s="129">
        <f>INT(base[[#This Row],[Data de liquidação]])</f>
        <v>46144</v>
      </c>
      <c r="M1648" s="126">
        <f>base[[#This Row],[L/P Bruto]]-base[[#This Row],[L/P Líquido]]</f>
        <v>3.6282722513089061E-2</v>
      </c>
      <c r="N1648" s="126">
        <f>base[[#This Row],[L/P Líquido]]/base[[#This Row],[Stake/Responsabilidade]]</f>
        <v>0.154</v>
      </c>
      <c r="O1648" s="132">
        <f>IF(base[[#This Row],[L/P Líquido]]&gt;0,1,0)</f>
        <v>1</v>
      </c>
      <c r="P1648" s="132"/>
      <c r="Q1648" s="132" t="str">
        <f>LEFT(base[[#This Row],[Evento / Mercado]],FIND("vs",base[[#This Row],[Evento / Mercado]])-2)</f>
        <v>FC Nantes</v>
      </c>
      <c r="R16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Marseille</v>
      </c>
      <c r="S1648" s="132" t="str">
        <f>LEFT(base[[#This Row],[Evento / Mercado]],FIND("/",base[[#This Row],[Evento / Mercado]])-2)</f>
        <v>FC Nantes vs Olympique Marseille</v>
      </c>
    </row>
    <row r="1649" spans="2:19" ht="15" customHeight="1">
      <c r="B1649" s="128" t="s">
        <v>1644</v>
      </c>
      <c r="C1649" s="128" t="s">
        <v>2982</v>
      </c>
      <c r="D1649" s="129">
        <v>46144.500509259262</v>
      </c>
      <c r="E1649" s="130">
        <v>-5</v>
      </c>
      <c r="F1649" s="136">
        <v>4.4999999999999998E-2</v>
      </c>
      <c r="G1649" s="126">
        <f t="shared" si="26"/>
        <v>-5</v>
      </c>
      <c r="H1649" s="126" t="s">
        <v>1339</v>
      </c>
      <c r="I1649" s="127" t="s">
        <v>1336</v>
      </c>
      <c r="J1649" s="126">
        <v>1.49</v>
      </c>
      <c r="K1649" s="126">
        <v>5</v>
      </c>
      <c r="L1649" s="129">
        <f>INT(base[[#This Row],[Data de liquidação]])</f>
        <v>46144</v>
      </c>
      <c r="M1649" s="126">
        <f>base[[#This Row],[L/P Bruto]]-base[[#This Row],[L/P Líquido]]</f>
        <v>0</v>
      </c>
      <c r="N1649" s="126">
        <f>base[[#This Row],[L/P Líquido]]/base[[#This Row],[Stake/Responsabilidade]]</f>
        <v>-1</v>
      </c>
      <c r="O1649" s="132">
        <f>IF(base[[#This Row],[L/P Líquido]]&gt;0,1,0)</f>
        <v>0</v>
      </c>
      <c r="P1649" s="132"/>
      <c r="Q1649" s="132" t="str">
        <f>LEFT(base[[#This Row],[Evento / Mercado]],FIND("vs",base[[#This Row],[Evento / Mercado]])-2)</f>
        <v>Werder Bremen</v>
      </c>
      <c r="R16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Augsburg</v>
      </c>
      <c r="S1649" s="132" t="str">
        <f>LEFT(base[[#This Row],[Evento / Mercado]],FIND("/",base[[#This Row],[Evento / Mercado]])-2)</f>
        <v>Werder Bremen vs FC Augsburg</v>
      </c>
    </row>
    <row r="1650" spans="2:19" ht="15" customHeight="1">
      <c r="B1650" s="128" t="s">
        <v>1643</v>
      </c>
      <c r="C1650" s="128" t="s">
        <v>2982</v>
      </c>
      <c r="D1650" s="129">
        <v>46144.505706018521</v>
      </c>
      <c r="E1650" s="130">
        <v>12.37</v>
      </c>
      <c r="F1650" s="136">
        <v>4.4999999999999998E-2</v>
      </c>
      <c r="G1650" s="126">
        <f t="shared" si="26"/>
        <v>12.952879581151832</v>
      </c>
      <c r="H1650" s="126" t="s">
        <v>211</v>
      </c>
      <c r="I1650" s="127" t="s">
        <v>1480</v>
      </c>
      <c r="J1650" s="126">
        <v>1.37</v>
      </c>
      <c r="K1650" s="126">
        <v>35</v>
      </c>
      <c r="L1650" s="129">
        <f>INT(base[[#This Row],[Data de liquidação]])</f>
        <v>46144</v>
      </c>
      <c r="M1650" s="126">
        <f>base[[#This Row],[L/P Bruto]]-base[[#This Row],[L/P Líquido]]</f>
        <v>0.58287958115183258</v>
      </c>
      <c r="N1650" s="126">
        <f>base[[#This Row],[L/P Líquido]]/base[[#This Row],[Stake/Responsabilidade]]</f>
        <v>0.35342857142857143</v>
      </c>
      <c r="O1650" s="132">
        <f>IF(base[[#This Row],[L/P Líquido]]&gt;0,1,0)</f>
        <v>1</v>
      </c>
      <c r="P1650" s="132"/>
      <c r="Q1650" s="132" t="str">
        <f>LEFT(base[[#This Row],[Evento / Mercado]],FIND("vs",base[[#This Row],[Evento / Mercado]])-2)</f>
        <v>FC Bayern München</v>
      </c>
      <c r="R16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Heidenheim</v>
      </c>
      <c r="S1650" s="132" t="str">
        <f>LEFT(base[[#This Row],[Evento / Mercado]],FIND("/",base[[#This Row],[Evento / Mercado]])-2)</f>
        <v>FC Bayern München vs 1. FC Heidenheim</v>
      </c>
    </row>
    <row r="1651" spans="2:19" ht="15" customHeight="1">
      <c r="B1651" s="128" t="s">
        <v>1642</v>
      </c>
      <c r="C1651" s="128" t="s">
        <v>2982</v>
      </c>
      <c r="D1651" s="129">
        <v>46144.509930555556</v>
      </c>
      <c r="E1651" s="130">
        <v>-1.54</v>
      </c>
      <c r="F1651" s="136">
        <v>4.4999999999999998E-2</v>
      </c>
      <c r="G1651" s="126">
        <f t="shared" si="26"/>
        <v>-1.54</v>
      </c>
      <c r="H1651" s="126" t="s">
        <v>1339</v>
      </c>
      <c r="I1651" s="127" t="s">
        <v>1236</v>
      </c>
      <c r="J1651" s="126">
        <v>9.1999999999999993</v>
      </c>
      <c r="K1651" s="126">
        <v>2</v>
      </c>
      <c r="L1651" s="129">
        <f>INT(base[[#This Row],[Data de liquidação]])</f>
        <v>46144</v>
      </c>
      <c r="M1651" s="126">
        <f>base[[#This Row],[L/P Bruto]]-base[[#This Row],[L/P Líquido]]</f>
        <v>0</v>
      </c>
      <c r="N1651" s="126">
        <f>base[[#This Row],[L/P Líquido]]/base[[#This Row],[Stake/Responsabilidade]]</f>
        <v>-0.77</v>
      </c>
      <c r="O1651" s="132">
        <f>IF(base[[#This Row],[L/P Líquido]]&gt;0,1,0)</f>
        <v>0</v>
      </c>
      <c r="P1651" s="132"/>
      <c r="Q1651" s="132" t="str">
        <f>LEFT(base[[#This Row],[Evento / Mercado]],FIND("vs",base[[#This Row],[Evento / Mercado]])-2)</f>
        <v>Brentford</v>
      </c>
      <c r="R16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1651" s="132" t="str">
        <f>LEFT(base[[#This Row],[Evento / Mercado]],FIND("/",base[[#This Row],[Evento / Mercado]])-2)</f>
        <v>Brentford vs West Ham</v>
      </c>
    </row>
    <row r="1652" spans="2:19" ht="15" customHeight="1">
      <c r="B1652" s="128" t="s">
        <v>1641</v>
      </c>
      <c r="C1652" s="128" t="s">
        <v>2982</v>
      </c>
      <c r="D1652" s="129">
        <v>46144.518043981479</v>
      </c>
      <c r="E1652" s="130">
        <v>27.25</v>
      </c>
      <c r="F1652" s="136">
        <v>4.4999999999999998E-2</v>
      </c>
      <c r="G1652" s="126">
        <f t="shared" si="26"/>
        <v>28.534031413612567</v>
      </c>
      <c r="H1652" s="126" t="s">
        <v>74</v>
      </c>
      <c r="I1652" s="127" t="s">
        <v>477</v>
      </c>
      <c r="J1652" s="126">
        <v>18</v>
      </c>
      <c r="K1652" s="126">
        <v>485.01</v>
      </c>
      <c r="L1652" s="129">
        <f>INT(base[[#This Row],[Data de liquidação]])</f>
        <v>46144</v>
      </c>
      <c r="M1652" s="126">
        <f>base[[#This Row],[L/P Bruto]]-base[[#This Row],[L/P Líquido]]</f>
        <v>1.284031413612567</v>
      </c>
      <c r="N1652" s="126">
        <f>base[[#This Row],[L/P Líquido]]/base[[#This Row],[Stake/Responsabilidade]]</f>
        <v>5.6184408568895484E-2</v>
      </c>
      <c r="O1652" s="132">
        <f>IF(base[[#This Row],[L/P Líquido]]&gt;0,1,0)</f>
        <v>1</v>
      </c>
      <c r="P1652" s="132" t="s">
        <v>962</v>
      </c>
      <c r="Q1652" s="132" t="str">
        <f>LEFT(base[[#This Row],[Evento / Mercado]],FIND("vs",base[[#This Row],[Evento / Mercado]])-2)</f>
        <v>1899 Hoffenheim</v>
      </c>
      <c r="R16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1652" s="132" t="str">
        <f>LEFT(base[[#This Row],[Evento / Mercado]],FIND("/",base[[#This Row],[Evento / Mercado]])-2)</f>
        <v>1899 Hoffenheim vs VfB Stuttgart</v>
      </c>
    </row>
    <row r="1653" spans="2:19" ht="15" customHeight="1">
      <c r="B1653" s="128" t="s">
        <v>1640</v>
      </c>
      <c r="C1653" s="128" t="s">
        <v>2982</v>
      </c>
      <c r="D1653" s="129">
        <v>46144.522083333337</v>
      </c>
      <c r="E1653" s="130">
        <v>2.73</v>
      </c>
      <c r="F1653" s="136">
        <v>4.4999999999999998E-2</v>
      </c>
      <c r="G1653" s="126">
        <f t="shared" si="26"/>
        <v>2.8586387434554976</v>
      </c>
      <c r="H1653" s="126" t="s">
        <v>1339</v>
      </c>
      <c r="I1653" s="127" t="s">
        <v>1390</v>
      </c>
      <c r="J1653" s="126">
        <v>11.5</v>
      </c>
      <c r="K1653" s="126">
        <v>30.03</v>
      </c>
      <c r="L1653" s="129">
        <f>INT(base[[#This Row],[Data de liquidação]])</f>
        <v>46144</v>
      </c>
      <c r="M1653" s="126">
        <f>base[[#This Row],[L/P Bruto]]-base[[#This Row],[L/P Líquido]]</f>
        <v>0.12863874345549764</v>
      </c>
      <c r="N1653" s="126">
        <f>base[[#This Row],[L/P Líquido]]/base[[#This Row],[Stake/Responsabilidade]]</f>
        <v>9.0909090909090912E-2</v>
      </c>
      <c r="O1653" s="132">
        <f>IF(base[[#This Row],[L/P Líquido]]&gt;0,1,0)</f>
        <v>1</v>
      </c>
      <c r="P1653" s="132"/>
      <c r="Q1653" s="132" t="str">
        <f>LEFT(base[[#This Row],[Evento / Mercado]],FIND("vs",base[[#This Row],[Evento / Mercado]])-2)</f>
        <v>FC Bayern München</v>
      </c>
      <c r="R16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Heidenheim</v>
      </c>
      <c r="S1653" s="132" t="str">
        <f>LEFT(base[[#This Row],[Evento / Mercado]],FIND("/",base[[#This Row],[Evento / Mercado]])-2)</f>
        <v>FC Bayern München vs 1. FC Heidenheim</v>
      </c>
    </row>
    <row r="1654" spans="2:19" ht="15" customHeight="1">
      <c r="B1654" s="128" t="s">
        <v>1639</v>
      </c>
      <c r="C1654" s="128" t="s">
        <v>2982</v>
      </c>
      <c r="D1654" s="129">
        <v>46144.522870370369</v>
      </c>
      <c r="E1654" s="130">
        <v>0.31</v>
      </c>
      <c r="F1654" s="136">
        <v>4.4999999999999998E-2</v>
      </c>
      <c r="G1654" s="126">
        <f t="shared" si="26"/>
        <v>0.32460732984293195</v>
      </c>
      <c r="H1654" s="126" t="s">
        <v>1339</v>
      </c>
      <c r="I1654" s="127" t="s">
        <v>1391</v>
      </c>
      <c r="J1654" s="126">
        <v>3.25</v>
      </c>
      <c r="K1654" s="126">
        <v>10</v>
      </c>
      <c r="L1654" s="129">
        <f>INT(base[[#This Row],[Data de liquidação]])</f>
        <v>46144</v>
      </c>
      <c r="M1654" s="126">
        <f>base[[#This Row],[L/P Bruto]]-base[[#This Row],[L/P Líquido]]</f>
        <v>1.4607329842931949E-2</v>
      </c>
      <c r="N1654" s="126">
        <f>base[[#This Row],[L/P Líquido]]/base[[#This Row],[Stake/Responsabilidade]]</f>
        <v>3.1E-2</v>
      </c>
      <c r="O1654" s="132">
        <f>IF(base[[#This Row],[L/P Líquido]]&gt;0,1,0)</f>
        <v>1</v>
      </c>
      <c r="P1654" s="132"/>
      <c r="Q1654" s="132" t="str">
        <f>LEFT(base[[#This Row],[Evento / Mercado]],FIND("vs",base[[#This Row],[Evento / Mercado]])-2)</f>
        <v>1. FC Union Berlin</v>
      </c>
      <c r="R16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Köln</v>
      </c>
      <c r="S1654" s="132" t="str">
        <f>LEFT(base[[#This Row],[Evento / Mercado]],FIND("/",base[[#This Row],[Evento / Mercado]])-2)</f>
        <v>1. FC Union Berlin vs 1. FC Köln</v>
      </c>
    </row>
    <row r="1655" spans="2:19" ht="15" customHeight="1">
      <c r="B1655" s="128" t="s">
        <v>1638</v>
      </c>
      <c r="C1655" s="128" t="s">
        <v>2982</v>
      </c>
      <c r="D1655" s="129">
        <v>46144.522916666669</v>
      </c>
      <c r="E1655" s="130">
        <v>1.05</v>
      </c>
      <c r="F1655" s="136">
        <v>4.4999999999999998E-2</v>
      </c>
      <c r="G1655" s="126">
        <f t="shared" si="26"/>
        <v>1.0994764397905761</v>
      </c>
      <c r="H1655" s="126" t="s">
        <v>1339</v>
      </c>
      <c r="I1655" s="127" t="s">
        <v>1336</v>
      </c>
      <c r="J1655" s="126">
        <v>1.49</v>
      </c>
      <c r="K1655" s="126">
        <v>5</v>
      </c>
      <c r="L1655" s="129">
        <f>INT(base[[#This Row],[Data de liquidação]])</f>
        <v>46144</v>
      </c>
      <c r="M1655" s="126">
        <f>base[[#This Row],[L/P Bruto]]-base[[#This Row],[L/P Líquido]]</f>
        <v>4.9476439790576032E-2</v>
      </c>
      <c r="N1655" s="126">
        <f>base[[#This Row],[L/P Líquido]]/base[[#This Row],[Stake/Responsabilidade]]</f>
        <v>0.21000000000000002</v>
      </c>
      <c r="O1655" s="132">
        <f>IF(base[[#This Row],[L/P Líquido]]&gt;0,1,0)</f>
        <v>1</v>
      </c>
      <c r="P1655" s="132"/>
      <c r="Q1655" s="132" t="str">
        <f>LEFT(base[[#This Row],[Evento / Mercado]],FIND("vs",base[[#This Row],[Evento / Mercado]])-2)</f>
        <v>Eintracht Frankfurt</v>
      </c>
      <c r="R16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655" s="132" t="str">
        <f>LEFT(base[[#This Row],[Evento / Mercado]],FIND("/",base[[#This Row],[Evento / Mercado]])-2)</f>
        <v>Eintracht Frankfurt vs Hamburger SV</v>
      </c>
    </row>
    <row r="1656" spans="2:19" ht="15" customHeight="1">
      <c r="B1656" s="128" t="s">
        <v>1637</v>
      </c>
      <c r="C1656" s="128" t="s">
        <v>2982</v>
      </c>
      <c r="D1656" s="129">
        <v>46144.529745370368</v>
      </c>
      <c r="E1656" s="130">
        <v>-5</v>
      </c>
      <c r="F1656" s="136">
        <v>4.4999999999999998E-2</v>
      </c>
      <c r="G1656" s="126">
        <f t="shared" si="26"/>
        <v>-5</v>
      </c>
      <c r="H1656" s="126" t="s">
        <v>1339</v>
      </c>
      <c r="I1656" s="127" t="s">
        <v>1338</v>
      </c>
      <c r="J1656" s="126">
        <v>2.23</v>
      </c>
      <c r="K1656" s="126">
        <v>5</v>
      </c>
      <c r="L1656" s="129">
        <f>INT(base[[#This Row],[Data de liquidação]])</f>
        <v>46144</v>
      </c>
      <c r="M1656" s="126">
        <f>base[[#This Row],[L/P Bruto]]-base[[#This Row],[L/P Líquido]]</f>
        <v>0</v>
      </c>
      <c r="N1656" s="126">
        <f>base[[#This Row],[L/P Líquido]]/base[[#This Row],[Stake/Responsabilidade]]</f>
        <v>-1</v>
      </c>
      <c r="O1656" s="132">
        <f>IF(base[[#This Row],[L/P Líquido]]&gt;0,1,0)</f>
        <v>0</v>
      </c>
      <c r="P1656" s="132"/>
      <c r="Q1656" s="132" t="str">
        <f>LEFT(base[[#This Row],[Evento / Mercado]],FIND("vs",base[[#This Row],[Evento / Mercado]])-2)</f>
        <v>Brentford</v>
      </c>
      <c r="R16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1656" s="132" t="str">
        <f>LEFT(base[[#This Row],[Evento / Mercado]],FIND("/",base[[#This Row],[Evento / Mercado]])-2)</f>
        <v>Brentford vs West Ham</v>
      </c>
    </row>
    <row r="1657" spans="2:19" ht="15" customHeight="1">
      <c r="B1657" s="128" t="s">
        <v>1636</v>
      </c>
      <c r="C1657" s="128" t="s">
        <v>2982</v>
      </c>
      <c r="D1657" s="129">
        <v>46144.536423611113</v>
      </c>
      <c r="E1657" s="130">
        <v>2.2000000000000002</v>
      </c>
      <c r="F1657" s="136">
        <v>4.4999999999999998E-2</v>
      </c>
      <c r="G1657" s="126">
        <f t="shared" si="26"/>
        <v>2.3036649214659688</v>
      </c>
      <c r="H1657" s="126" t="s">
        <v>1339</v>
      </c>
      <c r="I1657" s="127" t="s">
        <v>1431</v>
      </c>
      <c r="J1657" s="126">
        <v>2.15</v>
      </c>
      <c r="K1657" s="126">
        <v>2</v>
      </c>
      <c r="L1657" s="129">
        <f>INT(base[[#This Row],[Data de liquidação]])</f>
        <v>46144</v>
      </c>
      <c r="M1657" s="126">
        <f>base[[#This Row],[L/P Bruto]]-base[[#This Row],[L/P Líquido]]</f>
        <v>0.10366492146596862</v>
      </c>
      <c r="N1657" s="126">
        <f>base[[#This Row],[L/P Líquido]]/base[[#This Row],[Stake/Responsabilidade]]</f>
        <v>1.1000000000000001</v>
      </c>
      <c r="O1657" s="132">
        <f>IF(base[[#This Row],[L/P Líquido]]&gt;0,1,0)</f>
        <v>1</v>
      </c>
      <c r="P1657" s="132"/>
      <c r="Q1657" s="132" t="str">
        <f>LEFT(base[[#This Row],[Evento / Mercado]],FIND("vs",base[[#This Row],[Evento / Mercado]])-2)</f>
        <v>Stevenage</v>
      </c>
      <c r="R16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Wigan Athletic</v>
      </c>
      <c r="S1657" s="132" t="str">
        <f>LEFT(base[[#This Row],[Evento / Mercado]],FIND("/",base[[#This Row],[Evento / Mercado]])-2)</f>
        <v>Stevenage vs Wigan Athletic</v>
      </c>
    </row>
    <row r="1658" spans="2:19" ht="15" customHeight="1">
      <c r="B1658" s="128" t="s">
        <v>1635</v>
      </c>
      <c r="C1658" s="128" t="s">
        <v>2982</v>
      </c>
      <c r="D1658" s="129">
        <v>46144.540578703702</v>
      </c>
      <c r="E1658" s="130">
        <v>-115</v>
      </c>
      <c r="F1658" s="136">
        <v>4.4999999999999998E-2</v>
      </c>
      <c r="G1658" s="126">
        <f t="shared" si="26"/>
        <v>-115</v>
      </c>
      <c r="H1658" s="126" t="s">
        <v>231</v>
      </c>
      <c r="I1658" s="127" t="s">
        <v>266</v>
      </c>
      <c r="J1658" s="126">
        <v>1.66</v>
      </c>
      <c r="K1658" s="126">
        <v>115</v>
      </c>
      <c r="L1658" s="129">
        <f>INT(base[[#This Row],[Data de liquidação]])</f>
        <v>46144</v>
      </c>
      <c r="M1658" s="126">
        <f>base[[#This Row],[L/P Bruto]]-base[[#This Row],[L/P Líquido]]</f>
        <v>0</v>
      </c>
      <c r="N1658" s="126">
        <f>base[[#This Row],[L/P Líquido]]/base[[#This Row],[Stake/Responsabilidade]]</f>
        <v>-1</v>
      </c>
      <c r="O1658" s="132">
        <f>IF(base[[#This Row],[L/P Líquido]]&gt;0,1,0)</f>
        <v>0</v>
      </c>
      <c r="P1658" s="132"/>
      <c r="Q1658" s="132" t="str">
        <f>LEFT(base[[#This Row],[Evento / Mercado]],FIND("vs",base[[#This Row],[Evento / Mercado]])-2)</f>
        <v>Brentford</v>
      </c>
      <c r="R16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1658" s="132" t="str">
        <f>LEFT(base[[#This Row],[Evento / Mercado]],FIND("/",base[[#This Row],[Evento / Mercado]])-2)</f>
        <v>Brentford vs West Ham</v>
      </c>
    </row>
    <row r="1659" spans="2:19" ht="15" customHeight="1">
      <c r="B1659" s="128" t="s">
        <v>1634</v>
      </c>
      <c r="C1659" s="128" t="s">
        <v>2982</v>
      </c>
      <c r="D1659" s="129">
        <v>46144.541388888887</v>
      </c>
      <c r="E1659" s="130">
        <v>2.0699999999999998</v>
      </c>
      <c r="F1659" s="136">
        <v>4.4999999999999998E-2</v>
      </c>
      <c r="G1659" s="126">
        <f t="shared" si="26"/>
        <v>2.1675392670157065</v>
      </c>
      <c r="H1659" s="126" t="s">
        <v>1339</v>
      </c>
      <c r="I1659" s="127" t="s">
        <v>1388</v>
      </c>
      <c r="J1659" s="126">
        <v>25</v>
      </c>
      <c r="K1659" s="126">
        <v>52.08</v>
      </c>
      <c r="L1659" s="129">
        <f>INT(base[[#This Row],[Data de liquidação]])</f>
        <v>46144</v>
      </c>
      <c r="M1659" s="126">
        <f>base[[#This Row],[L/P Bruto]]-base[[#This Row],[L/P Líquido]]</f>
        <v>9.7539267015706699E-2</v>
      </c>
      <c r="N1659" s="126">
        <f>base[[#This Row],[L/P Líquido]]/base[[#This Row],[Stake/Responsabilidade]]</f>
        <v>3.9746543778801845E-2</v>
      </c>
      <c r="O1659" s="132">
        <f>IF(base[[#This Row],[L/P Líquido]]&gt;0,1,0)</f>
        <v>1</v>
      </c>
      <c r="P1659" s="132"/>
      <c r="Q1659" s="132" t="str">
        <f>LEFT(base[[#This Row],[Evento / Mercado]],FIND("vs",base[[#This Row],[Evento / Mercado]])-2)</f>
        <v>Stevenage</v>
      </c>
      <c r="R16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Wigan Athletic</v>
      </c>
      <c r="S1659" s="132" t="str">
        <f>LEFT(base[[#This Row],[Evento / Mercado]],FIND("/",base[[#This Row],[Evento / Mercado]])-2)</f>
        <v>Stevenage vs Wigan Athletic</v>
      </c>
    </row>
    <row r="1660" spans="2:19" ht="15" customHeight="1">
      <c r="B1660" s="128" t="s">
        <v>1633</v>
      </c>
      <c r="C1660" s="128" t="s">
        <v>2982</v>
      </c>
      <c r="D1660" s="129">
        <v>46144.541990740741</v>
      </c>
      <c r="E1660" s="130">
        <v>-2</v>
      </c>
      <c r="F1660" s="136">
        <v>4.4999999999999998E-2</v>
      </c>
      <c r="G1660" s="126">
        <f t="shared" si="26"/>
        <v>-2</v>
      </c>
      <c r="H1660" s="126" t="s">
        <v>1339</v>
      </c>
      <c r="I1660" s="127" t="s">
        <v>1431</v>
      </c>
      <c r="J1660" s="126">
        <v>1.99</v>
      </c>
      <c r="K1660" s="126">
        <v>2</v>
      </c>
      <c r="L1660" s="129">
        <f>INT(base[[#This Row],[Data de liquidação]])</f>
        <v>46144</v>
      </c>
      <c r="M1660" s="126">
        <f>base[[#This Row],[L/P Bruto]]-base[[#This Row],[L/P Líquido]]</f>
        <v>0</v>
      </c>
      <c r="N1660" s="126">
        <f>base[[#This Row],[L/P Líquido]]/base[[#This Row],[Stake/Responsabilidade]]</f>
        <v>-1</v>
      </c>
      <c r="O1660" s="132">
        <f>IF(base[[#This Row],[L/P Líquido]]&gt;0,1,0)</f>
        <v>0</v>
      </c>
      <c r="P1660" s="132"/>
      <c r="Q1660" s="132" t="str">
        <f>LEFT(base[[#This Row],[Evento / Mercado]],FIND("vs",base[[#This Row],[Evento / Mercado]])-2)</f>
        <v>Crawley Town</v>
      </c>
      <c r="R16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Salford City</v>
      </c>
      <c r="S1660" s="132" t="str">
        <f>LEFT(base[[#This Row],[Evento / Mercado]],FIND("/",base[[#This Row],[Evento / Mercado]])-2)</f>
        <v>Crawley Town vs Salford City</v>
      </c>
    </row>
    <row r="1661" spans="2:19" ht="15" customHeight="1">
      <c r="B1661" s="128" t="s">
        <v>1632</v>
      </c>
      <c r="C1661" s="128" t="s">
        <v>2982</v>
      </c>
      <c r="D1661" s="129">
        <v>46144.55976851852</v>
      </c>
      <c r="E1661" s="130">
        <v>1.8</v>
      </c>
      <c r="F1661" s="136">
        <v>4.4999999999999998E-2</v>
      </c>
      <c r="G1661" s="126">
        <f t="shared" si="26"/>
        <v>1.8848167539267018</v>
      </c>
      <c r="H1661" s="126" t="s">
        <v>1339</v>
      </c>
      <c r="I1661" s="127" t="s">
        <v>1431</v>
      </c>
      <c r="J1661" s="126">
        <v>1.94</v>
      </c>
      <c r="K1661" s="126">
        <v>2</v>
      </c>
      <c r="L1661" s="129">
        <f>INT(base[[#This Row],[Data de liquidação]])</f>
        <v>46144</v>
      </c>
      <c r="M1661" s="126">
        <f>base[[#This Row],[L/P Bruto]]-base[[#This Row],[L/P Líquido]]</f>
        <v>8.4816753926701738E-2</v>
      </c>
      <c r="N1661" s="126">
        <f>base[[#This Row],[L/P Líquido]]/base[[#This Row],[Stake/Responsabilidade]]</f>
        <v>0.9</v>
      </c>
      <c r="O1661" s="132">
        <f>IF(base[[#This Row],[L/P Líquido]]&gt;0,1,0)</f>
        <v>1</v>
      </c>
      <c r="P1661" s="132"/>
      <c r="Q1661" s="132" t="str">
        <f>LEFT(base[[#This Row],[Evento / Mercado]],FIND("vs",base[[#This Row],[Evento / Mercado]])-2)</f>
        <v>FC Utrecht</v>
      </c>
      <c r="R16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 Breda</v>
      </c>
      <c r="S1661" s="132" t="str">
        <f>LEFT(base[[#This Row],[Evento / Mercado]],FIND("/",base[[#This Row],[Evento / Mercado]])-2)</f>
        <v>FC Utrecht vs NAC Breda</v>
      </c>
    </row>
    <row r="1662" spans="2:19" ht="15" customHeight="1">
      <c r="B1662" s="128" t="s">
        <v>1631</v>
      </c>
      <c r="C1662" s="128" t="s">
        <v>2982</v>
      </c>
      <c r="D1662" s="129">
        <v>46144.567812499998</v>
      </c>
      <c r="E1662" s="130">
        <v>-5</v>
      </c>
      <c r="F1662" s="136">
        <v>4.4999999999999998E-2</v>
      </c>
      <c r="G1662" s="126">
        <f t="shared" si="26"/>
        <v>-5</v>
      </c>
      <c r="H1662" s="126" t="s">
        <v>1339</v>
      </c>
      <c r="I1662" s="127" t="s">
        <v>1336</v>
      </c>
      <c r="J1662" s="126">
        <v>1.41</v>
      </c>
      <c r="K1662" s="126">
        <v>5</v>
      </c>
      <c r="L1662" s="129">
        <f>INT(base[[#This Row],[Data de liquidação]])</f>
        <v>46144</v>
      </c>
      <c r="M1662" s="126">
        <f>base[[#This Row],[L/P Bruto]]-base[[#This Row],[L/P Líquido]]</f>
        <v>0</v>
      </c>
      <c r="N1662" s="126">
        <f>base[[#This Row],[L/P Líquido]]/base[[#This Row],[Stake/Responsabilidade]]</f>
        <v>-1</v>
      </c>
      <c r="O1662" s="132">
        <f>IF(base[[#This Row],[L/P Líquido]]&gt;0,1,0)</f>
        <v>0</v>
      </c>
      <c r="P1662" s="132"/>
      <c r="Q1662" s="132" t="str">
        <f>LEFT(base[[#This Row],[Evento / Mercado]],FIND("vs",base[[#This Row],[Evento / Mercado]])-2)</f>
        <v>FC Vaduz</v>
      </c>
      <c r="R16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Lausanne-Ouchy</v>
      </c>
      <c r="S1662" s="132" t="str">
        <f>LEFT(base[[#This Row],[Evento / Mercado]],FIND("/",base[[#This Row],[Evento / Mercado]])-2)</f>
        <v>FC Vaduz vs Stade Lausanne-Ouchy</v>
      </c>
    </row>
    <row r="1663" spans="2:19" ht="15" customHeight="1">
      <c r="B1663" s="128" t="s">
        <v>1630</v>
      </c>
      <c r="C1663" s="128" t="s">
        <v>2982</v>
      </c>
      <c r="D1663" s="129">
        <v>46144.578761574077</v>
      </c>
      <c r="E1663" s="130">
        <v>57.79</v>
      </c>
      <c r="F1663" s="136">
        <v>4.4999999999999998E-2</v>
      </c>
      <c r="G1663" s="126">
        <f t="shared" si="26"/>
        <v>60.513089005235607</v>
      </c>
      <c r="H1663" s="126" t="s">
        <v>145</v>
      </c>
      <c r="I1663" s="127" t="s">
        <v>301</v>
      </c>
      <c r="J1663" s="126">
        <v>8.8000000000000007</v>
      </c>
      <c r="K1663" s="126">
        <f>435.01+36.97</f>
        <v>471.98</v>
      </c>
      <c r="L1663" s="129">
        <f>INT(base[[#This Row],[Data de liquidação]])</f>
        <v>46144</v>
      </c>
      <c r="M1663" s="126">
        <f>base[[#This Row],[L/P Bruto]]-base[[#This Row],[L/P Líquido]]</f>
        <v>2.7230890052356074</v>
      </c>
      <c r="N1663" s="126">
        <f>base[[#This Row],[L/P Líquido]]/base[[#This Row],[Stake/Responsabilidade]]</f>
        <v>0.12244162888257977</v>
      </c>
      <c r="O1663" s="132">
        <f>IF(base[[#This Row],[L/P Líquido]]&gt;0,1,0)</f>
        <v>1</v>
      </c>
      <c r="P1663" s="132" t="s">
        <v>970</v>
      </c>
      <c r="Q1663" s="132" t="str">
        <f>LEFT(base[[#This Row],[Evento / Mercado]],FIND("vs",base[[#This Row],[Evento / Mercado]])-2)</f>
        <v>Paris Saint-Germain</v>
      </c>
      <c r="R16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Lorient</v>
      </c>
      <c r="S1663" s="132" t="str">
        <f>LEFT(base[[#This Row],[Evento / Mercado]],FIND("/",base[[#This Row],[Evento / Mercado]])-2)</f>
        <v>Paris Saint-Germain vs FC Lorient</v>
      </c>
    </row>
    <row r="1664" spans="2:19" ht="15" customHeight="1">
      <c r="B1664" s="128" t="s">
        <v>1629</v>
      </c>
      <c r="C1664" s="128" t="s">
        <v>2982</v>
      </c>
      <c r="D1664" s="129">
        <v>46144.591261574074</v>
      </c>
      <c r="E1664" s="130">
        <v>1.91</v>
      </c>
      <c r="F1664" s="136">
        <v>4.4999999999999998E-2</v>
      </c>
      <c r="G1664" s="126">
        <f t="shared" si="26"/>
        <v>2</v>
      </c>
      <c r="H1664" s="126" t="s">
        <v>1339</v>
      </c>
      <c r="I1664" s="127" t="s">
        <v>1236</v>
      </c>
      <c r="J1664" s="126">
        <v>7.8</v>
      </c>
      <c r="K1664" s="126">
        <v>2</v>
      </c>
      <c r="L1664" s="129">
        <f>INT(base[[#This Row],[Data de liquidação]])</f>
        <v>46144</v>
      </c>
      <c r="M1664" s="126">
        <f>base[[#This Row],[L/P Bruto]]-base[[#This Row],[L/P Líquido]]</f>
        <v>9.000000000000008E-2</v>
      </c>
      <c r="N1664" s="126">
        <f>base[[#This Row],[L/P Líquido]]/base[[#This Row],[Stake/Responsabilidade]]</f>
        <v>0.95499999999999996</v>
      </c>
      <c r="O1664" s="132">
        <f>IF(base[[#This Row],[L/P Líquido]]&gt;0,1,0)</f>
        <v>1</v>
      </c>
      <c r="P1664" s="132"/>
      <c r="Q1664" s="132" t="str">
        <f>LEFT(base[[#This Row],[Evento / Mercado]],FIND("vs",base[[#This Row],[Evento / Mercado]])-2)</f>
        <v>Arsenal</v>
      </c>
      <c r="R16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1664" s="132" t="str">
        <f>LEFT(base[[#This Row],[Evento / Mercado]],FIND("/",base[[#This Row],[Evento / Mercado]])-2)</f>
        <v>Arsenal vs Fulham</v>
      </c>
    </row>
    <row r="1665" spans="2:19" ht="15" customHeight="1">
      <c r="B1665" s="128" t="s">
        <v>1628</v>
      </c>
      <c r="C1665" s="128" t="s">
        <v>2982</v>
      </c>
      <c r="D1665" s="129">
        <v>46144.595439814817</v>
      </c>
      <c r="E1665" s="130">
        <v>1.91</v>
      </c>
      <c r="F1665" s="136">
        <v>4.4999999999999998E-2</v>
      </c>
      <c r="G1665" s="126">
        <f t="shared" si="26"/>
        <v>2</v>
      </c>
      <c r="H1665" s="126" t="s">
        <v>1339</v>
      </c>
      <c r="I1665" s="127" t="s">
        <v>1236</v>
      </c>
      <c r="J1665" s="126">
        <v>15</v>
      </c>
      <c r="K1665" s="126">
        <v>2</v>
      </c>
      <c r="L1665" s="129">
        <f>INT(base[[#This Row],[Data de liquidação]])</f>
        <v>46144</v>
      </c>
      <c r="M1665" s="126">
        <f>base[[#This Row],[L/P Bruto]]-base[[#This Row],[L/P Líquido]]</f>
        <v>9.000000000000008E-2</v>
      </c>
      <c r="N1665" s="126">
        <f>base[[#This Row],[L/P Líquido]]/base[[#This Row],[Stake/Responsabilidade]]</f>
        <v>0.95499999999999996</v>
      </c>
      <c r="O1665" s="132">
        <f>IF(base[[#This Row],[L/P Líquido]]&gt;0,1,0)</f>
        <v>1</v>
      </c>
      <c r="P1665" s="132"/>
      <c r="Q1665" s="132" t="str">
        <f>LEFT(base[[#This Row],[Evento / Mercado]],FIND("vs",base[[#This Row],[Evento / Mercado]])-2)</f>
        <v>Bayer 04 Leverkusen</v>
      </c>
      <c r="R16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RB Leipzig</v>
      </c>
      <c r="S1665" s="132" t="str">
        <f>LEFT(base[[#This Row],[Evento / Mercado]],FIND("/",base[[#This Row],[Evento / Mercado]])-2)</f>
        <v>Bayer 04 Leverkusen vs RB Leipzig</v>
      </c>
    </row>
    <row r="1666" spans="2:19" ht="15" customHeight="1">
      <c r="B1666" s="128" t="s">
        <v>1627</v>
      </c>
      <c r="C1666" s="128" t="s">
        <v>2982</v>
      </c>
      <c r="D1666" s="129">
        <v>46144.596585648149</v>
      </c>
      <c r="E1666" s="130">
        <v>-2</v>
      </c>
      <c r="F1666" s="136">
        <v>4.4999999999999998E-2</v>
      </c>
      <c r="G1666" s="126">
        <f t="shared" si="26"/>
        <v>-2</v>
      </c>
      <c r="H1666" s="126" t="s">
        <v>1339</v>
      </c>
      <c r="I1666" s="127" t="s">
        <v>1448</v>
      </c>
      <c r="J1666" s="126">
        <v>1.69</v>
      </c>
      <c r="K1666" s="126">
        <v>2</v>
      </c>
      <c r="L1666" s="129">
        <f>INT(base[[#This Row],[Data de liquidação]])</f>
        <v>46144</v>
      </c>
      <c r="M1666" s="126">
        <f>base[[#This Row],[L/P Bruto]]-base[[#This Row],[L/P Líquido]]</f>
        <v>0</v>
      </c>
      <c r="N1666" s="126">
        <f>base[[#This Row],[L/P Líquido]]/base[[#This Row],[Stake/Responsabilidade]]</f>
        <v>-1</v>
      </c>
      <c r="O1666" s="132">
        <f>IF(base[[#This Row],[L/P Líquido]]&gt;0,1,0)</f>
        <v>0</v>
      </c>
      <c r="P1666" s="132"/>
      <c r="Q1666" s="132" t="str">
        <f>LEFT(base[[#This Row],[Evento / Mercado]],FIND("vs",base[[#This Row],[Evento / Mercado]])-2)</f>
        <v>CD Castellon</v>
      </c>
      <c r="R16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Córdoba CF</v>
      </c>
      <c r="S1666" s="132" t="str">
        <f>LEFT(base[[#This Row],[Evento / Mercado]],FIND("/",base[[#This Row],[Evento / Mercado]])-2)</f>
        <v>CD Castellon vs Córdoba CF</v>
      </c>
    </row>
    <row r="1667" spans="2:19" ht="15" customHeight="1">
      <c r="B1667" s="128" t="s">
        <v>1626</v>
      </c>
      <c r="C1667" s="128" t="s">
        <v>2982</v>
      </c>
      <c r="D1667" s="129">
        <v>46144.602372685185</v>
      </c>
      <c r="E1667" s="130">
        <v>1.91</v>
      </c>
      <c r="F1667" s="136">
        <v>4.4999999999999998E-2</v>
      </c>
      <c r="G1667" s="126">
        <f t="shared" ref="G1667:G1730" si="27">IF(E1667&gt;0,E1667/(1-F1667),E1667)</f>
        <v>2</v>
      </c>
      <c r="H1667" s="126" t="s">
        <v>1339</v>
      </c>
      <c r="I1667" s="127" t="s">
        <v>1236</v>
      </c>
      <c r="J1667" s="126">
        <v>8.6</v>
      </c>
      <c r="K1667" s="126">
        <v>2</v>
      </c>
      <c r="L1667" s="129">
        <f>INT(base[[#This Row],[Data de liquidação]])</f>
        <v>46144</v>
      </c>
      <c r="M1667" s="126">
        <f>base[[#This Row],[L/P Bruto]]-base[[#This Row],[L/P Líquido]]</f>
        <v>9.000000000000008E-2</v>
      </c>
      <c r="N1667" s="126">
        <f>base[[#This Row],[L/P Líquido]]/base[[#This Row],[Stake/Responsabilidade]]</f>
        <v>0.95499999999999996</v>
      </c>
      <c r="O1667" s="132">
        <f>IF(base[[#This Row],[L/P Líquido]]&gt;0,1,0)</f>
        <v>1</v>
      </c>
      <c r="P1667" s="132"/>
      <c r="Q1667" s="132" t="str">
        <f>LEFT(base[[#This Row],[Evento / Mercado]],FIND("vs",base[[#This Row],[Evento / Mercado]])-2)</f>
        <v>FC Groningen</v>
      </c>
      <c r="R16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1667" s="132" t="str">
        <f>LEFT(base[[#This Row],[Evento / Mercado]],FIND("/",base[[#This Row],[Evento / Mercado]])-2)</f>
        <v>FC Groningen vs Excelsior Rotterdam</v>
      </c>
    </row>
    <row r="1668" spans="2:19" ht="15" customHeight="1">
      <c r="B1668" s="128" t="s">
        <v>1625</v>
      </c>
      <c r="C1668" s="128" t="s">
        <v>2982</v>
      </c>
      <c r="D1668" s="129">
        <v>46144.6094212963</v>
      </c>
      <c r="E1668" s="130">
        <v>1.91</v>
      </c>
      <c r="F1668" s="136">
        <v>4.4999999999999998E-2</v>
      </c>
      <c r="G1668" s="126">
        <f t="shared" si="27"/>
        <v>2</v>
      </c>
      <c r="H1668" s="126" t="s">
        <v>1339</v>
      </c>
      <c r="I1668" s="127" t="s">
        <v>1236</v>
      </c>
      <c r="J1668" s="126">
        <v>11.5</v>
      </c>
      <c r="K1668" s="126">
        <v>2</v>
      </c>
      <c r="L1668" s="129">
        <f>INT(base[[#This Row],[Data de liquidação]])</f>
        <v>46144</v>
      </c>
      <c r="M1668" s="126">
        <f>base[[#This Row],[L/P Bruto]]-base[[#This Row],[L/P Líquido]]</f>
        <v>9.000000000000008E-2</v>
      </c>
      <c r="N1668" s="126">
        <f>base[[#This Row],[L/P Líquido]]/base[[#This Row],[Stake/Responsabilidade]]</f>
        <v>0.95499999999999996</v>
      </c>
      <c r="O1668" s="132">
        <f>IF(base[[#This Row],[L/P Líquido]]&gt;0,1,0)</f>
        <v>1</v>
      </c>
      <c r="P1668" s="132"/>
      <c r="Q1668" s="132" t="str">
        <f>LEFT(base[[#This Row],[Evento / Mercado]],FIND("vs",base[[#This Row],[Evento / Mercado]])-2)</f>
        <v>Fenerbahçe SK</v>
      </c>
      <c r="R16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Istanbul Basaksehir FK</v>
      </c>
      <c r="S1668" s="132" t="str">
        <f>LEFT(base[[#This Row],[Evento / Mercado]],FIND("/",base[[#This Row],[Evento / Mercado]])-2)</f>
        <v>Fenerbahçe SK vs Istanbul Basaksehir FK</v>
      </c>
    </row>
    <row r="1669" spans="2:19" ht="15" customHeight="1">
      <c r="B1669" s="128" t="s">
        <v>1624</v>
      </c>
      <c r="C1669" s="128" t="s">
        <v>2982</v>
      </c>
      <c r="D1669" s="129">
        <v>46144.642013888886</v>
      </c>
      <c r="E1669" s="130">
        <v>21.3</v>
      </c>
      <c r="F1669" s="136">
        <v>4.4999999999999998E-2</v>
      </c>
      <c r="G1669" s="126">
        <f t="shared" si="27"/>
        <v>22.30366492146597</v>
      </c>
      <c r="H1669" s="126" t="s">
        <v>122</v>
      </c>
      <c r="I1669" s="127" t="s">
        <v>476</v>
      </c>
      <c r="J1669" s="126">
        <v>24</v>
      </c>
      <c r="K1669" s="126">
        <v>512.9</v>
      </c>
      <c r="L1669" s="129">
        <f>INT(base[[#This Row],[Data de liquidação]])</f>
        <v>46144</v>
      </c>
      <c r="M1669" s="126">
        <f>base[[#This Row],[L/P Bruto]]-base[[#This Row],[L/P Líquido]]</f>
        <v>1.003664921465969</v>
      </c>
      <c r="N1669" s="126">
        <f>base[[#This Row],[L/P Líquido]]/base[[#This Row],[Stake/Responsabilidade]]</f>
        <v>4.1528563072723734E-2</v>
      </c>
      <c r="O1669" s="132">
        <f>IF(base[[#This Row],[L/P Líquido]]&gt;0,1,0)</f>
        <v>1</v>
      </c>
      <c r="P1669" s="132" t="s">
        <v>963</v>
      </c>
      <c r="Q1669" s="132" t="str">
        <f>LEFT(base[[#This Row],[Evento / Mercado]],FIND("vs",base[[#This Row],[Evento / Mercado]])-2)</f>
        <v>Arsenal</v>
      </c>
      <c r="R16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1669" s="132" t="str">
        <f>LEFT(base[[#This Row],[Evento / Mercado]],FIND("/",base[[#This Row],[Evento / Mercado]])-2)</f>
        <v>Arsenal vs Fulham</v>
      </c>
    </row>
    <row r="1670" spans="2:19" ht="15" customHeight="1">
      <c r="B1670" s="128" t="s">
        <v>1623</v>
      </c>
      <c r="C1670" s="128" t="s">
        <v>2982</v>
      </c>
      <c r="D1670" s="129">
        <v>46144.642465277779</v>
      </c>
      <c r="E1670" s="130">
        <v>51.93</v>
      </c>
      <c r="F1670" s="136">
        <v>4.4999999999999998E-2</v>
      </c>
      <c r="G1670" s="126">
        <f t="shared" si="27"/>
        <v>54.376963350785346</v>
      </c>
      <c r="H1670" s="126" t="s">
        <v>145</v>
      </c>
      <c r="I1670" s="127" t="s">
        <v>301</v>
      </c>
      <c r="J1670" s="126">
        <v>9</v>
      </c>
      <c r="K1670" s="126">
        <v>435.04</v>
      </c>
      <c r="L1670" s="129">
        <f>INT(base[[#This Row],[Data de liquidação]])</f>
        <v>46144</v>
      </c>
      <c r="M1670" s="126">
        <f>base[[#This Row],[L/P Bruto]]-base[[#This Row],[L/P Líquido]]</f>
        <v>2.4469633507853459</v>
      </c>
      <c r="N1670" s="126">
        <f>base[[#This Row],[L/P Líquido]]/base[[#This Row],[Stake/Responsabilidade]]</f>
        <v>0.11936833394630378</v>
      </c>
      <c r="O1670" s="132">
        <f>IF(base[[#This Row],[L/P Líquido]]&gt;0,1,0)</f>
        <v>1</v>
      </c>
      <c r="P1670" s="132" t="s">
        <v>963</v>
      </c>
      <c r="Q1670" s="132" t="str">
        <f>LEFT(base[[#This Row],[Evento / Mercado]],FIND("vs",base[[#This Row],[Evento / Mercado]])-2)</f>
        <v>Arsenal</v>
      </c>
      <c r="R16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1670" s="132" t="str">
        <f>LEFT(base[[#This Row],[Evento / Mercado]],FIND("/",base[[#This Row],[Evento / Mercado]])-2)</f>
        <v>Arsenal vs Fulham</v>
      </c>
    </row>
    <row r="1671" spans="2:19" ht="15" customHeight="1">
      <c r="B1671" s="128" t="s">
        <v>1622</v>
      </c>
      <c r="C1671" s="128" t="s">
        <v>2982</v>
      </c>
      <c r="D1671" s="129">
        <v>46144.655115740738</v>
      </c>
      <c r="E1671" s="130">
        <v>3.18</v>
      </c>
      <c r="F1671" s="136">
        <v>4.4999999999999998E-2</v>
      </c>
      <c r="G1671" s="126">
        <f t="shared" si="27"/>
        <v>3.329842931937173</v>
      </c>
      <c r="H1671" s="126" t="s">
        <v>1339</v>
      </c>
      <c r="I1671" s="127" t="s">
        <v>1430</v>
      </c>
      <c r="J1671" s="126">
        <v>16.5</v>
      </c>
      <c r="K1671" s="126">
        <v>51.62</v>
      </c>
      <c r="L1671" s="129">
        <f>INT(base[[#This Row],[Data de liquidação]])</f>
        <v>46144</v>
      </c>
      <c r="M1671" s="126">
        <f>base[[#This Row],[L/P Bruto]]-base[[#This Row],[L/P Líquido]]</f>
        <v>0.1498429319371728</v>
      </c>
      <c r="N1671" s="126">
        <f>base[[#This Row],[L/P Líquido]]/base[[#This Row],[Stake/Responsabilidade]]</f>
        <v>6.160402944595119E-2</v>
      </c>
      <c r="O1671" s="132">
        <f>IF(base[[#This Row],[L/P Líquido]]&gt;0,1,0)</f>
        <v>1</v>
      </c>
      <c r="P1671" s="132"/>
      <c r="Q1671" s="132" t="str">
        <f>LEFT(base[[#This Row],[Evento / Mercado]],FIND("vs",base[[#This Row],[Evento / Mercado]])-2)</f>
        <v>HNK Vukovar 1991</v>
      </c>
      <c r="R16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Osijek</v>
      </c>
      <c r="S1671" s="132" t="str">
        <f>LEFT(base[[#This Row],[Evento / Mercado]],FIND("/",base[[#This Row],[Evento / Mercado]])-2)</f>
        <v>HNK Vukovar 1991 vs NK Osijek</v>
      </c>
    </row>
    <row r="1672" spans="2:19" ht="15" customHeight="1">
      <c r="B1672" s="128" t="s">
        <v>1621</v>
      </c>
      <c r="C1672" s="128" t="s">
        <v>2982</v>
      </c>
      <c r="D1672" s="129">
        <v>46144.664236111108</v>
      </c>
      <c r="E1672" s="130">
        <v>3.82</v>
      </c>
      <c r="F1672" s="136">
        <v>4.4999999999999998E-2</v>
      </c>
      <c r="G1672" s="126">
        <f t="shared" si="27"/>
        <v>4</v>
      </c>
      <c r="H1672" s="126" t="s">
        <v>1339</v>
      </c>
      <c r="I1672" s="127" t="s">
        <v>1388</v>
      </c>
      <c r="J1672" s="126">
        <v>13.86</v>
      </c>
      <c r="K1672" s="126">
        <v>51.43</v>
      </c>
      <c r="L1672" s="129">
        <f>INT(base[[#This Row],[Data de liquidação]])</f>
        <v>46144</v>
      </c>
      <c r="M1672" s="126">
        <f>base[[#This Row],[L/P Bruto]]-base[[#This Row],[L/P Líquido]]</f>
        <v>0.18000000000000016</v>
      </c>
      <c r="N1672" s="126">
        <f>base[[#This Row],[L/P Líquido]]/base[[#This Row],[Stake/Responsabilidade]]</f>
        <v>7.4275714563484349E-2</v>
      </c>
      <c r="O1672" s="132">
        <f>IF(base[[#This Row],[L/P Líquido]]&gt;0,1,0)</f>
        <v>1</v>
      </c>
      <c r="P1672" s="132"/>
      <c r="Q1672" s="132" t="str">
        <f>LEFT(base[[#This Row],[Evento / Mercado]],FIND("vs",base[[#This Row],[Evento / Mercado]])-2)</f>
        <v>Fenerbahçe SK</v>
      </c>
      <c r="R16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Istanbul Basaksehir FK</v>
      </c>
      <c r="S1672" s="132" t="str">
        <f>LEFT(base[[#This Row],[Evento / Mercado]],FIND("/",base[[#This Row],[Evento / Mercado]])-2)</f>
        <v>Fenerbahçe SK vs Istanbul Basaksehir FK</v>
      </c>
    </row>
    <row r="1673" spans="2:19" ht="15" customHeight="1">
      <c r="B1673" s="128" t="s">
        <v>1620</v>
      </c>
      <c r="C1673" s="128" t="s">
        <v>2982</v>
      </c>
      <c r="D1673" s="129">
        <v>46144.673090277778</v>
      </c>
      <c r="E1673" s="130">
        <v>-100</v>
      </c>
      <c r="F1673" s="136">
        <v>4.4999999999999998E-2</v>
      </c>
      <c r="G1673" s="126">
        <f t="shared" si="27"/>
        <v>-100</v>
      </c>
      <c r="H1673" s="126" t="s">
        <v>1233</v>
      </c>
      <c r="I1673" s="127"/>
      <c r="J1673" s="126">
        <v>4.5</v>
      </c>
      <c r="K1673" s="126">
        <v>100</v>
      </c>
      <c r="L1673" s="129">
        <f>INT(base[[#This Row],[Data de liquidação]])</f>
        <v>46144</v>
      </c>
      <c r="M1673" s="126">
        <f>base[[#This Row],[L/P Bruto]]-base[[#This Row],[L/P Líquido]]</f>
        <v>0</v>
      </c>
      <c r="N1673" s="126">
        <f>base[[#This Row],[L/P Líquido]]/base[[#This Row],[Stake/Responsabilidade]]</f>
        <v>-1</v>
      </c>
      <c r="O1673" s="132">
        <f>IF(base[[#This Row],[L/P Líquido]]&gt;0,1,0)</f>
        <v>0</v>
      </c>
      <c r="P1673" s="132"/>
      <c r="Q1673" s="132" t="str">
        <f>LEFT(base[[#This Row],[Evento / Mercado]],FIND("vs",base[[#This Row],[Evento / Mercado]])-2)</f>
        <v>Famalicão</v>
      </c>
      <c r="R16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Benfica</v>
      </c>
      <c r="S1673" s="132" t="str">
        <f>LEFT(base[[#This Row],[Evento / Mercado]],FIND("/",base[[#This Row],[Evento / Mercado]])-2)</f>
        <v>Famalicão vs Benfica</v>
      </c>
    </row>
    <row r="1674" spans="2:19" ht="15" customHeight="1">
      <c r="B1674" s="128" t="s">
        <v>1619</v>
      </c>
      <c r="C1674" s="128" t="s">
        <v>2982</v>
      </c>
      <c r="D1674" s="129">
        <v>46144.674247685187</v>
      </c>
      <c r="E1674" s="130">
        <v>-115</v>
      </c>
      <c r="F1674" s="136">
        <v>4.4999999999999998E-2</v>
      </c>
      <c r="G1674" s="126">
        <f t="shared" si="27"/>
        <v>-115</v>
      </c>
      <c r="H1674" s="126" t="s">
        <v>231</v>
      </c>
      <c r="I1674" s="127" t="s">
        <v>232</v>
      </c>
      <c r="J1674" s="126">
        <v>1.63</v>
      </c>
      <c r="K1674" s="126">
        <v>115</v>
      </c>
      <c r="L1674" s="129">
        <f>INT(base[[#This Row],[Data de liquidação]])</f>
        <v>46144</v>
      </c>
      <c r="M1674" s="126">
        <f>base[[#This Row],[L/P Bruto]]-base[[#This Row],[L/P Líquido]]</f>
        <v>0</v>
      </c>
      <c r="N1674" s="126">
        <f>base[[#This Row],[L/P Líquido]]/base[[#This Row],[Stake/Responsabilidade]]</f>
        <v>-1</v>
      </c>
      <c r="O1674" s="132">
        <f>IF(base[[#This Row],[L/P Líquido]]&gt;0,1,0)</f>
        <v>0</v>
      </c>
      <c r="P1674" s="132"/>
      <c r="Q1674" s="132" t="str">
        <f>LEFT(base[[#This Row],[Evento / Mercado]],FIND("vs",base[[#This Row],[Evento / Mercado]])-2)</f>
        <v>Toronto FC</v>
      </c>
      <c r="R16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Jose Earthquakes</v>
      </c>
      <c r="S1674" s="132" t="str">
        <f>LEFT(base[[#This Row],[Evento / Mercado]],FIND("/",base[[#This Row],[Evento / Mercado]])-2)</f>
        <v>Toronto FC vs San Jose Earthquakes</v>
      </c>
    </row>
    <row r="1675" spans="2:19" ht="15" customHeight="1">
      <c r="B1675" s="128" t="s">
        <v>1618</v>
      </c>
      <c r="C1675" s="128" t="s">
        <v>2982</v>
      </c>
      <c r="D1675" s="129">
        <v>46144.695196759261</v>
      </c>
      <c r="E1675" s="130">
        <v>-2.25</v>
      </c>
      <c r="F1675" s="136">
        <v>4.4999999999999998E-2</v>
      </c>
      <c r="G1675" s="126">
        <f t="shared" si="27"/>
        <v>-2.25</v>
      </c>
      <c r="H1675" s="126" t="s">
        <v>1339</v>
      </c>
      <c r="I1675" s="127" t="s">
        <v>1236</v>
      </c>
      <c r="J1675" s="126">
        <v>15.29</v>
      </c>
      <c r="K1675" s="126">
        <v>2</v>
      </c>
      <c r="L1675" s="129">
        <f>INT(base[[#This Row],[Data de liquidação]])</f>
        <v>46144</v>
      </c>
      <c r="M1675" s="126">
        <f>base[[#This Row],[L/P Bruto]]-base[[#This Row],[L/P Líquido]]</f>
        <v>0</v>
      </c>
      <c r="N1675" s="126">
        <f>base[[#This Row],[L/P Líquido]]/base[[#This Row],[Stake/Responsabilidade]]</f>
        <v>-1.125</v>
      </c>
      <c r="O1675" s="132">
        <f>IF(base[[#This Row],[L/P Líquido]]&gt;0,1,0)</f>
        <v>0</v>
      </c>
      <c r="P1675" s="132"/>
      <c r="Q1675" s="132" t="str">
        <f>LEFT(base[[#This Row],[Evento / Mercado]],FIND("vs",base[[#This Row],[Evento / Mercado]])-2)</f>
        <v>Al Hazm</v>
      </c>
      <c r="R16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1675" s="132" t="str">
        <f>LEFT(base[[#This Row],[Evento / Mercado]],FIND("/",base[[#This Row],[Evento / Mercado]])-2)</f>
        <v>Al Hazm vs Al-Hilal Riyadh</v>
      </c>
    </row>
    <row r="1676" spans="2:19" ht="15" customHeight="1">
      <c r="B1676" s="128" t="s">
        <v>1617</v>
      </c>
      <c r="C1676" s="128" t="s">
        <v>2982</v>
      </c>
      <c r="D1676" s="129">
        <v>46144.704583333332</v>
      </c>
      <c r="E1676" s="130">
        <v>15.78</v>
      </c>
      <c r="F1676" s="136">
        <v>4.4999999999999998E-2</v>
      </c>
      <c r="G1676" s="126">
        <f t="shared" si="27"/>
        <v>16.523560209424083</v>
      </c>
      <c r="H1676" s="126" t="s">
        <v>122</v>
      </c>
      <c r="I1676" s="127" t="s">
        <v>476</v>
      </c>
      <c r="J1676" s="126">
        <v>24</v>
      </c>
      <c r="K1676" s="126">
        <v>379.96</v>
      </c>
      <c r="L1676" s="129">
        <f>INT(base[[#This Row],[Data de liquidação]])</f>
        <v>46144</v>
      </c>
      <c r="M1676" s="126">
        <f>base[[#This Row],[L/P Bruto]]-base[[#This Row],[L/P Líquido]]</f>
        <v>0.74356020942408385</v>
      </c>
      <c r="N1676" s="126">
        <f>base[[#This Row],[L/P Líquido]]/base[[#This Row],[Stake/Responsabilidade]]</f>
        <v>4.153068744078324E-2</v>
      </c>
      <c r="O1676" s="132">
        <f>IF(base[[#This Row],[L/P Líquido]]&gt;0,1,0)</f>
        <v>1</v>
      </c>
      <c r="P1676" s="132" t="s">
        <v>967</v>
      </c>
      <c r="Q1676" s="132" t="str">
        <f>LEFT(base[[#This Row],[Evento / Mercado]],FIND("vs",base[[#This Row],[Evento / Mercado]])-2)</f>
        <v>Ajax</v>
      </c>
      <c r="R16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PSV Eindhoven</v>
      </c>
      <c r="S1676" s="132" t="str">
        <f>LEFT(base[[#This Row],[Evento / Mercado]],FIND("/",base[[#This Row],[Evento / Mercado]])-2)</f>
        <v>Ajax vs PSV Eindhoven</v>
      </c>
    </row>
    <row r="1677" spans="2:19" ht="15" customHeight="1">
      <c r="B1677" s="128" t="s">
        <v>1616</v>
      </c>
      <c r="C1677" s="128" t="s">
        <v>2982</v>
      </c>
      <c r="D1677" s="129">
        <v>46144.718819444446</v>
      </c>
      <c r="E1677" s="130">
        <v>1.1100000000000001</v>
      </c>
      <c r="F1677" s="136">
        <v>4.4999999999999998E-2</v>
      </c>
      <c r="G1677" s="126">
        <f t="shared" si="27"/>
        <v>1.1623036649214662</v>
      </c>
      <c r="H1677" s="126" t="s">
        <v>1339</v>
      </c>
      <c r="I1677" s="127" t="s">
        <v>1448</v>
      </c>
      <c r="J1677" s="126">
        <v>1.58</v>
      </c>
      <c r="K1677" s="126">
        <v>2</v>
      </c>
      <c r="L1677" s="129">
        <f>INT(base[[#This Row],[Data de liquidação]])</f>
        <v>46144</v>
      </c>
      <c r="M1677" s="126">
        <f>base[[#This Row],[L/P Bruto]]-base[[#This Row],[L/P Líquido]]</f>
        <v>5.2303664921466098E-2</v>
      </c>
      <c r="N1677" s="126">
        <f>base[[#This Row],[L/P Líquido]]/base[[#This Row],[Stake/Responsabilidade]]</f>
        <v>0.55500000000000005</v>
      </c>
      <c r="O1677" s="132">
        <f>IF(base[[#This Row],[L/P Líquido]]&gt;0,1,0)</f>
        <v>1</v>
      </c>
      <c r="P1677" s="132"/>
      <c r="Q1677" s="132" t="str">
        <f>LEFT(base[[#This Row],[Evento / Mercado]],FIND("vs",base[[#This Row],[Evento / Mercado]])-2)</f>
        <v>FC Porto</v>
      </c>
      <c r="R16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Alverca</v>
      </c>
      <c r="S1677" s="132" t="str">
        <f>LEFT(base[[#This Row],[Evento / Mercado]],FIND("/",base[[#This Row],[Evento / Mercado]])-2)</f>
        <v>FC Porto vs Alverca</v>
      </c>
    </row>
    <row r="1678" spans="2:19" ht="15" customHeight="1">
      <c r="B1678" s="128" t="s">
        <v>1615</v>
      </c>
      <c r="C1678" s="128" t="s">
        <v>2982</v>
      </c>
      <c r="D1678" s="129">
        <v>46144.719340277778</v>
      </c>
      <c r="E1678" s="130">
        <v>1.03</v>
      </c>
      <c r="F1678" s="136">
        <v>4.4999999999999998E-2</v>
      </c>
      <c r="G1678" s="126">
        <f t="shared" si="27"/>
        <v>1.0785340314136127</v>
      </c>
      <c r="H1678" s="126" t="s">
        <v>1339</v>
      </c>
      <c r="I1678" s="127" t="s">
        <v>1336</v>
      </c>
      <c r="J1678" s="126">
        <v>1.47</v>
      </c>
      <c r="K1678" s="126">
        <v>5</v>
      </c>
      <c r="L1678" s="129">
        <f>INT(base[[#This Row],[Data de liquidação]])</f>
        <v>46144</v>
      </c>
      <c r="M1678" s="126">
        <f>base[[#This Row],[L/P Bruto]]-base[[#This Row],[L/P Líquido]]</f>
        <v>4.8534031413612677E-2</v>
      </c>
      <c r="N1678" s="126">
        <f>base[[#This Row],[L/P Líquido]]/base[[#This Row],[Stake/Responsabilidade]]</f>
        <v>0.20600000000000002</v>
      </c>
      <c r="O1678" s="132">
        <f>IF(base[[#This Row],[L/P Líquido]]&gt;0,1,0)</f>
        <v>1</v>
      </c>
      <c r="P1678" s="132"/>
      <c r="Q1678" s="132" t="str">
        <f>LEFT(base[[#This Row],[Evento / Mercado]],FIND("vs",base[[#This Row],[Evento / Mercado]])-2)</f>
        <v>Motor Lublin</v>
      </c>
      <c r="R16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Lech Poznan</v>
      </c>
      <c r="S1678" s="132" t="str">
        <f>LEFT(base[[#This Row],[Evento / Mercado]],FIND("/",base[[#This Row],[Evento / Mercado]])-2)</f>
        <v>Motor Lublin vs Lech Poznan</v>
      </c>
    </row>
    <row r="1679" spans="2:19" ht="15" customHeight="1">
      <c r="B1679" s="128" t="s">
        <v>1614</v>
      </c>
      <c r="C1679" s="128" t="s">
        <v>2982</v>
      </c>
      <c r="D1679" s="129">
        <v>46144.724872685183</v>
      </c>
      <c r="E1679" s="130">
        <v>1.77</v>
      </c>
      <c r="F1679" s="136">
        <v>4.4999999999999998E-2</v>
      </c>
      <c r="G1679" s="126">
        <f t="shared" si="27"/>
        <v>1.8534031413612566</v>
      </c>
      <c r="H1679" s="126" t="s">
        <v>1339</v>
      </c>
      <c r="I1679" s="127" t="s">
        <v>1388</v>
      </c>
      <c r="J1679" s="126">
        <v>28</v>
      </c>
      <c r="K1679" s="126">
        <v>49.95</v>
      </c>
      <c r="L1679" s="129">
        <f>INT(base[[#This Row],[Data de liquidação]])</f>
        <v>46144</v>
      </c>
      <c r="M1679" s="126">
        <f>base[[#This Row],[L/P Bruto]]-base[[#This Row],[L/P Líquido]]</f>
        <v>8.3403141361256594E-2</v>
      </c>
      <c r="N1679" s="126">
        <f>base[[#This Row],[L/P Líquido]]/base[[#This Row],[Stake/Responsabilidade]]</f>
        <v>3.5435435435435432E-2</v>
      </c>
      <c r="O1679" s="132">
        <f>IF(base[[#This Row],[L/P Líquido]]&gt;0,1,0)</f>
        <v>1</v>
      </c>
      <c r="P1679" s="132"/>
      <c r="Q1679" s="132" t="str">
        <f>LEFT(base[[#This Row],[Evento / Mercado]],FIND("vs",base[[#This Row],[Evento / Mercado]])-2)</f>
        <v>FC Basel</v>
      </c>
      <c r="R16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Thun</v>
      </c>
      <c r="S1679" s="132" t="str">
        <f>LEFT(base[[#This Row],[Evento / Mercado]],FIND("/",base[[#This Row],[Evento / Mercado]])-2)</f>
        <v>FC Basel vs FC Thun</v>
      </c>
    </row>
    <row r="1680" spans="2:19" ht="15" customHeight="1">
      <c r="B1680" s="128" t="s">
        <v>1613</v>
      </c>
      <c r="C1680" s="128" t="s">
        <v>2982</v>
      </c>
      <c r="D1680" s="129">
        <v>46144.725763888891</v>
      </c>
      <c r="E1680" s="130">
        <v>1.37</v>
      </c>
      <c r="F1680" s="136">
        <v>4.4999999999999998E-2</v>
      </c>
      <c r="G1680" s="126">
        <f t="shared" si="27"/>
        <v>1.4345549738219896</v>
      </c>
      <c r="H1680" s="126" t="s">
        <v>1339</v>
      </c>
      <c r="I1680" s="127" t="s">
        <v>1430</v>
      </c>
      <c r="J1680" s="126">
        <v>32</v>
      </c>
      <c r="K1680" s="126">
        <v>44.33</v>
      </c>
      <c r="L1680" s="129">
        <f>INT(base[[#This Row],[Data de liquidação]])</f>
        <v>46144</v>
      </c>
      <c r="M1680" s="126">
        <f>base[[#This Row],[L/P Bruto]]-base[[#This Row],[L/P Líquido]]</f>
        <v>6.4554973821989492E-2</v>
      </c>
      <c r="N1680" s="126">
        <f>base[[#This Row],[L/P Líquido]]/base[[#This Row],[Stake/Responsabilidade]]</f>
        <v>3.090457929167607E-2</v>
      </c>
      <c r="O1680" s="132">
        <f>IF(base[[#This Row],[L/P Líquido]]&gt;0,1,0)</f>
        <v>1</v>
      </c>
      <c r="P1680" s="132"/>
      <c r="Q1680" s="132" t="str">
        <f>LEFT(base[[#This Row],[Evento / Mercado]],FIND("vs",base[[#This Row],[Evento / Mercado]])-2)</f>
        <v>FC Schalke 04</v>
      </c>
      <c r="R16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Düsseldorf</v>
      </c>
      <c r="S1680" s="132" t="str">
        <f>LEFT(base[[#This Row],[Evento / Mercado]],FIND("/",base[[#This Row],[Evento / Mercado]])-2)</f>
        <v>FC Schalke 04 vs Fortuna Düsseldorf</v>
      </c>
    </row>
    <row r="1681" spans="2:21" ht="15" customHeight="1">
      <c r="B1681" s="128" t="s">
        <v>1612</v>
      </c>
      <c r="C1681" s="128" t="s">
        <v>2982</v>
      </c>
      <c r="D1681" s="129">
        <v>46144.731446759259</v>
      </c>
      <c r="E1681" s="130">
        <v>-1.56</v>
      </c>
      <c r="F1681" s="136">
        <v>4.4999999999999998E-2</v>
      </c>
      <c r="G1681" s="126">
        <f t="shared" si="27"/>
        <v>-1.56</v>
      </c>
      <c r="H1681" s="126" t="s">
        <v>1339</v>
      </c>
      <c r="I1681" s="127" t="s">
        <v>1236</v>
      </c>
      <c r="J1681" s="126">
        <v>8</v>
      </c>
      <c r="K1681" s="126">
        <v>2</v>
      </c>
      <c r="L1681" s="129">
        <f>INT(base[[#This Row],[Data de liquidação]])</f>
        <v>46144</v>
      </c>
      <c r="M1681" s="126">
        <f>base[[#This Row],[L/P Bruto]]-base[[#This Row],[L/P Líquido]]</f>
        <v>0</v>
      </c>
      <c r="N1681" s="126">
        <f>base[[#This Row],[L/P Líquido]]/base[[#This Row],[Stake/Responsabilidade]]</f>
        <v>-0.78</v>
      </c>
      <c r="O1681" s="132">
        <f>IF(base[[#This Row],[L/P Líquido]]&gt;0,1,0)</f>
        <v>0</v>
      </c>
      <c r="P1681" s="132"/>
      <c r="Q1681" s="132" t="str">
        <f>LEFT(base[[#This Row],[Evento / Mercado]],FIND("vs",base[[#This Row],[Evento / Mercado]])-2)</f>
        <v>Botafogo FR</v>
      </c>
      <c r="R16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1681" s="132" t="str">
        <f>LEFT(base[[#This Row],[Evento / Mercado]],FIND("/",base[[#This Row],[Evento / Mercado]])-2)</f>
        <v>Botafogo FR vs Clube do Remo</v>
      </c>
    </row>
    <row r="1682" spans="2:21" ht="15" customHeight="1">
      <c r="B1682" s="128" t="s">
        <v>1611</v>
      </c>
      <c r="C1682" s="128" t="s">
        <v>2982</v>
      </c>
      <c r="D1682" s="129">
        <v>46144.734548611108</v>
      </c>
      <c r="E1682" s="130">
        <v>1.62</v>
      </c>
      <c r="F1682" s="136">
        <v>4.4999999999999998E-2</v>
      </c>
      <c r="G1682" s="126">
        <f t="shared" si="27"/>
        <v>1.6963350785340316</v>
      </c>
      <c r="H1682" s="126" t="s">
        <v>1339</v>
      </c>
      <c r="I1682" s="127" t="s">
        <v>1431</v>
      </c>
      <c r="J1682" s="126">
        <v>1.85</v>
      </c>
      <c r="K1682" s="126">
        <v>2</v>
      </c>
      <c r="L1682" s="129">
        <f>INT(base[[#This Row],[Data de liquidação]])</f>
        <v>46144</v>
      </c>
      <c r="M1682" s="126">
        <f>base[[#This Row],[L/P Bruto]]-base[[#This Row],[L/P Líquido]]</f>
        <v>7.6335078534031542E-2</v>
      </c>
      <c r="N1682" s="126">
        <f>base[[#This Row],[L/P Líquido]]/base[[#This Row],[Stake/Responsabilidade]]</f>
        <v>0.81</v>
      </c>
      <c r="O1682" s="132">
        <f>IF(base[[#This Row],[L/P Líquido]]&gt;0,1,0)</f>
        <v>1</v>
      </c>
      <c r="P1682" s="132"/>
      <c r="Q1682" s="132" t="str">
        <f>LEFT(base[[#This Row],[Evento / Mercado]],FIND("vs",base[[#This Row],[Evento / Mercado]])-2)</f>
        <v>Osasuna</v>
      </c>
      <c r="R16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682" s="132" t="str">
        <f>LEFT(base[[#This Row],[Evento / Mercado]],FIND("/",base[[#This Row],[Evento / Mercado]])-2)</f>
        <v>Osasuna vs FC Barcelona</v>
      </c>
    </row>
    <row r="1683" spans="2:21" ht="15" customHeight="1">
      <c r="B1683" s="128" t="s">
        <v>1610</v>
      </c>
      <c r="C1683" s="128" t="s">
        <v>2982</v>
      </c>
      <c r="D1683" s="129">
        <v>46144.735868055555</v>
      </c>
      <c r="E1683" s="130">
        <v>-2</v>
      </c>
      <c r="F1683" s="136">
        <v>4.4999999999999998E-2</v>
      </c>
      <c r="G1683" s="126">
        <f t="shared" si="27"/>
        <v>-2</v>
      </c>
      <c r="H1683" s="126" t="s">
        <v>1339</v>
      </c>
      <c r="I1683" s="127" t="s">
        <v>1431</v>
      </c>
      <c r="J1683" s="126">
        <v>2.04</v>
      </c>
      <c r="K1683" s="126">
        <v>2</v>
      </c>
      <c r="L1683" s="129">
        <f>INT(base[[#This Row],[Data de liquidação]])</f>
        <v>46144</v>
      </c>
      <c r="M1683" s="126">
        <f>base[[#This Row],[L/P Bruto]]-base[[#This Row],[L/P Líquido]]</f>
        <v>0</v>
      </c>
      <c r="N1683" s="126">
        <f>base[[#This Row],[L/P Líquido]]/base[[#This Row],[Stake/Responsabilidade]]</f>
        <v>-1</v>
      </c>
      <c r="O1683" s="132">
        <f>IF(base[[#This Row],[L/P Líquido]]&gt;0,1,0)</f>
        <v>0</v>
      </c>
      <c r="P1683" s="132"/>
      <c r="Q1683" s="132" t="str">
        <f>LEFT(base[[#This Row],[Evento / Mercado]],FIND("vs",base[[#This Row],[Evento / Mercado]])-2)</f>
        <v>Atalanta</v>
      </c>
      <c r="R16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1683" s="132" t="str">
        <f>LEFT(base[[#This Row],[Evento / Mercado]],FIND("/",base[[#This Row],[Evento / Mercado]])-2)</f>
        <v>Atalanta vs Genoa</v>
      </c>
    </row>
    <row r="1684" spans="2:21" ht="15" customHeight="1">
      <c r="B1684" s="128" t="s">
        <v>1609</v>
      </c>
      <c r="C1684" s="128" t="s">
        <v>2982</v>
      </c>
      <c r="D1684" s="129">
        <v>46144.739571759259</v>
      </c>
      <c r="E1684" s="130">
        <v>-5</v>
      </c>
      <c r="F1684" s="136">
        <v>4.4999999999999998E-2</v>
      </c>
      <c r="G1684" s="126">
        <f t="shared" si="27"/>
        <v>-5</v>
      </c>
      <c r="H1684" s="126" t="s">
        <v>1339</v>
      </c>
      <c r="I1684" s="127" t="s">
        <v>1338</v>
      </c>
      <c r="J1684" s="126">
        <v>2.41</v>
      </c>
      <c r="K1684" s="126">
        <v>5</v>
      </c>
      <c r="L1684" s="129">
        <f>INT(base[[#This Row],[Data de liquidação]])</f>
        <v>46144</v>
      </c>
      <c r="M1684" s="126">
        <f>base[[#This Row],[L/P Bruto]]-base[[#This Row],[L/P Líquido]]</f>
        <v>0</v>
      </c>
      <c r="N1684" s="126">
        <f>base[[#This Row],[L/P Líquido]]/base[[#This Row],[Stake/Responsabilidade]]</f>
        <v>-1</v>
      </c>
      <c r="O1684" s="132">
        <f>IF(base[[#This Row],[L/P Líquido]]&gt;0,1,0)</f>
        <v>0</v>
      </c>
      <c r="P1684" s="132"/>
      <c r="Q1684" s="132" t="str">
        <f>LEFT(base[[#This Row],[Evento / Mercado]],FIND("vs",base[[#This Row],[Evento / Mercado]])-2)</f>
        <v>Osasuna</v>
      </c>
      <c r="R16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684" s="132" t="str">
        <f>LEFT(base[[#This Row],[Evento / Mercado]],FIND("/",base[[#This Row],[Evento / Mercado]])-2)</f>
        <v>Osasuna vs FC Barcelona</v>
      </c>
    </row>
    <row r="1685" spans="2:21" ht="15" customHeight="1">
      <c r="B1685" s="128" t="s">
        <v>1608</v>
      </c>
      <c r="C1685" s="128" t="s">
        <v>2982</v>
      </c>
      <c r="D1685" s="129">
        <v>46144.745787037034</v>
      </c>
      <c r="E1685" s="130">
        <v>23.23</v>
      </c>
      <c r="F1685" s="136">
        <v>4.4999999999999998E-2</v>
      </c>
      <c r="G1685" s="126">
        <f t="shared" si="27"/>
        <v>24.324607329842934</v>
      </c>
      <c r="H1685" s="126" t="s">
        <v>122</v>
      </c>
      <c r="I1685" s="127" t="s">
        <v>542</v>
      </c>
      <c r="J1685" s="126">
        <v>23</v>
      </c>
      <c r="K1685" s="126">
        <v>513.04</v>
      </c>
      <c r="L1685" s="129">
        <f>INT(base[[#This Row],[Data de liquidação]])</f>
        <v>46144</v>
      </c>
      <c r="M1685" s="126">
        <f>base[[#This Row],[L/P Bruto]]-base[[#This Row],[L/P Líquido]]</f>
        <v>1.0946073298429333</v>
      </c>
      <c r="N1685" s="126">
        <f>base[[#This Row],[L/P Líquido]]/base[[#This Row],[Stake/Responsabilidade]]</f>
        <v>4.5279120536410422E-2</v>
      </c>
      <c r="O1685" s="132">
        <f>IF(base[[#This Row],[L/P Líquido]]&gt;0,1,0)</f>
        <v>1</v>
      </c>
      <c r="P1685" s="132" t="s">
        <v>964</v>
      </c>
      <c r="Q1685" s="132" t="str">
        <f>LEFT(base[[#This Row],[Evento / Mercado]],FIND("vs",base[[#This Row],[Evento / Mercado]])-2)</f>
        <v>Osasuna</v>
      </c>
      <c r="R16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685" s="132" t="str">
        <f>LEFT(base[[#This Row],[Evento / Mercado]],FIND("/",base[[#This Row],[Evento / Mercado]])-2)</f>
        <v>Osasuna vs FC Barcelona</v>
      </c>
    </row>
    <row r="1686" spans="2:21" ht="15" customHeight="1">
      <c r="B1686" s="128" t="s">
        <v>1607</v>
      </c>
      <c r="C1686" s="128" t="s">
        <v>2982</v>
      </c>
      <c r="D1686" s="129">
        <v>46144.746087962965</v>
      </c>
      <c r="E1686" s="130">
        <v>0.86</v>
      </c>
      <c r="F1686" s="136">
        <v>4.4999999999999998E-2</v>
      </c>
      <c r="G1686" s="126">
        <f t="shared" si="27"/>
        <v>0.90052356020942415</v>
      </c>
      <c r="H1686" s="126" t="s">
        <v>1339</v>
      </c>
      <c r="I1686" s="127" t="s">
        <v>1336</v>
      </c>
      <c r="J1686" s="126">
        <v>1.42</v>
      </c>
      <c r="K1686" s="126">
        <v>5</v>
      </c>
      <c r="L1686" s="129">
        <f>INT(base[[#This Row],[Data de liquidação]])</f>
        <v>46144</v>
      </c>
      <c r="M1686" s="126">
        <f>base[[#This Row],[L/P Bruto]]-base[[#This Row],[L/P Líquido]]</f>
        <v>4.0523560209424159E-2</v>
      </c>
      <c r="N1686" s="126">
        <f>base[[#This Row],[L/P Líquido]]/base[[#This Row],[Stake/Responsabilidade]]</f>
        <v>0.17199999999999999</v>
      </c>
      <c r="O1686" s="132">
        <f>IF(base[[#This Row],[L/P Líquido]]&gt;0,1,0)</f>
        <v>1</v>
      </c>
      <c r="P1686" s="132"/>
      <c r="Q1686" s="132" t="str">
        <f>LEFT(base[[#This Row],[Evento / Mercado]],FIND("vs",base[[#This Row],[Evento / Mercado]])-2)</f>
        <v>Osasuna</v>
      </c>
      <c r="R16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686" s="132" t="str">
        <f>LEFT(base[[#This Row],[Evento / Mercado]],FIND("/",base[[#This Row],[Evento / Mercado]])-2)</f>
        <v>Osasuna vs FC Barcelona</v>
      </c>
    </row>
    <row r="1687" spans="2:21" ht="15" customHeight="1">
      <c r="B1687" s="128" t="s">
        <v>1606</v>
      </c>
      <c r="C1687" s="128" t="s">
        <v>2982</v>
      </c>
      <c r="D1687" s="129">
        <v>46144.749988425923</v>
      </c>
      <c r="E1687" s="130">
        <v>-435.01</v>
      </c>
      <c r="F1687" s="136">
        <v>4.4999999999999998E-2</v>
      </c>
      <c r="G1687" s="126">
        <f t="shared" si="27"/>
        <v>-435.01</v>
      </c>
      <c r="H1687" s="126" t="s">
        <v>145</v>
      </c>
      <c r="I1687" s="127" t="s">
        <v>301</v>
      </c>
      <c r="J1687" s="126">
        <v>7.6</v>
      </c>
      <c r="K1687" s="126">
        <v>435.01</v>
      </c>
      <c r="L1687" s="129">
        <f>INT(base[[#This Row],[Data de liquidação]])</f>
        <v>46144</v>
      </c>
      <c r="M1687" s="126">
        <f>base[[#This Row],[L/P Bruto]]-base[[#This Row],[L/P Líquido]]</f>
        <v>0</v>
      </c>
      <c r="N1687" s="126">
        <f>base[[#This Row],[L/P Líquido]]/base[[#This Row],[Stake/Responsabilidade]]</f>
        <v>-1</v>
      </c>
      <c r="O1687" s="132">
        <f>IF(base[[#This Row],[L/P Líquido]]&gt;0,1,0)</f>
        <v>0</v>
      </c>
      <c r="P1687" s="132" t="s">
        <v>1058</v>
      </c>
      <c r="Q1687" s="132" t="str">
        <f>LEFT(base[[#This Row],[Evento / Mercado]],FIND("vs",base[[#This Row],[Evento / Mercado]])-2)</f>
        <v>Botafogo FR</v>
      </c>
      <c r="R16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1687" s="132" t="str">
        <f>LEFT(base[[#This Row],[Evento / Mercado]],FIND("/",base[[#This Row],[Evento / Mercado]])-2)</f>
        <v>Botafogo FR vs Clube do Remo</v>
      </c>
    </row>
    <row r="1688" spans="2:21" ht="15" customHeight="1">
      <c r="B1688" s="128" t="s">
        <v>1605</v>
      </c>
      <c r="C1688" s="128" t="s">
        <v>2982</v>
      </c>
      <c r="D1688" s="129">
        <v>46144.750185185185</v>
      </c>
      <c r="E1688" s="130">
        <v>16.489999999999998</v>
      </c>
      <c r="F1688" s="136">
        <v>4.4999999999999998E-2</v>
      </c>
      <c r="G1688" s="126">
        <f t="shared" si="27"/>
        <v>17.267015706806284</v>
      </c>
      <c r="H1688" s="126" t="s">
        <v>74</v>
      </c>
      <c r="I1688" s="127" t="s">
        <v>542</v>
      </c>
      <c r="J1688" s="126">
        <v>23</v>
      </c>
      <c r="K1688" s="126">
        <v>379.94</v>
      </c>
      <c r="L1688" s="129">
        <f>INT(base[[#This Row],[Data de liquidação]])</f>
        <v>46144</v>
      </c>
      <c r="M1688" s="126">
        <f>base[[#This Row],[L/P Bruto]]-base[[#This Row],[L/P Líquido]]</f>
        <v>0.77701570680628507</v>
      </c>
      <c r="N1688" s="126">
        <f>base[[#This Row],[L/P Líquido]]/base[[#This Row],[Stake/Responsabilidade]]</f>
        <v>4.3401589724693372E-2</v>
      </c>
      <c r="O1688" s="132">
        <f>IF(base[[#This Row],[L/P Líquido]]&gt;0,1,0)</f>
        <v>1</v>
      </c>
      <c r="P1688" s="132" t="s">
        <v>970</v>
      </c>
      <c r="Q1688" s="132" t="str">
        <f>LEFT(base[[#This Row],[Evento / Mercado]],FIND("vs",base[[#This Row],[Evento / Mercado]])-2)</f>
        <v>OGC Nice</v>
      </c>
      <c r="R16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Lens</v>
      </c>
      <c r="S1688" s="132" t="str">
        <f>LEFT(base[[#This Row],[Evento / Mercado]],FIND("/",base[[#This Row],[Evento / Mercado]])-2)</f>
        <v>OGC Nice vs RC Lens</v>
      </c>
    </row>
    <row r="1689" spans="2:21" ht="15" customHeight="1">
      <c r="B1689" s="128" t="s">
        <v>1604</v>
      </c>
      <c r="C1689" s="128" t="s">
        <v>2982</v>
      </c>
      <c r="D1689" s="129">
        <v>46144.766053240739</v>
      </c>
      <c r="E1689" s="130">
        <v>0.99</v>
      </c>
      <c r="F1689" s="136">
        <v>4.4999999999999998E-2</v>
      </c>
      <c r="G1689" s="126">
        <f t="shared" si="27"/>
        <v>1.036649214659686</v>
      </c>
      <c r="H1689" s="126" t="s">
        <v>1339</v>
      </c>
      <c r="I1689" s="127" t="s">
        <v>1336</v>
      </c>
      <c r="J1689" s="126">
        <v>1.48</v>
      </c>
      <c r="K1689" s="126">
        <v>5</v>
      </c>
      <c r="L1689" s="129">
        <f>INT(base[[#This Row],[Data de liquidação]])</f>
        <v>46144</v>
      </c>
      <c r="M1689" s="126">
        <f>base[[#This Row],[L/P Bruto]]-base[[#This Row],[L/P Líquido]]</f>
        <v>4.6649214659685967E-2</v>
      </c>
      <c r="N1689" s="126">
        <f>base[[#This Row],[L/P Líquido]]/base[[#This Row],[Stake/Responsabilidade]]</f>
        <v>0.19800000000000001</v>
      </c>
      <c r="O1689" s="132">
        <f>IF(base[[#This Row],[L/P Líquido]]&gt;0,1,0)</f>
        <v>1</v>
      </c>
      <c r="P1689" s="132"/>
      <c r="Q1689" s="132" t="str">
        <f>LEFT(base[[#This Row],[Evento / Mercado]],FIND("vs",base[[#This Row],[Evento / Mercado]])-2)</f>
        <v>NEC</v>
      </c>
      <c r="R16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Telstar</v>
      </c>
      <c r="S1689" s="132" t="str">
        <f>LEFT(base[[#This Row],[Evento / Mercado]],FIND("/",base[[#This Row],[Evento / Mercado]])-2)</f>
        <v>NEC vs SC Telstar</v>
      </c>
    </row>
    <row r="1690" spans="2:21" ht="15" customHeight="1">
      <c r="B1690" s="128" t="s">
        <v>1603</v>
      </c>
      <c r="C1690" s="128" t="s">
        <v>2982</v>
      </c>
      <c r="D1690" s="129">
        <v>46144.766111111108</v>
      </c>
      <c r="E1690" s="130">
        <v>2.54</v>
      </c>
      <c r="F1690" s="136">
        <v>4.4999999999999998E-2</v>
      </c>
      <c r="G1690" s="126">
        <f t="shared" si="27"/>
        <v>2.6596858638743459</v>
      </c>
      <c r="H1690" s="126" t="s">
        <v>1339</v>
      </c>
      <c r="I1690" s="127" t="s">
        <v>1446</v>
      </c>
      <c r="J1690" s="126">
        <v>2.88</v>
      </c>
      <c r="K1690" s="126">
        <v>5</v>
      </c>
      <c r="L1690" s="129">
        <f>INT(base[[#This Row],[Data de liquidação]])</f>
        <v>46144</v>
      </c>
      <c r="M1690" s="126">
        <f>base[[#This Row],[L/P Bruto]]-base[[#This Row],[L/P Líquido]]</f>
        <v>0.11968586387434588</v>
      </c>
      <c r="N1690" s="126">
        <f>base[[#This Row],[L/P Líquido]]/base[[#This Row],[Stake/Responsabilidade]]</f>
        <v>0.50800000000000001</v>
      </c>
      <c r="O1690" s="132">
        <f>IF(base[[#This Row],[L/P Líquido]]&gt;0,1,0)</f>
        <v>1</v>
      </c>
      <c r="P1690" s="132"/>
      <c r="Q1690" s="132" t="str">
        <f>LEFT(base[[#This Row],[Evento / Mercado]],FIND("vs",base[[#This Row],[Evento / Mercado]])-2)</f>
        <v>NEC</v>
      </c>
      <c r="R16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Telstar</v>
      </c>
      <c r="S1690" s="132" t="str">
        <f>LEFT(base[[#This Row],[Evento / Mercado]],FIND("/",base[[#This Row],[Evento / Mercado]])-2)</f>
        <v>NEC vs SC Telstar</v>
      </c>
    </row>
    <row r="1691" spans="2:21" ht="15" customHeight="1">
      <c r="B1691" s="128" t="s">
        <v>1602</v>
      </c>
      <c r="C1691" s="128" t="s">
        <v>2982</v>
      </c>
      <c r="D1691" s="129">
        <v>46144.771168981482</v>
      </c>
      <c r="E1691" s="130">
        <v>-0.86</v>
      </c>
      <c r="F1691" s="136">
        <v>4.4999999999999998E-2</v>
      </c>
      <c r="G1691" s="126">
        <f t="shared" si="27"/>
        <v>-0.86</v>
      </c>
      <c r="H1691" s="126" t="s">
        <v>1339</v>
      </c>
      <c r="I1691" s="127" t="s">
        <v>1236</v>
      </c>
      <c r="J1691" s="126">
        <v>6.6</v>
      </c>
      <c r="K1691" s="126">
        <v>2</v>
      </c>
      <c r="L1691" s="129">
        <f>INT(base[[#This Row],[Data de liquidação]])</f>
        <v>46144</v>
      </c>
      <c r="M1691" s="126">
        <f>base[[#This Row],[L/P Bruto]]-base[[#This Row],[L/P Líquido]]</f>
        <v>0</v>
      </c>
      <c r="N1691" s="126">
        <f>base[[#This Row],[L/P Líquido]]/base[[#This Row],[Stake/Responsabilidade]]</f>
        <v>-0.43</v>
      </c>
      <c r="O1691" s="132">
        <f>IF(base[[#This Row],[L/P Líquido]]&gt;0,1,0)</f>
        <v>0</v>
      </c>
      <c r="P1691" s="132"/>
      <c r="Q1691" s="132" t="str">
        <f>LEFT(base[[#This Row],[Evento / Mercado]],FIND("vs",base[[#This Row],[Evento / Mercado]])-2)</f>
        <v>FC Porto</v>
      </c>
      <c r="R16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Alverca</v>
      </c>
      <c r="S1691" s="132" t="str">
        <f>LEFT(base[[#This Row],[Evento / Mercado]],FIND("/",base[[#This Row],[Evento / Mercado]])-2)</f>
        <v>FC Porto vs Alverca</v>
      </c>
    </row>
    <row r="1692" spans="2:21" ht="15" customHeight="1">
      <c r="B1692" s="128" t="s">
        <v>1601</v>
      </c>
      <c r="C1692" s="128" t="s">
        <v>2982</v>
      </c>
      <c r="D1692" s="129">
        <v>46144.771215277775</v>
      </c>
      <c r="E1692" s="130">
        <v>27.914649999999998</v>
      </c>
      <c r="F1692" s="136">
        <v>4.4999999999999998E-2</v>
      </c>
      <c r="G1692" s="126">
        <f t="shared" si="27"/>
        <v>29.23</v>
      </c>
      <c r="H1692" s="126" t="s">
        <v>145</v>
      </c>
      <c r="I1692" s="127" t="s">
        <v>301</v>
      </c>
      <c r="J1692" s="126">
        <v>13.79</v>
      </c>
      <c r="K1692" s="126">
        <v>373.76</v>
      </c>
      <c r="L1692" s="129">
        <f>INT(base[[#This Row],[Data de liquidação]])</f>
        <v>46144</v>
      </c>
      <c r="M1692" s="126">
        <f>base[[#This Row],[L/P Bruto]]-base[[#This Row],[L/P Líquido]]</f>
        <v>1.3153500000000022</v>
      </c>
      <c r="N1692" s="126">
        <f>base[[#This Row],[L/P Líquido]]/base[[#This Row],[Stake/Responsabilidade]]</f>
        <v>7.4686028467465748E-2</v>
      </c>
      <c r="O1692" s="132">
        <f>IF(base[[#This Row],[L/P Líquido]]&gt;0,1,0)</f>
        <v>1</v>
      </c>
      <c r="P1692" s="132" t="s">
        <v>965</v>
      </c>
      <c r="Q1692" s="132" t="str">
        <f>LEFT(base[[#This Row],[Evento / Mercado]],FIND("vs",base[[#This Row],[Evento / Mercado]])-2)</f>
        <v>FC Porto</v>
      </c>
      <c r="R16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Alverca</v>
      </c>
      <c r="S1692" s="132" t="str">
        <f>LEFT(base[[#This Row],[Evento / Mercado]],FIND("/",base[[#This Row],[Evento / Mercado]])-2)</f>
        <v>FC Porto vs Alverca</v>
      </c>
      <c r="T1692" s="8">
        <v>29.23</v>
      </c>
      <c r="U1692" s="9">
        <f>T1692*0.955</f>
        <v>27.914649999999998</v>
      </c>
    </row>
    <row r="1693" spans="2:21" ht="15" customHeight="1">
      <c r="B1693" s="128" t="s">
        <v>1601</v>
      </c>
      <c r="C1693" s="128" t="s">
        <v>2982</v>
      </c>
      <c r="D1693" s="129">
        <v>46144.771215277775</v>
      </c>
      <c r="E1693" s="130">
        <v>12.2431</v>
      </c>
      <c r="F1693" s="136">
        <v>4.4999999999999998E-2</v>
      </c>
      <c r="G1693" s="126">
        <f t="shared" si="27"/>
        <v>12.82</v>
      </c>
      <c r="H1693" s="126" t="s">
        <v>1233</v>
      </c>
      <c r="I1693" s="127"/>
      <c r="J1693" s="126">
        <v>8.8000000000000007</v>
      </c>
      <c r="K1693" s="126">
        <v>100</v>
      </c>
      <c r="L1693" s="129">
        <f>INT(base[[#This Row],[Data de liquidação]])</f>
        <v>46144</v>
      </c>
      <c r="M1693" s="126">
        <f>base[[#This Row],[L/P Bruto]]-base[[#This Row],[L/P Líquido]]</f>
        <v>0.57690000000000019</v>
      </c>
      <c r="N1693" s="126">
        <f>base[[#This Row],[L/P Líquido]]/base[[#This Row],[Stake/Responsabilidade]]</f>
        <v>0.122431</v>
      </c>
      <c r="O1693" s="132">
        <f>IF(base[[#This Row],[L/P Líquido]]&gt;0,1,0)</f>
        <v>1</v>
      </c>
      <c r="P1693" s="132"/>
      <c r="Q1693" s="132" t="str">
        <f>LEFT(base[[#This Row],[Evento / Mercado]],FIND("vs",base[[#This Row],[Evento / Mercado]])-2)</f>
        <v>FC Porto</v>
      </c>
      <c r="R16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Alverca</v>
      </c>
      <c r="S1693" s="132" t="str">
        <f>LEFT(base[[#This Row],[Evento / Mercado]],FIND("/",base[[#This Row],[Evento / Mercado]])-2)</f>
        <v>FC Porto vs Alverca</v>
      </c>
      <c r="T1693" s="8">
        <v>12.82</v>
      </c>
      <c r="U1693" s="9">
        <f>T1693*0.955</f>
        <v>12.2431</v>
      </c>
    </row>
    <row r="1694" spans="2:21" ht="15" customHeight="1">
      <c r="B1694" s="128" t="s">
        <v>1600</v>
      </c>
      <c r="C1694" s="128" t="s">
        <v>2982</v>
      </c>
      <c r="D1694" s="129">
        <v>46144.830405092594</v>
      </c>
      <c r="E1694" s="130">
        <v>1.91</v>
      </c>
      <c r="F1694" s="136">
        <v>4.4999999999999998E-2</v>
      </c>
      <c r="G1694" s="126">
        <f t="shared" si="27"/>
        <v>2</v>
      </c>
      <c r="H1694" s="126" t="s">
        <v>1339</v>
      </c>
      <c r="I1694" s="127" t="s">
        <v>1430</v>
      </c>
      <c r="J1694" s="126">
        <v>26</v>
      </c>
      <c r="K1694" s="126">
        <v>50</v>
      </c>
      <c r="L1694" s="129">
        <f>INT(base[[#This Row],[Data de liquidação]])</f>
        <v>46144</v>
      </c>
      <c r="M1694" s="126">
        <f>base[[#This Row],[L/P Bruto]]-base[[#This Row],[L/P Líquido]]</f>
        <v>9.000000000000008E-2</v>
      </c>
      <c r="N1694" s="126">
        <f>base[[#This Row],[L/P Líquido]]/base[[#This Row],[Stake/Responsabilidade]]</f>
        <v>3.8199999999999998E-2</v>
      </c>
      <c r="O1694" s="132">
        <f>IF(base[[#This Row],[L/P Líquido]]&gt;0,1,0)</f>
        <v>1</v>
      </c>
      <c r="P1694" s="132"/>
      <c r="Q1694" s="132" t="str">
        <f>LEFT(base[[#This Row],[Evento / Mercado]],FIND("vs",base[[#This Row],[Evento / Mercado]])-2)</f>
        <v>Jaguares de Córdoba</v>
      </c>
      <c r="R16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Cúcuta Deportivo</v>
      </c>
      <c r="S1694" s="132" t="str">
        <f>LEFT(base[[#This Row],[Evento / Mercado]],FIND("/",base[[#This Row],[Evento / Mercado]])-2)</f>
        <v>Jaguares de Córdoba vs Cúcuta Deportivo</v>
      </c>
    </row>
    <row r="1695" spans="2:21" ht="15" customHeight="1">
      <c r="B1695" s="128" t="s">
        <v>1599</v>
      </c>
      <c r="C1695" s="128" t="s">
        <v>2982</v>
      </c>
      <c r="D1695" s="129">
        <v>46144.831342592595</v>
      </c>
      <c r="E1695" s="130">
        <v>-1.67</v>
      </c>
      <c r="F1695" s="136">
        <v>4.4999999999999998E-2</v>
      </c>
      <c r="G1695" s="126">
        <f t="shared" si="27"/>
        <v>-1.67</v>
      </c>
      <c r="H1695" s="126" t="s">
        <v>1339</v>
      </c>
      <c r="I1695" s="127" t="s">
        <v>1236</v>
      </c>
      <c r="J1695" s="126">
        <v>9</v>
      </c>
      <c r="K1695" s="126">
        <v>2</v>
      </c>
      <c r="L1695" s="129">
        <f>INT(base[[#This Row],[Data de liquidação]])</f>
        <v>46144</v>
      </c>
      <c r="M1695" s="126">
        <f>base[[#This Row],[L/P Bruto]]-base[[#This Row],[L/P Líquido]]</f>
        <v>0</v>
      </c>
      <c r="N1695" s="126">
        <f>base[[#This Row],[L/P Líquido]]/base[[#This Row],[Stake/Responsabilidade]]</f>
        <v>-0.83499999999999996</v>
      </c>
      <c r="O1695" s="132">
        <f>IF(base[[#This Row],[L/P Líquido]]&gt;0,1,0)</f>
        <v>0</v>
      </c>
      <c r="P1695" s="132"/>
      <c r="Q1695" s="132" t="str">
        <f>LEFT(base[[#This Row],[Evento / Mercado]],FIND("vs",base[[#This Row],[Evento / Mercado]])-2)</f>
        <v>Palmeiras</v>
      </c>
      <c r="R16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695" s="132" t="str">
        <f>LEFT(base[[#This Row],[Evento / Mercado]],FIND("/",base[[#This Row],[Evento / Mercado]])-2)</f>
        <v>Palmeiras vs Santos FC</v>
      </c>
    </row>
    <row r="1696" spans="2:21" ht="15" customHeight="1">
      <c r="B1696" s="128" t="s">
        <v>1598</v>
      </c>
      <c r="C1696" s="128" t="s">
        <v>2982</v>
      </c>
      <c r="D1696" s="129">
        <v>46144.854791666665</v>
      </c>
      <c r="E1696" s="130">
        <v>2.27</v>
      </c>
      <c r="F1696" s="136">
        <v>4.4999999999999998E-2</v>
      </c>
      <c r="G1696" s="126">
        <f t="shared" si="27"/>
        <v>2.3769633507853403</v>
      </c>
      <c r="H1696" s="126" t="s">
        <v>1339</v>
      </c>
      <c r="I1696" s="127" t="s">
        <v>1388</v>
      </c>
      <c r="J1696" s="126">
        <v>25</v>
      </c>
      <c r="K1696" s="126">
        <v>57.12</v>
      </c>
      <c r="L1696" s="129">
        <f>INT(base[[#This Row],[Data de liquidação]])</f>
        <v>46144</v>
      </c>
      <c r="M1696" s="126">
        <f>base[[#This Row],[L/P Bruto]]-base[[#This Row],[L/P Líquido]]</f>
        <v>0.10696335078534025</v>
      </c>
      <c r="N1696" s="126">
        <f>base[[#This Row],[L/P Líquido]]/base[[#This Row],[Stake/Responsabilidade]]</f>
        <v>3.9740896358543422E-2</v>
      </c>
      <c r="O1696" s="132">
        <f>IF(base[[#This Row],[L/P Líquido]]&gt;0,1,0)</f>
        <v>1</v>
      </c>
      <c r="P1696" s="132"/>
      <c r="Q1696" s="132" t="str">
        <f>LEFT(base[[#This Row],[Evento / Mercado]],FIND("vs",base[[#This Row],[Evento / Mercado]])-2)</f>
        <v>Palmeiras</v>
      </c>
      <c r="R16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696" s="132" t="str">
        <f>LEFT(base[[#This Row],[Evento / Mercado]],FIND("/",base[[#This Row],[Evento / Mercado]])-2)</f>
        <v>Palmeiras vs Santos FC</v>
      </c>
    </row>
    <row r="1697" spans="2:21" ht="15" customHeight="1">
      <c r="B1697" s="128" t="s">
        <v>1597</v>
      </c>
      <c r="C1697" s="128" t="s">
        <v>2982</v>
      </c>
      <c r="D1697" s="129">
        <v>46144.855011574073</v>
      </c>
      <c r="E1697" s="130">
        <v>51.84695</v>
      </c>
      <c r="F1697" s="136">
        <v>4.4999999999999998E-2</v>
      </c>
      <c r="G1697" s="126">
        <f t="shared" si="27"/>
        <v>54.29</v>
      </c>
      <c r="H1697" s="126" t="s">
        <v>145</v>
      </c>
      <c r="I1697" s="127" t="s">
        <v>301</v>
      </c>
      <c r="J1697" s="126">
        <v>8</v>
      </c>
      <c r="K1697" s="126">
        <v>380.03</v>
      </c>
      <c r="L1697" s="129">
        <f>INT(base[[#This Row],[Data de liquidação]])</f>
        <v>46144</v>
      </c>
      <c r="M1697" s="126">
        <f>base[[#This Row],[L/P Bruto]]-base[[#This Row],[L/P Líquido]]</f>
        <v>2.4430499999999995</v>
      </c>
      <c r="N1697" s="126">
        <f>base[[#This Row],[L/P Líquido]]/base[[#This Row],[Stake/Responsabilidade]]</f>
        <v>0.13642857142857143</v>
      </c>
      <c r="O1697" s="132">
        <f>IF(base[[#This Row],[L/P Líquido]]&gt;0,1,0)</f>
        <v>1</v>
      </c>
      <c r="P1697" s="132" t="s">
        <v>1058</v>
      </c>
      <c r="Q1697" s="132" t="str">
        <f>LEFT(base[[#This Row],[Evento / Mercado]],FIND("vs",base[[#This Row],[Evento / Mercado]])-2)</f>
        <v>Palmeiras</v>
      </c>
      <c r="R16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697" s="132" t="str">
        <f>LEFT(base[[#This Row],[Evento / Mercado]],FIND("/",base[[#This Row],[Evento / Mercado]])-2)</f>
        <v>Palmeiras vs Santos FC</v>
      </c>
      <c r="T1697" s="8">
        <v>54.29</v>
      </c>
      <c r="U1697" s="9">
        <f>T1697*0.955</f>
        <v>51.84695</v>
      </c>
    </row>
    <row r="1698" spans="2:21" ht="15" customHeight="1">
      <c r="B1698" s="128" t="s">
        <v>1597</v>
      </c>
      <c r="C1698" s="128" t="s">
        <v>2982</v>
      </c>
      <c r="D1698" s="129">
        <v>46144.855011574073</v>
      </c>
      <c r="E1698" s="130">
        <v>3.1801499999999998</v>
      </c>
      <c r="F1698" s="136">
        <v>4.4999999999999998E-2</v>
      </c>
      <c r="G1698" s="126">
        <f t="shared" si="27"/>
        <v>3.33</v>
      </c>
      <c r="H1698" s="126" t="s">
        <v>1339</v>
      </c>
      <c r="I1698" s="127" t="s">
        <v>1446</v>
      </c>
      <c r="J1698" s="126">
        <v>2.5</v>
      </c>
      <c r="K1698" s="126">
        <v>5</v>
      </c>
      <c r="L1698" s="129">
        <f>INT(base[[#This Row],[Data de liquidação]])</f>
        <v>46144</v>
      </c>
      <c r="M1698" s="126">
        <f>base[[#This Row],[L/P Bruto]]-base[[#This Row],[L/P Líquido]]</f>
        <v>0.14985000000000026</v>
      </c>
      <c r="N1698" s="126">
        <f>base[[#This Row],[L/P Líquido]]/base[[#This Row],[Stake/Responsabilidade]]</f>
        <v>0.63602999999999998</v>
      </c>
      <c r="O1698" s="132">
        <f>IF(base[[#This Row],[L/P Líquido]]&gt;0,1,0)</f>
        <v>1</v>
      </c>
      <c r="P1698" s="132"/>
      <c r="Q1698" s="132" t="str">
        <f>LEFT(base[[#This Row],[Evento / Mercado]],FIND("vs",base[[#This Row],[Evento / Mercado]])-2)</f>
        <v>Palmeiras</v>
      </c>
      <c r="R16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698" s="132" t="str">
        <f>LEFT(base[[#This Row],[Evento / Mercado]],FIND("/",base[[#This Row],[Evento / Mercado]])-2)</f>
        <v>Palmeiras vs Santos FC</v>
      </c>
      <c r="T1698" s="8">
        <v>3.33</v>
      </c>
      <c r="U1698" s="9">
        <f>T1698*0.955</f>
        <v>3.1801499999999998</v>
      </c>
    </row>
    <row r="1699" spans="2:21" ht="15" customHeight="1">
      <c r="B1699" s="128" t="s">
        <v>1596</v>
      </c>
      <c r="C1699" s="128" t="s">
        <v>2982</v>
      </c>
      <c r="D1699" s="129">
        <v>46144.913252314815</v>
      </c>
      <c r="E1699" s="130">
        <v>-1.66</v>
      </c>
      <c r="F1699" s="136">
        <v>4.4999999999999998E-2</v>
      </c>
      <c r="G1699" s="126">
        <f t="shared" si="27"/>
        <v>-1.66</v>
      </c>
      <c r="H1699" s="126" t="s">
        <v>1339</v>
      </c>
      <c r="I1699" s="127" t="s">
        <v>1236</v>
      </c>
      <c r="J1699" s="126">
        <v>8.6</v>
      </c>
      <c r="K1699" s="126">
        <v>2</v>
      </c>
      <c r="L1699" s="129">
        <f>INT(base[[#This Row],[Data de liquidação]])</f>
        <v>46144</v>
      </c>
      <c r="M1699" s="126">
        <f>base[[#This Row],[L/P Bruto]]-base[[#This Row],[L/P Líquido]]</f>
        <v>0</v>
      </c>
      <c r="N1699" s="126">
        <f>base[[#This Row],[L/P Líquido]]/base[[#This Row],[Stake/Responsabilidade]]</f>
        <v>-0.83</v>
      </c>
      <c r="O1699" s="132">
        <f>IF(base[[#This Row],[L/P Líquido]]&gt;0,1,0)</f>
        <v>0</v>
      </c>
      <c r="P1699" s="132"/>
      <c r="Q1699" s="132" t="str">
        <f>LEFT(base[[#This Row],[Evento / Mercado]],FIND("vs",base[[#This Row],[Evento / Mercado]])-2)</f>
        <v>Columbus Crew</v>
      </c>
      <c r="R16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Minnesota United</v>
      </c>
      <c r="S1699" s="132" t="str">
        <f>LEFT(base[[#This Row],[Evento / Mercado]],FIND("/",base[[#This Row],[Evento / Mercado]])-2)</f>
        <v>Columbus Crew vs Minnesota United</v>
      </c>
    </row>
    <row r="1700" spans="2:21" ht="15" customHeight="1">
      <c r="B1700" s="128" t="s">
        <v>1595</v>
      </c>
      <c r="C1700" s="128" t="s">
        <v>2982</v>
      </c>
      <c r="D1700" s="129">
        <v>46144.919039351851</v>
      </c>
      <c r="E1700" s="130">
        <v>1.99</v>
      </c>
      <c r="F1700" s="136">
        <v>4.4999999999999998E-2</v>
      </c>
      <c r="G1700" s="126">
        <f t="shared" si="27"/>
        <v>2.0837696335078535</v>
      </c>
      <c r="H1700" s="126" t="s">
        <v>1339</v>
      </c>
      <c r="I1700" s="127" t="s">
        <v>1388</v>
      </c>
      <c r="J1700" s="126">
        <v>25</v>
      </c>
      <c r="K1700" s="126">
        <v>49.92</v>
      </c>
      <c r="L1700" s="129">
        <f>INT(base[[#This Row],[Data de liquidação]])</f>
        <v>46144</v>
      </c>
      <c r="M1700" s="126">
        <f>base[[#This Row],[L/P Bruto]]-base[[#This Row],[L/P Líquido]]</f>
        <v>9.37696335078535E-2</v>
      </c>
      <c r="N1700" s="126">
        <f>base[[#This Row],[L/P Líquido]]/base[[#This Row],[Stake/Responsabilidade]]</f>
        <v>3.9863782051282048E-2</v>
      </c>
      <c r="O1700" s="132">
        <f>IF(base[[#This Row],[L/P Líquido]]&gt;0,1,0)</f>
        <v>1</v>
      </c>
      <c r="P1700" s="132"/>
      <c r="Q1700" s="132" t="str">
        <f>LEFT(base[[#This Row],[Evento / Mercado]],FIND("vs",base[[#This Row],[Evento / Mercado]])-2)</f>
        <v>Miami FC</v>
      </c>
      <c r="R17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Brooklyn FC</v>
      </c>
      <c r="S1700" s="132" t="str">
        <f>LEFT(base[[#This Row],[Evento / Mercado]],FIND("/",base[[#This Row],[Evento / Mercado]])-2)</f>
        <v>Miami FC vs Brooklyn FC</v>
      </c>
    </row>
    <row r="1701" spans="2:21" ht="15" customHeight="1">
      <c r="B1701" s="128" t="s">
        <v>1594</v>
      </c>
      <c r="C1701" s="128" t="s">
        <v>2982</v>
      </c>
      <c r="D1701" s="129">
        <v>46144.938506944447</v>
      </c>
      <c r="E1701" s="130">
        <v>1.99</v>
      </c>
      <c r="F1701" s="136">
        <v>4.4999999999999998E-2</v>
      </c>
      <c r="G1701" s="126">
        <f t="shared" si="27"/>
        <v>2.0837696335078535</v>
      </c>
      <c r="H1701" s="126" t="s">
        <v>1339</v>
      </c>
      <c r="I1701" s="127" t="s">
        <v>1388</v>
      </c>
      <c r="J1701" s="126">
        <v>23</v>
      </c>
      <c r="K1701" s="126">
        <v>45.76</v>
      </c>
      <c r="L1701" s="129">
        <f>INT(base[[#This Row],[Data de liquidação]])</f>
        <v>46144</v>
      </c>
      <c r="M1701" s="126">
        <f>base[[#This Row],[L/P Bruto]]-base[[#This Row],[L/P Líquido]]</f>
        <v>9.37696335078535E-2</v>
      </c>
      <c r="N1701" s="126">
        <f>base[[#This Row],[L/P Líquido]]/base[[#This Row],[Stake/Responsabilidade]]</f>
        <v>4.348776223776224E-2</v>
      </c>
      <c r="O1701" s="132">
        <f>IF(base[[#This Row],[L/P Líquido]]&gt;0,1,0)</f>
        <v>1</v>
      </c>
      <c r="P1701" s="132"/>
      <c r="Q1701" s="132" t="str">
        <f>LEFT(base[[#This Row],[Evento / Mercado]],FIND("vs",base[[#This Row],[Evento / Mercado]])-2)</f>
        <v>New York Red Bulls</v>
      </c>
      <c r="R17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Dallas</v>
      </c>
      <c r="S1701" s="132" t="str">
        <f>LEFT(base[[#This Row],[Evento / Mercado]],FIND("/",base[[#This Row],[Evento / Mercado]])-2)</f>
        <v>New York Red Bulls vs FC Dallas</v>
      </c>
    </row>
    <row r="1702" spans="2:21" ht="15" customHeight="1">
      <c r="B1702" s="128" t="s">
        <v>1593</v>
      </c>
      <c r="C1702" s="128" t="s">
        <v>2982</v>
      </c>
      <c r="D1702" s="129">
        <v>46144.938611111109</v>
      </c>
      <c r="E1702" s="130">
        <v>25.75</v>
      </c>
      <c r="F1702" s="136">
        <v>4.4999999999999998E-2</v>
      </c>
      <c r="G1702" s="126">
        <f t="shared" si="27"/>
        <v>26.963350785340314</v>
      </c>
      <c r="H1702" s="126" t="s">
        <v>74</v>
      </c>
      <c r="I1702" s="127" t="s">
        <v>476</v>
      </c>
      <c r="J1702" s="126">
        <f>+(14.5*32.94+16.5*380.06)/base[[#This Row],[Stake/Responsabilidade]]</f>
        <v>16.34048426150121</v>
      </c>
      <c r="K1702" s="126">
        <f>32.94+380.06</f>
        <v>413</v>
      </c>
      <c r="L1702" s="129">
        <f>INT(base[[#This Row],[Data de liquidação]])</f>
        <v>46144</v>
      </c>
      <c r="M1702" s="126">
        <f>base[[#This Row],[L/P Bruto]]-base[[#This Row],[L/P Líquido]]</f>
        <v>1.2133507853403138</v>
      </c>
      <c r="N1702" s="126">
        <f>base[[#This Row],[L/P Líquido]]/base[[#This Row],[Stake/Responsabilidade]]</f>
        <v>6.2348668280871669E-2</v>
      </c>
      <c r="O1702" s="132">
        <f>IF(base[[#This Row],[L/P Líquido]]&gt;0,1,0)</f>
        <v>1</v>
      </c>
      <c r="P1702" s="132" t="s">
        <v>1058</v>
      </c>
      <c r="Q1702" s="132" t="str">
        <f>LEFT(base[[#This Row],[Evento / Mercado]],FIND("vs",base[[#This Row],[Evento / Mercado]])-2)</f>
        <v>Athlético Paranaense</v>
      </c>
      <c r="R17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702" s="132" t="str">
        <f>LEFT(base[[#This Row],[Evento / Mercado]],FIND("/",base[[#This Row],[Evento / Mercado]])-2)</f>
        <v>Athlético Paranaense vs Grêmio FBPA</v>
      </c>
    </row>
    <row r="1703" spans="2:21" ht="15" customHeight="1">
      <c r="B1703" s="128" t="s">
        <v>1592</v>
      </c>
      <c r="C1703" s="128" t="s">
        <v>2982</v>
      </c>
      <c r="D1703" s="129">
        <v>46144.938750000001</v>
      </c>
      <c r="E1703" s="130">
        <v>-2</v>
      </c>
      <c r="F1703" s="136">
        <v>4.4999999999999998E-2</v>
      </c>
      <c r="G1703" s="126">
        <f t="shared" si="27"/>
        <v>-2</v>
      </c>
      <c r="H1703" s="126" t="s">
        <v>1339</v>
      </c>
      <c r="I1703" s="127" t="s">
        <v>1429</v>
      </c>
      <c r="J1703" s="126">
        <v>1.85</v>
      </c>
      <c r="K1703" s="126">
        <v>2</v>
      </c>
      <c r="L1703" s="129">
        <f>INT(base[[#This Row],[Data de liquidação]])</f>
        <v>46144</v>
      </c>
      <c r="M1703" s="126">
        <f>base[[#This Row],[L/P Bruto]]-base[[#This Row],[L/P Líquido]]</f>
        <v>0</v>
      </c>
      <c r="N1703" s="126">
        <f>base[[#This Row],[L/P Líquido]]/base[[#This Row],[Stake/Responsabilidade]]</f>
        <v>-1</v>
      </c>
      <c r="O1703" s="132">
        <f>IF(base[[#This Row],[L/P Líquido]]&gt;0,1,0)</f>
        <v>0</v>
      </c>
      <c r="P1703" s="132"/>
      <c r="Q1703" s="132" t="str">
        <f>LEFT(base[[#This Row],[Evento / Mercado]],FIND("vs",base[[#This Row],[Evento / Mercado]])-2)</f>
        <v>Athlético Paranaense</v>
      </c>
      <c r="R17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703" s="132" t="str">
        <f>LEFT(base[[#This Row],[Evento / Mercado]],FIND("/",base[[#This Row],[Evento / Mercado]])-2)</f>
        <v>Athlético Paranaense vs Grêmio FBPA</v>
      </c>
    </row>
    <row r="1704" spans="2:21" ht="15" customHeight="1">
      <c r="B1704" s="128" t="s">
        <v>1591</v>
      </c>
      <c r="C1704" s="128" t="s">
        <v>2982</v>
      </c>
      <c r="D1704" s="129">
        <v>46144.938842592594</v>
      </c>
      <c r="E1704" s="130">
        <v>27.91</v>
      </c>
      <c r="F1704" s="136">
        <v>4.4999999999999998E-2</v>
      </c>
      <c r="G1704" s="126">
        <f t="shared" si="27"/>
        <v>29.225130890052359</v>
      </c>
      <c r="H1704" s="126" t="s">
        <v>145</v>
      </c>
      <c r="I1704" s="127" t="s">
        <v>1268</v>
      </c>
      <c r="J1704" s="127">
        <v>14</v>
      </c>
      <c r="K1704" s="126">
        <v>379.99</v>
      </c>
      <c r="L1704" s="129">
        <f>INT(base[[#This Row],[Data de liquidação]])</f>
        <v>46144</v>
      </c>
      <c r="M1704" s="126">
        <f>base[[#This Row],[L/P Bruto]]-base[[#This Row],[L/P Líquido]]</f>
        <v>1.3151308900523588</v>
      </c>
      <c r="N1704" s="126">
        <f>base[[#This Row],[L/P Líquido]]/base[[#This Row],[Stake/Responsabilidade]]</f>
        <v>7.3449301297402556E-2</v>
      </c>
      <c r="O1704" s="132">
        <f>IF(base[[#This Row],[L/P Líquido]]&gt;0,1,0)</f>
        <v>1</v>
      </c>
      <c r="P1704" s="132" t="s">
        <v>1058</v>
      </c>
      <c r="Q1704" s="132" t="str">
        <f>LEFT(base[[#This Row],[Evento / Mercado]],FIND("vs",base[[#This Row],[Evento / Mercado]])-2)</f>
        <v>Athlético Paranaense</v>
      </c>
      <c r="R17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704" s="132" t="str">
        <f>LEFT(base[[#This Row],[Evento / Mercado]],FIND("/",base[[#This Row],[Evento / Mercado]])-2)</f>
        <v>Athlético Paranaense vs Grêmio FBPA</v>
      </c>
    </row>
    <row r="1705" spans="2:21" ht="15" customHeight="1">
      <c r="B1705" s="128" t="s">
        <v>1590</v>
      </c>
      <c r="C1705" s="128" t="s">
        <v>2982</v>
      </c>
      <c r="D1705" s="129">
        <v>46144.939027777778</v>
      </c>
      <c r="E1705" s="130">
        <v>3.26</v>
      </c>
      <c r="F1705" s="136">
        <v>4.4999999999999998E-2</v>
      </c>
      <c r="G1705" s="126">
        <f t="shared" si="27"/>
        <v>3.413612565445026</v>
      </c>
      <c r="H1705" s="126" t="s">
        <v>1339</v>
      </c>
      <c r="I1705" s="127" t="s">
        <v>1390</v>
      </c>
      <c r="J1705" s="126">
        <v>10</v>
      </c>
      <c r="K1705" s="126">
        <v>30.69</v>
      </c>
      <c r="L1705" s="129">
        <f>INT(base[[#This Row],[Data de liquidação]])</f>
        <v>46144</v>
      </c>
      <c r="M1705" s="126">
        <f>base[[#This Row],[L/P Bruto]]-base[[#This Row],[L/P Líquido]]</f>
        <v>0.15361256544502622</v>
      </c>
      <c r="N1705" s="126">
        <f>base[[#This Row],[L/P Líquido]]/base[[#This Row],[Stake/Responsabilidade]]</f>
        <v>0.10622352557836427</v>
      </c>
      <c r="O1705" s="132">
        <f>IF(base[[#This Row],[L/P Líquido]]&gt;0,1,0)</f>
        <v>1</v>
      </c>
      <c r="P1705" s="132"/>
      <c r="Q1705" s="132" t="str">
        <f>LEFT(base[[#This Row],[Evento / Mercado]],FIND("vs",base[[#This Row],[Evento / Mercado]])-2)</f>
        <v>Oriente Petrolero</v>
      </c>
      <c r="R17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Tomayapo</v>
      </c>
      <c r="S1705" s="132" t="str">
        <f>LEFT(base[[#This Row],[Evento / Mercado]],FIND("/",base[[#This Row],[Evento / Mercado]])-2)</f>
        <v>Oriente Petrolero vs Real Tomayapo</v>
      </c>
    </row>
    <row r="1706" spans="2:21" ht="15" customHeight="1">
      <c r="B1706" s="128" t="s">
        <v>1589</v>
      </c>
      <c r="C1706" s="128" t="s">
        <v>2982</v>
      </c>
      <c r="D1706" s="129">
        <v>46144.943449074075</v>
      </c>
      <c r="E1706" s="130">
        <v>1.71</v>
      </c>
      <c r="F1706" s="136">
        <v>4.4999999999999998E-2</v>
      </c>
      <c r="G1706" s="126">
        <f t="shared" si="27"/>
        <v>1.7905759162303665</v>
      </c>
      <c r="H1706" s="126" t="s">
        <v>1339</v>
      </c>
      <c r="I1706" s="127" t="s">
        <v>1388</v>
      </c>
      <c r="J1706" s="126">
        <v>30</v>
      </c>
      <c r="K1706" s="126">
        <v>51.91</v>
      </c>
      <c r="L1706" s="129">
        <f>INT(base[[#This Row],[Data de liquidação]])</f>
        <v>46144</v>
      </c>
      <c r="M1706" s="126">
        <f>base[[#This Row],[L/P Bruto]]-base[[#This Row],[L/P Líquido]]</f>
        <v>8.0575916230366529E-2</v>
      </c>
      <c r="N1706" s="126">
        <f>base[[#This Row],[L/P Líquido]]/base[[#This Row],[Stake/Responsabilidade]]</f>
        <v>3.2941629743787323E-2</v>
      </c>
      <c r="O1706" s="132">
        <f>IF(base[[#This Row],[L/P Líquido]]&gt;0,1,0)</f>
        <v>1</v>
      </c>
      <c r="P1706" s="132"/>
      <c r="Q1706" s="132" t="str">
        <f>LEFT(base[[#This Row],[Evento / Mercado]],FIND("vs",base[[#This Row],[Evento / Mercado]])-2)</f>
        <v>New England Revolution</v>
      </c>
      <c r="R17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Charlotte FC</v>
      </c>
      <c r="S1706" s="132" t="str">
        <f>LEFT(base[[#This Row],[Evento / Mercado]],FIND("/",base[[#This Row],[Evento / Mercado]])-2)</f>
        <v>New England Revolution vs Charlotte FC</v>
      </c>
    </row>
    <row r="1707" spans="2:21" ht="15" customHeight="1">
      <c r="B1707" s="128" t="s">
        <v>1588</v>
      </c>
      <c r="C1707" s="128" t="s">
        <v>2982</v>
      </c>
      <c r="D1707" s="129">
        <v>46144.943622685183</v>
      </c>
      <c r="E1707" s="130">
        <v>-115</v>
      </c>
      <c r="F1707" s="136">
        <v>4.4999999999999998E-2</v>
      </c>
      <c r="G1707" s="126">
        <f t="shared" si="27"/>
        <v>-115</v>
      </c>
      <c r="H1707" s="126" t="s">
        <v>231</v>
      </c>
      <c r="I1707" s="127" t="s">
        <v>232</v>
      </c>
      <c r="J1707" s="126">
        <v>1.73</v>
      </c>
      <c r="K1707" s="126">
        <v>115</v>
      </c>
      <c r="L1707" s="129">
        <f>INT(base[[#This Row],[Data de liquidação]])</f>
        <v>46144</v>
      </c>
      <c r="M1707" s="126">
        <f>base[[#This Row],[L/P Bruto]]-base[[#This Row],[L/P Líquido]]</f>
        <v>0</v>
      </c>
      <c r="N1707" s="126">
        <f>base[[#This Row],[L/P Líquido]]/base[[#This Row],[Stake/Responsabilidade]]</f>
        <v>-1</v>
      </c>
      <c r="O1707" s="132">
        <f>IF(base[[#This Row],[L/P Líquido]]&gt;0,1,0)</f>
        <v>0</v>
      </c>
      <c r="P1707" s="132"/>
      <c r="Q1707" s="132" t="str">
        <f>LEFT(base[[#This Row],[Evento / Mercado]],FIND("vs",base[[#This Row],[Evento / Mercado]])-2)</f>
        <v>New England Revolution</v>
      </c>
      <c r="R17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Charlotte FC</v>
      </c>
      <c r="S1707" s="132" t="str">
        <f>LEFT(base[[#This Row],[Evento / Mercado]],FIND("/",base[[#This Row],[Evento / Mercado]])-2)</f>
        <v>New England Revolution vs Charlotte FC</v>
      </c>
    </row>
    <row r="1708" spans="2:21" ht="15" customHeight="1">
      <c r="B1708" s="128" t="s">
        <v>1587</v>
      </c>
      <c r="C1708" s="128" t="s">
        <v>2982</v>
      </c>
      <c r="D1708" s="129">
        <v>46144.986354166664</v>
      </c>
      <c r="E1708" s="130">
        <v>2.0699999999999998</v>
      </c>
      <c r="F1708" s="136">
        <v>4.4999999999999998E-2</v>
      </c>
      <c r="G1708" s="126">
        <f t="shared" si="27"/>
        <v>2.1675392670157065</v>
      </c>
      <c r="H1708" s="126" t="s">
        <v>1339</v>
      </c>
      <c r="I1708" s="127" t="s">
        <v>1388</v>
      </c>
      <c r="J1708" s="126">
        <v>24</v>
      </c>
      <c r="K1708" s="126">
        <v>49.91</v>
      </c>
      <c r="L1708" s="129">
        <f>INT(base[[#This Row],[Data de liquidação]])</f>
        <v>46144</v>
      </c>
      <c r="M1708" s="126">
        <f>base[[#This Row],[L/P Bruto]]-base[[#This Row],[L/P Líquido]]</f>
        <v>9.7539267015706699E-2</v>
      </c>
      <c r="N1708" s="126">
        <f>base[[#This Row],[L/P Líquido]]/base[[#This Row],[Stake/Responsabilidade]]</f>
        <v>4.1474654377880185E-2</v>
      </c>
      <c r="O1708" s="132">
        <f>IF(base[[#This Row],[L/P Líquido]]&gt;0,1,0)</f>
        <v>1</v>
      </c>
      <c r="P1708" s="132"/>
      <c r="Q1708" s="132" t="str">
        <f>LEFT(base[[#This Row],[Evento / Mercado]],FIND("vs",base[[#This Row],[Evento / Mercado]])-2)</f>
        <v>Houston Dynamo</v>
      </c>
      <c r="R17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Colorado Rapids</v>
      </c>
      <c r="S1708" s="132" t="str">
        <f>LEFT(base[[#This Row],[Evento / Mercado]],FIND("/",base[[#This Row],[Evento / Mercado]])-2)</f>
        <v>Houston Dynamo vs Colorado Rapids</v>
      </c>
    </row>
    <row r="1709" spans="2:21" ht="15" customHeight="1">
      <c r="B1709" s="128" t="s">
        <v>1725</v>
      </c>
      <c r="C1709" s="128" t="s">
        <v>2982</v>
      </c>
      <c r="D1709" s="129">
        <v>46145.030138888891</v>
      </c>
      <c r="E1709" s="130">
        <v>3.41</v>
      </c>
      <c r="F1709" s="136">
        <v>4.4999999999999998E-2</v>
      </c>
      <c r="G1709" s="126">
        <f t="shared" si="27"/>
        <v>3.5706806282722514</v>
      </c>
      <c r="H1709" s="126" t="s">
        <v>1339</v>
      </c>
      <c r="I1709" s="127" t="s">
        <v>1430</v>
      </c>
      <c r="J1709" s="126">
        <v>15</v>
      </c>
      <c r="K1709" s="126">
        <v>49.98</v>
      </c>
      <c r="L1709" s="129">
        <f>INT(base[[#This Row],[Data de liquidação]])</f>
        <v>46145</v>
      </c>
      <c r="M1709" s="126">
        <f>base[[#This Row],[L/P Bruto]]-base[[#This Row],[L/P Líquido]]</f>
        <v>0.16068062827225127</v>
      </c>
      <c r="N1709" s="126">
        <f>base[[#This Row],[L/P Líquido]]/base[[#This Row],[Stake/Responsabilidade]]</f>
        <v>6.8227290916366548E-2</v>
      </c>
      <c r="O1709" s="132">
        <f>IF(base[[#This Row],[L/P Líquido]]&gt;0,1,0)</f>
        <v>1</v>
      </c>
      <c r="P1709" s="132"/>
      <c r="Q1709" s="132" t="str">
        <f>LEFT(base[[#This Row],[Evento / Mercado]],FIND("vs",base[[#This Row],[Evento / Mercado]])-2)</f>
        <v>San Diego FC</v>
      </c>
      <c r="R17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FC</v>
      </c>
      <c r="S1709" s="132" t="str">
        <f>LEFT(base[[#This Row],[Evento / Mercado]],FIND("/",base[[#This Row],[Evento / Mercado]])-2)</f>
        <v>San Diego FC vs Los Angeles FC</v>
      </c>
    </row>
    <row r="1710" spans="2:21" ht="15" customHeight="1">
      <c r="B1710" s="128" t="s">
        <v>1724</v>
      </c>
      <c r="C1710" s="128" t="s">
        <v>2982</v>
      </c>
      <c r="D1710" s="129">
        <v>46145.065960648149</v>
      </c>
      <c r="E1710" s="130">
        <v>5.0199999999999996</v>
      </c>
      <c r="F1710" s="136">
        <v>4.4999999999999998E-2</v>
      </c>
      <c r="G1710" s="126">
        <f t="shared" si="27"/>
        <v>5.2565445026178006</v>
      </c>
      <c r="H1710" s="126" t="s">
        <v>1339</v>
      </c>
      <c r="I1710" s="127" t="s">
        <v>1430</v>
      </c>
      <c r="J1710" s="126">
        <v>11</v>
      </c>
      <c r="K1710" s="126">
        <v>52.6</v>
      </c>
      <c r="L1710" s="129">
        <f>INT(base[[#This Row],[Data de liquidação]])</f>
        <v>46145</v>
      </c>
      <c r="M1710" s="126">
        <f>base[[#This Row],[L/P Bruto]]-base[[#This Row],[L/P Líquido]]</f>
        <v>0.23654450261780102</v>
      </c>
      <c r="N1710" s="126">
        <f>base[[#This Row],[L/P Líquido]]/base[[#This Row],[Stake/Responsabilidade]]</f>
        <v>9.543726235741444E-2</v>
      </c>
      <c r="O1710" s="132">
        <f>IF(base[[#This Row],[L/P Líquido]]&gt;0,1,0)</f>
        <v>1</v>
      </c>
      <c r="P1710" s="132"/>
      <c r="Q1710" s="132" t="str">
        <f>LEFT(base[[#This Row],[Evento / Mercado]],FIND("vs",base[[#This Row],[Evento / Mercado]])-2)</f>
        <v>Los Angeles Galaxy</v>
      </c>
      <c r="R17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1710" s="132" t="str">
        <f>LEFT(base[[#This Row],[Evento / Mercado]],FIND("/",base[[#This Row],[Evento / Mercado]])-2)</f>
        <v>Los Angeles Galaxy vs Vancouver Whitecaps</v>
      </c>
    </row>
    <row r="1711" spans="2:21" ht="15" customHeight="1">
      <c r="B1711" s="128" t="s">
        <v>1723</v>
      </c>
      <c r="C1711" s="128" t="s">
        <v>2982</v>
      </c>
      <c r="D1711" s="129">
        <v>46145.382118055553</v>
      </c>
      <c r="E1711" s="130">
        <v>3.82</v>
      </c>
      <c r="F1711" s="136">
        <v>4.4999999999999998E-2</v>
      </c>
      <c r="G1711" s="126">
        <f t="shared" si="27"/>
        <v>4</v>
      </c>
      <c r="H1711" s="126" t="s">
        <v>1339</v>
      </c>
      <c r="I1711" s="127" t="s">
        <v>1236</v>
      </c>
      <c r="J1711" s="126">
        <v>12.11</v>
      </c>
      <c r="K1711" s="126">
        <v>4</v>
      </c>
      <c r="L1711" s="129">
        <f>INT(base[[#This Row],[Data de liquidação]])</f>
        <v>46145</v>
      </c>
      <c r="M1711" s="126">
        <f>base[[#This Row],[L/P Bruto]]-base[[#This Row],[L/P Líquido]]</f>
        <v>0.18000000000000016</v>
      </c>
      <c r="N1711" s="126">
        <f>base[[#This Row],[L/P Líquido]]/base[[#This Row],[Stake/Responsabilidade]]</f>
        <v>0.95499999999999996</v>
      </c>
      <c r="O1711" s="132">
        <f>IF(base[[#This Row],[L/P Líquido]]&gt;0,1,0)</f>
        <v>1</v>
      </c>
      <c r="P1711" s="132"/>
      <c r="Q1711" s="132" t="str">
        <f>LEFT(base[[#This Row],[Evento / Mercado]],FIND("vs",base[[#This Row],[Evento / Mercado]])-2)</f>
        <v>Hannover 96</v>
      </c>
      <c r="R17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Preußen Münster</v>
      </c>
      <c r="S1711" s="132" t="str">
        <f>LEFT(base[[#This Row],[Evento / Mercado]],FIND("/",base[[#This Row],[Evento / Mercado]])-2)</f>
        <v>Hannover 96 vs Preußen Münster</v>
      </c>
    </row>
    <row r="1712" spans="2:21" ht="15" customHeight="1">
      <c r="B1712" s="128" t="s">
        <v>1722</v>
      </c>
      <c r="C1712" s="128" t="s">
        <v>2982</v>
      </c>
      <c r="D1712" s="129">
        <v>46145.39806712963</v>
      </c>
      <c r="E1712" s="130">
        <v>-2</v>
      </c>
      <c r="F1712" s="136">
        <v>4.4999999999999998E-2</v>
      </c>
      <c r="G1712" s="126">
        <f t="shared" si="27"/>
        <v>-2</v>
      </c>
      <c r="H1712" s="126" t="s">
        <v>1339</v>
      </c>
      <c r="I1712" s="127" t="s">
        <v>1431</v>
      </c>
      <c r="J1712" s="126">
        <v>2.2000000000000002</v>
      </c>
      <c r="K1712" s="126">
        <v>2</v>
      </c>
      <c r="L1712" s="129">
        <f>INT(base[[#This Row],[Data de liquidação]])</f>
        <v>46145</v>
      </c>
      <c r="M1712" s="126">
        <f>base[[#This Row],[L/P Bruto]]-base[[#This Row],[L/P Líquido]]</f>
        <v>0</v>
      </c>
      <c r="N1712" s="126">
        <f>base[[#This Row],[L/P Líquido]]/base[[#This Row],[Stake/Responsabilidade]]</f>
        <v>-1</v>
      </c>
      <c r="O1712" s="132">
        <f>IF(base[[#This Row],[L/P Líquido]]&gt;0,1,0)</f>
        <v>0</v>
      </c>
      <c r="P1712" s="132"/>
      <c r="Q1712" s="132" t="str">
        <f>LEFT(base[[#This Row],[Evento / Mercado]],FIND("vs",base[[#This Row],[Evento / Mercado]])-2)</f>
        <v>Bologna</v>
      </c>
      <c r="R17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1712" s="132" t="str">
        <f>LEFT(base[[#This Row],[Evento / Mercado]],FIND("/",base[[#This Row],[Evento / Mercado]])-2)</f>
        <v>Bologna vs Cagliari</v>
      </c>
    </row>
    <row r="1713" spans="2:19" ht="15" customHeight="1">
      <c r="B1713" s="128" t="s">
        <v>1721</v>
      </c>
      <c r="C1713" s="128" t="s">
        <v>2982</v>
      </c>
      <c r="D1713" s="129">
        <v>46145.406875000001</v>
      </c>
      <c r="E1713" s="130">
        <v>-2</v>
      </c>
      <c r="F1713" s="136">
        <v>4.4999999999999998E-2</v>
      </c>
      <c r="G1713" s="126">
        <f t="shared" si="27"/>
        <v>-2</v>
      </c>
      <c r="H1713" s="126" t="s">
        <v>1339</v>
      </c>
      <c r="I1713" s="127" t="s">
        <v>1448</v>
      </c>
      <c r="J1713" s="126">
        <v>1.7</v>
      </c>
      <c r="K1713" s="126">
        <v>2</v>
      </c>
      <c r="L1713" s="129">
        <f>INT(base[[#This Row],[Data de liquidação]])</f>
        <v>46145</v>
      </c>
      <c r="M1713" s="126">
        <f>base[[#This Row],[L/P Bruto]]-base[[#This Row],[L/P Líquido]]</f>
        <v>0</v>
      </c>
      <c r="N1713" s="126">
        <f>base[[#This Row],[L/P Líquido]]/base[[#This Row],[Stake/Responsabilidade]]</f>
        <v>-1</v>
      </c>
      <c r="O1713" s="132">
        <f>IF(base[[#This Row],[L/P Líquido]]&gt;0,1,0)</f>
        <v>0</v>
      </c>
      <c r="P1713" s="132"/>
      <c r="Q1713" s="132" t="str">
        <f>LEFT(base[[#This Row],[Evento / Mercado]],FIND("vs",base[[#This Row],[Evento / Mercado]])-2)</f>
        <v>Hammarby IF</v>
      </c>
      <c r="R17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Västerås SK FK</v>
      </c>
      <c r="S1713" s="132" t="str">
        <f>LEFT(base[[#This Row],[Evento / Mercado]],FIND("/",base[[#This Row],[Evento / Mercado]])-2)</f>
        <v>Hammarby IF vs Västerås SK FK</v>
      </c>
    </row>
    <row r="1714" spans="2:19" ht="15" customHeight="1">
      <c r="B1714" s="128" t="s">
        <v>1720</v>
      </c>
      <c r="C1714" s="128" t="s">
        <v>2982</v>
      </c>
      <c r="D1714" s="129">
        <v>46145.42491898148</v>
      </c>
      <c r="E1714" s="130">
        <v>3.82</v>
      </c>
      <c r="F1714" s="136">
        <v>4.4999999999999998E-2</v>
      </c>
      <c r="G1714" s="126">
        <f t="shared" si="27"/>
        <v>4</v>
      </c>
      <c r="H1714" s="126" t="s">
        <v>1339</v>
      </c>
      <c r="I1714" s="127" t="s">
        <v>1236</v>
      </c>
      <c r="J1714" s="126">
        <v>13.5</v>
      </c>
      <c r="K1714" s="126">
        <v>4</v>
      </c>
      <c r="L1714" s="129">
        <f>INT(base[[#This Row],[Data de liquidação]])</f>
        <v>46145</v>
      </c>
      <c r="M1714" s="126">
        <f>base[[#This Row],[L/P Bruto]]-base[[#This Row],[L/P Líquido]]</f>
        <v>0.18000000000000016</v>
      </c>
      <c r="N1714" s="126">
        <f>base[[#This Row],[L/P Líquido]]/base[[#This Row],[Stake/Responsabilidade]]</f>
        <v>0.95499999999999996</v>
      </c>
      <c r="O1714" s="132">
        <f>IF(base[[#This Row],[L/P Líquido]]&gt;0,1,0)</f>
        <v>1</v>
      </c>
      <c r="P1714" s="132"/>
      <c r="Q1714" s="132" t="str">
        <f>LEFT(base[[#This Row],[Evento / Mercado]],FIND("vs",base[[#This Row],[Evento / Mercado]])-2)</f>
        <v>Racing Santander</v>
      </c>
      <c r="R17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Huesca</v>
      </c>
      <c r="S1714" s="132" t="str">
        <f>LEFT(base[[#This Row],[Evento / Mercado]],FIND("/",base[[#This Row],[Evento / Mercado]])-2)</f>
        <v>Racing Santander vs Huesca</v>
      </c>
    </row>
    <row r="1715" spans="2:19" ht="15" customHeight="1">
      <c r="B1715" s="128" t="s">
        <v>1719</v>
      </c>
      <c r="C1715" s="128" t="s">
        <v>2982</v>
      </c>
      <c r="D1715" s="129">
        <v>46145.435185185182</v>
      </c>
      <c r="E1715" s="130">
        <v>1.99</v>
      </c>
      <c r="F1715" s="136">
        <v>4.4999999999999998E-2</v>
      </c>
      <c r="G1715" s="126">
        <f t="shared" si="27"/>
        <v>2.0837696335078535</v>
      </c>
      <c r="H1715" s="126" t="s">
        <v>1339</v>
      </c>
      <c r="I1715" s="127" t="s">
        <v>1388</v>
      </c>
      <c r="J1715" s="126">
        <v>13.5</v>
      </c>
      <c r="K1715" s="126">
        <v>50</v>
      </c>
      <c r="L1715" s="129">
        <f>INT(base[[#This Row],[Data de liquidação]])</f>
        <v>46145</v>
      </c>
      <c r="M1715" s="126">
        <f>base[[#This Row],[L/P Bruto]]-base[[#This Row],[L/P Líquido]]</f>
        <v>9.37696335078535E-2</v>
      </c>
      <c r="N1715" s="126">
        <f>base[[#This Row],[L/P Líquido]]/base[[#This Row],[Stake/Responsabilidade]]</f>
        <v>3.9800000000000002E-2</v>
      </c>
      <c r="O1715" s="132">
        <f>IF(base[[#This Row],[L/P Líquido]]&gt;0,1,0)</f>
        <v>1</v>
      </c>
      <c r="P1715" s="132"/>
      <c r="Q1715" s="132" t="str">
        <f>LEFT(base[[#This Row],[Evento / Mercado]],FIND("vs",base[[#This Row],[Evento / Mercado]])-2)</f>
        <v>Karlsruher SC</v>
      </c>
      <c r="R17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1715" s="132" t="str">
        <f>LEFT(base[[#This Row],[Evento / Mercado]],FIND("/",base[[#This Row],[Evento / Mercado]])-2)</f>
        <v>Karlsruher SC vs SV Darmstadt 98</v>
      </c>
    </row>
    <row r="1716" spans="2:19" ht="15" customHeight="1">
      <c r="B1716" s="128" t="s">
        <v>1718</v>
      </c>
      <c r="C1716" s="128" t="s">
        <v>2982</v>
      </c>
      <c r="D1716" s="129">
        <v>46145.435312499998</v>
      </c>
      <c r="E1716" s="130">
        <v>5.0199999999999996</v>
      </c>
      <c r="F1716" s="136">
        <v>4.4999999999999998E-2</v>
      </c>
      <c r="G1716" s="126">
        <f t="shared" si="27"/>
        <v>5.2565445026178006</v>
      </c>
      <c r="H1716" s="126" t="s">
        <v>1339</v>
      </c>
      <c r="I1716" s="127" t="s">
        <v>1430</v>
      </c>
      <c r="J1716" s="126">
        <v>10</v>
      </c>
      <c r="K1716" s="126">
        <v>47.34</v>
      </c>
      <c r="L1716" s="129">
        <f>INT(base[[#This Row],[Data de liquidação]])</f>
        <v>46145</v>
      </c>
      <c r="M1716" s="126">
        <f>base[[#This Row],[L/P Bruto]]-base[[#This Row],[L/P Líquido]]</f>
        <v>0.23654450261780102</v>
      </c>
      <c r="N1716" s="126">
        <f>base[[#This Row],[L/P Líquido]]/base[[#This Row],[Stake/Responsabilidade]]</f>
        <v>0.10604140261934937</v>
      </c>
      <c r="O1716" s="132">
        <f>IF(base[[#This Row],[L/P Líquido]]&gt;0,1,0)</f>
        <v>1</v>
      </c>
      <c r="P1716" s="132"/>
      <c r="Q1716" s="132" t="str">
        <f>LEFT(base[[#This Row],[Evento / Mercado]],FIND("vs",base[[#This Row],[Evento / Mercado]])-2)</f>
        <v>Karlsruher SC</v>
      </c>
      <c r="R17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1716" s="132" t="str">
        <f>LEFT(base[[#This Row],[Evento / Mercado]],FIND("/",base[[#This Row],[Evento / Mercado]])-2)</f>
        <v>Karlsruher SC vs SV Darmstadt 98</v>
      </c>
    </row>
    <row r="1717" spans="2:19" ht="15" customHeight="1">
      <c r="B1717" s="128" t="s">
        <v>1717</v>
      </c>
      <c r="C1717" s="128" t="s">
        <v>2982</v>
      </c>
      <c r="D1717" s="129">
        <v>46145.43545138889</v>
      </c>
      <c r="E1717" s="130">
        <v>3.29</v>
      </c>
      <c r="F1717" s="136">
        <v>4.4999999999999998E-2</v>
      </c>
      <c r="G1717" s="126">
        <f t="shared" si="27"/>
        <v>3.4450261780104712</v>
      </c>
      <c r="H1717" s="126" t="s">
        <v>1339</v>
      </c>
      <c r="I1717" s="127" t="s">
        <v>1388</v>
      </c>
      <c r="J1717" s="126">
        <v>15.5</v>
      </c>
      <c r="K1717" s="126">
        <v>50.03</v>
      </c>
      <c r="L1717" s="129">
        <f>INT(base[[#This Row],[Data de liquidação]])</f>
        <v>46145</v>
      </c>
      <c r="M1717" s="126">
        <f>base[[#This Row],[L/P Bruto]]-base[[#This Row],[L/P Líquido]]</f>
        <v>0.15502617801047114</v>
      </c>
      <c r="N1717" s="126">
        <f>base[[#This Row],[L/P Líquido]]/base[[#This Row],[Stake/Responsabilidade]]</f>
        <v>6.5760543673795718E-2</v>
      </c>
      <c r="O1717" s="132">
        <f>IF(base[[#This Row],[L/P Líquido]]&gt;0,1,0)</f>
        <v>1</v>
      </c>
      <c r="P1717" s="132"/>
      <c r="Q1717" s="132" t="str">
        <f>LEFT(base[[#This Row],[Evento / Mercado]],FIND("vs",base[[#This Row],[Evento / Mercado]])-2)</f>
        <v>1. FC Magdeburg</v>
      </c>
      <c r="R17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Hertha BSC</v>
      </c>
      <c r="S1717" s="132" t="str">
        <f>LEFT(base[[#This Row],[Evento / Mercado]],FIND("/",base[[#This Row],[Evento / Mercado]])-2)</f>
        <v>1. FC Magdeburg vs Hertha BSC</v>
      </c>
    </row>
    <row r="1718" spans="2:19" ht="15" customHeight="1">
      <c r="B1718" s="128" t="s">
        <v>1716</v>
      </c>
      <c r="C1718" s="128" t="s">
        <v>2982</v>
      </c>
      <c r="D1718" s="129">
        <v>46145.435729166667</v>
      </c>
      <c r="E1718" s="130">
        <v>3.29</v>
      </c>
      <c r="F1718" s="136">
        <v>4.4999999999999998E-2</v>
      </c>
      <c r="G1718" s="126">
        <f t="shared" si="27"/>
        <v>3.4450261780104712</v>
      </c>
      <c r="H1718" s="126" t="s">
        <v>1339</v>
      </c>
      <c r="I1718" s="127" t="s">
        <v>1430</v>
      </c>
      <c r="J1718" s="126">
        <v>15</v>
      </c>
      <c r="K1718" s="126">
        <v>48.3</v>
      </c>
      <c r="L1718" s="129">
        <f>INT(base[[#This Row],[Data de liquidação]])</f>
        <v>46145</v>
      </c>
      <c r="M1718" s="126">
        <f>base[[#This Row],[L/P Bruto]]-base[[#This Row],[L/P Líquido]]</f>
        <v>0.15502617801047114</v>
      </c>
      <c r="N1718" s="126">
        <f>base[[#This Row],[L/P Líquido]]/base[[#This Row],[Stake/Responsabilidade]]</f>
        <v>6.8115942028985507E-2</v>
      </c>
      <c r="O1718" s="132">
        <f>IF(base[[#This Row],[L/P Líquido]]&gt;0,1,0)</f>
        <v>1</v>
      </c>
      <c r="P1718" s="132"/>
      <c r="Q1718" s="132" t="str">
        <f>LEFT(base[[#This Row],[Evento / Mercado]],FIND("vs",base[[#This Row],[Evento / Mercado]])-2)</f>
        <v>1. FC Magdeburg</v>
      </c>
      <c r="R17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Hertha BSC</v>
      </c>
      <c r="S1718" s="132" t="str">
        <f>LEFT(base[[#This Row],[Evento / Mercado]],FIND("/",base[[#This Row],[Evento / Mercado]])-2)</f>
        <v>1. FC Magdeburg vs Hertha BSC</v>
      </c>
    </row>
    <row r="1719" spans="2:19" ht="15" customHeight="1">
      <c r="B1719" s="128" t="s">
        <v>1715</v>
      </c>
      <c r="C1719" s="128" t="s">
        <v>2982</v>
      </c>
      <c r="D1719" s="129">
        <v>46145.437060185184</v>
      </c>
      <c r="E1719" s="130">
        <v>1.65</v>
      </c>
      <c r="F1719" s="136">
        <v>4.4999999999999998E-2</v>
      </c>
      <c r="G1719" s="126">
        <f t="shared" si="27"/>
        <v>1.7277486910994764</v>
      </c>
      <c r="H1719" s="126" t="s">
        <v>1339</v>
      </c>
      <c r="I1719" s="127" t="s">
        <v>1448</v>
      </c>
      <c r="J1719" s="126">
        <v>1.86</v>
      </c>
      <c r="K1719" s="126">
        <v>2</v>
      </c>
      <c r="L1719" s="129">
        <f>INT(base[[#This Row],[Data de liquidação]])</f>
        <v>46145</v>
      </c>
      <c r="M1719" s="126">
        <f>base[[#This Row],[L/P Bruto]]-base[[#This Row],[L/P Líquido]]</f>
        <v>7.7748691099476464E-2</v>
      </c>
      <c r="N1719" s="126">
        <f>base[[#This Row],[L/P Líquido]]/base[[#This Row],[Stake/Responsabilidade]]</f>
        <v>0.82499999999999996</v>
      </c>
      <c r="O1719" s="132">
        <f>IF(base[[#This Row],[L/P Líquido]]&gt;0,1,0)</f>
        <v>1</v>
      </c>
      <c r="P1719" s="132"/>
      <c r="Q1719" s="132" t="str">
        <f>LEFT(base[[#This Row],[Evento / Mercado]],FIND("vs",base[[#This Row],[Evento / Mercado]])-2)</f>
        <v>Lille OSC</v>
      </c>
      <c r="R17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1719" s="132" t="str">
        <f>LEFT(base[[#This Row],[Evento / Mercado]],FIND("/",base[[#This Row],[Evento / Mercado]])-2)</f>
        <v>Lille OSC vs Le Havre AC</v>
      </c>
    </row>
    <row r="1720" spans="2:19" ht="15" customHeight="1">
      <c r="B1720" s="128" t="s">
        <v>1714</v>
      </c>
      <c r="C1720" s="128" t="s">
        <v>2982</v>
      </c>
      <c r="D1720" s="129">
        <v>46145.44636574074</v>
      </c>
      <c r="E1720" s="130">
        <v>87.66</v>
      </c>
      <c r="F1720" s="136">
        <v>4.4999999999999998E-2</v>
      </c>
      <c r="G1720" s="126">
        <f t="shared" si="27"/>
        <v>91.790575916230367</v>
      </c>
      <c r="H1720" s="126" t="s">
        <v>231</v>
      </c>
      <c r="I1720" s="127" t="s">
        <v>266</v>
      </c>
      <c r="J1720" s="126">
        <v>1.8</v>
      </c>
      <c r="K1720" s="126">
        <v>115</v>
      </c>
      <c r="L1720" s="129">
        <f>INT(base[[#This Row],[Data de liquidação]])</f>
        <v>46145</v>
      </c>
      <c r="M1720" s="126">
        <f>base[[#This Row],[L/P Bruto]]-base[[#This Row],[L/P Líquido]]</f>
        <v>4.1305759162303701</v>
      </c>
      <c r="N1720" s="126">
        <f>base[[#This Row],[L/P Líquido]]/base[[#This Row],[Stake/Responsabilidade]]</f>
        <v>0.76226086956521732</v>
      </c>
      <c r="O1720" s="132">
        <f>IF(base[[#This Row],[L/P Líquido]]&gt;0,1,0)</f>
        <v>1</v>
      </c>
      <c r="P1720" s="132"/>
      <c r="Q1720" s="132" t="str">
        <f>LEFT(base[[#This Row],[Evento / Mercado]],FIND("vs",base[[#This Row],[Evento / Mercado]])-2)</f>
        <v>Celta de Vigo</v>
      </c>
      <c r="R17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1720" s="132" t="str">
        <f>LEFT(base[[#This Row],[Evento / Mercado]],FIND("/",base[[#This Row],[Evento / Mercado]])-2)</f>
        <v>Celta de Vigo vs Elche CF</v>
      </c>
    </row>
    <row r="1721" spans="2:19" ht="15" customHeight="1">
      <c r="B1721" s="128" t="s">
        <v>1713</v>
      </c>
      <c r="C1721" s="128" t="s">
        <v>2982</v>
      </c>
      <c r="D1721" s="129">
        <v>46145.452835648146</v>
      </c>
      <c r="E1721" s="130">
        <v>3.33</v>
      </c>
      <c r="F1721" s="136">
        <v>4.4999999999999998E-2</v>
      </c>
      <c r="G1721" s="126">
        <f t="shared" si="27"/>
        <v>3.4869109947643979</v>
      </c>
      <c r="H1721" s="126" t="s">
        <v>1339</v>
      </c>
      <c r="I1721" s="127" t="s">
        <v>1390</v>
      </c>
      <c r="J1721" s="126">
        <v>9.6</v>
      </c>
      <c r="K1721" s="126">
        <v>30.01</v>
      </c>
      <c r="L1721" s="129">
        <f>INT(base[[#This Row],[Data de liquidação]])</f>
        <v>46145</v>
      </c>
      <c r="M1721" s="126">
        <f>base[[#This Row],[L/P Bruto]]-base[[#This Row],[L/P Líquido]]</f>
        <v>0.15691099476439785</v>
      </c>
      <c r="N1721" s="126">
        <f>base[[#This Row],[L/P Líquido]]/base[[#This Row],[Stake/Responsabilidade]]</f>
        <v>0.11096301232922359</v>
      </c>
      <c r="O1721" s="132">
        <f>IF(base[[#This Row],[L/P Líquido]]&gt;0,1,0)</f>
        <v>1</v>
      </c>
      <c r="P1721" s="132"/>
      <c r="Q1721" s="132" t="str">
        <f>LEFT(base[[#This Row],[Evento / Mercado]],FIND("vs",base[[#This Row],[Evento / Mercado]])-2)</f>
        <v>Hammarby IF</v>
      </c>
      <c r="R17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Västerås SK FK</v>
      </c>
      <c r="S1721" s="132" t="str">
        <f>LEFT(base[[#This Row],[Evento / Mercado]],FIND("/",base[[#This Row],[Evento / Mercado]])-2)</f>
        <v>Hammarby IF vs Västerås SK FK</v>
      </c>
    </row>
    <row r="1722" spans="2:19" ht="15" customHeight="1">
      <c r="B1722" s="128" t="s">
        <v>1712</v>
      </c>
      <c r="C1722" s="128" t="s">
        <v>2982</v>
      </c>
      <c r="D1722" s="129">
        <v>46145.464328703703</v>
      </c>
      <c r="E1722" s="130">
        <v>3.77</v>
      </c>
      <c r="F1722" s="136">
        <v>4.4999999999999998E-2</v>
      </c>
      <c r="G1722" s="126">
        <f t="shared" si="27"/>
        <v>3.9476439790575917</v>
      </c>
      <c r="H1722" s="126" t="s">
        <v>1339</v>
      </c>
      <c r="I1722" s="127" t="s">
        <v>1390</v>
      </c>
      <c r="J1722" s="126">
        <v>8.6</v>
      </c>
      <c r="K1722" s="126">
        <v>30.02</v>
      </c>
      <c r="L1722" s="129">
        <f>INT(base[[#This Row],[Data de liquidação]])</f>
        <v>46145</v>
      </c>
      <c r="M1722" s="126">
        <f>base[[#This Row],[L/P Bruto]]-base[[#This Row],[L/P Líquido]]</f>
        <v>0.17764397905759166</v>
      </c>
      <c r="N1722" s="126">
        <f>base[[#This Row],[L/P Líquido]]/base[[#This Row],[Stake/Responsabilidade]]</f>
        <v>0.12558294470353099</v>
      </c>
      <c r="O1722" s="132">
        <f>IF(base[[#This Row],[L/P Líquido]]&gt;0,1,0)</f>
        <v>1</v>
      </c>
      <c r="P1722" s="132"/>
      <c r="Q1722" s="132" t="str">
        <f>LEFT(base[[#This Row],[Evento / Mercado]],FIND("vs",base[[#This Row],[Evento / Mercado]])-2)</f>
        <v>Racing Santander</v>
      </c>
      <c r="R17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Huesca</v>
      </c>
      <c r="S1722" s="132" t="str">
        <f>LEFT(base[[#This Row],[Evento / Mercado]],FIND("/",base[[#This Row],[Evento / Mercado]])-2)</f>
        <v>Racing Santander vs Huesca</v>
      </c>
    </row>
    <row r="1723" spans="2:19" ht="15" customHeight="1">
      <c r="B1723" s="128" t="s">
        <v>1711</v>
      </c>
      <c r="C1723" s="128" t="s">
        <v>2982</v>
      </c>
      <c r="D1723" s="129">
        <v>46145.475254629629</v>
      </c>
      <c r="E1723" s="130">
        <v>-4.7300000000000004</v>
      </c>
      <c r="F1723" s="136">
        <v>4.4999999999999998E-2</v>
      </c>
      <c r="G1723" s="126">
        <f t="shared" si="27"/>
        <v>-4.7300000000000004</v>
      </c>
      <c r="H1723" s="126" t="s">
        <v>1339</v>
      </c>
      <c r="I1723" s="127" t="s">
        <v>1236</v>
      </c>
      <c r="J1723" s="126">
        <v>11</v>
      </c>
      <c r="K1723" s="126">
        <v>4</v>
      </c>
      <c r="L1723" s="129">
        <f>INT(base[[#This Row],[Data de liquidação]])</f>
        <v>46145</v>
      </c>
      <c r="M1723" s="126">
        <f>base[[#This Row],[L/P Bruto]]-base[[#This Row],[L/P Líquido]]</f>
        <v>0</v>
      </c>
      <c r="N1723" s="126">
        <f>base[[#This Row],[L/P Líquido]]/base[[#This Row],[Stake/Responsabilidade]]</f>
        <v>-1.1825000000000001</v>
      </c>
      <c r="O1723" s="132">
        <f>IF(base[[#This Row],[L/P Líquido]]&gt;0,1,0)</f>
        <v>0</v>
      </c>
      <c r="P1723" s="132"/>
      <c r="Q1723" s="132" t="str">
        <f>LEFT(base[[#This Row],[Evento / Mercado]],FIND("vs",base[[#This Row],[Evento / Mercado]])-2)</f>
        <v>PEC Zwolle</v>
      </c>
      <c r="R17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Heracles Almelo</v>
      </c>
      <c r="S1723" s="132" t="str">
        <f>LEFT(base[[#This Row],[Evento / Mercado]],FIND("/",base[[#This Row],[Evento / Mercado]])-2)</f>
        <v>PEC Zwolle vs Heracles Almelo</v>
      </c>
    </row>
    <row r="1724" spans="2:19" ht="15" customHeight="1">
      <c r="B1724" s="128" t="s">
        <v>1710</v>
      </c>
      <c r="C1724" s="128" t="s">
        <v>2982</v>
      </c>
      <c r="D1724" s="129">
        <v>46145.480162037034</v>
      </c>
      <c r="E1724" s="130">
        <v>5.34</v>
      </c>
      <c r="F1724" s="136">
        <v>4.4999999999999998E-2</v>
      </c>
      <c r="G1724" s="126">
        <f t="shared" si="27"/>
        <v>5.5916230366492146</v>
      </c>
      <c r="H1724" s="126" t="s">
        <v>1339</v>
      </c>
      <c r="I1724" s="127" t="s">
        <v>1430</v>
      </c>
      <c r="J1724" s="126">
        <v>10</v>
      </c>
      <c r="K1724" s="126">
        <v>50.04</v>
      </c>
      <c r="L1724" s="129">
        <f>INT(base[[#This Row],[Data de liquidação]])</f>
        <v>46145</v>
      </c>
      <c r="M1724" s="126">
        <f>base[[#This Row],[L/P Bruto]]-base[[#This Row],[L/P Líquido]]</f>
        <v>0.2516230366492147</v>
      </c>
      <c r="N1724" s="126">
        <f>base[[#This Row],[L/P Líquido]]/base[[#This Row],[Stake/Responsabilidade]]</f>
        <v>0.10671462829736211</v>
      </c>
      <c r="O1724" s="132">
        <f>IF(base[[#This Row],[L/P Líquido]]&gt;0,1,0)</f>
        <v>1</v>
      </c>
      <c r="P1724" s="132"/>
      <c r="Q1724" s="132" t="str">
        <f>LEFT(base[[#This Row],[Evento / Mercado]],FIND("vs",base[[#This Row],[Evento / Mercado]])-2)</f>
        <v>Fortuna Sittard</v>
      </c>
      <c r="R17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1724" s="132" t="str">
        <f>LEFT(base[[#This Row],[Evento / Mercado]],FIND("/",base[[#This Row],[Evento / Mercado]])-2)</f>
        <v>Fortuna Sittard vs Feyenoord</v>
      </c>
    </row>
    <row r="1725" spans="2:19" ht="15" customHeight="1">
      <c r="B1725" s="128" t="s">
        <v>1709</v>
      </c>
      <c r="C1725" s="128" t="s">
        <v>2982</v>
      </c>
      <c r="D1725" s="129">
        <v>46145.484722222223</v>
      </c>
      <c r="E1725" s="130">
        <v>-5</v>
      </c>
      <c r="F1725" s="136">
        <v>4.4999999999999998E-2</v>
      </c>
      <c r="G1725" s="126">
        <f t="shared" si="27"/>
        <v>-5</v>
      </c>
      <c r="H1725" s="126" t="s">
        <v>1339</v>
      </c>
      <c r="I1725" s="127" t="s">
        <v>1338</v>
      </c>
      <c r="J1725" s="126">
        <v>2.23</v>
      </c>
      <c r="K1725" s="126">
        <v>5</v>
      </c>
      <c r="L1725" s="129">
        <f>INT(base[[#This Row],[Data de liquidação]])</f>
        <v>46145</v>
      </c>
      <c r="M1725" s="126">
        <f>base[[#This Row],[L/P Bruto]]-base[[#This Row],[L/P Líquido]]</f>
        <v>0</v>
      </c>
      <c r="N1725" s="126">
        <f>base[[#This Row],[L/P Líquido]]/base[[#This Row],[Stake/Responsabilidade]]</f>
        <v>-1</v>
      </c>
      <c r="O1725" s="132">
        <f>IF(base[[#This Row],[L/P Líquido]]&gt;0,1,0)</f>
        <v>0</v>
      </c>
      <c r="P1725" s="132"/>
      <c r="Q1725" s="132" t="str">
        <f>LEFT(base[[#This Row],[Evento / Mercado]],FIND("vs",base[[#This Row],[Evento / Mercado]])-2)</f>
        <v>AFC Bournemouth</v>
      </c>
      <c r="R17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1725" s="132" t="str">
        <f>LEFT(base[[#This Row],[Evento / Mercado]],FIND("/",base[[#This Row],[Evento / Mercado]])-2)</f>
        <v>AFC Bournemouth vs Crystal Palace</v>
      </c>
    </row>
    <row r="1726" spans="2:19" ht="15" customHeight="1">
      <c r="B1726" s="128" t="s">
        <v>1708</v>
      </c>
      <c r="C1726" s="128" t="s">
        <v>2982</v>
      </c>
      <c r="D1726" s="129">
        <v>46145.490254629629</v>
      </c>
      <c r="E1726" s="130">
        <v>-2</v>
      </c>
      <c r="F1726" s="136">
        <v>4.4999999999999998E-2</v>
      </c>
      <c r="G1726" s="126">
        <f t="shared" si="27"/>
        <v>-2</v>
      </c>
      <c r="H1726" s="126" t="s">
        <v>1339</v>
      </c>
      <c r="I1726" s="127" t="s">
        <v>1431</v>
      </c>
      <c r="J1726" s="126">
        <v>2.23</v>
      </c>
      <c r="K1726" s="126">
        <v>2</v>
      </c>
      <c r="L1726" s="129">
        <f>INT(base[[#This Row],[Data de liquidação]])</f>
        <v>46145</v>
      </c>
      <c r="M1726" s="126">
        <f>base[[#This Row],[L/P Bruto]]-base[[#This Row],[L/P Líquido]]</f>
        <v>0</v>
      </c>
      <c r="N1726" s="126">
        <f>base[[#This Row],[L/P Líquido]]/base[[#This Row],[Stake/Responsabilidade]]</f>
        <v>-1</v>
      </c>
      <c r="O1726" s="132">
        <f>IF(base[[#This Row],[L/P Líquido]]&gt;0,1,0)</f>
        <v>0</v>
      </c>
      <c r="P1726" s="132"/>
      <c r="Q1726" s="132" t="str">
        <f>LEFT(base[[#This Row],[Evento / Mercado]],FIND("vs",base[[#This Row],[Evento / Mercado]])-2)</f>
        <v>Zaglebie Lubin</v>
      </c>
      <c r="R17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Cracovia Kraków</v>
      </c>
      <c r="S1726" s="132" t="str">
        <f>LEFT(base[[#This Row],[Evento / Mercado]],FIND("/",base[[#This Row],[Evento / Mercado]])-2)</f>
        <v>Zaglebie Lubin vs Cracovia Kraków</v>
      </c>
    </row>
    <row r="1727" spans="2:19" ht="15" customHeight="1">
      <c r="B1727" s="128" t="s">
        <v>1707</v>
      </c>
      <c r="C1727" s="128" t="s">
        <v>2982</v>
      </c>
      <c r="D1727" s="129">
        <v>46145.497511574074</v>
      </c>
      <c r="E1727" s="130">
        <v>-15</v>
      </c>
      <c r="F1727" s="136">
        <v>4.4999999999999998E-2</v>
      </c>
      <c r="G1727" s="126">
        <f t="shared" si="27"/>
        <v>-15</v>
      </c>
      <c r="H1727" s="126" t="s">
        <v>211</v>
      </c>
      <c r="I1727" s="127" t="s">
        <v>1480</v>
      </c>
      <c r="J1727" s="126">
        <v>1.88</v>
      </c>
      <c r="K1727" s="126">
        <v>15</v>
      </c>
      <c r="L1727" s="129">
        <f>INT(base[[#This Row],[Data de liquidação]])</f>
        <v>46145</v>
      </c>
      <c r="M1727" s="126">
        <f>base[[#This Row],[L/P Bruto]]-base[[#This Row],[L/P Líquido]]</f>
        <v>0</v>
      </c>
      <c r="N1727" s="126">
        <f>base[[#This Row],[L/P Líquido]]/base[[#This Row],[Stake/Responsabilidade]]</f>
        <v>-1</v>
      </c>
      <c r="O1727" s="132">
        <f>IF(base[[#This Row],[L/P Líquido]]&gt;0,1,0)</f>
        <v>0</v>
      </c>
      <c r="P1727" s="132"/>
      <c r="Q1727" s="132" t="str">
        <f>LEFT(base[[#This Row],[Evento / Mercado]],FIND("vs",base[[#This Row],[Evento / Mercado]])-2)</f>
        <v>Lille OSC</v>
      </c>
      <c r="R17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1727" s="132" t="str">
        <f>LEFT(base[[#This Row],[Evento / Mercado]],FIND("/",base[[#This Row],[Evento / Mercado]])-2)</f>
        <v>Lille OSC vs Le Havre AC</v>
      </c>
    </row>
    <row r="1728" spans="2:19" ht="15" customHeight="1">
      <c r="B1728" s="128" t="s">
        <v>1706</v>
      </c>
      <c r="C1728" s="128" t="s">
        <v>2982</v>
      </c>
      <c r="D1728" s="129">
        <v>46145.557893518519</v>
      </c>
      <c r="E1728" s="130">
        <v>3.18</v>
      </c>
      <c r="F1728" s="136">
        <v>4.4999999999999998E-2</v>
      </c>
      <c r="G1728" s="126">
        <f t="shared" si="27"/>
        <v>3.329842931937173</v>
      </c>
      <c r="H1728" s="126" t="s">
        <v>1339</v>
      </c>
      <c r="I1728" s="127" t="s">
        <v>1388</v>
      </c>
      <c r="J1728" s="126">
        <v>16</v>
      </c>
      <c r="K1728" s="126">
        <v>49.95</v>
      </c>
      <c r="L1728" s="129">
        <f>INT(base[[#This Row],[Data de liquidação]])</f>
        <v>46145</v>
      </c>
      <c r="M1728" s="126">
        <f>base[[#This Row],[L/P Bruto]]-base[[#This Row],[L/P Líquido]]</f>
        <v>0.1498429319371728</v>
      </c>
      <c r="N1728" s="126">
        <f>base[[#This Row],[L/P Líquido]]/base[[#This Row],[Stake/Responsabilidade]]</f>
        <v>6.3663663663663661E-2</v>
      </c>
      <c r="O1728" s="132">
        <f>IF(base[[#This Row],[L/P Líquido]]&gt;0,1,0)</f>
        <v>1</v>
      </c>
      <c r="P1728" s="132"/>
      <c r="Q1728" s="132" t="str">
        <f>LEFT(base[[#This Row],[Evento / Mercado]],FIND("vs",base[[#This Row],[Evento / Mercado]])-2)</f>
        <v>FC Lugano</v>
      </c>
      <c r="R17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BSC Young Boys</v>
      </c>
      <c r="S1728" s="132" t="str">
        <f>LEFT(base[[#This Row],[Evento / Mercado]],FIND("/",base[[#This Row],[Evento / Mercado]])-2)</f>
        <v>FC Lugano vs BSC Young Boys</v>
      </c>
    </row>
    <row r="1729" spans="2:19" ht="15" customHeight="1">
      <c r="B1729" s="128" t="s">
        <v>1705</v>
      </c>
      <c r="C1729" s="128" t="s">
        <v>2982</v>
      </c>
      <c r="D1729" s="129">
        <v>46145.566388888888</v>
      </c>
      <c r="E1729" s="130">
        <v>-2.08</v>
      </c>
      <c r="F1729" s="136">
        <v>4.4999999999999998E-2</v>
      </c>
      <c r="G1729" s="126">
        <f t="shared" si="27"/>
        <v>-2.08</v>
      </c>
      <c r="H1729" s="126" t="s">
        <v>1339</v>
      </c>
      <c r="I1729" s="127" t="s">
        <v>1236</v>
      </c>
      <c r="J1729" s="126">
        <v>5.55</v>
      </c>
      <c r="K1729" s="126">
        <v>4</v>
      </c>
      <c r="L1729" s="129">
        <f>INT(base[[#This Row],[Data de liquidação]])</f>
        <v>46145</v>
      </c>
      <c r="M1729" s="126">
        <f>base[[#This Row],[L/P Bruto]]-base[[#This Row],[L/P Líquido]]</f>
        <v>0</v>
      </c>
      <c r="N1729" s="126">
        <f>base[[#This Row],[L/P Líquido]]/base[[#This Row],[Stake/Responsabilidade]]</f>
        <v>-0.52</v>
      </c>
      <c r="O1729" s="132">
        <f>IF(base[[#This Row],[L/P Líquido]]&gt;0,1,0)</f>
        <v>0</v>
      </c>
      <c r="P1729" s="132"/>
      <c r="Q1729" s="132" t="str">
        <f>LEFT(base[[#This Row],[Evento / Mercado]],FIND("vs",base[[#This Row],[Evento / Mercado]])-2)</f>
        <v>Start</v>
      </c>
      <c r="R17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Tromsø</v>
      </c>
      <c r="S1729" s="132" t="str">
        <f>LEFT(base[[#This Row],[Evento / Mercado]],FIND("/",base[[#This Row],[Evento / Mercado]])-2)</f>
        <v>Start vs Tromsø</v>
      </c>
    </row>
    <row r="1730" spans="2:19" ht="15" customHeight="1">
      <c r="B1730" s="128" t="s">
        <v>1704</v>
      </c>
      <c r="C1730" s="128" t="s">
        <v>2982</v>
      </c>
      <c r="D1730" s="129">
        <v>46145.566967592589</v>
      </c>
      <c r="E1730" s="130">
        <v>1.1200000000000001</v>
      </c>
      <c r="F1730" s="136">
        <v>4.4999999999999998E-2</v>
      </c>
      <c r="G1730" s="126">
        <f t="shared" si="27"/>
        <v>1.1727748691099478</v>
      </c>
      <c r="H1730" s="126" t="s">
        <v>1339</v>
      </c>
      <c r="I1730" s="127" t="s">
        <v>1448</v>
      </c>
      <c r="J1730" s="126">
        <v>1.59</v>
      </c>
      <c r="K1730" s="126">
        <v>2</v>
      </c>
      <c r="L1730" s="129">
        <f>INT(base[[#This Row],[Data de liquidação]])</f>
        <v>46145</v>
      </c>
      <c r="M1730" s="126">
        <f>base[[#This Row],[L/P Bruto]]-base[[#This Row],[L/P Líquido]]</f>
        <v>5.2774869109947664E-2</v>
      </c>
      <c r="N1730" s="126">
        <f>base[[#This Row],[L/P Líquido]]/base[[#This Row],[Stake/Responsabilidade]]</f>
        <v>0.56000000000000005</v>
      </c>
      <c r="O1730" s="132">
        <f>IF(base[[#This Row],[L/P Líquido]]&gt;0,1,0)</f>
        <v>1</v>
      </c>
      <c r="P1730" s="132"/>
      <c r="Q1730" s="132" t="str">
        <f>LEFT(base[[#This Row],[Evento / Mercado]],FIND("vs",base[[#This Row],[Evento / Mercado]])-2)</f>
        <v>Juventus</v>
      </c>
      <c r="R17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1730" s="132" t="str">
        <f>LEFT(base[[#This Row],[Evento / Mercado]],FIND("/",base[[#This Row],[Evento / Mercado]])-2)</f>
        <v>Juventus vs Hellas Verona</v>
      </c>
    </row>
    <row r="1731" spans="2:19" ht="15" customHeight="1">
      <c r="B1731" s="128" t="s">
        <v>1703</v>
      </c>
      <c r="C1731" s="128" t="s">
        <v>2982</v>
      </c>
      <c r="D1731" s="129">
        <v>46145.56827546296</v>
      </c>
      <c r="E1731" s="130">
        <v>24.72</v>
      </c>
      <c r="F1731" s="136">
        <v>4.4999999999999998E-2</v>
      </c>
      <c r="G1731" s="126">
        <f t="shared" ref="G1731:G1794" si="28">IF(E1731&gt;0,E1731/(1-F1731),E1731)</f>
        <v>25.884816753926703</v>
      </c>
      <c r="H1731" s="126" t="s">
        <v>74</v>
      </c>
      <c r="I1731" s="127" t="s">
        <v>476</v>
      </c>
      <c r="J1731" s="126">
        <v>18</v>
      </c>
      <c r="K1731" s="126">
        <v>439.96</v>
      </c>
      <c r="L1731" s="129">
        <f>INT(base[[#This Row],[Data de liquidação]])</f>
        <v>46145</v>
      </c>
      <c r="M1731" s="126">
        <f>base[[#This Row],[L/P Bruto]]-base[[#This Row],[L/P Líquido]]</f>
        <v>1.1648167539267043</v>
      </c>
      <c r="N1731" s="126">
        <f>base[[#This Row],[L/P Líquido]]/base[[#This Row],[Stake/Responsabilidade]]</f>
        <v>5.6186926084189473E-2</v>
      </c>
      <c r="O1731" s="132">
        <f>IF(base[[#This Row],[L/P Líquido]]&gt;0,1,0)</f>
        <v>1</v>
      </c>
      <c r="P1731" s="132" t="s">
        <v>967</v>
      </c>
      <c r="Q1731" s="132" t="str">
        <f>LEFT(base[[#This Row],[Evento / Mercado]],FIND("vs",base[[#This Row],[Evento / Mercado]])-2)</f>
        <v>AZ Alkmaar</v>
      </c>
      <c r="R17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1731" s="132" t="str">
        <f>LEFT(base[[#This Row],[Evento / Mercado]],FIND("/",base[[#This Row],[Evento / Mercado]])-2)</f>
        <v>AZ Alkmaar vs FC Twente</v>
      </c>
    </row>
    <row r="1732" spans="2:19" ht="15" customHeight="1">
      <c r="B1732" s="128" t="s">
        <v>1702</v>
      </c>
      <c r="C1732" s="128" t="s">
        <v>2982</v>
      </c>
      <c r="D1732" s="129">
        <v>46145.568287037036</v>
      </c>
      <c r="E1732" s="130">
        <v>7.96</v>
      </c>
      <c r="F1732" s="136">
        <v>4.4999999999999998E-2</v>
      </c>
      <c r="G1732" s="126">
        <f t="shared" si="28"/>
        <v>8.335078534031414</v>
      </c>
      <c r="H1732" s="126" t="s">
        <v>211</v>
      </c>
      <c r="I1732" s="127" t="s">
        <v>1480</v>
      </c>
      <c r="J1732" s="126">
        <v>1.56</v>
      </c>
      <c r="K1732" s="126">
        <v>15</v>
      </c>
      <c r="L1732" s="129">
        <f>INT(base[[#This Row],[Data de liquidação]])</f>
        <v>46145</v>
      </c>
      <c r="M1732" s="126">
        <f>base[[#This Row],[L/P Bruto]]-base[[#This Row],[L/P Líquido]]</f>
        <v>0.375078534031414</v>
      </c>
      <c r="N1732" s="126">
        <f>base[[#This Row],[L/P Líquido]]/base[[#This Row],[Stake/Responsabilidade]]</f>
        <v>0.53066666666666662</v>
      </c>
      <c r="O1732" s="132">
        <f>IF(base[[#This Row],[L/P Líquido]]&gt;0,1,0)</f>
        <v>1</v>
      </c>
      <c r="P1732" s="132"/>
      <c r="Q1732" s="132" t="str">
        <f>LEFT(base[[#This Row],[Evento / Mercado]],FIND("vs",base[[#This Row],[Evento / Mercado]])-2)</f>
        <v>AZ Alkmaar</v>
      </c>
      <c r="R17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1732" s="132" t="str">
        <f>LEFT(base[[#This Row],[Evento / Mercado]],FIND("/",base[[#This Row],[Evento / Mercado]])-2)</f>
        <v>AZ Alkmaar vs FC Twente</v>
      </c>
    </row>
    <row r="1733" spans="2:19" ht="15" customHeight="1">
      <c r="B1733" s="128" t="s">
        <v>1701</v>
      </c>
      <c r="C1733" s="128" t="s">
        <v>2982</v>
      </c>
      <c r="D1733" s="129">
        <v>46145.570011574076</v>
      </c>
      <c r="E1733" s="130">
        <v>-5</v>
      </c>
      <c r="F1733" s="136">
        <v>4.4999999999999998E-2</v>
      </c>
      <c r="G1733" s="126">
        <f t="shared" si="28"/>
        <v>-5</v>
      </c>
      <c r="H1733" s="126" t="s">
        <v>1339</v>
      </c>
      <c r="I1733" s="127" t="s">
        <v>1338</v>
      </c>
      <c r="J1733" s="126">
        <v>2.27</v>
      </c>
      <c r="K1733" s="126">
        <v>5</v>
      </c>
      <c r="L1733" s="129">
        <f>INT(base[[#This Row],[Data de liquidação]])</f>
        <v>46145</v>
      </c>
      <c r="M1733" s="126">
        <f>base[[#This Row],[L/P Bruto]]-base[[#This Row],[L/P Líquido]]</f>
        <v>0</v>
      </c>
      <c r="N1733" s="126">
        <f>base[[#This Row],[L/P Líquido]]/base[[#This Row],[Stake/Responsabilidade]]</f>
        <v>-1</v>
      </c>
      <c r="O1733" s="132">
        <f>IF(base[[#This Row],[L/P Líquido]]&gt;0,1,0)</f>
        <v>0</v>
      </c>
      <c r="P1733" s="132"/>
      <c r="Q1733" s="132" t="str">
        <f>LEFT(base[[#This Row],[Evento / Mercado]],FIND("vs",base[[#This Row],[Evento / Mercado]])-2)</f>
        <v>Paris FC</v>
      </c>
      <c r="R17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1733" s="132" t="str">
        <f>LEFT(base[[#This Row],[Evento / Mercado]],FIND("/",base[[#This Row],[Evento / Mercado]])-2)</f>
        <v>Paris FC vs Stade Brestois 29</v>
      </c>
    </row>
    <row r="1734" spans="2:19" ht="15" customHeight="1">
      <c r="B1734" s="128" t="s">
        <v>1700</v>
      </c>
      <c r="C1734" s="128" t="s">
        <v>2982</v>
      </c>
      <c r="D1734" s="129">
        <v>46145.575069444443</v>
      </c>
      <c r="E1734" s="130">
        <v>-15</v>
      </c>
      <c r="F1734" s="136">
        <v>4.4999999999999998E-2</v>
      </c>
      <c r="G1734" s="126">
        <f t="shared" si="28"/>
        <v>-15</v>
      </c>
      <c r="H1734" s="126" t="s">
        <v>211</v>
      </c>
      <c r="I1734" s="127" t="s">
        <v>1480</v>
      </c>
      <c r="J1734" s="126">
        <v>1.55</v>
      </c>
      <c r="K1734" s="126">
        <v>15</v>
      </c>
      <c r="L1734" s="129">
        <f>INT(base[[#This Row],[Data de liquidação]])</f>
        <v>46145</v>
      </c>
      <c r="M1734" s="126">
        <f>base[[#This Row],[L/P Bruto]]-base[[#This Row],[L/P Líquido]]</f>
        <v>0</v>
      </c>
      <c r="N1734" s="126">
        <f>base[[#This Row],[L/P Líquido]]/base[[#This Row],[Stake/Responsabilidade]]</f>
        <v>-1</v>
      </c>
      <c r="O1734" s="132">
        <f>IF(base[[#This Row],[L/P Líquido]]&gt;0,1,0)</f>
        <v>0</v>
      </c>
      <c r="P1734" s="132"/>
      <c r="Q1734" s="132" t="str">
        <f>LEFT(base[[#This Row],[Evento / Mercado]],FIND("vs",base[[#This Row],[Evento / Mercado]])-2)</f>
        <v>AGF Aarhus</v>
      </c>
      <c r="R17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SønderjyskE</v>
      </c>
      <c r="S1734" s="132" t="str">
        <f>LEFT(base[[#This Row],[Evento / Mercado]],FIND("/",base[[#This Row],[Evento / Mercado]])-2)</f>
        <v>AGF Aarhus vs SønderjyskE</v>
      </c>
    </row>
    <row r="1735" spans="2:19" ht="15" customHeight="1">
      <c r="B1735" s="128" t="s">
        <v>1699</v>
      </c>
      <c r="C1735" s="128" t="s">
        <v>2982</v>
      </c>
      <c r="D1735" s="129">
        <v>46145.576817129629</v>
      </c>
      <c r="E1735" s="130">
        <v>-3.52</v>
      </c>
      <c r="F1735" s="136">
        <v>4.4999999999999998E-2</v>
      </c>
      <c r="G1735" s="126">
        <f t="shared" si="28"/>
        <v>-3.52</v>
      </c>
      <c r="H1735" s="126" t="s">
        <v>1339</v>
      </c>
      <c r="I1735" s="127" t="s">
        <v>1236</v>
      </c>
      <c r="J1735" s="126">
        <v>9.4</v>
      </c>
      <c r="K1735" s="126">
        <v>4</v>
      </c>
      <c r="L1735" s="129">
        <f>INT(base[[#This Row],[Data de liquidação]])</f>
        <v>46145</v>
      </c>
      <c r="M1735" s="126">
        <f>base[[#This Row],[L/P Bruto]]-base[[#This Row],[L/P Líquido]]</f>
        <v>0</v>
      </c>
      <c r="N1735" s="126">
        <f>base[[#This Row],[L/P Líquido]]/base[[#This Row],[Stake/Responsabilidade]]</f>
        <v>-0.88</v>
      </c>
      <c r="O1735" s="132">
        <f>IF(base[[#This Row],[L/P Líquido]]&gt;0,1,0)</f>
        <v>0</v>
      </c>
      <c r="P1735" s="132"/>
      <c r="Q1735" s="132" t="str">
        <f>LEFT(base[[#This Row],[Evento / Mercado]],FIND("vs",base[[#This Row],[Evento / Mercado]])-2)</f>
        <v>FC Red Bull Salzburg</v>
      </c>
      <c r="R17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Puntigamer Sturm Graz</v>
      </c>
      <c r="S1735" s="132" t="str">
        <f>LEFT(base[[#This Row],[Evento / Mercado]],FIND("/",base[[#This Row],[Evento / Mercado]])-2)</f>
        <v>FC Red Bull Salzburg vs SK Puntigamer Sturm Graz</v>
      </c>
    </row>
    <row r="1736" spans="2:19" ht="15" customHeight="1">
      <c r="B1736" s="128" t="s">
        <v>1698</v>
      </c>
      <c r="C1736" s="128" t="s">
        <v>2982</v>
      </c>
      <c r="D1736" s="129">
        <v>46145.580983796295</v>
      </c>
      <c r="E1736" s="130">
        <v>1.54</v>
      </c>
      <c r="F1736" s="136">
        <v>4.4999999999999998E-2</v>
      </c>
      <c r="G1736" s="126">
        <f t="shared" si="28"/>
        <v>1.6125654450261782</v>
      </c>
      <c r="H1736" s="126" t="s">
        <v>1339</v>
      </c>
      <c r="I1736" s="127" t="s">
        <v>1430</v>
      </c>
      <c r="J1736" s="126">
        <v>36</v>
      </c>
      <c r="K1736" s="126">
        <v>56.35</v>
      </c>
      <c r="L1736" s="129">
        <f>INT(base[[#This Row],[Data de liquidação]])</f>
        <v>46145</v>
      </c>
      <c r="M1736" s="126">
        <f>base[[#This Row],[L/P Bruto]]-base[[#This Row],[L/P Líquido]]</f>
        <v>7.2565445026178121E-2</v>
      </c>
      <c r="N1736" s="126">
        <f>base[[#This Row],[L/P Líquido]]/base[[#This Row],[Stake/Responsabilidade]]</f>
        <v>2.732919254658385E-2</v>
      </c>
      <c r="O1736" s="132">
        <f>IF(base[[#This Row],[L/P Líquido]]&gt;0,1,0)</f>
        <v>1</v>
      </c>
      <c r="P1736" s="132"/>
      <c r="Q1736" s="132" t="str">
        <f>LEFT(base[[#This Row],[Evento / Mercado]],FIND("vs",base[[#This Row],[Evento / Mercado]])-2)</f>
        <v>FC Red Bull Salzburg</v>
      </c>
      <c r="R17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Puntigamer Sturm Graz</v>
      </c>
      <c r="S1736" s="132" t="str">
        <f>LEFT(base[[#This Row],[Evento / Mercado]],FIND("/",base[[#This Row],[Evento / Mercado]])-2)</f>
        <v>FC Red Bull Salzburg vs SK Puntigamer Sturm Graz</v>
      </c>
    </row>
    <row r="1737" spans="2:19" ht="15" customHeight="1">
      <c r="B1737" s="128" t="s">
        <v>1697</v>
      </c>
      <c r="C1737" s="128" t="s">
        <v>2982</v>
      </c>
      <c r="D1737" s="129">
        <v>46145.598298611112</v>
      </c>
      <c r="E1737" s="130">
        <v>-3.14</v>
      </c>
      <c r="F1737" s="136">
        <v>4.4999999999999998E-2</v>
      </c>
      <c r="G1737" s="126">
        <f t="shared" si="28"/>
        <v>-3.14</v>
      </c>
      <c r="H1737" s="126" t="s">
        <v>1339</v>
      </c>
      <c r="I1737" s="127" t="s">
        <v>1236</v>
      </c>
      <c r="J1737" s="126">
        <v>12.5</v>
      </c>
      <c r="K1737" s="126">
        <v>4</v>
      </c>
      <c r="L1737" s="129">
        <f>INT(base[[#This Row],[Data de liquidação]])</f>
        <v>46145</v>
      </c>
      <c r="M1737" s="126">
        <f>base[[#This Row],[L/P Bruto]]-base[[#This Row],[L/P Líquido]]</f>
        <v>0</v>
      </c>
      <c r="N1737" s="126">
        <f>base[[#This Row],[L/P Líquido]]/base[[#This Row],[Stake/Responsabilidade]]</f>
        <v>-0.78500000000000003</v>
      </c>
      <c r="O1737" s="132">
        <f>IF(base[[#This Row],[L/P Líquido]]&gt;0,1,0)</f>
        <v>0</v>
      </c>
      <c r="P1737" s="132"/>
      <c r="Q1737" s="132" t="str">
        <f>LEFT(base[[#This Row],[Evento / Mercado]],FIND("vs",base[[#This Row],[Evento / Mercado]])-2)</f>
        <v>Juventus</v>
      </c>
      <c r="R17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1737" s="132" t="str">
        <f>LEFT(base[[#This Row],[Evento / Mercado]],FIND("/",base[[#This Row],[Evento / Mercado]])-2)</f>
        <v>Juventus vs Hellas Verona</v>
      </c>
    </row>
    <row r="1738" spans="2:19" ht="15" customHeight="1">
      <c r="B1738" s="128" t="s">
        <v>1696</v>
      </c>
      <c r="C1738" s="128" t="s">
        <v>2982</v>
      </c>
      <c r="D1738" s="129">
        <v>46145.603935185187</v>
      </c>
      <c r="E1738" s="130">
        <v>1.83</v>
      </c>
      <c r="F1738" s="136">
        <v>4.4999999999999998E-2</v>
      </c>
      <c r="G1738" s="126">
        <f t="shared" si="28"/>
        <v>1.9162303664921467</v>
      </c>
      <c r="H1738" s="126" t="s">
        <v>1339</v>
      </c>
      <c r="I1738" s="127" t="s">
        <v>1388</v>
      </c>
      <c r="J1738" s="126">
        <v>27</v>
      </c>
      <c r="K1738" s="126">
        <v>49.92</v>
      </c>
      <c r="L1738" s="129">
        <f>INT(base[[#This Row],[Data de liquidação]])</f>
        <v>46145</v>
      </c>
      <c r="M1738" s="126">
        <f>base[[#This Row],[L/P Bruto]]-base[[#This Row],[L/P Líquido]]</f>
        <v>8.6230366492146659E-2</v>
      </c>
      <c r="N1738" s="126">
        <f>base[[#This Row],[L/P Líquido]]/base[[#This Row],[Stake/Responsabilidade]]</f>
        <v>3.6658653846153848E-2</v>
      </c>
      <c r="O1738" s="132">
        <f>IF(base[[#This Row],[L/P Líquido]]&gt;0,1,0)</f>
        <v>1</v>
      </c>
      <c r="P1738" s="132"/>
      <c r="Q1738" s="132" t="str">
        <f>LEFT(base[[#This Row],[Evento / Mercado]],FIND("vs",base[[#This Row],[Evento / Mercado]])-2)</f>
        <v>Pogon Szczecin</v>
      </c>
      <c r="R17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Wisla Plock</v>
      </c>
      <c r="S1738" s="132" t="str">
        <f>LEFT(base[[#This Row],[Evento / Mercado]],FIND("/",base[[#This Row],[Evento / Mercado]])-2)</f>
        <v>Pogon Szczecin vs Wisla Plock</v>
      </c>
    </row>
    <row r="1739" spans="2:19" ht="15" customHeight="1">
      <c r="B1739" s="128" t="s">
        <v>1695</v>
      </c>
      <c r="C1739" s="128" t="s">
        <v>2982</v>
      </c>
      <c r="D1739" s="129">
        <v>46145.604074074072</v>
      </c>
      <c r="E1739" s="130">
        <v>1.54</v>
      </c>
      <c r="F1739" s="136">
        <v>4.4999999999999998E-2</v>
      </c>
      <c r="G1739" s="126">
        <f t="shared" si="28"/>
        <v>1.6125654450261782</v>
      </c>
      <c r="H1739" s="126" t="s">
        <v>1339</v>
      </c>
      <c r="I1739" s="127" t="s">
        <v>1430</v>
      </c>
      <c r="J1739" s="126">
        <v>32</v>
      </c>
      <c r="K1739" s="126">
        <v>49.91</v>
      </c>
      <c r="L1739" s="129">
        <f>INT(base[[#This Row],[Data de liquidação]])</f>
        <v>46145</v>
      </c>
      <c r="M1739" s="126">
        <f>base[[#This Row],[L/P Bruto]]-base[[#This Row],[L/P Líquido]]</f>
        <v>7.2565445026178121E-2</v>
      </c>
      <c r="N1739" s="126">
        <f>base[[#This Row],[L/P Líquido]]/base[[#This Row],[Stake/Responsabilidade]]</f>
        <v>3.0855539971949512E-2</v>
      </c>
      <c r="O1739" s="132">
        <f>IF(base[[#This Row],[L/P Líquido]]&gt;0,1,0)</f>
        <v>1</v>
      </c>
      <c r="P1739" s="132"/>
      <c r="Q1739" s="132" t="str">
        <f>LEFT(base[[#This Row],[Evento / Mercado]],FIND("vs",base[[#This Row],[Evento / Mercado]])-2)</f>
        <v>Pogon Szczecin</v>
      </c>
      <c r="R17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Wisla Plock</v>
      </c>
      <c r="S1739" s="132" t="str">
        <f>LEFT(base[[#This Row],[Evento / Mercado]],FIND("/",base[[#This Row],[Evento / Mercado]])-2)</f>
        <v>Pogon Szczecin vs Wisla Plock</v>
      </c>
    </row>
    <row r="1740" spans="2:19" ht="15" customHeight="1">
      <c r="B1740" s="128" t="s">
        <v>1694</v>
      </c>
      <c r="C1740" s="128" t="s">
        <v>2982</v>
      </c>
      <c r="D1740" s="129">
        <v>46145.606956018521</v>
      </c>
      <c r="E1740" s="130">
        <v>6.43</v>
      </c>
      <c r="F1740" s="136">
        <v>4.4999999999999998E-2</v>
      </c>
      <c r="G1740" s="126">
        <f t="shared" si="28"/>
        <v>6.7329842931937174</v>
      </c>
      <c r="H1740" s="126" t="s">
        <v>1339</v>
      </c>
      <c r="I1740" s="127" t="s">
        <v>1338</v>
      </c>
      <c r="J1740" s="126">
        <v>2.35</v>
      </c>
      <c r="K1740" s="126">
        <v>5</v>
      </c>
      <c r="L1740" s="129">
        <f>INT(base[[#This Row],[Data de liquidação]])</f>
        <v>46145</v>
      </c>
      <c r="M1740" s="126">
        <f>base[[#This Row],[L/P Bruto]]-base[[#This Row],[L/P Líquido]]</f>
        <v>0.30298429319371767</v>
      </c>
      <c r="N1740" s="126">
        <f>base[[#This Row],[L/P Líquido]]/base[[#This Row],[Stake/Responsabilidade]]</f>
        <v>1.286</v>
      </c>
      <c r="O1740" s="132">
        <f>IF(base[[#This Row],[L/P Líquido]]&gt;0,1,0)</f>
        <v>1</v>
      </c>
      <c r="P1740" s="132"/>
      <c r="Q1740" s="132" t="str">
        <f>LEFT(base[[#This Row],[Evento / Mercado]],FIND("vs",base[[#This Row],[Evento / Mercado]])-2)</f>
        <v>Borussia Mönchengladbach</v>
      </c>
      <c r="R17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1740" s="132" t="str">
        <f>LEFT(base[[#This Row],[Evento / Mercado]],FIND("/",base[[#This Row],[Evento / Mercado]])-2)</f>
        <v>Borussia Mönchengladbach vs Borussia Dortmund</v>
      </c>
    </row>
    <row r="1741" spans="2:19" ht="15" customHeight="1">
      <c r="B1741" s="128" t="s">
        <v>1693</v>
      </c>
      <c r="C1741" s="128" t="s">
        <v>2982</v>
      </c>
      <c r="D1741" s="129">
        <v>46145.621979166666</v>
      </c>
      <c r="E1741" s="130">
        <v>27.02</v>
      </c>
      <c r="F1741" s="136">
        <v>4.4999999999999998E-2</v>
      </c>
      <c r="G1741" s="126">
        <f t="shared" si="28"/>
        <v>28.293193717277486</v>
      </c>
      <c r="H1741" s="126" t="s">
        <v>145</v>
      </c>
      <c r="I1741" s="127" t="s">
        <v>301</v>
      </c>
      <c r="J1741" s="126">
        <v>18.5</v>
      </c>
      <c r="K1741" s="126">
        <v>495.08</v>
      </c>
      <c r="L1741" s="129">
        <f>INT(base[[#This Row],[Data de liquidação]])</f>
        <v>46145</v>
      </c>
      <c r="M1741" s="126">
        <f>base[[#This Row],[L/P Bruto]]-base[[#This Row],[L/P Líquido]]</f>
        <v>1.2731937172774863</v>
      </c>
      <c r="N1741" s="126">
        <f>base[[#This Row],[L/P Líquido]]/base[[#This Row],[Stake/Responsabilidade]]</f>
        <v>5.4577038054455844E-2</v>
      </c>
      <c r="O1741" s="132">
        <f>IF(base[[#This Row],[L/P Líquido]]&gt;0,1,0)</f>
        <v>1</v>
      </c>
      <c r="P1741" s="132" t="s">
        <v>969</v>
      </c>
      <c r="Q1741" s="132" t="str">
        <f>LEFT(base[[#This Row],[Evento / Mercado]],FIND("vs",base[[#This Row],[Evento / Mercado]])-2)</f>
        <v>Juventus</v>
      </c>
      <c r="R17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1741" s="132" t="str">
        <f>LEFT(base[[#This Row],[Evento / Mercado]],FIND("/",base[[#This Row],[Evento / Mercado]])-2)</f>
        <v>Juventus vs Hellas Verona</v>
      </c>
    </row>
    <row r="1742" spans="2:19" ht="15" customHeight="1">
      <c r="B1742" s="128" t="s">
        <v>1692</v>
      </c>
      <c r="C1742" s="128" t="s">
        <v>2982</v>
      </c>
      <c r="D1742" s="129">
        <v>46145.622071759259</v>
      </c>
      <c r="E1742" s="130">
        <v>-15</v>
      </c>
      <c r="F1742" s="136">
        <v>4.4999999999999998E-2</v>
      </c>
      <c r="G1742" s="126">
        <f t="shared" si="28"/>
        <v>-15</v>
      </c>
      <c r="H1742" s="126" t="s">
        <v>211</v>
      </c>
      <c r="I1742" s="127" t="s">
        <v>1480</v>
      </c>
      <c r="J1742" s="126">
        <v>1.51</v>
      </c>
      <c r="K1742" s="126">
        <v>15</v>
      </c>
      <c r="L1742" s="129">
        <f>INT(base[[#This Row],[Data de liquidação]])</f>
        <v>46145</v>
      </c>
      <c r="M1742" s="126">
        <f>base[[#This Row],[L/P Bruto]]-base[[#This Row],[L/P Líquido]]</f>
        <v>0</v>
      </c>
      <c r="N1742" s="126">
        <f>base[[#This Row],[L/P Líquido]]/base[[#This Row],[Stake/Responsabilidade]]</f>
        <v>-1</v>
      </c>
      <c r="O1742" s="132">
        <f>IF(base[[#This Row],[L/P Líquido]]&gt;0,1,0)</f>
        <v>0</v>
      </c>
      <c r="P1742" s="132"/>
      <c r="Q1742" s="132" t="str">
        <f>LEFT(base[[#This Row],[Evento / Mercado]],FIND("vs",base[[#This Row],[Evento / Mercado]])-2)</f>
        <v>Juventus</v>
      </c>
      <c r="R17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1742" s="132" t="str">
        <f>LEFT(base[[#This Row],[Evento / Mercado]],FIND("/",base[[#This Row],[Evento / Mercado]])-2)</f>
        <v>Juventus vs Hellas Verona</v>
      </c>
    </row>
    <row r="1743" spans="2:19" ht="15" customHeight="1">
      <c r="B1743" s="128" t="s">
        <v>1691</v>
      </c>
      <c r="C1743" s="128" t="s">
        <v>2982</v>
      </c>
      <c r="D1743" s="129">
        <v>46145.654560185183</v>
      </c>
      <c r="E1743" s="130">
        <v>3.82</v>
      </c>
      <c r="F1743" s="136">
        <v>4.4999999999999998E-2</v>
      </c>
      <c r="G1743" s="126">
        <f t="shared" si="28"/>
        <v>4</v>
      </c>
      <c r="H1743" s="126" t="s">
        <v>1339</v>
      </c>
      <c r="I1743" s="127" t="s">
        <v>1236</v>
      </c>
      <c r="J1743" s="126">
        <v>15</v>
      </c>
      <c r="K1743" s="126">
        <v>4</v>
      </c>
      <c r="L1743" s="129">
        <f>INT(base[[#This Row],[Data de liquidação]])</f>
        <v>46145</v>
      </c>
      <c r="M1743" s="126">
        <f>base[[#This Row],[L/P Bruto]]-base[[#This Row],[L/P Líquido]]</f>
        <v>0.18000000000000016</v>
      </c>
      <c r="N1743" s="126">
        <f>base[[#This Row],[L/P Líquido]]/base[[#This Row],[Stake/Responsabilidade]]</f>
        <v>0.95499999999999996</v>
      </c>
      <c r="O1743" s="132">
        <f>IF(base[[#This Row],[L/P Líquido]]&gt;0,1,0)</f>
        <v>1</v>
      </c>
      <c r="P1743" s="132"/>
      <c r="Q1743" s="132" t="str">
        <f>LEFT(base[[#This Row],[Evento / Mercado]],FIND("vs",base[[#This Row],[Evento / Mercado]])-2)</f>
        <v>Al-Qadisiyah</v>
      </c>
      <c r="R17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Al-Nassr Riyadh</v>
      </c>
      <c r="S1743" s="132" t="str">
        <f>LEFT(base[[#This Row],[Evento / Mercado]],FIND("/",base[[#This Row],[Evento / Mercado]])-2)</f>
        <v>Al-Qadisiyah vs Al-Nassr Riyadh</v>
      </c>
    </row>
    <row r="1744" spans="2:19" ht="15" customHeight="1">
      <c r="B1744" s="128" t="s">
        <v>1690</v>
      </c>
      <c r="C1744" s="128" t="s">
        <v>2982</v>
      </c>
      <c r="D1744" s="129">
        <v>46145.665162037039</v>
      </c>
      <c r="E1744" s="130">
        <v>1.22</v>
      </c>
      <c r="F1744" s="136">
        <v>4.4999999999999998E-2</v>
      </c>
      <c r="G1744" s="126">
        <f t="shared" si="28"/>
        <v>1.2774869109947644</v>
      </c>
      <c r="H1744" s="126" t="s">
        <v>1339</v>
      </c>
      <c r="I1744" s="127" t="s">
        <v>1430</v>
      </c>
      <c r="J1744" s="126">
        <v>40</v>
      </c>
      <c r="K1744" s="126">
        <v>49.92</v>
      </c>
      <c r="L1744" s="129">
        <f>INT(base[[#This Row],[Data de liquidação]])</f>
        <v>46145</v>
      </c>
      <c r="M1744" s="126">
        <f>base[[#This Row],[L/P Bruto]]-base[[#This Row],[L/P Líquido]]</f>
        <v>5.748691099476444E-2</v>
      </c>
      <c r="N1744" s="126">
        <f>base[[#This Row],[L/P Líquido]]/base[[#This Row],[Stake/Responsabilidade]]</f>
        <v>2.4439102564102564E-2</v>
      </c>
      <c r="O1744" s="132">
        <f>IF(base[[#This Row],[L/P Líquido]]&gt;0,1,0)</f>
        <v>1</v>
      </c>
      <c r="P1744" s="132"/>
      <c r="Q1744" s="132" t="str">
        <f>LEFT(base[[#This Row],[Evento / Mercado]],FIND("vs",base[[#This Row],[Evento / Mercado]])-2)</f>
        <v>Sporting de Braga</v>
      </c>
      <c r="R17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Estoril-Praia</v>
      </c>
      <c r="S1744" s="132" t="str">
        <f>LEFT(base[[#This Row],[Evento / Mercado]],FIND("/",base[[#This Row],[Evento / Mercado]])-2)</f>
        <v>Sporting de Braga vs Estoril-Praia</v>
      </c>
    </row>
    <row r="1745" spans="2:21" ht="15" customHeight="1">
      <c r="B1745" s="128" t="s">
        <v>1689</v>
      </c>
      <c r="C1745" s="128" t="s">
        <v>2982</v>
      </c>
      <c r="D1745" s="129">
        <v>46145.669861111113</v>
      </c>
      <c r="E1745" s="130">
        <v>9.42</v>
      </c>
      <c r="F1745" s="136">
        <v>4.4999999999999998E-2</v>
      </c>
      <c r="G1745" s="126">
        <f t="shared" si="28"/>
        <v>9.8638743455497391</v>
      </c>
      <c r="H1745" s="126" t="s">
        <v>211</v>
      </c>
      <c r="I1745" s="127" t="s">
        <v>1480</v>
      </c>
      <c r="J1745" s="126">
        <v>1.66</v>
      </c>
      <c r="K1745" s="126">
        <v>15</v>
      </c>
      <c r="L1745" s="129">
        <f>INT(base[[#This Row],[Data de liquidação]])</f>
        <v>46145</v>
      </c>
      <c r="M1745" s="126">
        <f>base[[#This Row],[L/P Bruto]]-base[[#This Row],[L/P Líquido]]</f>
        <v>0.44387434554973915</v>
      </c>
      <c r="N1745" s="126">
        <f>base[[#This Row],[L/P Líquido]]/base[[#This Row],[Stake/Responsabilidade]]</f>
        <v>0.628</v>
      </c>
      <c r="O1745" s="132">
        <f>IF(base[[#This Row],[L/P Líquido]]&gt;0,1,0)</f>
        <v>1</v>
      </c>
      <c r="P1745" s="132"/>
      <c r="Q1745" s="132" t="str">
        <f>LEFT(base[[#This Row],[Evento / Mercado]],FIND("vs",base[[#This Row],[Evento / Mercado]])-2)</f>
        <v>SC Freiburg</v>
      </c>
      <c r="R17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1745" s="132" t="str">
        <f>LEFT(base[[#This Row],[Evento / Mercado]],FIND("/",base[[#This Row],[Evento / Mercado]])-2)</f>
        <v>SC Freiburg vs VfL Wolfsburg</v>
      </c>
    </row>
    <row r="1746" spans="2:21" ht="15" customHeight="1">
      <c r="B1746" s="128" t="s">
        <v>1688</v>
      </c>
      <c r="C1746" s="128" t="s">
        <v>2982</v>
      </c>
      <c r="D1746" s="129">
        <v>46145.671273148146</v>
      </c>
      <c r="E1746" s="130">
        <v>3.68</v>
      </c>
      <c r="F1746" s="136">
        <v>4.4999999999999998E-2</v>
      </c>
      <c r="G1746" s="126">
        <f t="shared" si="28"/>
        <v>3.8534031413612571</v>
      </c>
      <c r="H1746" s="126" t="s">
        <v>1339</v>
      </c>
      <c r="I1746" s="127" t="s">
        <v>1388</v>
      </c>
      <c r="J1746" s="126">
        <v>14</v>
      </c>
      <c r="K1746" s="126">
        <v>50.05</v>
      </c>
      <c r="L1746" s="129">
        <f>INT(base[[#This Row],[Data de liquidação]])</f>
        <v>46145</v>
      </c>
      <c r="M1746" s="126">
        <f>base[[#This Row],[L/P Bruto]]-base[[#This Row],[L/P Líquido]]</f>
        <v>0.1734031413612569</v>
      </c>
      <c r="N1746" s="126">
        <f>base[[#This Row],[L/P Líquido]]/base[[#This Row],[Stake/Responsabilidade]]</f>
        <v>7.352647352647354E-2</v>
      </c>
      <c r="O1746" s="132">
        <f>IF(base[[#This Row],[L/P Líquido]]&gt;0,1,0)</f>
        <v>1</v>
      </c>
      <c r="P1746" s="132"/>
      <c r="Q1746" s="132" t="str">
        <f>LEFT(base[[#This Row],[Evento / Mercado]],FIND("vs",base[[#This Row],[Evento / Mercado]])-2)</f>
        <v>Kayserispor</v>
      </c>
      <c r="R17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Eyüpspor</v>
      </c>
      <c r="S1746" s="132" t="str">
        <f>LEFT(base[[#This Row],[Evento / Mercado]],FIND("/",base[[#This Row],[Evento / Mercado]])-2)</f>
        <v>Kayserispor vs Eyüpspor</v>
      </c>
    </row>
    <row r="1747" spans="2:21" ht="15" customHeight="1">
      <c r="B1747" s="128" t="s">
        <v>1687</v>
      </c>
      <c r="C1747" s="128" t="s">
        <v>2982</v>
      </c>
      <c r="D1747" s="129">
        <v>46145.682500000003</v>
      </c>
      <c r="E1747" s="130">
        <v>3.82</v>
      </c>
      <c r="F1747" s="136">
        <v>4.4999999999999998E-2</v>
      </c>
      <c r="G1747" s="126">
        <f t="shared" si="28"/>
        <v>4</v>
      </c>
      <c r="H1747" s="126" t="s">
        <v>1339</v>
      </c>
      <c r="I1747" s="127" t="s">
        <v>1236</v>
      </c>
      <c r="J1747" s="126">
        <v>11</v>
      </c>
      <c r="K1747" s="126">
        <v>4</v>
      </c>
      <c r="L1747" s="129">
        <f>INT(base[[#This Row],[Data de liquidação]])</f>
        <v>46145</v>
      </c>
      <c r="M1747" s="126">
        <f>base[[#This Row],[L/P Bruto]]-base[[#This Row],[L/P Líquido]]</f>
        <v>0.18000000000000016</v>
      </c>
      <c r="N1747" s="126">
        <f>base[[#This Row],[L/P Líquido]]/base[[#This Row],[Stake/Responsabilidade]]</f>
        <v>0.95499999999999996</v>
      </c>
      <c r="O1747" s="132">
        <f>IF(base[[#This Row],[L/P Líquido]]&gt;0,1,0)</f>
        <v>1</v>
      </c>
      <c r="P1747" s="132"/>
      <c r="Q1747" s="132" t="str">
        <f>LEFT(base[[#This Row],[Evento / Mercado]],FIND("vs",base[[#This Row],[Evento / Mercado]])-2)</f>
        <v>Olympique Lyonnais</v>
      </c>
      <c r="R17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1747" s="132" t="str">
        <f>LEFT(base[[#This Row],[Evento / Mercado]],FIND("/",base[[#This Row],[Evento / Mercado]])-2)</f>
        <v>Olympique Lyonnais vs Stade Rennais</v>
      </c>
    </row>
    <row r="1748" spans="2:21" ht="15" customHeight="1">
      <c r="B1748" s="128" t="s">
        <v>1686</v>
      </c>
      <c r="C1748" s="128" t="s">
        <v>2982</v>
      </c>
      <c r="D1748" s="129">
        <v>46145.685289351852</v>
      </c>
      <c r="E1748" s="130">
        <v>-115</v>
      </c>
      <c r="F1748" s="136">
        <v>4.4999999999999998E-2</v>
      </c>
      <c r="G1748" s="126">
        <f t="shared" si="28"/>
        <v>-115</v>
      </c>
      <c r="H1748" s="126" t="s">
        <v>231</v>
      </c>
      <c r="I1748" s="127" t="s">
        <v>232</v>
      </c>
      <c r="J1748" s="126">
        <v>1.7</v>
      </c>
      <c r="K1748" s="126">
        <v>115</v>
      </c>
      <c r="L1748" s="129">
        <f>INT(base[[#This Row],[Data de liquidação]])</f>
        <v>46145</v>
      </c>
      <c r="M1748" s="126">
        <f>base[[#This Row],[L/P Bruto]]-base[[#This Row],[L/P Líquido]]</f>
        <v>0</v>
      </c>
      <c r="N1748" s="126">
        <f>base[[#This Row],[L/P Líquido]]/base[[#This Row],[Stake/Responsabilidade]]</f>
        <v>-1</v>
      </c>
      <c r="O1748" s="132">
        <f>IF(base[[#This Row],[L/P Líquido]]&gt;0,1,0)</f>
        <v>0</v>
      </c>
      <c r="P1748" s="132"/>
      <c r="Q1748" s="132" t="str">
        <f>LEFT(base[[#This Row],[Evento / Mercado]],FIND("vs",base[[#This Row],[Evento / Mercado]])-2)</f>
        <v>SC Freiburg</v>
      </c>
      <c r="R17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1748" s="132" t="str">
        <f>LEFT(base[[#This Row],[Evento / Mercado]],FIND("/",base[[#This Row],[Evento / Mercado]])-2)</f>
        <v>SC Freiburg vs VfL Wolfsburg</v>
      </c>
    </row>
    <row r="1749" spans="2:21" ht="15" customHeight="1">
      <c r="B1749" s="128" t="s">
        <v>1686</v>
      </c>
      <c r="C1749" s="128" t="s">
        <v>2982</v>
      </c>
      <c r="D1749" s="129">
        <v>46145.685289351852</v>
      </c>
      <c r="E1749" s="130">
        <v>6.33</v>
      </c>
      <c r="F1749" s="136">
        <v>0</v>
      </c>
      <c r="G1749" s="126">
        <f t="shared" si="28"/>
        <v>6.33</v>
      </c>
      <c r="H1749" s="126" t="s">
        <v>1339</v>
      </c>
      <c r="I1749" s="127" t="s">
        <v>1338</v>
      </c>
      <c r="J1749" s="126">
        <v>2.27</v>
      </c>
      <c r="K1749" s="126">
        <v>5</v>
      </c>
      <c r="L1749" s="129">
        <f>INT(base[[#This Row],[Data de liquidação]])</f>
        <v>46145</v>
      </c>
      <c r="M1749" s="126">
        <f>base[[#This Row],[L/P Bruto]]-base[[#This Row],[L/P Líquido]]</f>
        <v>0</v>
      </c>
      <c r="N1749" s="126">
        <f>base[[#This Row],[L/P Líquido]]/base[[#This Row],[Stake/Responsabilidade]]</f>
        <v>1.266</v>
      </c>
      <c r="O1749" s="132">
        <f>IF(base[[#This Row],[L/P Líquido]]&gt;0,1,0)</f>
        <v>1</v>
      </c>
      <c r="P1749" s="132"/>
      <c r="Q1749" s="132" t="str">
        <f>LEFT(base[[#This Row],[Evento / Mercado]],FIND("vs",base[[#This Row],[Evento / Mercado]])-2)</f>
        <v>SC Freiburg</v>
      </c>
      <c r="R17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1749" s="132" t="str">
        <f>LEFT(base[[#This Row],[Evento / Mercado]],FIND("/",base[[#This Row],[Evento / Mercado]])-2)</f>
        <v>SC Freiburg vs VfL Wolfsburg</v>
      </c>
    </row>
    <row r="1750" spans="2:21" ht="15" customHeight="1">
      <c r="B1750" s="128" t="s">
        <v>1685</v>
      </c>
      <c r="C1750" s="128" t="s">
        <v>2982</v>
      </c>
      <c r="D1750" s="129">
        <v>46145.699571759258</v>
      </c>
      <c r="E1750" s="130">
        <v>-15</v>
      </c>
      <c r="F1750" s="136">
        <v>4.4999999999999998E-2</v>
      </c>
      <c r="G1750" s="126">
        <f t="shared" si="28"/>
        <v>-15</v>
      </c>
      <c r="H1750" s="126" t="s">
        <v>211</v>
      </c>
      <c r="I1750" s="127" t="s">
        <v>1480</v>
      </c>
      <c r="J1750" s="126">
        <v>1.62</v>
      </c>
      <c r="K1750" s="126">
        <v>15</v>
      </c>
      <c r="L1750" s="129">
        <f>INT(base[[#This Row],[Data de liquidação]])</f>
        <v>46145</v>
      </c>
      <c r="M1750" s="126">
        <f>base[[#This Row],[L/P Bruto]]-base[[#This Row],[L/P Líquido]]</f>
        <v>0</v>
      </c>
      <c r="N1750" s="126">
        <f>base[[#This Row],[L/P Líquido]]/base[[#This Row],[Stake/Responsabilidade]]</f>
        <v>-1</v>
      </c>
      <c r="O1750" s="132">
        <f>IF(base[[#This Row],[L/P Líquido]]&gt;0,1,0)</f>
        <v>0</v>
      </c>
      <c r="P1750" s="132"/>
      <c r="Q1750" s="132" t="str">
        <f>LEFT(base[[#This Row],[Evento / Mercado]],FIND("vs",base[[#This Row],[Evento / Mercado]])-2)</f>
        <v>Flamengo</v>
      </c>
      <c r="R17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1750" s="132" t="str">
        <f>LEFT(base[[#This Row],[Evento / Mercado]],FIND("/",base[[#This Row],[Evento / Mercado]])-2)</f>
        <v>Flamengo vs Vasco da Gama</v>
      </c>
    </row>
    <row r="1751" spans="2:21" ht="15" customHeight="1">
      <c r="B1751" s="128" t="s">
        <v>1684</v>
      </c>
      <c r="C1751" s="128" t="s">
        <v>2982</v>
      </c>
      <c r="D1751" s="129">
        <v>46145.706597222219</v>
      </c>
      <c r="E1751" s="130">
        <v>30.63</v>
      </c>
      <c r="F1751" s="136">
        <v>4.4999999999999998E-2</v>
      </c>
      <c r="G1751" s="126">
        <f t="shared" si="28"/>
        <v>32.073298429319372</v>
      </c>
      <c r="H1751" s="126" t="s">
        <v>74</v>
      </c>
      <c r="I1751" s="127" t="s">
        <v>541</v>
      </c>
      <c r="J1751" s="126">
        <v>15.5</v>
      </c>
      <c r="K1751" s="126">
        <v>465.02</v>
      </c>
      <c r="L1751" s="129">
        <f>INT(base[[#This Row],[Data de liquidação]])</f>
        <v>46145</v>
      </c>
      <c r="M1751" s="126">
        <f>base[[#This Row],[L/P Bruto]]-base[[#This Row],[L/P Líquido]]</f>
        <v>1.4432984293193734</v>
      </c>
      <c r="N1751" s="126">
        <f>base[[#This Row],[L/P Líquido]]/base[[#This Row],[Stake/Responsabilidade]]</f>
        <v>6.586813470388371E-2</v>
      </c>
      <c r="O1751" s="132">
        <f>IF(base[[#This Row],[L/P Líquido]]&gt;0,1,0)</f>
        <v>1</v>
      </c>
      <c r="P1751" s="132" t="s">
        <v>973</v>
      </c>
      <c r="Q1751" s="132" t="str">
        <f>LEFT(base[[#This Row],[Evento / Mercado]],FIND("vs",base[[#This Row],[Evento / Mercado]])-2)</f>
        <v>Al-Qadisiyah</v>
      </c>
      <c r="R17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Al-Nassr Riyadh</v>
      </c>
      <c r="S1751" s="132" t="str">
        <f>LEFT(base[[#This Row],[Evento / Mercado]],FIND("/",base[[#This Row],[Evento / Mercado]])-2)</f>
        <v>Al-Qadisiyah vs Al-Nassr Riyadh</v>
      </c>
    </row>
    <row r="1752" spans="2:21" ht="15" customHeight="1">
      <c r="B1752" s="128" t="s">
        <v>1683</v>
      </c>
      <c r="C1752" s="128" t="s">
        <v>2982</v>
      </c>
      <c r="D1752" s="129">
        <v>46145.722129629627</v>
      </c>
      <c r="E1752" s="130">
        <v>-3.6</v>
      </c>
      <c r="F1752" s="136">
        <v>4.4999999999999998E-2</v>
      </c>
      <c r="G1752" s="126">
        <f t="shared" si="28"/>
        <v>-3.6</v>
      </c>
      <c r="H1752" s="126" t="s">
        <v>1339</v>
      </c>
      <c r="I1752" s="127" t="s">
        <v>1236</v>
      </c>
      <c r="J1752" s="126">
        <v>7.6</v>
      </c>
      <c r="K1752" s="126">
        <v>4</v>
      </c>
      <c r="L1752" s="129">
        <f>INT(base[[#This Row],[Data de liquidação]])</f>
        <v>46145</v>
      </c>
      <c r="M1752" s="126">
        <f>base[[#This Row],[L/P Bruto]]-base[[#This Row],[L/P Líquido]]</f>
        <v>0</v>
      </c>
      <c r="N1752" s="126">
        <f>base[[#This Row],[L/P Líquido]]/base[[#This Row],[Stake/Responsabilidade]]</f>
        <v>-0.9</v>
      </c>
      <c r="O1752" s="132">
        <f>IF(base[[#This Row],[L/P Líquido]]&gt;0,1,0)</f>
        <v>0</v>
      </c>
      <c r="P1752" s="132"/>
      <c r="Q1752" s="132" t="str">
        <f>LEFT(base[[#This Row],[Evento / Mercado]],FIND("vs",base[[#This Row],[Evento / Mercado]])-2)</f>
        <v>Flamengo</v>
      </c>
      <c r="R17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1752" s="132" t="str">
        <f>LEFT(base[[#This Row],[Evento / Mercado]],FIND("/",base[[#This Row],[Evento / Mercado]])-2)</f>
        <v>Flamengo vs Vasco da Gama</v>
      </c>
    </row>
    <row r="1753" spans="2:21" ht="15" customHeight="1">
      <c r="B1753" s="128" t="s">
        <v>1682</v>
      </c>
      <c r="C1753" s="128" t="s">
        <v>2982</v>
      </c>
      <c r="D1753" s="129">
        <v>46145.736226851855</v>
      </c>
      <c r="E1753" s="130">
        <v>32.22</v>
      </c>
      <c r="F1753" s="136">
        <v>4.4999999999999998E-2</v>
      </c>
      <c r="G1753" s="126">
        <f t="shared" si="28"/>
        <v>33.738219895287955</v>
      </c>
      <c r="H1753" s="126" t="s">
        <v>145</v>
      </c>
      <c r="I1753" s="127" t="s">
        <v>301</v>
      </c>
      <c r="J1753" s="126">
        <v>16.5</v>
      </c>
      <c r="K1753" s="126">
        <v>522.97</v>
      </c>
      <c r="L1753" s="129">
        <f>INT(base[[#This Row],[Data de liquidação]])</f>
        <v>46145</v>
      </c>
      <c r="M1753" s="126">
        <f>base[[#This Row],[L/P Bruto]]-base[[#This Row],[L/P Líquido]]</f>
        <v>1.518219895287956</v>
      </c>
      <c r="N1753" s="126">
        <f>base[[#This Row],[L/P Líquido]]/base[[#This Row],[Stake/Responsabilidade]]</f>
        <v>6.1609652561332384E-2</v>
      </c>
      <c r="O1753" s="132">
        <f>IF(base[[#This Row],[L/P Líquido]]&gt;0,1,0)</f>
        <v>1</v>
      </c>
      <c r="P1753" s="132" t="s">
        <v>969</v>
      </c>
      <c r="Q1753" s="132" t="str">
        <f>LEFT(base[[#This Row],[Evento / Mercado]],FIND("vs",base[[#This Row],[Evento / Mercado]])-2)</f>
        <v>Internazionale</v>
      </c>
      <c r="R17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Parma</v>
      </c>
      <c r="S1753" s="132" t="str">
        <f>LEFT(base[[#This Row],[Evento / Mercado]],FIND("/",base[[#This Row],[Evento / Mercado]])-2)</f>
        <v>Internazionale vs Parma</v>
      </c>
    </row>
    <row r="1754" spans="2:21" ht="15" customHeight="1">
      <c r="B1754" s="128" t="s">
        <v>1681</v>
      </c>
      <c r="C1754" s="128" t="s">
        <v>2982</v>
      </c>
      <c r="D1754" s="129">
        <v>46145.739282407405</v>
      </c>
      <c r="E1754" s="130">
        <v>-2.5499999999999998</v>
      </c>
      <c r="F1754" s="136">
        <v>4.4999999999999998E-2</v>
      </c>
      <c r="G1754" s="126">
        <f t="shared" si="28"/>
        <v>-2.5499999999999998</v>
      </c>
      <c r="H1754" s="126" t="s">
        <v>1339</v>
      </c>
      <c r="I1754" s="127" t="s">
        <v>1236</v>
      </c>
      <c r="J1754" s="126">
        <v>7.2</v>
      </c>
      <c r="K1754" s="126">
        <v>4</v>
      </c>
      <c r="L1754" s="129">
        <f>INT(base[[#This Row],[Data de liquidação]])</f>
        <v>46145</v>
      </c>
      <c r="M1754" s="126">
        <f>base[[#This Row],[L/P Bruto]]-base[[#This Row],[L/P Líquido]]</f>
        <v>0</v>
      </c>
      <c r="N1754" s="126">
        <f>base[[#This Row],[L/P Líquido]]/base[[#This Row],[Stake/Responsabilidade]]</f>
        <v>-0.63749999999999996</v>
      </c>
      <c r="O1754" s="132">
        <f>IF(base[[#This Row],[L/P Líquido]]&gt;0,1,0)</f>
        <v>0</v>
      </c>
      <c r="P1754" s="132"/>
      <c r="Q1754" s="132" t="str">
        <f>LEFT(base[[#This Row],[Evento / Mercado]],FIND("vs",base[[#This Row],[Evento / Mercado]])-2)</f>
        <v>New York City FC</v>
      </c>
      <c r="R17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DC United</v>
      </c>
      <c r="S1754" s="132" t="str">
        <f>LEFT(base[[#This Row],[Evento / Mercado]],FIND("/",base[[#This Row],[Evento / Mercado]])-2)</f>
        <v>New York City FC vs DC United</v>
      </c>
      <c r="T1754" s="8">
        <v>4.17</v>
      </c>
      <c r="U1754" s="9">
        <f>T1754*0.955</f>
        <v>3.9823499999999998</v>
      </c>
    </row>
    <row r="1755" spans="2:21" ht="15" customHeight="1">
      <c r="B1755" s="128" t="s">
        <v>1681</v>
      </c>
      <c r="C1755" s="128" t="s">
        <v>2982</v>
      </c>
      <c r="D1755" s="129">
        <v>46145.739282407405</v>
      </c>
      <c r="E1755" s="130">
        <v>5.84</v>
      </c>
      <c r="F1755" s="136">
        <v>2.7E-2</v>
      </c>
      <c r="G1755" s="126">
        <f t="shared" si="28"/>
        <v>6.0020554984583763</v>
      </c>
      <c r="H1755" s="126" t="s">
        <v>211</v>
      </c>
      <c r="I1755" s="127" t="s">
        <v>1480</v>
      </c>
      <c r="J1755" s="126">
        <v>1.4</v>
      </c>
      <c r="K1755" s="126">
        <v>15</v>
      </c>
      <c r="L1755" s="129">
        <f>INT(base[[#This Row],[Data de liquidação]])</f>
        <v>46145</v>
      </c>
      <c r="M1755" s="126">
        <f>base[[#This Row],[L/P Bruto]]-base[[#This Row],[L/P Líquido]]</f>
        <v>0.16205549845837641</v>
      </c>
      <c r="N1755" s="126">
        <f>base[[#This Row],[L/P Líquido]]/base[[#This Row],[Stake/Responsabilidade]]</f>
        <v>0.38933333333333331</v>
      </c>
      <c r="O1755" s="132">
        <f>IF(base[[#This Row],[L/P Líquido]]&gt;0,1,0)</f>
        <v>1</v>
      </c>
      <c r="P1755" s="132"/>
      <c r="Q1755" s="132" t="str">
        <f>LEFT(base[[#This Row],[Evento / Mercado]],FIND("vs",base[[#This Row],[Evento / Mercado]])-2)</f>
        <v>New York City FC</v>
      </c>
      <c r="R17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DC United</v>
      </c>
      <c r="S1755" s="132" t="str">
        <f>LEFT(base[[#This Row],[Evento / Mercado]],FIND("/",base[[#This Row],[Evento / Mercado]])-2)</f>
        <v>New York City FC vs DC United</v>
      </c>
      <c r="T1755" s="8">
        <v>6</v>
      </c>
      <c r="U1755" s="9">
        <f>T1755*0.955</f>
        <v>5.7299999999999995</v>
      </c>
    </row>
    <row r="1756" spans="2:21" ht="15" customHeight="1">
      <c r="B1756" s="128" t="s">
        <v>1680</v>
      </c>
      <c r="C1756" s="128" t="s">
        <v>2982</v>
      </c>
      <c r="D1756" s="129">
        <v>46145.739953703705</v>
      </c>
      <c r="E1756" s="130">
        <v>25.37</v>
      </c>
      <c r="F1756" s="136">
        <v>4.4999999999999998E-2</v>
      </c>
      <c r="G1756" s="126">
        <f t="shared" si="28"/>
        <v>26.565445026178011</v>
      </c>
      <c r="H1756" s="126" t="s">
        <v>74</v>
      </c>
      <c r="I1756" s="127" t="s">
        <v>476</v>
      </c>
      <c r="J1756" s="126">
        <v>18.5</v>
      </c>
      <c r="K1756" s="126">
        <v>464.98</v>
      </c>
      <c r="L1756" s="129">
        <f>INT(base[[#This Row],[Data de liquidação]])</f>
        <v>46145</v>
      </c>
      <c r="M1756" s="126">
        <f>base[[#This Row],[L/P Bruto]]-base[[#This Row],[L/P Líquido]]</f>
        <v>1.1954450261780103</v>
      </c>
      <c r="N1756" s="126">
        <f>base[[#This Row],[L/P Líquido]]/base[[#This Row],[Stake/Responsabilidade]]</f>
        <v>5.4561486515549054E-2</v>
      </c>
      <c r="O1756" s="132">
        <f>IF(base[[#This Row],[L/P Líquido]]&gt;0,1,0)</f>
        <v>1</v>
      </c>
      <c r="P1756" s="132" t="s">
        <v>970</v>
      </c>
      <c r="Q1756" s="132" t="str">
        <f>LEFT(base[[#This Row],[Evento / Mercado]],FIND("vs",base[[#This Row],[Evento / Mercado]])-2)</f>
        <v>Olympique Lyonnais</v>
      </c>
      <c r="R17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1756" s="132" t="str">
        <f>LEFT(base[[#This Row],[Evento / Mercado]],FIND("/",base[[#This Row],[Evento / Mercado]])-2)</f>
        <v>Olympique Lyonnais vs Stade Rennais</v>
      </c>
    </row>
    <row r="1757" spans="2:21" ht="15" customHeight="1">
      <c r="B1757" s="128" t="s">
        <v>1679</v>
      </c>
      <c r="C1757" s="128" t="s">
        <v>2982</v>
      </c>
      <c r="D1757" s="129">
        <v>46145.74827546296</v>
      </c>
      <c r="E1757" s="130">
        <v>22.2</v>
      </c>
      <c r="F1757" s="136">
        <v>4.4999999999999998E-2</v>
      </c>
      <c r="G1757" s="126">
        <f t="shared" si="28"/>
        <v>23.246073298429319</v>
      </c>
      <c r="H1757" s="126" t="s">
        <v>74</v>
      </c>
      <c r="I1757" s="127" t="s">
        <v>476</v>
      </c>
      <c r="J1757" s="126">
        <v>21</v>
      </c>
      <c r="K1757" s="126">
        <v>465</v>
      </c>
      <c r="L1757" s="129">
        <f>INT(base[[#This Row],[Data de liquidação]])</f>
        <v>46145</v>
      </c>
      <c r="M1757" s="126">
        <f>base[[#This Row],[L/P Bruto]]-base[[#This Row],[L/P Líquido]]</f>
        <v>1.0460732984293202</v>
      </c>
      <c r="N1757" s="126">
        <f>base[[#This Row],[L/P Líquido]]/base[[#This Row],[Stake/Responsabilidade]]</f>
        <v>4.7741935483870963E-2</v>
      </c>
      <c r="O1757" s="132">
        <f>IF(base[[#This Row],[L/P Líquido]]&gt;0,1,0)</f>
        <v>1</v>
      </c>
      <c r="P1757" s="132" t="s">
        <v>1058</v>
      </c>
      <c r="Q1757" s="132" t="str">
        <f>LEFT(base[[#This Row],[Evento / Mercado]],FIND("vs",base[[#This Row],[Evento / Mercado]])-2)</f>
        <v>Flamengo</v>
      </c>
      <c r="R17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1757" s="132" t="str">
        <f>LEFT(base[[#This Row],[Evento / Mercado]],FIND("/",base[[#This Row],[Evento / Mercado]])-2)</f>
        <v>Flamengo vs Vasco da Gama</v>
      </c>
    </row>
    <row r="1758" spans="2:21" ht="15" customHeight="1">
      <c r="B1758" s="128" t="s">
        <v>1678</v>
      </c>
      <c r="C1758" s="128" t="s">
        <v>2982</v>
      </c>
      <c r="D1758" s="129">
        <v>46145.748402777775</v>
      </c>
      <c r="E1758" s="130">
        <v>83.25</v>
      </c>
      <c r="F1758" s="136">
        <v>4.4999999999999998E-2</v>
      </c>
      <c r="G1758" s="126">
        <f t="shared" si="28"/>
        <v>87.172774869109958</v>
      </c>
      <c r="H1758" s="126" t="s">
        <v>145</v>
      </c>
      <c r="I1758" s="127" t="s">
        <v>301</v>
      </c>
      <c r="J1758" s="126">
        <v>7</v>
      </c>
      <c r="K1758" s="126">
        <v>523.02</v>
      </c>
      <c r="L1758" s="129">
        <f>INT(base[[#This Row],[Data de liquidação]])</f>
        <v>46145</v>
      </c>
      <c r="M1758" s="126">
        <f>base[[#This Row],[L/P Bruto]]-base[[#This Row],[L/P Líquido]]</f>
        <v>3.9227748691099578</v>
      </c>
      <c r="N1758" s="126">
        <f>base[[#This Row],[L/P Líquido]]/base[[#This Row],[Stake/Responsabilidade]]</f>
        <v>0.15917173339451646</v>
      </c>
      <c r="O1758" s="132">
        <f>IF(base[[#This Row],[L/P Líquido]]&gt;0,1,0)</f>
        <v>1</v>
      </c>
      <c r="P1758" s="132" t="s">
        <v>1058</v>
      </c>
      <c r="Q1758" s="132" t="str">
        <f>LEFT(base[[#This Row],[Evento / Mercado]],FIND("vs",base[[#This Row],[Evento / Mercado]])-2)</f>
        <v>Flamengo</v>
      </c>
      <c r="R17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1758" s="132" t="str">
        <f>LEFT(base[[#This Row],[Evento / Mercado]],FIND("/",base[[#This Row],[Evento / Mercado]])-2)</f>
        <v>Flamengo vs Vasco da Gama</v>
      </c>
    </row>
    <row r="1759" spans="2:21" ht="15" customHeight="1">
      <c r="B1759" s="128" t="s">
        <v>1677</v>
      </c>
      <c r="C1759" s="128" t="s">
        <v>2982</v>
      </c>
      <c r="D1759" s="129">
        <v>46145.758506944447</v>
      </c>
      <c r="E1759" s="130">
        <v>-2</v>
      </c>
      <c r="F1759" s="136">
        <v>4.4999999999999998E-2</v>
      </c>
      <c r="G1759" s="126">
        <f t="shared" si="28"/>
        <v>-2</v>
      </c>
      <c r="H1759" s="126" t="s">
        <v>1339</v>
      </c>
      <c r="I1759" s="127" t="s">
        <v>1429</v>
      </c>
      <c r="J1759" s="126">
        <v>1.96</v>
      </c>
      <c r="K1759" s="126">
        <v>2</v>
      </c>
      <c r="L1759" s="129">
        <f>INT(base[[#This Row],[Data de liquidação]])</f>
        <v>46145</v>
      </c>
      <c r="M1759" s="126">
        <f>base[[#This Row],[L/P Bruto]]-base[[#This Row],[L/P Líquido]]</f>
        <v>0</v>
      </c>
      <c r="N1759" s="126">
        <f>base[[#This Row],[L/P Líquido]]/base[[#This Row],[Stake/Responsabilidade]]</f>
        <v>-1</v>
      </c>
      <c r="O1759" s="132">
        <f>IF(base[[#This Row],[L/P Líquido]]&gt;0,1,0)</f>
        <v>0</v>
      </c>
      <c r="P1759" s="132"/>
      <c r="Q1759" s="132" t="str">
        <f>LEFT(base[[#This Row],[Evento / Mercado]],FIND("vs",base[[#This Row],[Evento / Mercado]])-2)</f>
        <v>New York City FC</v>
      </c>
      <c r="R17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DC United</v>
      </c>
      <c r="S1759" s="132" t="str">
        <f>LEFT(base[[#This Row],[Evento / Mercado]],FIND("/",base[[#This Row],[Evento / Mercado]])-2)</f>
        <v>New York City FC vs DC United</v>
      </c>
    </row>
    <row r="1760" spans="2:21" ht="15" customHeight="1">
      <c r="B1760" s="128" t="s">
        <v>1676</v>
      </c>
      <c r="C1760" s="128" t="s">
        <v>2982</v>
      </c>
      <c r="D1760" s="129">
        <v>46145.81490740741</v>
      </c>
      <c r="E1760" s="130">
        <v>-5.05</v>
      </c>
      <c r="F1760" s="136">
        <v>4.4999999999999998E-2</v>
      </c>
      <c r="G1760" s="126">
        <f t="shared" si="28"/>
        <v>-5.05</v>
      </c>
      <c r="H1760" s="126" t="s">
        <v>1339</v>
      </c>
      <c r="I1760" s="127" t="s">
        <v>1446</v>
      </c>
      <c r="J1760" s="126">
        <v>2.92</v>
      </c>
      <c r="K1760" s="126">
        <v>5.05</v>
      </c>
      <c r="L1760" s="129">
        <f>INT(base[[#This Row],[Data de liquidação]])</f>
        <v>46145</v>
      </c>
      <c r="M1760" s="126">
        <f>base[[#This Row],[L/P Bruto]]-base[[#This Row],[L/P Líquido]]</f>
        <v>0</v>
      </c>
      <c r="N1760" s="126">
        <f>base[[#This Row],[L/P Líquido]]/base[[#This Row],[Stake/Responsabilidade]]</f>
        <v>-1</v>
      </c>
      <c r="O1760" s="132">
        <f>IF(base[[#This Row],[L/P Líquido]]&gt;0,1,0)</f>
        <v>0</v>
      </c>
      <c r="P1760" s="132"/>
      <c r="Q1760" s="132" t="str">
        <f>LEFT(base[[#This Row],[Evento / Mercado]],FIND("vs",base[[#This Row],[Evento / Mercado]])-2)</f>
        <v>Independiente Medellín</v>
      </c>
      <c r="R17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Águilas Doradas</v>
      </c>
      <c r="S1760" s="132" t="str">
        <f>LEFT(base[[#This Row],[Evento / Mercado]],FIND("/",base[[#This Row],[Evento / Mercado]])-2)</f>
        <v>Independiente Medellín vs Águilas Doradas</v>
      </c>
    </row>
    <row r="1761" spans="2:21" ht="15" customHeight="1">
      <c r="B1761" s="128" t="s">
        <v>1675</v>
      </c>
      <c r="C1761" s="128" t="s">
        <v>2982</v>
      </c>
      <c r="D1761" s="129">
        <v>46145.852754629632</v>
      </c>
      <c r="E1761" s="130">
        <v>-30.78</v>
      </c>
      <c r="F1761" s="136">
        <v>4.4999999999999998E-2</v>
      </c>
      <c r="G1761" s="126">
        <f t="shared" si="28"/>
        <v>-30.78</v>
      </c>
      <c r="H1761" s="126" t="s">
        <v>1339</v>
      </c>
      <c r="I1761" s="127" t="s">
        <v>1390</v>
      </c>
      <c r="J1761" s="126">
        <v>8.6</v>
      </c>
      <c r="K1761" s="126">
        <v>30.78</v>
      </c>
      <c r="L1761" s="129">
        <f>INT(base[[#This Row],[Data de liquidação]])</f>
        <v>46145</v>
      </c>
      <c r="M1761" s="126">
        <f>base[[#This Row],[L/P Bruto]]-base[[#This Row],[L/P Líquido]]</f>
        <v>0</v>
      </c>
      <c r="N1761" s="126">
        <f>base[[#This Row],[L/P Líquido]]/base[[#This Row],[Stake/Responsabilidade]]</f>
        <v>-1</v>
      </c>
      <c r="O1761" s="132">
        <f>IF(base[[#This Row],[L/P Líquido]]&gt;0,1,0)</f>
        <v>0</v>
      </c>
      <c r="P1761" s="132"/>
      <c r="Q1761" s="132" t="str">
        <f>LEFT(base[[#This Row],[Evento / Mercado]],FIND("vs",base[[#This Row],[Evento / Mercado]])-2)</f>
        <v>River Plate</v>
      </c>
      <c r="R17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Tucumán</v>
      </c>
      <c r="S1761" s="132" t="str">
        <f>LEFT(base[[#This Row],[Evento / Mercado]],FIND("/",base[[#This Row],[Evento / Mercado]])-2)</f>
        <v>River Plate vs Atlético Tucumán</v>
      </c>
    </row>
    <row r="1762" spans="2:21" ht="15" customHeight="1">
      <c r="B1762" s="128" t="s">
        <v>1675</v>
      </c>
      <c r="C1762" s="128" t="s">
        <v>2982</v>
      </c>
      <c r="D1762" s="129">
        <v>46145.852754629632</v>
      </c>
      <c r="E1762" s="130">
        <v>-5.01</v>
      </c>
      <c r="F1762" s="136">
        <v>4.4999999999999998E-2</v>
      </c>
      <c r="G1762" s="126">
        <f t="shared" si="28"/>
        <v>-5.01</v>
      </c>
      <c r="H1762" s="126" t="s">
        <v>1339</v>
      </c>
      <c r="I1762" s="127" t="s">
        <v>1446</v>
      </c>
      <c r="J1762" s="126">
        <v>2.72</v>
      </c>
      <c r="K1762" s="126">
        <v>5.01</v>
      </c>
      <c r="L1762" s="129">
        <f>INT(base[[#This Row],[Data de liquidação]])</f>
        <v>46145</v>
      </c>
      <c r="M1762" s="126">
        <f>base[[#This Row],[L/P Bruto]]-base[[#This Row],[L/P Líquido]]</f>
        <v>0</v>
      </c>
      <c r="N1762" s="126">
        <f>base[[#This Row],[L/P Líquido]]/base[[#This Row],[Stake/Responsabilidade]]</f>
        <v>-1</v>
      </c>
      <c r="O1762" s="132">
        <f>IF(base[[#This Row],[L/P Líquido]]&gt;0,1,0)</f>
        <v>0</v>
      </c>
      <c r="P1762" s="132"/>
      <c r="Q1762" s="132" t="str">
        <f>LEFT(base[[#This Row],[Evento / Mercado]],FIND("vs",base[[#This Row],[Evento / Mercado]])-2)</f>
        <v>River Plate</v>
      </c>
      <c r="R17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Tucumán</v>
      </c>
      <c r="S1762" s="132" t="str">
        <f>LEFT(base[[#This Row],[Evento / Mercado]],FIND("/",base[[#This Row],[Evento / Mercado]])-2)</f>
        <v>River Plate vs Atlético Tucumán</v>
      </c>
    </row>
    <row r="1763" spans="2:21" ht="15" customHeight="1">
      <c r="B1763" s="128" t="s">
        <v>1675</v>
      </c>
      <c r="C1763" s="128" t="s">
        <v>2982</v>
      </c>
      <c r="D1763" s="129">
        <v>46145.852754629632</v>
      </c>
      <c r="E1763" s="130">
        <v>-379.98</v>
      </c>
      <c r="F1763" s="136">
        <v>4.4999999999999998E-2</v>
      </c>
      <c r="G1763" s="126">
        <f t="shared" si="28"/>
        <v>-379.98</v>
      </c>
      <c r="H1763" s="126" t="s">
        <v>145</v>
      </c>
      <c r="I1763" s="127" t="s">
        <v>301</v>
      </c>
      <c r="J1763" s="126">
        <v>7</v>
      </c>
      <c r="K1763" s="126">
        <v>379.98</v>
      </c>
      <c r="L1763" s="129">
        <f>INT(base[[#This Row],[Data de liquidação]])</f>
        <v>46145</v>
      </c>
      <c r="M1763" s="126">
        <f>base[[#This Row],[L/P Bruto]]-base[[#This Row],[L/P Líquido]]</f>
        <v>0</v>
      </c>
      <c r="N1763" s="126">
        <f>base[[#This Row],[L/P Líquido]]/base[[#This Row],[Stake/Responsabilidade]]</f>
        <v>-1</v>
      </c>
      <c r="O1763" s="132">
        <f>IF(base[[#This Row],[L/P Líquido]]&gt;0,1,0)</f>
        <v>0</v>
      </c>
      <c r="P1763" s="132" t="s">
        <v>1726</v>
      </c>
      <c r="Q1763" s="132" t="str">
        <f>LEFT(base[[#This Row],[Evento / Mercado]],FIND("vs",base[[#This Row],[Evento / Mercado]])-2)</f>
        <v>River Plate</v>
      </c>
      <c r="R17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Tucumán</v>
      </c>
      <c r="S1763" s="132" t="str">
        <f>LEFT(base[[#This Row],[Evento / Mercado]],FIND("/",base[[#This Row],[Evento / Mercado]])-2)</f>
        <v>River Plate vs Atlético Tucumán</v>
      </c>
    </row>
    <row r="1764" spans="2:21" ht="15" customHeight="1">
      <c r="B1764" s="128" t="s">
        <v>1674</v>
      </c>
      <c r="C1764" s="128" t="s">
        <v>2982</v>
      </c>
      <c r="D1764" s="129">
        <v>46145.852789351855</v>
      </c>
      <c r="E1764" s="130">
        <v>-15</v>
      </c>
      <c r="F1764" s="136">
        <v>4.4999999999999998E-2</v>
      </c>
      <c r="G1764" s="126">
        <f t="shared" si="28"/>
        <v>-15</v>
      </c>
      <c r="H1764" s="126" t="s">
        <v>211</v>
      </c>
      <c r="I1764" s="127" t="s">
        <v>1480</v>
      </c>
      <c r="J1764" s="126">
        <v>1.44</v>
      </c>
      <c r="K1764" s="126">
        <v>15</v>
      </c>
      <c r="L1764" s="129">
        <f>INT(base[[#This Row],[Data de liquidação]])</f>
        <v>46145</v>
      </c>
      <c r="M1764" s="126">
        <f>base[[#This Row],[L/P Bruto]]-base[[#This Row],[L/P Líquido]]</f>
        <v>0</v>
      </c>
      <c r="N1764" s="126">
        <f>base[[#This Row],[L/P Líquido]]/base[[#This Row],[Stake/Responsabilidade]]</f>
        <v>-1</v>
      </c>
      <c r="O1764" s="132">
        <f>IF(base[[#This Row],[L/P Líquido]]&gt;0,1,0)</f>
        <v>0</v>
      </c>
      <c r="P1764" s="132"/>
      <c r="Q1764" s="132" t="str">
        <f>LEFT(base[[#This Row],[Evento / Mercado]],FIND("vs",base[[#This Row],[Evento / Mercado]])-2)</f>
        <v>River Plate</v>
      </c>
      <c r="R17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Tucumán</v>
      </c>
      <c r="S1764" s="132" t="str">
        <f>LEFT(base[[#This Row],[Evento / Mercado]],FIND("/",base[[#This Row],[Evento / Mercado]])-2)</f>
        <v>River Plate vs Atlético Tucumán</v>
      </c>
    </row>
    <row r="1765" spans="2:21" ht="15" customHeight="1">
      <c r="B1765" s="128" t="s">
        <v>1673</v>
      </c>
      <c r="C1765" s="128" t="s">
        <v>2982</v>
      </c>
      <c r="D1765" s="129">
        <v>46145.857847222222</v>
      </c>
      <c r="E1765" s="130">
        <v>2.17</v>
      </c>
      <c r="F1765" s="136">
        <v>4.4999999999999998E-2</v>
      </c>
      <c r="G1765" s="126">
        <f t="shared" si="28"/>
        <v>2.2722513089005236</v>
      </c>
      <c r="H1765" s="126" t="s">
        <v>1339</v>
      </c>
      <c r="I1765" s="127" t="s">
        <v>1388</v>
      </c>
      <c r="J1765" s="126">
        <v>23</v>
      </c>
      <c r="K1765" s="126">
        <v>49.94</v>
      </c>
      <c r="L1765" s="129">
        <f>INT(base[[#This Row],[Data de liquidação]])</f>
        <v>46145</v>
      </c>
      <c r="M1765" s="126">
        <f>base[[#This Row],[L/P Bruto]]-base[[#This Row],[L/P Líquido]]</f>
        <v>0.1022513089005237</v>
      </c>
      <c r="N1765" s="126">
        <f>base[[#This Row],[L/P Líquido]]/base[[#This Row],[Stake/Responsabilidade]]</f>
        <v>4.3452142571085303E-2</v>
      </c>
      <c r="O1765" s="132">
        <f>IF(base[[#This Row],[L/P Líquido]]&gt;0,1,0)</f>
        <v>1</v>
      </c>
      <c r="P1765" s="132"/>
      <c r="Q1765" s="132" t="str">
        <f>LEFT(base[[#This Row],[Evento / Mercado]],FIND("vs",base[[#This Row],[Evento / Mercado]])-2)</f>
        <v>Austin FC</v>
      </c>
      <c r="R17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Saint Louis City SC</v>
      </c>
      <c r="S1765" s="132" t="str">
        <f>LEFT(base[[#This Row],[Evento / Mercado]],FIND("/",base[[#This Row],[Evento / Mercado]])-2)</f>
        <v>Austin FC vs Saint Louis City SC</v>
      </c>
    </row>
    <row r="1766" spans="2:21" ht="15" customHeight="1">
      <c r="B1766" s="128" t="s">
        <v>1672</v>
      </c>
      <c r="C1766" s="128" t="s">
        <v>2982</v>
      </c>
      <c r="D1766" s="129">
        <v>46145.858159722222</v>
      </c>
      <c r="E1766" s="130">
        <v>1.71</v>
      </c>
      <c r="F1766" s="136">
        <v>4.4999999999999998E-2</v>
      </c>
      <c r="G1766" s="126">
        <f t="shared" si="28"/>
        <v>1.7905759162303665</v>
      </c>
      <c r="H1766" s="126" t="s">
        <v>1339</v>
      </c>
      <c r="I1766" s="127" t="s">
        <v>1430</v>
      </c>
      <c r="J1766" s="126">
        <v>26</v>
      </c>
      <c r="K1766" s="126">
        <v>44.75</v>
      </c>
      <c r="L1766" s="129">
        <f>INT(base[[#This Row],[Data de liquidação]])</f>
        <v>46145</v>
      </c>
      <c r="M1766" s="126">
        <f>base[[#This Row],[L/P Bruto]]-base[[#This Row],[L/P Líquido]]</f>
        <v>8.0575916230366529E-2</v>
      </c>
      <c r="N1766" s="126">
        <f>base[[#This Row],[L/P Líquido]]/base[[#This Row],[Stake/Responsabilidade]]</f>
        <v>3.8212290502793296E-2</v>
      </c>
      <c r="O1766" s="132">
        <f>IF(base[[#This Row],[L/P Líquido]]&gt;0,1,0)</f>
        <v>1</v>
      </c>
      <c r="P1766" s="132"/>
      <c r="Q1766" s="132" t="str">
        <f>LEFT(base[[#This Row],[Evento / Mercado]],FIND("vs",base[[#This Row],[Evento / Mercado]])-2)</f>
        <v>Austin FC</v>
      </c>
      <c r="R17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Saint Louis City SC</v>
      </c>
      <c r="S1766" s="132" t="str">
        <f>LEFT(base[[#This Row],[Evento / Mercado]],FIND("/",base[[#This Row],[Evento / Mercado]])-2)</f>
        <v>Austin FC vs Saint Louis City SC</v>
      </c>
    </row>
    <row r="1767" spans="2:21" ht="15" customHeight="1">
      <c r="B1767" s="128" t="s">
        <v>1671</v>
      </c>
      <c r="C1767" s="128" t="s">
        <v>2982</v>
      </c>
      <c r="D1767" s="129">
        <v>46145.902118055557</v>
      </c>
      <c r="E1767" s="130">
        <v>2.5499999999999998</v>
      </c>
      <c r="F1767" s="136">
        <v>0</v>
      </c>
      <c r="G1767" s="126">
        <f t="shared" si="28"/>
        <v>2.5499999999999998</v>
      </c>
      <c r="H1767" s="126" t="s">
        <v>1339</v>
      </c>
      <c r="I1767" s="127" t="s">
        <v>1389</v>
      </c>
      <c r="J1767" s="126">
        <v>1.51</v>
      </c>
      <c r="K1767" s="126">
        <v>5</v>
      </c>
      <c r="L1767" s="129">
        <f>INT(base[[#This Row],[Data de liquidação]])</f>
        <v>46145</v>
      </c>
      <c r="M1767" s="126">
        <f>base[[#This Row],[L/P Bruto]]-base[[#This Row],[L/P Líquido]]</f>
        <v>0</v>
      </c>
      <c r="N1767" s="126">
        <f>base[[#This Row],[L/P Líquido]]/base[[#This Row],[Stake/Responsabilidade]]</f>
        <v>0.51</v>
      </c>
      <c r="O1767" s="132">
        <f>IF(base[[#This Row],[L/P Líquido]]&gt;0,1,0)</f>
        <v>1</v>
      </c>
      <c r="P1767" s="132"/>
      <c r="Q1767" s="132" t="str">
        <f>LEFT(base[[#This Row],[Evento / Mercado]],FIND("vs",base[[#This Row],[Evento / Mercado]])-2)</f>
        <v>América de Cali</v>
      </c>
      <c r="R17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Pereira</v>
      </c>
      <c r="S1767" s="132" t="str">
        <f>LEFT(base[[#This Row],[Evento / Mercado]],FIND("/",base[[#This Row],[Evento / Mercado]])-2)</f>
        <v>América de Cali vs Deportivo Pereira</v>
      </c>
      <c r="U1767" s="9"/>
    </row>
    <row r="1768" spans="2:21" ht="15" customHeight="1">
      <c r="B1768" s="128" t="s">
        <v>1671</v>
      </c>
      <c r="C1768" s="128" t="s">
        <v>2982</v>
      </c>
      <c r="D1768" s="129">
        <v>46145.902118055557</v>
      </c>
      <c r="E1768" s="130">
        <v>-2.13</v>
      </c>
      <c r="F1768" s="136">
        <v>4.4999999999999998E-2</v>
      </c>
      <c r="G1768" s="126">
        <f t="shared" si="28"/>
        <v>-2.13</v>
      </c>
      <c r="H1768" s="126" t="s">
        <v>1339</v>
      </c>
      <c r="I1768" s="127" t="s">
        <v>1236</v>
      </c>
      <c r="J1768" s="126">
        <v>5.8</v>
      </c>
      <c r="K1768" s="126">
        <v>4</v>
      </c>
      <c r="L1768" s="129">
        <f>INT(base[[#This Row],[Data de liquidação]])</f>
        <v>46145</v>
      </c>
      <c r="M1768" s="126">
        <f>base[[#This Row],[L/P Bruto]]-base[[#This Row],[L/P Líquido]]</f>
        <v>0</v>
      </c>
      <c r="N1768" s="126">
        <f>base[[#This Row],[L/P Líquido]]/base[[#This Row],[Stake/Responsabilidade]]</f>
        <v>-0.53249999999999997</v>
      </c>
      <c r="O1768" s="132">
        <f>IF(base[[#This Row],[L/P Líquido]]&gt;0,1,0)</f>
        <v>0</v>
      </c>
      <c r="P1768" s="132"/>
      <c r="Q1768" s="132" t="str">
        <f>LEFT(base[[#This Row],[Evento / Mercado]],FIND("vs",base[[#This Row],[Evento / Mercado]])-2)</f>
        <v>América de Cali</v>
      </c>
      <c r="R17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Pereira</v>
      </c>
      <c r="S1768" s="132" t="str">
        <f>LEFT(base[[#This Row],[Evento / Mercado]],FIND("/",base[[#This Row],[Evento / Mercado]])-2)</f>
        <v>América de Cali vs Deportivo Pereira</v>
      </c>
      <c r="U1768" s="9"/>
    </row>
    <row r="1769" spans="2:21" ht="15" customHeight="1">
      <c r="B1769" s="128" t="s">
        <v>1670</v>
      </c>
      <c r="C1769" s="128" t="s">
        <v>2982</v>
      </c>
      <c r="D1769" s="129">
        <v>46145.913101851853</v>
      </c>
      <c r="E1769" s="130">
        <v>3.77</v>
      </c>
      <c r="F1769" s="136">
        <v>4.4999999999999998E-2</v>
      </c>
      <c r="G1769" s="126">
        <f t="shared" si="28"/>
        <v>3.9476439790575917</v>
      </c>
      <c r="H1769" s="126" t="s">
        <v>1339</v>
      </c>
      <c r="I1769" s="127" t="s">
        <v>1390</v>
      </c>
      <c r="J1769" s="126">
        <v>8.4</v>
      </c>
      <c r="K1769" s="126">
        <v>29.23</v>
      </c>
      <c r="L1769" s="129">
        <f>INT(base[[#This Row],[Data de liquidação]])</f>
        <v>46145</v>
      </c>
      <c r="M1769" s="126">
        <f>base[[#This Row],[L/P Bruto]]-base[[#This Row],[L/P Líquido]]</f>
        <v>0.17764397905759166</v>
      </c>
      <c r="N1769" s="126">
        <f>base[[#This Row],[L/P Líquido]]/base[[#This Row],[Stake/Responsabilidade]]</f>
        <v>0.12897707834416694</v>
      </c>
      <c r="O1769" s="132">
        <f>IF(base[[#This Row],[L/P Líquido]]&gt;0,1,0)</f>
        <v>1</v>
      </c>
      <c r="P1769" s="132"/>
      <c r="Q1769" s="132" t="str">
        <f>LEFT(base[[#This Row],[Evento / Mercado]],FIND("vs",base[[#This Row],[Evento / Mercado]])-2)</f>
        <v>FBC Melgar</v>
      </c>
      <c r="R17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Técnica de Cajamarca</v>
      </c>
      <c r="S1769" s="132" t="str">
        <f>LEFT(base[[#This Row],[Evento / Mercado]],FIND("/",base[[#This Row],[Evento / Mercado]])-2)</f>
        <v>FBC Melgar vs Universidad Técnica de Cajamarca</v>
      </c>
    </row>
    <row r="1770" spans="2:21" ht="15" customHeight="1">
      <c r="B1770" s="128" t="s">
        <v>1669</v>
      </c>
      <c r="C1770" s="128" t="s">
        <v>2982</v>
      </c>
      <c r="D1770" s="129">
        <v>46145.92728009259</v>
      </c>
      <c r="E1770" s="130">
        <v>105.43</v>
      </c>
      <c r="F1770" s="136">
        <v>4.4999999999999998E-2</v>
      </c>
      <c r="G1770" s="126">
        <f t="shared" si="28"/>
        <v>110.39790575916231</v>
      </c>
      <c r="H1770" s="126" t="s">
        <v>231</v>
      </c>
      <c r="I1770" s="127" t="s">
        <v>266</v>
      </c>
      <c r="J1770" s="126">
        <v>1.96</v>
      </c>
      <c r="K1770" s="126">
        <v>115</v>
      </c>
      <c r="L1770" s="129">
        <f>INT(base[[#This Row],[Data de liquidação]])</f>
        <v>46145</v>
      </c>
      <c r="M1770" s="126">
        <f>base[[#This Row],[L/P Bruto]]-base[[#This Row],[L/P Líquido]]</f>
        <v>4.9679057591623064</v>
      </c>
      <c r="N1770" s="126">
        <f>base[[#This Row],[L/P Líquido]]/base[[#This Row],[Stake/Responsabilidade]]</f>
        <v>0.9167826086956522</v>
      </c>
      <c r="O1770" s="132">
        <f>IF(base[[#This Row],[L/P Líquido]]&gt;0,1,0)</f>
        <v>1</v>
      </c>
      <c r="P1770" s="132"/>
      <c r="Q1770" s="132" t="str">
        <f>LEFT(base[[#This Row],[Evento / Mercado]],FIND("vs",base[[#This Row],[Evento / Mercado]])-2)</f>
        <v>Mirassol FC</v>
      </c>
      <c r="R17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Corinthians</v>
      </c>
      <c r="S1770" s="132" t="str">
        <f>LEFT(base[[#This Row],[Evento / Mercado]],FIND("/",base[[#This Row],[Evento / Mercado]])-2)</f>
        <v>Mirassol FC vs Corinthians</v>
      </c>
    </row>
    <row r="1771" spans="2:21" ht="15" customHeight="1">
      <c r="B1771" s="128" t="s">
        <v>1737</v>
      </c>
      <c r="C1771" s="128" t="s">
        <v>2982</v>
      </c>
      <c r="D1771" s="129">
        <v>46146.613125000003</v>
      </c>
      <c r="E1771" s="130">
        <v>72.38</v>
      </c>
      <c r="F1771" s="136">
        <v>4.4999999999999998E-2</v>
      </c>
      <c r="G1771" s="126">
        <f t="shared" si="28"/>
        <v>75.790575916230367</v>
      </c>
      <c r="H1771" s="126" t="s">
        <v>231</v>
      </c>
      <c r="I1771" s="127" t="s">
        <v>266</v>
      </c>
      <c r="J1771" s="126">
        <v>1.66</v>
      </c>
      <c r="K1771" s="126">
        <v>114.84</v>
      </c>
      <c r="L1771" s="129">
        <f>INT(base[[#This Row],[Data de liquidação]])</f>
        <v>46146</v>
      </c>
      <c r="M1771" s="126">
        <f>base[[#This Row],[L/P Bruto]]-base[[#This Row],[L/P Líquido]]</f>
        <v>3.4105759162303713</v>
      </c>
      <c r="N1771" s="126">
        <f>base[[#This Row],[L/P Líquido]]/base[[#This Row],[Stake/Responsabilidade]]</f>
        <v>0.63026819923371646</v>
      </c>
      <c r="O1771" s="132">
        <f>IF(base[[#This Row],[L/P Líquido]]&gt;0,1,0)</f>
        <v>1</v>
      </c>
      <c r="P1771" s="132"/>
      <c r="Q1771" s="132" t="str">
        <f>LEFT(base[[#This Row],[Evento / Mercado]],FIND("vs",base[[#This Row],[Evento / Mercado]])-2)</f>
        <v>Hearts</v>
      </c>
      <c r="R17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Rangers</v>
      </c>
      <c r="S1771" s="132" t="str">
        <f>LEFT(base[[#This Row],[Evento / Mercado]],FIND("/",base[[#This Row],[Evento / Mercado]])-2)</f>
        <v>Hearts vs Rangers</v>
      </c>
    </row>
    <row r="1772" spans="2:21" ht="15" customHeight="1">
      <c r="B1772" s="128" t="s">
        <v>1736</v>
      </c>
      <c r="C1772" s="128" t="s">
        <v>2982</v>
      </c>
      <c r="D1772" s="129">
        <v>46146.617025462961</v>
      </c>
      <c r="E1772" s="130">
        <v>-5</v>
      </c>
      <c r="F1772" s="136">
        <v>4.4999999999999998E-2</v>
      </c>
      <c r="G1772" s="126">
        <f t="shared" si="28"/>
        <v>-5</v>
      </c>
      <c r="H1772" s="126" t="s">
        <v>1339</v>
      </c>
      <c r="I1772" s="127" t="s">
        <v>1389</v>
      </c>
      <c r="J1772" s="126">
        <v>14</v>
      </c>
      <c r="K1772" s="126">
        <v>5</v>
      </c>
      <c r="L1772" s="129">
        <f>INT(base[[#This Row],[Data de liquidação]])</f>
        <v>46146</v>
      </c>
      <c r="M1772" s="126">
        <f>base[[#This Row],[L/P Bruto]]-base[[#This Row],[L/P Líquido]]</f>
        <v>0</v>
      </c>
      <c r="N1772" s="126">
        <f>base[[#This Row],[L/P Líquido]]/base[[#This Row],[Stake/Responsabilidade]]</f>
        <v>-1</v>
      </c>
      <c r="O1772" s="132">
        <f>IF(base[[#This Row],[L/P Líquido]]&gt;0,1,0)</f>
        <v>0</v>
      </c>
      <c r="P1772" s="132"/>
      <c r="Q1772" s="132" t="str">
        <f>LEFT(base[[#This Row],[Evento / Mercado]],FIND("vs",base[[#This Row],[Evento / Mercado]])-2)</f>
        <v>Derry City</v>
      </c>
      <c r="R17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1772" s="132" t="str">
        <f>LEFT(base[[#This Row],[Evento / Mercado]],FIND("/",base[[#This Row],[Evento / Mercado]])-2)</f>
        <v>Derry City vs Galway United</v>
      </c>
    </row>
    <row r="1773" spans="2:21" ht="15" customHeight="1">
      <c r="B1773" s="128" t="s">
        <v>1735</v>
      </c>
      <c r="C1773" s="128" t="s">
        <v>2982</v>
      </c>
      <c r="D1773" s="129">
        <v>46146.665219907409</v>
      </c>
      <c r="E1773" s="130">
        <v>-4.7300000000000004</v>
      </c>
      <c r="F1773" s="136">
        <v>4.4999999999999998E-2</v>
      </c>
      <c r="G1773" s="126">
        <f t="shared" si="28"/>
        <v>-4.7300000000000004</v>
      </c>
      <c r="H1773" s="126" t="s">
        <v>1339</v>
      </c>
      <c r="I1773" s="127" t="s">
        <v>1236</v>
      </c>
      <c r="J1773" s="126">
        <v>8.6</v>
      </c>
      <c r="K1773" s="126">
        <v>4</v>
      </c>
      <c r="L1773" s="129">
        <f>INT(base[[#This Row],[Data de liquidação]])</f>
        <v>46146</v>
      </c>
      <c r="M1773" s="126">
        <f>base[[#This Row],[L/P Bruto]]-base[[#This Row],[L/P Líquido]]</f>
        <v>0</v>
      </c>
      <c r="N1773" s="126">
        <f>base[[#This Row],[L/P Líquido]]/base[[#This Row],[Stake/Responsabilidade]]</f>
        <v>-1.1825000000000001</v>
      </c>
      <c r="O1773" s="132">
        <f>IF(base[[#This Row],[L/P Líquido]]&gt;0,1,0)</f>
        <v>0</v>
      </c>
      <c r="P1773" s="132"/>
      <c r="Q1773" s="132" t="str">
        <f>LEFT(base[[#This Row],[Evento / Mercado]],FIND("vs",base[[#This Row],[Evento / Mercado]])-2)</f>
        <v>Bodø/Glimt</v>
      </c>
      <c r="R1773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1773" s="132" t="str">
        <f>LEFT(base[[#This Row],[Evento / Mercado]],FIND("/",base[[#This Row],[Evento / Mercado]])-2)</f>
        <v>Bod</v>
      </c>
    </row>
    <row r="1774" spans="2:21" ht="15" customHeight="1">
      <c r="B1774" s="128" t="s">
        <v>1564</v>
      </c>
      <c r="C1774" s="128" t="s">
        <v>2982</v>
      </c>
      <c r="D1774" s="129">
        <v>46146.697152777779</v>
      </c>
      <c r="E1774" s="130">
        <v>24.4</v>
      </c>
      <c r="F1774" s="136">
        <v>4.4999999999999998E-2</v>
      </c>
      <c r="G1774" s="126">
        <f t="shared" si="28"/>
        <v>25.549738219895289</v>
      </c>
      <c r="H1774" s="126" t="s">
        <v>211</v>
      </c>
      <c r="I1774" s="127" t="s">
        <v>1480</v>
      </c>
      <c r="J1774" s="126">
        <v>1.73</v>
      </c>
      <c r="K1774" s="126">
        <v>35</v>
      </c>
      <c r="L1774" s="129">
        <f>INT(base[[#This Row],[Data de liquidação]])</f>
        <v>46146</v>
      </c>
      <c r="M1774" s="126">
        <f>base[[#This Row],[L/P Bruto]]-base[[#This Row],[L/P Líquido]]</f>
        <v>1.1497382198952906</v>
      </c>
      <c r="N1774" s="126">
        <f>base[[#This Row],[L/P Líquido]]/base[[#This Row],[Stake/Responsabilidade]]</f>
        <v>0.69714285714285706</v>
      </c>
      <c r="O1774" s="132">
        <f>IF(base[[#This Row],[L/P Líquido]]&gt;0,1,0)</f>
        <v>1</v>
      </c>
      <c r="P1774" s="132"/>
      <c r="Q1774" s="132" t="str">
        <f>LEFT(base[[#This Row],[Evento / Mercado]],FIND("vs",base[[#This Row],[Evento / Mercado]])-2)</f>
        <v>Everton</v>
      </c>
      <c r="R17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774" s="132" t="str">
        <f>LEFT(base[[#This Row],[Evento / Mercado]],FIND("/",base[[#This Row],[Evento / Mercado]])-2)</f>
        <v>Everton vs Manchester City</v>
      </c>
    </row>
    <row r="1775" spans="2:21" ht="15" customHeight="1">
      <c r="B1775" s="128" t="s">
        <v>1734</v>
      </c>
      <c r="C1775" s="128" t="s">
        <v>2982</v>
      </c>
      <c r="D1775" s="129">
        <v>46146.706145833334</v>
      </c>
      <c r="E1775" s="130">
        <v>1.06</v>
      </c>
      <c r="F1775" s="136">
        <v>4.4999999999999998E-2</v>
      </c>
      <c r="G1775" s="126">
        <f t="shared" si="28"/>
        <v>1.1099476439790577</v>
      </c>
      <c r="H1775" s="126" t="s">
        <v>1339</v>
      </c>
      <c r="I1775" s="127" t="s">
        <v>1336</v>
      </c>
      <c r="J1775" s="126">
        <v>1.48</v>
      </c>
      <c r="K1775" s="126">
        <v>5</v>
      </c>
      <c r="L1775" s="129">
        <f>INT(base[[#This Row],[Data de liquidação]])</f>
        <v>46146</v>
      </c>
      <c r="M1775" s="126">
        <f>base[[#This Row],[L/P Bruto]]-base[[#This Row],[L/P Líquido]]</f>
        <v>4.9947643979057599E-2</v>
      </c>
      <c r="N1775" s="126">
        <f>base[[#This Row],[L/P Líquido]]/base[[#This Row],[Stake/Responsabilidade]]</f>
        <v>0.21200000000000002</v>
      </c>
      <c r="O1775" s="132">
        <f>IF(base[[#This Row],[L/P Líquido]]&gt;0,1,0)</f>
        <v>1</v>
      </c>
      <c r="P1775" s="132"/>
      <c r="Q1775" s="132" t="str">
        <f>LEFT(base[[#This Row],[Evento / Mercado]],FIND("vs",base[[#This Row],[Evento / Mercado]])-2)</f>
        <v>Al-Ettifaq</v>
      </c>
      <c r="R17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Najma Club</v>
      </c>
      <c r="S1775" s="132" t="str">
        <f>LEFT(base[[#This Row],[Evento / Mercado]],FIND("/",base[[#This Row],[Evento / Mercado]])-2)</f>
        <v>Al-Ettifaq vs Al Najma Club</v>
      </c>
    </row>
    <row r="1776" spans="2:21" ht="15" customHeight="1">
      <c r="B1776" s="128" t="s">
        <v>1733</v>
      </c>
      <c r="C1776" s="128" t="s">
        <v>2982</v>
      </c>
      <c r="D1776" s="129">
        <v>46146.708298611113</v>
      </c>
      <c r="E1776" s="130">
        <v>3.41</v>
      </c>
      <c r="F1776" s="136">
        <v>4.4999999999999998E-2</v>
      </c>
      <c r="G1776" s="126">
        <f t="shared" si="28"/>
        <v>3.5706806282722514</v>
      </c>
      <c r="H1776" s="126" t="s">
        <v>1339</v>
      </c>
      <c r="I1776" s="127" t="s">
        <v>1388</v>
      </c>
      <c r="J1776" s="126">
        <v>15.5</v>
      </c>
      <c r="K1776" s="126">
        <v>51.77</v>
      </c>
      <c r="L1776" s="129">
        <f>INT(base[[#This Row],[Data de liquidação]])</f>
        <v>46146</v>
      </c>
      <c r="M1776" s="126">
        <f>base[[#This Row],[L/P Bruto]]-base[[#This Row],[L/P Líquido]]</f>
        <v>0.16068062827225127</v>
      </c>
      <c r="N1776" s="126">
        <f>base[[#This Row],[L/P Líquido]]/base[[#This Row],[Stake/Responsabilidade]]</f>
        <v>6.5868263473053884E-2</v>
      </c>
      <c r="O1776" s="132">
        <f>IF(base[[#This Row],[L/P Líquido]]&gt;0,1,0)</f>
        <v>1</v>
      </c>
      <c r="P1776" s="132"/>
      <c r="Q1776" s="132" t="str">
        <f>LEFT(base[[#This Row],[Evento / Mercado]],FIND("vs",base[[#This Row],[Evento / Mercado]])-2)</f>
        <v>Al-Ittihad Jeddah</v>
      </c>
      <c r="R17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Al-Kholood Club</v>
      </c>
      <c r="S1776" s="132" t="str">
        <f>LEFT(base[[#This Row],[Evento / Mercado]],FIND("/",base[[#This Row],[Evento / Mercado]])-2)</f>
        <v>Al-Ittihad Jeddah vs Al-Kholood Club</v>
      </c>
    </row>
    <row r="1777" spans="2:19" ht="15" customHeight="1">
      <c r="B1777" s="128" t="s">
        <v>1732</v>
      </c>
      <c r="C1777" s="128" t="s">
        <v>2982</v>
      </c>
      <c r="D1777" s="129">
        <v>46146.728113425925</v>
      </c>
      <c r="E1777" s="130">
        <v>92.25</v>
      </c>
      <c r="F1777" s="136">
        <v>4.4999999999999998E-2</v>
      </c>
      <c r="G1777" s="126">
        <f t="shared" si="28"/>
        <v>96.596858638743456</v>
      </c>
      <c r="H1777" s="126" t="s">
        <v>231</v>
      </c>
      <c r="I1777" s="127" t="s">
        <v>266</v>
      </c>
      <c r="J1777" s="126">
        <v>1.84</v>
      </c>
      <c r="K1777" s="126">
        <v>115</v>
      </c>
      <c r="L1777" s="129">
        <f>INT(base[[#This Row],[Data de liquidação]])</f>
        <v>46146</v>
      </c>
      <c r="M1777" s="126">
        <f>base[[#This Row],[L/P Bruto]]-base[[#This Row],[L/P Líquido]]</f>
        <v>4.3468586387434556</v>
      </c>
      <c r="N1777" s="126">
        <f>base[[#This Row],[L/P Líquido]]/base[[#This Row],[Stake/Responsabilidade]]</f>
        <v>0.80217391304347829</v>
      </c>
      <c r="O1777" s="132">
        <f>IF(base[[#This Row],[L/P Líquido]]&gt;0,1,0)</f>
        <v>1</v>
      </c>
      <c r="P1777" s="132"/>
      <c r="Q1777" s="132" t="str">
        <f>LEFT(base[[#This Row],[Evento / Mercado]],FIND("vs",base[[#This Row],[Evento / Mercado]])-2)</f>
        <v>Everton</v>
      </c>
      <c r="R17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777" s="132" t="str">
        <f>LEFT(base[[#This Row],[Evento / Mercado]],FIND("/",base[[#This Row],[Evento / Mercado]])-2)</f>
        <v>Everton vs Manchester City</v>
      </c>
    </row>
    <row r="1778" spans="2:19" ht="15" customHeight="1">
      <c r="B1778" s="128" t="s">
        <v>1731</v>
      </c>
      <c r="C1778" s="128" t="s">
        <v>2982</v>
      </c>
      <c r="D1778" s="129">
        <v>46146.72929398148</v>
      </c>
      <c r="E1778" s="130">
        <v>4.1500000000000004</v>
      </c>
      <c r="F1778" s="136">
        <v>4.4999999999999998E-2</v>
      </c>
      <c r="G1778" s="126">
        <f t="shared" si="28"/>
        <v>4.345549738219896</v>
      </c>
      <c r="H1778" s="126" t="s">
        <v>1339</v>
      </c>
      <c r="I1778" s="127" t="s">
        <v>1388</v>
      </c>
      <c r="J1778" s="126">
        <v>13</v>
      </c>
      <c r="K1778" s="126">
        <v>52.2</v>
      </c>
      <c r="L1778" s="129">
        <f>INT(base[[#This Row],[Data de liquidação]])</f>
        <v>46146</v>
      </c>
      <c r="M1778" s="126">
        <f>base[[#This Row],[L/P Bruto]]-base[[#This Row],[L/P Líquido]]</f>
        <v>0.19554973821989563</v>
      </c>
      <c r="N1778" s="126">
        <f>base[[#This Row],[L/P Líquido]]/base[[#This Row],[Stake/Responsabilidade]]</f>
        <v>7.9501915708812265E-2</v>
      </c>
      <c r="O1778" s="132">
        <f>IF(base[[#This Row],[L/P Líquido]]&gt;0,1,0)</f>
        <v>1</v>
      </c>
      <c r="P1778" s="132"/>
      <c r="Q1778" s="132" t="str">
        <f>LEFT(base[[#This Row],[Evento / Mercado]],FIND("vs",base[[#This Row],[Evento / Mercado]])-2)</f>
        <v>LASK Linz</v>
      </c>
      <c r="R17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Rapid Wien</v>
      </c>
      <c r="S1778" s="132" t="str">
        <f>LEFT(base[[#This Row],[Evento / Mercado]],FIND("/",base[[#This Row],[Evento / Mercado]])-2)</f>
        <v>LASK Linz vs SK Rapid Wien</v>
      </c>
    </row>
    <row r="1779" spans="2:19" ht="15" customHeight="1">
      <c r="B1779" s="128" t="s">
        <v>1730</v>
      </c>
      <c r="C1779" s="128" t="s">
        <v>2982</v>
      </c>
      <c r="D1779" s="129">
        <v>46146.748217592591</v>
      </c>
      <c r="E1779" s="130">
        <v>53.37</v>
      </c>
      <c r="F1779" s="136">
        <v>4.4999999999999998E-2</v>
      </c>
      <c r="G1779" s="126">
        <f t="shared" si="28"/>
        <v>55.8848167539267</v>
      </c>
      <c r="H1779" s="126" t="s">
        <v>145</v>
      </c>
      <c r="I1779" s="127" t="s">
        <v>300</v>
      </c>
      <c r="J1779" s="126">
        <v>7.8</v>
      </c>
      <c r="K1779" s="126">
        <v>379.88</v>
      </c>
      <c r="L1779" s="129">
        <f>INT(base[[#This Row],[Data de liquidação]])</f>
        <v>46146</v>
      </c>
      <c r="M1779" s="126">
        <f>base[[#This Row],[L/P Bruto]]-base[[#This Row],[L/P Líquido]]</f>
        <v>2.5148167539267021</v>
      </c>
      <c r="N1779" s="126">
        <f>base[[#This Row],[L/P Líquido]]/base[[#This Row],[Stake/Responsabilidade]]</f>
        <v>0.14049173423186267</v>
      </c>
      <c r="O1779" s="132">
        <f>IF(base[[#This Row],[L/P Líquido]]&gt;0,1,0)</f>
        <v>1</v>
      </c>
      <c r="P1779" s="132" t="s">
        <v>963</v>
      </c>
      <c r="Q1779" s="132" t="str">
        <f>LEFT(base[[#This Row],[Evento / Mercado]],FIND("vs",base[[#This Row],[Evento / Mercado]])-2)</f>
        <v>Everton</v>
      </c>
      <c r="R17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779" s="132" t="str">
        <f>LEFT(base[[#This Row],[Evento / Mercado]],FIND("/",base[[#This Row],[Evento / Mercado]])-2)</f>
        <v>Everton vs Manchester City</v>
      </c>
    </row>
    <row r="1780" spans="2:19" ht="15" customHeight="1">
      <c r="B1780" s="128" t="s">
        <v>1729</v>
      </c>
      <c r="C1780" s="128" t="s">
        <v>2982</v>
      </c>
      <c r="D1780" s="129">
        <v>46146.750243055554</v>
      </c>
      <c r="E1780" s="130">
        <v>-115.58</v>
      </c>
      <c r="F1780" s="136">
        <v>4.4999999999999998E-2</v>
      </c>
      <c r="G1780" s="126">
        <f t="shared" si="28"/>
        <v>-115.58</v>
      </c>
      <c r="H1780" s="126" t="s">
        <v>231</v>
      </c>
      <c r="I1780" s="127" t="s">
        <v>232</v>
      </c>
      <c r="J1780" s="126">
        <v>2.02</v>
      </c>
      <c r="K1780" s="126">
        <v>115.58</v>
      </c>
      <c r="L1780" s="129">
        <f>INT(base[[#This Row],[Data de liquidação]])</f>
        <v>46146</v>
      </c>
      <c r="M1780" s="126">
        <f>base[[#This Row],[L/P Bruto]]-base[[#This Row],[L/P Líquido]]</f>
        <v>0</v>
      </c>
      <c r="N1780" s="126">
        <f>base[[#This Row],[L/P Líquido]]/base[[#This Row],[Stake/Responsabilidade]]</f>
        <v>-1</v>
      </c>
      <c r="O1780" s="132">
        <f>IF(base[[#This Row],[L/P Líquido]]&gt;0,1,0)</f>
        <v>0</v>
      </c>
      <c r="P1780" s="132"/>
      <c r="Q1780" s="132" t="str">
        <f>LEFT(base[[#This Row],[Evento / Mercado]],FIND("vs",base[[#This Row],[Evento / Mercado]])-2)</f>
        <v>Sevilla</v>
      </c>
      <c r="R17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1780" s="132" t="str">
        <f>LEFT(base[[#This Row],[Evento / Mercado]],FIND("/",base[[#This Row],[Evento / Mercado]])-2)</f>
        <v>Sevilla vs Real Sociedad</v>
      </c>
    </row>
    <row r="1781" spans="2:19" ht="15" customHeight="1">
      <c r="B1781" s="128" t="s">
        <v>1728</v>
      </c>
      <c r="C1781" s="128" t="s">
        <v>2982</v>
      </c>
      <c r="D1781" s="129">
        <v>46146.906365740739</v>
      </c>
      <c r="E1781" s="130">
        <v>-2</v>
      </c>
      <c r="F1781" s="136">
        <v>4.4999999999999998E-2</v>
      </c>
      <c r="G1781" s="126">
        <f t="shared" si="28"/>
        <v>-2</v>
      </c>
      <c r="H1781" s="126" t="s">
        <v>1339</v>
      </c>
      <c r="I1781" s="127" t="s">
        <v>1429</v>
      </c>
      <c r="J1781" s="126">
        <v>2.02</v>
      </c>
      <c r="K1781" s="126">
        <v>2</v>
      </c>
      <c r="L1781" s="129">
        <f>INT(base[[#This Row],[Data de liquidação]])</f>
        <v>46146</v>
      </c>
      <c r="M1781" s="126">
        <f>base[[#This Row],[L/P Bruto]]-base[[#This Row],[L/P Líquido]]</f>
        <v>0</v>
      </c>
      <c r="N1781" s="126">
        <f>base[[#This Row],[L/P Líquido]]/base[[#This Row],[Stake/Responsabilidade]]</f>
        <v>-1</v>
      </c>
      <c r="O1781" s="132">
        <f>IF(base[[#This Row],[L/P Líquido]]&gt;0,1,0)</f>
        <v>0</v>
      </c>
      <c r="P1781" s="132"/>
      <c r="Q1781" s="132" t="str">
        <f>LEFT(base[[#This Row],[Evento / Mercado]],FIND("vs",base[[#This Row],[Evento / Mercado]])-2)</f>
        <v>Vélez Sársfield</v>
      </c>
      <c r="R17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Newell's Old Boys</v>
      </c>
      <c r="S1781" s="132" t="str">
        <f>LEFT(base[[#This Row],[Evento / Mercado]],FIND("/",base[[#This Row],[Evento / Mercado]])-2)</f>
        <v>Vélez Sársfield vs Newell's Old Boys</v>
      </c>
    </row>
    <row r="1782" spans="2:19" ht="15" customHeight="1">
      <c r="B1782" s="128" t="s">
        <v>1727</v>
      </c>
      <c r="C1782" s="128" t="s">
        <v>2982</v>
      </c>
      <c r="D1782" s="129">
        <v>46146.953796296293</v>
      </c>
      <c r="E1782" s="130">
        <v>-2</v>
      </c>
      <c r="F1782" s="136">
        <v>4.4999999999999998E-2</v>
      </c>
      <c r="G1782" s="126">
        <f t="shared" si="28"/>
        <v>-2</v>
      </c>
      <c r="H1782" s="126" t="s">
        <v>1339</v>
      </c>
      <c r="I1782" s="127" t="s">
        <v>1429</v>
      </c>
      <c r="J1782" s="126">
        <v>2.14</v>
      </c>
      <c r="K1782" s="126">
        <v>2</v>
      </c>
      <c r="L1782" s="129">
        <f>INT(base[[#This Row],[Data de liquidação]])</f>
        <v>46146</v>
      </c>
      <c r="M1782" s="126">
        <f>base[[#This Row],[L/P Bruto]]-base[[#This Row],[L/P Líquido]]</f>
        <v>0</v>
      </c>
      <c r="N1782" s="126">
        <f>base[[#This Row],[L/P Líquido]]/base[[#This Row],[Stake/Responsabilidade]]</f>
        <v>-1</v>
      </c>
      <c r="O1782" s="132">
        <f>IF(base[[#This Row],[L/P Líquido]]&gt;0,1,0)</f>
        <v>0</v>
      </c>
      <c r="P1782" s="132"/>
      <c r="Q1782" s="132" t="str">
        <f>LEFT(base[[#This Row],[Evento / Mercado]],FIND("vs",base[[#This Row],[Evento / Mercado]])-2)</f>
        <v>Universitario de Vinto</v>
      </c>
      <c r="R17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Blooming Santa Cruz</v>
      </c>
      <c r="S1782" s="132" t="str">
        <f>LEFT(base[[#This Row],[Evento / Mercado]],FIND("/",base[[#This Row],[Evento / Mercado]])-2)</f>
        <v>Universitario de Vinto vs Blooming Santa Cruz</v>
      </c>
    </row>
    <row r="1783" spans="2:19" ht="15" customHeight="1">
      <c r="B1783" s="128" t="s">
        <v>1745</v>
      </c>
      <c r="C1783" s="128" t="s">
        <v>2982</v>
      </c>
      <c r="D1783" s="129">
        <v>46147.438240740739</v>
      </c>
      <c r="E1783" s="130">
        <v>-49.95</v>
      </c>
      <c r="F1783" s="136">
        <v>4.4999999999999998E-2</v>
      </c>
      <c r="G1783" s="126">
        <f t="shared" si="28"/>
        <v>-49.95</v>
      </c>
      <c r="H1783" s="126" t="s">
        <v>1339</v>
      </c>
      <c r="I1783" s="127" t="s">
        <v>1388</v>
      </c>
      <c r="J1783" s="126">
        <v>19.5</v>
      </c>
      <c r="K1783" s="126">
        <v>49.95</v>
      </c>
      <c r="L1783" s="129">
        <f>INT(base[[#This Row],[Data de liquidação]])</f>
        <v>46147</v>
      </c>
      <c r="M1783" s="126">
        <f>base[[#This Row],[L/P Bruto]]-base[[#This Row],[L/P Líquido]]</f>
        <v>0</v>
      </c>
      <c r="N1783" s="126">
        <f>base[[#This Row],[L/P Líquido]]/base[[#This Row],[Stake/Responsabilidade]]</f>
        <v>-1</v>
      </c>
      <c r="O1783" s="132">
        <f>IF(base[[#This Row],[L/P Líquido]]&gt;0,1,0)</f>
        <v>0</v>
      </c>
      <c r="P1783" s="132"/>
      <c r="Q1783" s="132" t="str">
        <f>LEFT(base[[#This Row],[Evento / Mercado]],FIND("vs",base[[#This Row],[Evento / Mercado]])-2)</f>
        <v>Shandong Taishan</v>
      </c>
      <c r="R17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Shenhua</v>
      </c>
      <c r="S1783" s="132" t="str">
        <f>LEFT(base[[#This Row],[Evento / Mercado]],FIND("/",base[[#This Row],[Evento / Mercado]])-2)</f>
        <v>Shandong Taishan vs Shanghai Shenhua</v>
      </c>
    </row>
    <row r="1784" spans="2:19" ht="15" customHeight="1">
      <c r="B1784" s="128" t="s">
        <v>1744</v>
      </c>
      <c r="C1784" s="128" t="s">
        <v>2982</v>
      </c>
      <c r="D1784" s="129">
        <v>46147.497233796297</v>
      </c>
      <c r="E1784" s="130">
        <v>3.82</v>
      </c>
      <c r="F1784" s="136">
        <v>4.4999999999999998E-2</v>
      </c>
      <c r="G1784" s="126">
        <f t="shared" si="28"/>
        <v>4</v>
      </c>
      <c r="H1784" s="126" t="s">
        <v>1339</v>
      </c>
      <c r="I1784" s="127" t="s">
        <v>1236</v>
      </c>
      <c r="J1784" s="126">
        <v>10.5</v>
      </c>
      <c r="K1784" s="126">
        <v>4</v>
      </c>
      <c r="L1784" s="129">
        <f>INT(base[[#This Row],[Data de liquidação]])</f>
        <v>46147</v>
      </c>
      <c r="M1784" s="126">
        <f>base[[#This Row],[L/P Bruto]]-base[[#This Row],[L/P Líquido]]</f>
        <v>0.18000000000000016</v>
      </c>
      <c r="N1784" s="126">
        <f>base[[#This Row],[L/P Líquido]]/base[[#This Row],[Stake/Responsabilidade]]</f>
        <v>0.95499999999999996</v>
      </c>
      <c r="O1784" s="132">
        <f>IF(base[[#This Row],[L/P Líquido]]&gt;0,1,0)</f>
        <v>1</v>
      </c>
      <c r="P1784" s="132"/>
      <c r="Q1784" s="132" t="str">
        <f>LEFT(base[[#This Row],[Evento / Mercado]],FIND("vs",base[[#This Row],[Evento / Mercado]])-2)</f>
        <v>Ajman</v>
      </c>
      <c r="R17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Al-Jazira Club</v>
      </c>
      <c r="S1784" s="132" t="str">
        <f>LEFT(base[[#This Row],[Evento / Mercado]],FIND("/",base[[#This Row],[Evento / Mercado]])-2)</f>
        <v>Ajman vs Al-Jazira Club</v>
      </c>
    </row>
    <row r="1785" spans="2:19" ht="15" customHeight="1">
      <c r="B1785" s="128" t="s">
        <v>1743</v>
      </c>
      <c r="C1785" s="128" t="s">
        <v>2982</v>
      </c>
      <c r="D1785" s="129">
        <v>46147.619039351855</v>
      </c>
      <c r="E1785" s="130">
        <v>1.99</v>
      </c>
      <c r="F1785" s="136">
        <v>4.4999999999999998E-2</v>
      </c>
      <c r="G1785" s="126">
        <f t="shared" si="28"/>
        <v>2.0837696335078535</v>
      </c>
      <c r="H1785" s="126" t="s">
        <v>1339</v>
      </c>
      <c r="I1785" s="127" t="s">
        <v>1388</v>
      </c>
      <c r="J1785" s="126">
        <v>26</v>
      </c>
      <c r="K1785" s="126">
        <v>52</v>
      </c>
      <c r="L1785" s="129">
        <f>INT(base[[#This Row],[Data de liquidação]])</f>
        <v>46147</v>
      </c>
      <c r="M1785" s="126">
        <f>base[[#This Row],[L/P Bruto]]-base[[#This Row],[L/P Líquido]]</f>
        <v>9.37696335078535E-2</v>
      </c>
      <c r="N1785" s="126">
        <f>base[[#This Row],[L/P Líquido]]/base[[#This Row],[Stake/Responsabilidade]]</f>
        <v>3.8269230769230771E-2</v>
      </c>
      <c r="O1785" s="132">
        <f>IF(base[[#This Row],[L/P Líquido]]&gt;0,1,0)</f>
        <v>1</v>
      </c>
      <c r="P1785" s="132"/>
      <c r="Q1785" s="132" t="str">
        <f>LEFT(base[[#This Row],[Evento / Mercado]],FIND("vs",base[[#This Row],[Evento / Mercado]])-2)</f>
        <v>MFK Skalica</v>
      </c>
      <c r="R17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Košice</v>
      </c>
      <c r="S1785" s="132" t="str">
        <f>LEFT(base[[#This Row],[Evento / Mercado]],FIND("/",base[[#This Row],[Evento / Mercado]])-2)</f>
        <v>MFK Skalica vs FK Košice</v>
      </c>
    </row>
    <row r="1786" spans="2:19" ht="15" customHeight="1">
      <c r="B1786" s="128" t="s">
        <v>1742</v>
      </c>
      <c r="C1786" s="128" t="s">
        <v>2982</v>
      </c>
      <c r="D1786" s="129">
        <v>46147.658136574071</v>
      </c>
      <c r="E1786" s="130">
        <v>5.55</v>
      </c>
      <c r="F1786" s="136">
        <v>4.4999999999999998E-2</v>
      </c>
      <c r="G1786" s="126">
        <f t="shared" si="28"/>
        <v>5.8115183246073299</v>
      </c>
      <c r="H1786" s="126" t="s">
        <v>1339</v>
      </c>
      <c r="I1786" s="127" t="s">
        <v>1430</v>
      </c>
      <c r="J1786" s="126">
        <v>9.8000000000000007</v>
      </c>
      <c r="K1786" s="126">
        <v>51.13</v>
      </c>
      <c r="L1786" s="129">
        <f>INT(base[[#This Row],[Data de liquidação]])</f>
        <v>46147</v>
      </c>
      <c r="M1786" s="126">
        <f>base[[#This Row],[L/P Bruto]]-base[[#This Row],[L/P Líquido]]</f>
        <v>0.26151832460733004</v>
      </c>
      <c r="N1786" s="126">
        <f>base[[#This Row],[L/P Líquido]]/base[[#This Row],[Stake/Responsabilidade]]</f>
        <v>0.10854684138470565</v>
      </c>
      <c r="O1786" s="132">
        <f>IF(base[[#This Row],[L/P Líquido]]&gt;0,1,0)</f>
        <v>1</v>
      </c>
      <c r="P1786" s="132"/>
      <c r="Q1786" s="132" t="str">
        <f>LEFT(base[[#This Row],[Evento / Mercado]],FIND("vs",base[[#This Row],[Evento / Mercado]])-2)</f>
        <v>Dibba Al Fujairah</v>
      </c>
      <c r="R17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Al-Bataeh</v>
      </c>
      <c r="S1786" s="132" t="str">
        <f>LEFT(base[[#This Row],[Evento / Mercado]],FIND("/",base[[#This Row],[Evento / Mercado]])-2)</f>
        <v>Dibba Al Fujairah vs Al-Bataeh</v>
      </c>
    </row>
    <row r="1787" spans="2:19" ht="15" customHeight="1">
      <c r="B1787" s="128" t="s">
        <v>1741</v>
      </c>
      <c r="C1787" s="128" t="s">
        <v>2982</v>
      </c>
      <c r="D1787" s="129">
        <v>46147.696273148147</v>
      </c>
      <c r="E1787" s="130">
        <v>7.88</v>
      </c>
      <c r="F1787" s="136">
        <v>4.4999999999999998E-2</v>
      </c>
      <c r="G1787" s="126">
        <f t="shared" si="28"/>
        <v>8.2513089005235596</v>
      </c>
      <c r="H1787" s="126" t="s">
        <v>211</v>
      </c>
      <c r="I1787" s="127" t="s">
        <v>1480</v>
      </c>
      <c r="J1787" s="126">
        <v>1.55</v>
      </c>
      <c r="K1787" s="126">
        <v>15</v>
      </c>
      <c r="L1787" s="129">
        <f>INT(base[[#This Row],[Data de liquidação]])</f>
        <v>46147</v>
      </c>
      <c r="M1787" s="126">
        <f>base[[#This Row],[L/P Bruto]]-base[[#This Row],[L/P Líquido]]</f>
        <v>0.37130890052355969</v>
      </c>
      <c r="N1787" s="126">
        <f>base[[#This Row],[L/P Líquido]]/base[[#This Row],[Stake/Responsabilidade]]</f>
        <v>0.52533333333333332</v>
      </c>
      <c r="O1787" s="132">
        <f>IF(base[[#This Row],[L/P Líquido]]&gt;0,1,0)</f>
        <v>1</v>
      </c>
      <c r="P1787" s="132"/>
      <c r="Q1787" s="132" t="str">
        <f>LEFT(base[[#This Row],[Evento / Mercado]],FIND("vs",base[[#This Row],[Evento / Mercado]])-2)</f>
        <v>Al-Khaleej Saihat</v>
      </c>
      <c r="R17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1787" s="132" t="str">
        <f>LEFT(base[[#This Row],[Evento / Mercado]],FIND("/",base[[#This Row],[Evento / Mercado]])-2)</f>
        <v>Al-Khaleej Saihat vs Al-Hilal Riyadh</v>
      </c>
    </row>
    <row r="1788" spans="2:19" ht="15" customHeight="1">
      <c r="B1788" s="128" t="s">
        <v>1740</v>
      </c>
      <c r="C1788" s="128" t="s">
        <v>2982</v>
      </c>
      <c r="D1788" s="129">
        <v>46147.707106481481</v>
      </c>
      <c r="E1788" s="130">
        <v>36.130000000000003</v>
      </c>
      <c r="F1788" s="136">
        <v>4.4999999999999998E-2</v>
      </c>
      <c r="G1788" s="126">
        <f t="shared" si="28"/>
        <v>37.832460732984295</v>
      </c>
      <c r="H1788" s="126" t="s">
        <v>145</v>
      </c>
      <c r="I1788" s="127" t="s">
        <v>300</v>
      </c>
      <c r="J1788" s="126">
        <v>12.5</v>
      </c>
      <c r="K1788" s="126">
        <v>435.04</v>
      </c>
      <c r="L1788" s="129">
        <f>INT(base[[#This Row],[Data de liquidação]])</f>
        <v>46147</v>
      </c>
      <c r="M1788" s="126">
        <f>base[[#This Row],[L/P Bruto]]-base[[#This Row],[L/P Líquido]]</f>
        <v>1.7024607329842922</v>
      </c>
      <c r="N1788" s="126">
        <f>base[[#This Row],[L/P Líquido]]/base[[#This Row],[Stake/Responsabilidade]]</f>
        <v>8.3049834497977204E-2</v>
      </c>
      <c r="O1788" s="132">
        <f>IF(base[[#This Row],[L/P Líquido]]&gt;0,1,0)</f>
        <v>1</v>
      </c>
      <c r="P1788" s="132" t="s">
        <v>973</v>
      </c>
      <c r="Q1788" s="132" t="str">
        <f>LEFT(base[[#This Row],[Evento / Mercado]],FIND("vs",base[[#This Row],[Evento / Mercado]])-2)</f>
        <v>Al-Khaleej Saihat</v>
      </c>
      <c r="R17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1788" s="132" t="str">
        <f>LEFT(base[[#This Row],[Evento / Mercado]],FIND("/",base[[#This Row],[Evento / Mercado]])-2)</f>
        <v>Al-Khaleej Saihat vs Al-Hilal Riyadh</v>
      </c>
    </row>
    <row r="1789" spans="2:19" ht="15" customHeight="1">
      <c r="B1789" s="128" t="s">
        <v>1739</v>
      </c>
      <c r="C1789" s="128" t="s">
        <v>2982</v>
      </c>
      <c r="D1789" s="129">
        <v>46147.74596064815</v>
      </c>
      <c r="E1789" s="130">
        <v>-15</v>
      </c>
      <c r="F1789" s="136">
        <v>4.4999999999999998E-2</v>
      </c>
      <c r="G1789" s="126">
        <f t="shared" si="28"/>
        <v>-15</v>
      </c>
      <c r="H1789" s="126" t="s">
        <v>211</v>
      </c>
      <c r="I1789" s="127" t="s">
        <v>1480</v>
      </c>
      <c r="J1789" s="126">
        <v>1.57</v>
      </c>
      <c r="K1789" s="126">
        <v>15</v>
      </c>
      <c r="L1789" s="129">
        <f>INT(base[[#This Row],[Data de liquidação]])</f>
        <v>46147</v>
      </c>
      <c r="M1789" s="126">
        <f>base[[#This Row],[L/P Bruto]]-base[[#This Row],[L/P Líquido]]</f>
        <v>0</v>
      </c>
      <c r="N1789" s="126">
        <f>base[[#This Row],[L/P Líquido]]/base[[#This Row],[Stake/Responsabilidade]]</f>
        <v>-1</v>
      </c>
      <c r="O1789" s="132">
        <f>IF(base[[#This Row],[L/P Líquido]]&gt;0,1,0)</f>
        <v>0</v>
      </c>
      <c r="P1789" s="132"/>
      <c r="Q1789" s="132" t="str">
        <f>LEFT(base[[#This Row],[Evento / Mercado]],FIND("vs",base[[#This Row],[Evento / Mercado]])-2)</f>
        <v>Arsenal</v>
      </c>
      <c r="R17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1789" s="132" t="str">
        <f>LEFT(base[[#This Row],[Evento / Mercado]],FIND("/",base[[#This Row],[Evento / Mercado]])-2)</f>
        <v>Arsenal vs Atlético de Madrid</v>
      </c>
    </row>
    <row r="1790" spans="2:19" ht="15" customHeight="1">
      <c r="B1790" s="128" t="s">
        <v>1738</v>
      </c>
      <c r="C1790" s="128" t="s">
        <v>2982</v>
      </c>
      <c r="D1790" s="129">
        <v>46147.746180555558</v>
      </c>
      <c r="E1790" s="130">
        <v>1.91</v>
      </c>
      <c r="F1790" s="136">
        <v>4.4999999999999998E-2</v>
      </c>
      <c r="G1790" s="126">
        <f t="shared" si="28"/>
        <v>2</v>
      </c>
      <c r="H1790" s="126" t="s">
        <v>1339</v>
      </c>
      <c r="I1790" s="127" t="s">
        <v>1430</v>
      </c>
      <c r="J1790" s="126">
        <v>26</v>
      </c>
      <c r="K1790" s="126">
        <v>50</v>
      </c>
      <c r="L1790" s="129">
        <f>INT(base[[#This Row],[Data de liquidação]])</f>
        <v>46147</v>
      </c>
      <c r="M1790" s="126">
        <f>base[[#This Row],[L/P Bruto]]-base[[#This Row],[L/P Líquido]]</f>
        <v>9.000000000000008E-2</v>
      </c>
      <c r="N1790" s="126">
        <f>base[[#This Row],[L/P Líquido]]/base[[#This Row],[Stake/Responsabilidade]]</f>
        <v>3.8199999999999998E-2</v>
      </c>
      <c r="O1790" s="132">
        <f>IF(base[[#This Row],[L/P Líquido]]&gt;0,1,0)</f>
        <v>1</v>
      </c>
      <c r="P1790" s="132"/>
      <c r="Q1790" s="132" t="str">
        <f>LEFT(base[[#This Row],[Evento / Mercado]],FIND("vs",base[[#This Row],[Evento / Mercado]])-2)</f>
        <v>Arsenal</v>
      </c>
      <c r="R17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1790" s="132" t="str">
        <f>LEFT(base[[#This Row],[Evento / Mercado]],FIND("/",base[[#This Row],[Evento / Mercado]])-2)</f>
        <v>Arsenal vs Atlético de Madrid</v>
      </c>
    </row>
    <row r="1791" spans="2:19" ht="15" customHeight="1">
      <c r="B1791" s="128" t="s">
        <v>1748</v>
      </c>
      <c r="C1791" s="128" t="s">
        <v>2982</v>
      </c>
      <c r="D1791" s="129">
        <v>46148.430474537039</v>
      </c>
      <c r="E1791" s="130">
        <v>-6.59</v>
      </c>
      <c r="F1791" s="136">
        <v>4.4999999999999998E-2</v>
      </c>
      <c r="G1791" s="126">
        <f t="shared" si="28"/>
        <v>-6.59</v>
      </c>
      <c r="H1791" s="126" t="s">
        <v>1339</v>
      </c>
      <c r="I1791" s="127" t="s">
        <v>1236</v>
      </c>
      <c r="J1791" s="126">
        <v>18</v>
      </c>
      <c r="K1791" s="126">
        <v>4</v>
      </c>
      <c r="L1791" s="129">
        <f>INT(base[[#This Row],[Data de liquidação]])</f>
        <v>46148</v>
      </c>
      <c r="M1791" s="126">
        <f>base[[#This Row],[L/P Bruto]]-base[[#This Row],[L/P Líquido]]</f>
        <v>0</v>
      </c>
      <c r="N1791" s="126">
        <f>base[[#This Row],[L/P Líquido]]/base[[#This Row],[Stake/Responsabilidade]]</f>
        <v>-1.6475</v>
      </c>
      <c r="O1791" s="132">
        <f>IF(base[[#This Row],[L/P Líquido]]&gt;0,1,0)</f>
        <v>0</v>
      </c>
      <c r="P1791" s="132"/>
      <c r="Q1791" s="132" t="str">
        <f>LEFT(base[[#This Row],[Evento / Mercado]],FIND("vs",base[[#This Row],[Evento / Mercado]])-2)</f>
        <v>Yunnan Yukun</v>
      </c>
      <c r="R17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1791" s="132" t="str">
        <f>LEFT(base[[#This Row],[Evento / Mercado]],FIND("/",base[[#This Row],[Evento / Mercado]])-2)</f>
        <v>Yunnan Yukun vs Zhejiang Professional</v>
      </c>
    </row>
    <row r="1792" spans="2:19" ht="15" customHeight="1">
      <c r="B1792" s="128" t="s">
        <v>1747</v>
      </c>
      <c r="C1792" s="128" t="s">
        <v>2982</v>
      </c>
      <c r="D1792" s="129">
        <v>46148.748194444444</v>
      </c>
      <c r="E1792" s="130">
        <v>-3.78</v>
      </c>
      <c r="F1792" s="136">
        <v>4.4999999999999998E-2</v>
      </c>
      <c r="G1792" s="126">
        <f t="shared" si="28"/>
        <v>-3.78</v>
      </c>
      <c r="H1792" s="126" t="s">
        <v>1339</v>
      </c>
      <c r="I1792" s="127" t="s">
        <v>1236</v>
      </c>
      <c r="J1792" s="126">
        <v>17.5</v>
      </c>
      <c r="K1792" s="126">
        <v>4</v>
      </c>
      <c r="L1792" s="129">
        <f>INT(base[[#This Row],[Data de liquidação]])</f>
        <v>46148</v>
      </c>
      <c r="M1792" s="126">
        <f>base[[#This Row],[L/P Bruto]]-base[[#This Row],[L/P Líquido]]</f>
        <v>0</v>
      </c>
      <c r="N1792" s="126">
        <f>base[[#This Row],[L/P Líquido]]/base[[#This Row],[Stake/Responsabilidade]]</f>
        <v>-0.94499999999999995</v>
      </c>
      <c r="O1792" s="132">
        <f>IF(base[[#This Row],[L/P Líquido]]&gt;0,1,0)</f>
        <v>0</v>
      </c>
      <c r="P1792" s="132"/>
      <c r="Q1792" s="132" t="str">
        <f>LEFT(base[[#This Row],[Evento / Mercado]],FIND("vs",base[[#This Row],[Evento / Mercado]])-2)</f>
        <v>FC Bayern München</v>
      </c>
      <c r="R17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1792" s="132" t="str">
        <f>LEFT(base[[#This Row],[Evento / Mercado]],FIND("/",base[[#This Row],[Evento / Mercado]])-2)</f>
        <v>FC Bayern München vs Paris Saint-Germain</v>
      </c>
    </row>
    <row r="1793" spans="2:19" ht="15" customHeight="1">
      <c r="B1793" s="128" t="s">
        <v>1746</v>
      </c>
      <c r="C1793" s="128" t="s">
        <v>2982</v>
      </c>
      <c r="D1793" s="129">
        <v>46148.750219907408</v>
      </c>
      <c r="E1793" s="130">
        <v>3.14</v>
      </c>
      <c r="F1793" s="136">
        <v>4.4999999999999998E-2</v>
      </c>
      <c r="G1793" s="126">
        <f t="shared" si="28"/>
        <v>3.2879581151832462</v>
      </c>
      <c r="H1793" s="126" t="s">
        <v>1339</v>
      </c>
      <c r="I1793" s="127" t="s">
        <v>1446</v>
      </c>
      <c r="J1793" s="126">
        <v>2.52</v>
      </c>
      <c r="K1793" s="126">
        <v>5</v>
      </c>
      <c r="L1793" s="129">
        <f>INT(base[[#This Row],[Data de liquidação]])</f>
        <v>46148</v>
      </c>
      <c r="M1793" s="126">
        <f>base[[#This Row],[L/P Bruto]]-base[[#This Row],[L/P Líquido]]</f>
        <v>0.14795811518324609</v>
      </c>
      <c r="N1793" s="126">
        <f>base[[#This Row],[L/P Líquido]]/base[[#This Row],[Stake/Responsabilidade]]</f>
        <v>0.628</v>
      </c>
      <c r="O1793" s="132">
        <f>IF(base[[#This Row],[L/P Líquido]]&gt;0,1,0)</f>
        <v>1</v>
      </c>
      <c r="P1793" s="132"/>
      <c r="Q1793" s="132" t="str">
        <f>LEFT(base[[#This Row],[Evento / Mercado]],FIND("vs",base[[#This Row],[Evento / Mercado]])-2)</f>
        <v>FC Bayern München</v>
      </c>
      <c r="R17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1793" s="132" t="str">
        <f>LEFT(base[[#This Row],[Evento / Mercado]],FIND("/",base[[#This Row],[Evento / Mercado]])-2)</f>
        <v>FC Bayern München vs Paris Saint-Germain</v>
      </c>
    </row>
    <row r="1794" spans="2:19" ht="15" customHeight="1">
      <c r="B1794" s="128" t="s">
        <v>1750</v>
      </c>
      <c r="C1794" s="128" t="s">
        <v>2982</v>
      </c>
      <c r="D1794" s="129">
        <v>46149.707569444443</v>
      </c>
      <c r="E1794" s="130">
        <v>59.44</v>
      </c>
      <c r="F1794" s="136">
        <v>4.4999999999999998E-2</v>
      </c>
      <c r="G1794" s="126">
        <f t="shared" si="28"/>
        <v>62.240837696335078</v>
      </c>
      <c r="H1794" s="126" t="s">
        <v>145</v>
      </c>
      <c r="I1794" s="127" t="s">
        <v>300</v>
      </c>
      <c r="J1794" s="126">
        <v>8.6</v>
      </c>
      <c r="K1794" s="126">
        <v>473.02</v>
      </c>
      <c r="L1794" s="129">
        <f>INT(base[[#This Row],[Data de liquidação]])</f>
        <v>46149</v>
      </c>
      <c r="M1794" s="126">
        <f>base[[#This Row],[L/P Bruto]]-base[[#This Row],[L/P Líquido]]</f>
        <v>2.8008376963350798</v>
      </c>
      <c r="N1794" s="126">
        <f>base[[#This Row],[L/P Líquido]]/base[[#This Row],[Stake/Responsabilidade]]</f>
        <v>0.12566064859836792</v>
      </c>
      <c r="O1794" s="132">
        <f>IF(base[[#This Row],[L/P Líquido]]&gt;0,1,0)</f>
        <v>1</v>
      </c>
      <c r="P1794" s="132" t="s">
        <v>973</v>
      </c>
      <c r="Q1794" s="132" t="str">
        <f>LEFT(base[[#This Row],[Evento / Mercado]],FIND("vs",base[[#This Row],[Evento / Mercado]])-2)</f>
        <v>Al-Shabab Riyadh</v>
      </c>
      <c r="R17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Al-Nassr Riyadh</v>
      </c>
      <c r="S1794" s="132" t="str">
        <f>LEFT(base[[#This Row],[Evento / Mercado]],FIND("/",base[[#This Row],[Evento / Mercado]])-2)</f>
        <v>Al-Shabab Riyadh vs Al-Nassr Riyadh</v>
      </c>
    </row>
    <row r="1795" spans="2:19" ht="15" customHeight="1">
      <c r="B1795" s="128" t="s">
        <v>1749</v>
      </c>
      <c r="C1795" s="128" t="s">
        <v>2982</v>
      </c>
      <c r="D1795" s="129">
        <v>46149.743726851855</v>
      </c>
      <c r="E1795" s="130">
        <v>2.2400000000000002</v>
      </c>
      <c r="F1795" s="136">
        <v>4.4999999999999998E-2</v>
      </c>
      <c r="G1795" s="126">
        <f t="shared" ref="G1795:G1858" si="29">IF(E1795&gt;0,E1795/(1-F1795),E1795)</f>
        <v>2.3455497382198955</v>
      </c>
      <c r="H1795" s="126" t="s">
        <v>1339</v>
      </c>
      <c r="I1795" s="127" t="s">
        <v>1388</v>
      </c>
      <c r="J1795" s="126">
        <v>22</v>
      </c>
      <c r="K1795" s="126">
        <v>49.27</v>
      </c>
      <c r="L1795" s="129">
        <f>INT(base[[#This Row],[Data de liquidação]])</f>
        <v>46149</v>
      </c>
      <c r="M1795" s="126">
        <f>base[[#This Row],[L/P Bruto]]-base[[#This Row],[L/P Líquido]]</f>
        <v>0.10554973821989533</v>
      </c>
      <c r="N1795" s="126">
        <f>base[[#This Row],[L/P Líquido]]/base[[#This Row],[Stake/Responsabilidade]]</f>
        <v>4.5463771057438603E-2</v>
      </c>
      <c r="O1795" s="132">
        <f>IF(base[[#This Row],[L/P Líquido]]&gt;0,1,0)</f>
        <v>1</v>
      </c>
      <c r="P1795" s="132"/>
      <c r="Q1795" s="132" t="str">
        <f>LEFT(base[[#This Row],[Evento / Mercado]],FIND("vs",base[[#This Row],[Evento / Mercado]])-2)</f>
        <v>Crystal Palace</v>
      </c>
      <c r="R17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Shakhtar Donetsk</v>
      </c>
      <c r="S1795" s="132" t="str">
        <f>LEFT(base[[#This Row],[Evento / Mercado]],FIND("/",base[[#This Row],[Evento / Mercado]])-2)</f>
        <v>Crystal Palace vs Shakhtar Donetsk</v>
      </c>
    </row>
    <row r="1796" spans="2:19" ht="15" customHeight="1">
      <c r="B1796" s="128" t="s">
        <v>1783</v>
      </c>
      <c r="C1796" s="128" t="s">
        <v>2982</v>
      </c>
      <c r="D1796" s="129">
        <v>46150.421550925923</v>
      </c>
      <c r="E1796" s="130">
        <v>12.57</v>
      </c>
      <c r="F1796" s="136">
        <v>4.4999999999999998E-2</v>
      </c>
      <c r="G1796" s="126">
        <f t="shared" si="29"/>
        <v>13.162303664921467</v>
      </c>
      <c r="H1796" s="126" t="s">
        <v>1784</v>
      </c>
      <c r="I1796" s="127" t="s">
        <v>1448</v>
      </c>
      <c r="J1796" s="126">
        <v>1.26</v>
      </c>
      <c r="K1796" s="126">
        <v>50</v>
      </c>
      <c r="L1796" s="129">
        <f>INT(base[[#This Row],[Data de liquidação]])</f>
        <v>46150</v>
      </c>
      <c r="M1796" s="126">
        <f>base[[#This Row],[L/P Bruto]]-base[[#This Row],[L/P Líquido]]</f>
        <v>0.59230366492146658</v>
      </c>
      <c r="N1796" s="126">
        <f>base[[#This Row],[L/P Líquido]]/base[[#This Row],[Stake/Responsabilidade]]</f>
        <v>0.25140000000000001</v>
      </c>
      <c r="O1796" s="132">
        <f>IF(base[[#This Row],[L/P Líquido]]&gt;0,1,0)</f>
        <v>1</v>
      </c>
      <c r="P1796" s="132"/>
      <c r="Q1796" s="132" t="str">
        <f>LEFT(base[[#This Row],[Evento / Mercado]],FIND("vs",base[[#This Row],[Evento / Mercado]])-2)</f>
        <v>Terengganu FC</v>
      </c>
      <c r="R17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Imigresen FC</v>
      </c>
      <c r="S1796" s="132" t="str">
        <f>LEFT(base[[#This Row],[Evento / Mercado]],FIND("/",base[[#This Row],[Evento / Mercado]])-2)</f>
        <v>Terengganu FC vs Imigresen FC</v>
      </c>
    </row>
    <row r="1797" spans="2:19" ht="15" customHeight="1">
      <c r="B1797" s="128" t="s">
        <v>1782</v>
      </c>
      <c r="C1797" s="128" t="s">
        <v>2982</v>
      </c>
      <c r="D1797" s="129">
        <v>46150.507430555554</v>
      </c>
      <c r="E1797" s="130">
        <v>19.579999999999998</v>
      </c>
      <c r="F1797" s="136">
        <v>4.4999999999999998E-2</v>
      </c>
      <c r="G1797" s="126">
        <f t="shared" si="29"/>
        <v>20.502617801047119</v>
      </c>
      <c r="H1797" s="126" t="s">
        <v>1784</v>
      </c>
      <c r="I1797" s="127" t="s">
        <v>1448</v>
      </c>
      <c r="J1797" s="126">
        <v>1.41</v>
      </c>
      <c r="K1797" s="126">
        <v>50</v>
      </c>
      <c r="L1797" s="129">
        <f>INT(base[[#This Row],[Data de liquidação]])</f>
        <v>46150</v>
      </c>
      <c r="M1797" s="126">
        <f>base[[#This Row],[L/P Bruto]]-base[[#This Row],[L/P Líquido]]</f>
        <v>0.92261780104712088</v>
      </c>
      <c r="N1797" s="126">
        <f>base[[#This Row],[L/P Líquido]]/base[[#This Row],[Stake/Responsabilidade]]</f>
        <v>0.39159999999999995</v>
      </c>
      <c r="O1797" s="132">
        <f>IF(base[[#This Row],[L/P Líquido]]&gt;0,1,0)</f>
        <v>1</v>
      </c>
      <c r="P1797" s="132"/>
      <c r="Q1797" s="132" t="str">
        <f>LEFT(base[[#This Row],[Evento / Mercado]],FIND("vs",base[[#This Row],[Evento / Mercado]])-2)</f>
        <v>Ilves</v>
      </c>
      <c r="R17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Oulu</v>
      </c>
      <c r="S1797" s="132" t="str">
        <f>LEFT(base[[#This Row],[Evento / Mercado]],FIND("/",base[[#This Row],[Evento / Mercado]])-2)</f>
        <v>Ilves vs AC Oulu</v>
      </c>
    </row>
    <row r="1798" spans="2:19" ht="15" customHeight="1">
      <c r="B1798" s="128" t="s">
        <v>1781</v>
      </c>
      <c r="C1798" s="128" t="s">
        <v>2982</v>
      </c>
      <c r="D1798" s="129">
        <v>46150.534421296295</v>
      </c>
      <c r="E1798" s="130">
        <v>-50</v>
      </c>
      <c r="F1798" s="136">
        <v>4.4999999999999998E-2</v>
      </c>
      <c r="G1798" s="126">
        <f t="shared" si="29"/>
        <v>-50</v>
      </c>
      <c r="H1798" s="126" t="s">
        <v>1784</v>
      </c>
      <c r="I1798" s="127" t="s">
        <v>1448</v>
      </c>
      <c r="J1798" s="126">
        <v>1.36</v>
      </c>
      <c r="K1798" s="126">
        <v>50</v>
      </c>
      <c r="L1798" s="129">
        <f>INT(base[[#This Row],[Data de liquidação]])</f>
        <v>46150</v>
      </c>
      <c r="M1798" s="126">
        <f>base[[#This Row],[L/P Bruto]]-base[[#This Row],[L/P Líquido]]</f>
        <v>0</v>
      </c>
      <c r="N1798" s="126">
        <f>base[[#This Row],[L/P Líquido]]/base[[#This Row],[Stake/Responsabilidade]]</f>
        <v>-1</v>
      </c>
      <c r="O1798" s="132">
        <f>IF(base[[#This Row],[L/P Líquido]]&gt;0,1,0)</f>
        <v>0</v>
      </c>
      <c r="P1798" s="132"/>
      <c r="Q1798" s="132" t="str">
        <f>LEFT(base[[#This Row],[Evento / Mercado]],FIND("vs",base[[#This Row],[Evento / Mercado]])-2)</f>
        <v>TPS</v>
      </c>
      <c r="R17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HJK Helsinki</v>
      </c>
      <c r="S1798" s="132" t="str">
        <f>LEFT(base[[#This Row],[Evento / Mercado]],FIND("/",base[[#This Row],[Evento / Mercado]])-2)</f>
        <v>TPS vs HJK Helsinki</v>
      </c>
    </row>
    <row r="1799" spans="2:19" ht="15" customHeight="1">
      <c r="B1799" s="128" t="s">
        <v>1780</v>
      </c>
      <c r="C1799" s="128" t="s">
        <v>2982</v>
      </c>
      <c r="D1799" s="129">
        <v>46150.577592592592</v>
      </c>
      <c r="E1799" s="130">
        <v>10.85</v>
      </c>
      <c r="F1799" s="136">
        <v>4.4999999999999998E-2</v>
      </c>
      <c r="G1799" s="126">
        <f t="shared" si="29"/>
        <v>11.361256544502618</v>
      </c>
      <c r="H1799" s="126" t="s">
        <v>1784</v>
      </c>
      <c r="I1799" s="127" t="s">
        <v>1448</v>
      </c>
      <c r="J1799" s="126">
        <v>1.23</v>
      </c>
      <c r="K1799" s="126">
        <v>50</v>
      </c>
      <c r="L1799" s="129">
        <f>INT(base[[#This Row],[Data de liquidação]])</f>
        <v>46150</v>
      </c>
      <c r="M1799" s="126">
        <f>base[[#This Row],[L/P Bruto]]-base[[#This Row],[L/P Líquido]]</f>
        <v>0.51125654450261848</v>
      </c>
      <c r="N1799" s="126">
        <f>base[[#This Row],[L/P Líquido]]/base[[#This Row],[Stake/Responsabilidade]]</f>
        <v>0.217</v>
      </c>
      <c r="O1799" s="132">
        <f>IF(base[[#This Row],[L/P Líquido]]&gt;0,1,0)</f>
        <v>1</v>
      </c>
      <c r="P1799" s="132"/>
      <c r="Q1799" s="132" t="str">
        <f>LEFT(base[[#This Row],[Evento / Mercado]],FIND("vs",base[[#This Row],[Evento / Mercado]])-2)</f>
        <v>SC Paderborn 07</v>
      </c>
      <c r="R17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Karlsruher SC</v>
      </c>
      <c r="S1799" s="132" t="str">
        <f>LEFT(base[[#This Row],[Evento / Mercado]],FIND("/",base[[#This Row],[Evento / Mercado]])-2)</f>
        <v>SC Paderborn 07 vs Karlsruher SC</v>
      </c>
    </row>
    <row r="1800" spans="2:19" ht="15" customHeight="1">
      <c r="B1800" s="128" t="s">
        <v>1779</v>
      </c>
      <c r="C1800" s="128" t="s">
        <v>2982</v>
      </c>
      <c r="D1800" s="129">
        <v>46150.591782407406</v>
      </c>
      <c r="E1800" s="130">
        <v>12.57</v>
      </c>
      <c r="F1800" s="136">
        <v>4.4999999999999998E-2</v>
      </c>
      <c r="G1800" s="126">
        <f t="shared" si="29"/>
        <v>13.162303664921467</v>
      </c>
      <c r="H1800" s="126" t="s">
        <v>1784</v>
      </c>
      <c r="I1800" s="127" t="s">
        <v>1448</v>
      </c>
      <c r="J1800" s="126">
        <v>1.26</v>
      </c>
      <c r="K1800" s="126">
        <v>50</v>
      </c>
      <c r="L1800" s="129">
        <f>INT(base[[#This Row],[Data de liquidação]])</f>
        <v>46150</v>
      </c>
      <c r="M1800" s="126">
        <f>base[[#This Row],[L/P Bruto]]-base[[#This Row],[L/P Líquido]]</f>
        <v>0.59230366492146658</v>
      </c>
      <c r="N1800" s="126">
        <f>base[[#This Row],[L/P Líquido]]/base[[#This Row],[Stake/Responsabilidade]]</f>
        <v>0.25140000000000001</v>
      </c>
      <c r="O1800" s="132">
        <f>IF(base[[#This Row],[L/P Líquido]]&gt;0,1,0)</f>
        <v>1</v>
      </c>
      <c r="P1800" s="132"/>
      <c r="Q1800" s="132" t="str">
        <f>LEFT(base[[#This Row],[Evento / Mercado]],FIND("vs",base[[#This Row],[Evento / Mercado]])-2)</f>
        <v>Aalborg BK</v>
      </c>
      <c r="R18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Middelfart Boldklub</v>
      </c>
      <c r="S1800" s="132" t="str">
        <f>LEFT(base[[#This Row],[Evento / Mercado]],FIND("/",base[[#This Row],[Evento / Mercado]])-2)</f>
        <v>Aalborg BK vs Middelfart Boldklub</v>
      </c>
    </row>
    <row r="1801" spans="2:19" ht="15" customHeight="1">
      <c r="B1801" s="128" t="s">
        <v>1778</v>
      </c>
      <c r="C1801" s="128" t="s">
        <v>2982</v>
      </c>
      <c r="D1801" s="129">
        <v>46150.616712962961</v>
      </c>
      <c r="E1801" s="130">
        <v>-50</v>
      </c>
      <c r="F1801" s="136">
        <v>4.4999999999999998E-2</v>
      </c>
      <c r="G1801" s="126">
        <f t="shared" si="29"/>
        <v>-50</v>
      </c>
      <c r="H1801" s="126" t="s">
        <v>1784</v>
      </c>
      <c r="I1801" s="127" t="s">
        <v>1448</v>
      </c>
      <c r="J1801" s="126">
        <v>1.35</v>
      </c>
      <c r="K1801" s="126">
        <v>50</v>
      </c>
      <c r="L1801" s="129">
        <f>INT(base[[#This Row],[Data de liquidação]])</f>
        <v>46150</v>
      </c>
      <c r="M1801" s="126">
        <f>base[[#This Row],[L/P Bruto]]-base[[#This Row],[L/P Líquido]]</f>
        <v>0</v>
      </c>
      <c r="N1801" s="126">
        <f>base[[#This Row],[L/P Líquido]]/base[[#This Row],[Stake/Responsabilidade]]</f>
        <v>-1</v>
      </c>
      <c r="O1801" s="132">
        <f>IF(base[[#This Row],[L/P Líquido]]&gt;0,1,0)</f>
        <v>0</v>
      </c>
      <c r="P1801" s="132"/>
      <c r="Q1801" s="132" t="str">
        <f>LEFT(base[[#This Row],[Evento / Mercado]],FIND("vs",base[[#This Row],[Evento / Mercado]])-2)</f>
        <v>KuPS</v>
      </c>
      <c r="R18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1801" s="132" t="str">
        <f>LEFT(base[[#This Row],[Evento / Mercado]],FIND("/",base[[#This Row],[Evento / Mercado]])-2)</f>
        <v>KuPS vs SJK</v>
      </c>
    </row>
    <row r="1802" spans="2:19" ht="15" customHeight="1">
      <c r="B1802" s="128" t="s">
        <v>1777</v>
      </c>
      <c r="C1802" s="128" t="s">
        <v>2982</v>
      </c>
      <c r="D1802" s="129">
        <v>46150.619421296295</v>
      </c>
      <c r="E1802" s="130">
        <v>18.02</v>
      </c>
      <c r="F1802" s="136">
        <v>4.4999999999999998E-2</v>
      </c>
      <c r="G1802" s="126">
        <f t="shared" si="29"/>
        <v>18.869109947643981</v>
      </c>
      <c r="H1802" s="126" t="s">
        <v>1784</v>
      </c>
      <c r="I1802" s="127" t="s">
        <v>1785</v>
      </c>
      <c r="J1802" s="126">
        <v>3.65</v>
      </c>
      <c r="K1802" s="126">
        <v>50.01</v>
      </c>
      <c r="L1802" s="129">
        <f>INT(base[[#This Row],[Data de liquidação]])</f>
        <v>46150</v>
      </c>
      <c r="M1802" s="126">
        <f>base[[#This Row],[L/P Bruto]]-base[[#This Row],[L/P Líquido]]</f>
        <v>0.8491099476439814</v>
      </c>
      <c r="N1802" s="126">
        <f>base[[#This Row],[L/P Líquido]]/base[[#This Row],[Stake/Responsabilidade]]</f>
        <v>0.36032793441311739</v>
      </c>
      <c r="O1802" s="132">
        <f>IF(base[[#This Row],[L/P Líquido]]&gt;0,1,0)</f>
        <v>1</v>
      </c>
      <c r="P1802" s="132"/>
      <c r="Q1802" s="132" t="str">
        <f>LEFT(base[[#This Row],[Evento / Mercado]],FIND("vs",base[[#This Row],[Evento / Mercado]])-2)</f>
        <v>FC Hertha Wels</v>
      </c>
      <c r="R18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Sturm Graz II</v>
      </c>
      <c r="S1802" s="132" t="str">
        <f>LEFT(base[[#This Row],[Evento / Mercado]],FIND("/",base[[#This Row],[Evento / Mercado]])-2)</f>
        <v>FC Hertha Wels vs SK Sturm Graz II</v>
      </c>
    </row>
    <row r="1803" spans="2:19" ht="15" customHeight="1">
      <c r="B1803" s="128" t="s">
        <v>1776</v>
      </c>
      <c r="C1803" s="128" t="s">
        <v>2982</v>
      </c>
      <c r="D1803" s="129">
        <v>46150.621539351851</v>
      </c>
      <c r="E1803" s="130">
        <v>2.0699999999999998</v>
      </c>
      <c r="F1803" s="136">
        <v>4.4999999999999998E-2</v>
      </c>
      <c r="G1803" s="126">
        <f t="shared" si="29"/>
        <v>2.1675392670157065</v>
      </c>
      <c r="H1803" s="126" t="s">
        <v>1339</v>
      </c>
      <c r="I1803" s="127" t="s">
        <v>1388</v>
      </c>
      <c r="J1803" s="126">
        <v>24</v>
      </c>
      <c r="K1803" s="126">
        <v>49.91</v>
      </c>
      <c r="L1803" s="129">
        <f>INT(base[[#This Row],[Data de liquidação]])</f>
        <v>46150</v>
      </c>
      <c r="M1803" s="126">
        <f>base[[#This Row],[L/P Bruto]]-base[[#This Row],[L/P Líquido]]</f>
        <v>9.7539267015706699E-2</v>
      </c>
      <c r="N1803" s="126">
        <f>base[[#This Row],[L/P Líquido]]/base[[#This Row],[Stake/Responsabilidade]]</f>
        <v>4.1474654377880185E-2</v>
      </c>
      <c r="O1803" s="132">
        <f>IF(base[[#This Row],[L/P Líquido]]&gt;0,1,0)</f>
        <v>1</v>
      </c>
      <c r="P1803" s="132"/>
      <c r="Q1803" s="132" t="str">
        <f>LEFT(base[[#This Row],[Evento / Mercado]],FIND("vs",base[[#This Row],[Evento / Mercado]])-2)</f>
        <v>Vojvodina</v>
      </c>
      <c r="R18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Cukaricki</v>
      </c>
      <c r="S1803" s="132" t="str">
        <f>LEFT(base[[#This Row],[Evento / Mercado]],FIND("/",base[[#This Row],[Evento / Mercado]])-2)</f>
        <v>Vojvodina vs FK Cukaricki</v>
      </c>
    </row>
    <row r="1804" spans="2:19" ht="15" customHeight="1">
      <c r="B1804" s="128" t="s">
        <v>1775</v>
      </c>
      <c r="C1804" s="128" t="s">
        <v>2982</v>
      </c>
      <c r="D1804" s="129">
        <v>46150.623564814814</v>
      </c>
      <c r="E1804" s="130">
        <v>12.24</v>
      </c>
      <c r="F1804" s="136">
        <v>4.4999999999999998E-2</v>
      </c>
      <c r="G1804" s="126">
        <f t="shared" si="29"/>
        <v>12.816753926701571</v>
      </c>
      <c r="H1804" s="126" t="s">
        <v>1784</v>
      </c>
      <c r="I1804" s="127" t="s">
        <v>1785</v>
      </c>
      <c r="J1804" s="126">
        <v>4.9000000000000004</v>
      </c>
      <c r="K1804" s="126">
        <v>50</v>
      </c>
      <c r="L1804" s="129">
        <f>INT(base[[#This Row],[Data de liquidação]])</f>
        <v>46150</v>
      </c>
      <c r="M1804" s="126">
        <f>base[[#This Row],[L/P Bruto]]-base[[#This Row],[L/P Líquido]]</f>
        <v>0.57675392670157066</v>
      </c>
      <c r="N1804" s="126">
        <f>base[[#This Row],[L/P Líquido]]/base[[#This Row],[Stake/Responsabilidade]]</f>
        <v>0.24480000000000002</v>
      </c>
      <c r="O1804" s="132">
        <f>IF(base[[#This Row],[L/P Líquido]]&gt;0,1,0)</f>
        <v>1</v>
      </c>
      <c r="P1804" s="132"/>
      <c r="Q1804" s="132" t="str">
        <f>LEFT(base[[#This Row],[Evento / Mercado]],FIND("vs",base[[#This Row],[Evento / Mercado]])-2)</f>
        <v>Rakow Czestochowa</v>
      </c>
      <c r="R18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Korona Kielce</v>
      </c>
      <c r="S1804" s="132" t="str">
        <f>LEFT(base[[#This Row],[Evento / Mercado]],FIND("/",base[[#This Row],[Evento / Mercado]])-2)</f>
        <v>Rakow Czestochowa vs Korona Kielce</v>
      </c>
    </row>
    <row r="1805" spans="2:19" ht="15" customHeight="1">
      <c r="B1805" s="128" t="s">
        <v>1774</v>
      </c>
      <c r="C1805" s="128" t="s">
        <v>2982</v>
      </c>
      <c r="D1805" s="129">
        <v>46150.628680555557</v>
      </c>
      <c r="E1805" s="130">
        <v>-3.74</v>
      </c>
      <c r="F1805" s="136">
        <v>4.4999999999999998E-2</v>
      </c>
      <c r="G1805" s="126">
        <f t="shared" si="29"/>
        <v>-3.74</v>
      </c>
      <c r="H1805" s="126" t="s">
        <v>1339</v>
      </c>
      <c r="I1805" s="127" t="s">
        <v>1236</v>
      </c>
      <c r="J1805" s="126">
        <v>12</v>
      </c>
      <c r="K1805" s="126">
        <v>4</v>
      </c>
      <c r="L1805" s="129">
        <f>INT(base[[#This Row],[Data de liquidação]])</f>
        <v>46150</v>
      </c>
      <c r="M1805" s="126">
        <f>base[[#This Row],[L/P Bruto]]-base[[#This Row],[L/P Líquido]]</f>
        <v>0</v>
      </c>
      <c r="N1805" s="126">
        <f>base[[#This Row],[L/P Líquido]]/base[[#This Row],[Stake/Responsabilidade]]</f>
        <v>-0.93500000000000005</v>
      </c>
      <c r="O1805" s="132">
        <f>IF(base[[#This Row],[L/P Líquido]]&gt;0,1,0)</f>
        <v>0</v>
      </c>
      <c r="P1805" s="132"/>
      <c r="Q1805" s="132" t="str">
        <f>LEFT(base[[#This Row],[Evento / Mercado]],FIND("vs",base[[#This Row],[Evento / Mercado]])-2)</f>
        <v>SC Paderborn 07</v>
      </c>
      <c r="R18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Karlsruher SC</v>
      </c>
      <c r="S1805" s="132" t="str">
        <f>LEFT(base[[#This Row],[Evento / Mercado]],FIND("/",base[[#This Row],[Evento / Mercado]])-2)</f>
        <v>SC Paderborn 07 vs Karlsruher SC</v>
      </c>
    </row>
    <row r="1806" spans="2:19" ht="15" customHeight="1">
      <c r="B1806" s="128" t="s">
        <v>1773</v>
      </c>
      <c r="C1806" s="128" t="s">
        <v>2982</v>
      </c>
      <c r="D1806" s="129">
        <v>46150.647615740738</v>
      </c>
      <c r="E1806" s="130">
        <v>11.65</v>
      </c>
      <c r="F1806" s="136">
        <v>4.4999999999999998E-2</v>
      </c>
      <c r="G1806" s="126">
        <f t="shared" si="29"/>
        <v>12.198952879581153</v>
      </c>
      <c r="H1806" s="126" t="s">
        <v>1784</v>
      </c>
      <c r="I1806" s="127" t="s">
        <v>1448</v>
      </c>
      <c r="J1806" s="126">
        <v>1.24</v>
      </c>
      <c r="K1806" s="126">
        <v>50</v>
      </c>
      <c r="L1806" s="129">
        <f>INT(base[[#This Row],[Data de liquidação]])</f>
        <v>46150</v>
      </c>
      <c r="M1806" s="126">
        <f>base[[#This Row],[L/P Bruto]]-base[[#This Row],[L/P Líquido]]</f>
        <v>0.54895287958115269</v>
      </c>
      <c r="N1806" s="126">
        <f>base[[#This Row],[L/P Líquido]]/base[[#This Row],[Stake/Responsabilidade]]</f>
        <v>0.23300000000000001</v>
      </c>
      <c r="O1806" s="132">
        <f>IF(base[[#This Row],[L/P Líquido]]&gt;0,1,0)</f>
        <v>1</v>
      </c>
      <c r="P1806" s="132"/>
      <c r="Q1806" s="132" t="str">
        <f>LEFT(base[[#This Row],[Evento / Mercado]],FIND("vs",base[[#This Row],[Evento / Mercado]])-2)</f>
        <v>Borussia Dortmund</v>
      </c>
      <c r="R18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1806" s="132" t="str">
        <f>LEFT(base[[#This Row],[Evento / Mercado]],FIND("/",base[[#This Row],[Evento / Mercado]])-2)</f>
        <v>Borussia Dortmund vs Eintracht Frankfurt</v>
      </c>
    </row>
    <row r="1807" spans="2:19" ht="15" customHeight="1">
      <c r="B1807" s="128" t="s">
        <v>1772</v>
      </c>
      <c r="C1807" s="128" t="s">
        <v>2982</v>
      </c>
      <c r="D1807" s="129">
        <v>46150.660636574074</v>
      </c>
      <c r="E1807" s="130">
        <v>-115</v>
      </c>
      <c r="F1807" s="136">
        <v>4.4999999999999998E-2</v>
      </c>
      <c r="G1807" s="126">
        <f t="shared" si="29"/>
        <v>-115</v>
      </c>
      <c r="H1807" s="126" t="s">
        <v>231</v>
      </c>
      <c r="I1807" s="127" t="s">
        <v>266</v>
      </c>
      <c r="J1807" s="126">
        <v>1.81</v>
      </c>
      <c r="K1807" s="126">
        <v>115</v>
      </c>
      <c r="L1807" s="129">
        <f>INT(base[[#This Row],[Data de liquidação]])</f>
        <v>46150</v>
      </c>
      <c r="M1807" s="126">
        <f>base[[#This Row],[L/P Bruto]]-base[[#This Row],[L/P Líquido]]</f>
        <v>0</v>
      </c>
      <c r="N1807" s="126">
        <f>base[[#This Row],[L/P Líquido]]/base[[#This Row],[Stake/Responsabilidade]]</f>
        <v>-1</v>
      </c>
      <c r="O1807" s="132">
        <f>IF(base[[#This Row],[L/P Líquido]]&gt;0,1,0)</f>
        <v>0</v>
      </c>
      <c r="P1807" s="132"/>
      <c r="Q1807" s="132" t="str">
        <f>LEFT(base[[#This Row],[Evento / Mercado]],FIND("vs",base[[#This Row],[Evento / Mercado]])-2)</f>
        <v>IF Elfsborg</v>
      </c>
      <c r="R18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Brommapojkarna</v>
      </c>
      <c r="S1807" s="132" t="str">
        <f>LEFT(base[[#This Row],[Evento / Mercado]],FIND("/",base[[#This Row],[Evento / Mercado]])-2)</f>
        <v>IF Elfsborg vs IF Brommapojkarna</v>
      </c>
    </row>
    <row r="1808" spans="2:19" ht="15" customHeight="1">
      <c r="B1808" s="128" t="s">
        <v>1771</v>
      </c>
      <c r="C1808" s="128" t="s">
        <v>2982</v>
      </c>
      <c r="D1808" s="129">
        <v>46150.662395833337</v>
      </c>
      <c r="E1808" s="130">
        <v>0.95</v>
      </c>
      <c r="F1808" s="136">
        <v>4.4999999999999998E-2</v>
      </c>
      <c r="G1808" s="126">
        <f t="shared" si="29"/>
        <v>0.99476439790575921</v>
      </c>
      <c r="H1808" s="126" t="s">
        <v>1339</v>
      </c>
      <c r="I1808" s="127" t="s">
        <v>1336</v>
      </c>
      <c r="J1808" s="126">
        <v>1.46</v>
      </c>
      <c r="K1808" s="126">
        <v>5</v>
      </c>
      <c r="L1808" s="129">
        <f>INT(base[[#This Row],[Data de liquidação]])</f>
        <v>46150</v>
      </c>
      <c r="M1808" s="126">
        <f>base[[#This Row],[L/P Bruto]]-base[[#This Row],[L/P Líquido]]</f>
        <v>4.4764397905759257E-2</v>
      </c>
      <c r="N1808" s="126">
        <f>base[[#This Row],[L/P Líquido]]/base[[#This Row],[Stake/Responsabilidade]]</f>
        <v>0.19</v>
      </c>
      <c r="O1808" s="132">
        <f>IF(base[[#This Row],[L/P Líquido]]&gt;0,1,0)</f>
        <v>1</v>
      </c>
      <c r="P1808" s="132"/>
      <c r="Q1808" s="132" t="str">
        <f>LEFT(base[[#This Row],[Evento / Mercado]],FIND("vs",base[[#This Row],[Evento / Mercado]])-2)</f>
        <v>Viborg FF</v>
      </c>
      <c r="R18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SønderjyskE</v>
      </c>
      <c r="S1808" s="132" t="str">
        <f>LEFT(base[[#This Row],[Evento / Mercado]],FIND("/",base[[#This Row],[Evento / Mercado]])-2)</f>
        <v>Viborg FF vs SønderjyskE</v>
      </c>
    </row>
    <row r="1809" spans="2:19" ht="15" customHeight="1">
      <c r="B1809" s="128" t="s">
        <v>1770</v>
      </c>
      <c r="C1809" s="128" t="s">
        <v>2982</v>
      </c>
      <c r="D1809" s="129">
        <v>46150.664629629631</v>
      </c>
      <c r="E1809" s="130">
        <v>35.630000000000003</v>
      </c>
      <c r="F1809" s="136">
        <v>4.4999999999999998E-2</v>
      </c>
      <c r="G1809" s="126">
        <f t="shared" si="29"/>
        <v>37.308900523560212</v>
      </c>
      <c r="H1809" s="126" t="s">
        <v>1784</v>
      </c>
      <c r="I1809" s="127" t="s">
        <v>1785</v>
      </c>
      <c r="J1809" s="126">
        <v>2.34</v>
      </c>
      <c r="K1809" s="126">
        <v>50</v>
      </c>
      <c r="L1809" s="129">
        <f>INT(base[[#This Row],[Data de liquidação]])</f>
        <v>46150</v>
      </c>
      <c r="M1809" s="126">
        <f>base[[#This Row],[L/P Bruto]]-base[[#This Row],[L/P Líquido]]</f>
        <v>1.678900523560209</v>
      </c>
      <c r="N1809" s="126">
        <f>base[[#This Row],[L/P Líquido]]/base[[#This Row],[Stake/Responsabilidade]]</f>
        <v>0.71260000000000001</v>
      </c>
      <c r="O1809" s="132">
        <f>IF(base[[#This Row],[L/P Líquido]]&gt;0,1,0)</f>
        <v>1</v>
      </c>
      <c r="P1809" s="132"/>
      <c r="Q1809" s="132" t="str">
        <f>LEFT(base[[#This Row],[Evento / Mercado]],FIND("vs",base[[#This Row],[Evento / Mercado]])-2)</f>
        <v>Hamarkameratene</v>
      </c>
      <c r="R18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1809" s="132" t="str">
        <f>LEFT(base[[#This Row],[Evento / Mercado]],FIND("/",base[[#This Row],[Evento / Mercado]])-2)</f>
        <v>Hamarkameratene vs Vålerenga</v>
      </c>
    </row>
    <row r="1810" spans="2:19" ht="15" customHeight="1">
      <c r="B1810" s="128" t="s">
        <v>1769</v>
      </c>
      <c r="C1810" s="128" t="s">
        <v>2982</v>
      </c>
      <c r="D1810" s="129">
        <v>46150.664641203701</v>
      </c>
      <c r="E1810" s="130">
        <v>-3.37</v>
      </c>
      <c r="F1810" s="136">
        <v>4.4999999999999998E-2</v>
      </c>
      <c r="G1810" s="126">
        <f t="shared" si="29"/>
        <v>-3.37</v>
      </c>
      <c r="H1810" s="126" t="s">
        <v>1339</v>
      </c>
      <c r="I1810" s="127" t="s">
        <v>1236</v>
      </c>
      <c r="J1810" s="126">
        <v>8.1999999999999993</v>
      </c>
      <c r="K1810" s="126">
        <v>4</v>
      </c>
      <c r="L1810" s="129">
        <f>INT(base[[#This Row],[Data de liquidação]])</f>
        <v>46150</v>
      </c>
      <c r="M1810" s="126">
        <f>base[[#This Row],[L/P Bruto]]-base[[#This Row],[L/P Líquido]]</f>
        <v>0</v>
      </c>
      <c r="N1810" s="126">
        <f>base[[#This Row],[L/P Líquido]]/base[[#This Row],[Stake/Responsabilidade]]</f>
        <v>-0.84250000000000003</v>
      </c>
      <c r="O1810" s="132">
        <f>IF(base[[#This Row],[L/P Líquido]]&gt;0,1,0)</f>
        <v>0</v>
      </c>
      <c r="P1810" s="132"/>
      <c r="Q1810" s="132" t="str">
        <f>LEFT(base[[#This Row],[Evento / Mercado]],FIND("vs",base[[#This Row],[Evento / Mercado]])-2)</f>
        <v>Hamarkameratene</v>
      </c>
      <c r="R18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1810" s="132" t="str">
        <f>LEFT(base[[#This Row],[Evento / Mercado]],FIND("/",base[[#This Row],[Evento / Mercado]])-2)</f>
        <v>Hamarkameratene vs Vålerenga</v>
      </c>
    </row>
    <row r="1811" spans="2:19" ht="15" customHeight="1">
      <c r="B1811" s="128" t="s">
        <v>1768</v>
      </c>
      <c r="C1811" s="128" t="s">
        <v>2982</v>
      </c>
      <c r="D1811" s="129">
        <v>46150.665509259263</v>
      </c>
      <c r="E1811" s="130">
        <v>-115</v>
      </c>
      <c r="F1811" s="136">
        <v>4.4999999999999998E-2</v>
      </c>
      <c r="G1811" s="126">
        <f t="shared" si="29"/>
        <v>-115</v>
      </c>
      <c r="H1811" s="126" t="s">
        <v>231</v>
      </c>
      <c r="I1811" s="127" t="s">
        <v>266</v>
      </c>
      <c r="J1811" s="126">
        <v>1.63</v>
      </c>
      <c r="K1811" s="126">
        <v>115</v>
      </c>
      <c r="L1811" s="129">
        <f>INT(base[[#This Row],[Data de liquidação]])</f>
        <v>46150</v>
      </c>
      <c r="M1811" s="126">
        <f>base[[#This Row],[L/P Bruto]]-base[[#This Row],[L/P Líquido]]</f>
        <v>0</v>
      </c>
      <c r="N1811" s="126">
        <f>base[[#This Row],[L/P Líquido]]/base[[#This Row],[Stake/Responsabilidade]]</f>
        <v>-1</v>
      </c>
      <c r="O1811" s="132">
        <f>IF(base[[#This Row],[L/P Líquido]]&gt;0,1,0)</f>
        <v>0</v>
      </c>
      <c r="P1811" s="132"/>
      <c r="Q1811" s="132" t="str">
        <f>LEFT(base[[#This Row],[Evento / Mercado]],FIND("vs",base[[#This Row],[Evento / Mercado]])-2)</f>
        <v>FC Erzgebirge Aue</v>
      </c>
      <c r="R18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MSV Duisburg</v>
      </c>
      <c r="S1811" s="132" t="str">
        <f>LEFT(base[[#This Row],[Evento / Mercado]],FIND("/",base[[#This Row],[Evento / Mercado]])-2)</f>
        <v>FC Erzgebirge Aue vs MSV Duisburg</v>
      </c>
    </row>
    <row r="1812" spans="2:19" ht="15" customHeight="1">
      <c r="B1812" s="128" t="s">
        <v>1767</v>
      </c>
      <c r="C1812" s="128" t="s">
        <v>2982</v>
      </c>
      <c r="D1812" s="129">
        <v>46150.672303240739</v>
      </c>
      <c r="E1812" s="130">
        <v>3.82</v>
      </c>
      <c r="F1812" s="136">
        <v>4.4999999999999998E-2</v>
      </c>
      <c r="G1812" s="126">
        <f t="shared" si="29"/>
        <v>4</v>
      </c>
      <c r="H1812" s="126" t="s">
        <v>1339</v>
      </c>
      <c r="I1812" s="127" t="s">
        <v>1236</v>
      </c>
      <c r="J1812" s="126">
        <v>6.4</v>
      </c>
      <c r="K1812" s="126">
        <v>4</v>
      </c>
      <c r="L1812" s="129">
        <f>INT(base[[#This Row],[Data de liquidação]])</f>
        <v>46150</v>
      </c>
      <c r="M1812" s="126">
        <f>base[[#This Row],[L/P Bruto]]-base[[#This Row],[L/P Líquido]]</f>
        <v>0.18000000000000016</v>
      </c>
      <c r="N1812" s="126">
        <f>base[[#This Row],[L/P Líquido]]/base[[#This Row],[Stake/Responsabilidade]]</f>
        <v>0.95499999999999996</v>
      </c>
      <c r="O1812" s="132">
        <f>IF(base[[#This Row],[L/P Líquido]]&gt;0,1,0)</f>
        <v>1</v>
      </c>
      <c r="P1812" s="132"/>
      <c r="Q1812" s="132" t="str">
        <f>LEFT(base[[#This Row],[Evento / Mercado]],FIND("vs",base[[#This Row],[Evento / Mercado]])-2)</f>
        <v>HNK Rijeka</v>
      </c>
      <c r="R18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HNK Vukovar 1991</v>
      </c>
      <c r="S1812" s="132" t="str">
        <f>LEFT(base[[#This Row],[Evento / Mercado]],FIND("/",base[[#This Row],[Evento / Mercado]])-2)</f>
        <v>HNK Rijeka vs HNK Vukovar 1991</v>
      </c>
    </row>
    <row r="1813" spans="2:19" ht="15" customHeight="1">
      <c r="B1813" s="128" t="s">
        <v>1766</v>
      </c>
      <c r="C1813" s="128" t="s">
        <v>2982</v>
      </c>
      <c r="D1813" s="129">
        <v>46150.675891203704</v>
      </c>
      <c r="E1813" s="130">
        <v>3.82</v>
      </c>
      <c r="F1813" s="136">
        <v>4.4999999999999998E-2</v>
      </c>
      <c r="G1813" s="126">
        <f t="shared" si="29"/>
        <v>4</v>
      </c>
      <c r="H1813" s="126" t="s">
        <v>1339</v>
      </c>
      <c r="I1813" s="127" t="s">
        <v>1236</v>
      </c>
      <c r="J1813" s="126">
        <v>14.5</v>
      </c>
      <c r="K1813" s="126">
        <v>4</v>
      </c>
      <c r="L1813" s="129">
        <f>INT(base[[#This Row],[Data de liquidação]])</f>
        <v>46150</v>
      </c>
      <c r="M1813" s="126">
        <f>base[[#This Row],[L/P Bruto]]-base[[#This Row],[L/P Líquido]]</f>
        <v>0.18000000000000016</v>
      </c>
      <c r="N1813" s="126">
        <f>base[[#This Row],[L/P Líquido]]/base[[#This Row],[Stake/Responsabilidade]]</f>
        <v>0.95499999999999996</v>
      </c>
      <c r="O1813" s="132">
        <f>IF(base[[#This Row],[L/P Líquido]]&gt;0,1,0)</f>
        <v>1</v>
      </c>
      <c r="P1813" s="132"/>
      <c r="Q1813" s="132" t="str">
        <f>LEFT(base[[#This Row],[Evento / Mercado]],FIND("vs",base[[#This Row],[Evento / Mercado]])-2)</f>
        <v>Borussia Dortmund</v>
      </c>
      <c r="R18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1813" s="132" t="str">
        <f>LEFT(base[[#This Row],[Evento / Mercado]],FIND("/",base[[#This Row],[Evento / Mercado]])-2)</f>
        <v>Borussia Dortmund vs Eintracht Frankfurt</v>
      </c>
    </row>
    <row r="1814" spans="2:19" ht="15" customHeight="1">
      <c r="B1814" s="128" t="s">
        <v>1765</v>
      </c>
      <c r="C1814" s="128" t="s">
        <v>2982</v>
      </c>
      <c r="D1814" s="129">
        <v>46150.676076388889</v>
      </c>
      <c r="E1814" s="130">
        <v>122.03</v>
      </c>
      <c r="F1814" s="136">
        <v>4.4999999999999998E-2</v>
      </c>
      <c r="G1814" s="126">
        <f t="shared" si="29"/>
        <v>127.78010471204189</v>
      </c>
      <c r="H1814" s="126" t="s">
        <v>231</v>
      </c>
      <c r="I1814" s="127" t="s">
        <v>232</v>
      </c>
      <c r="J1814" s="126">
        <v>2.11</v>
      </c>
      <c r="K1814" s="126">
        <v>115</v>
      </c>
      <c r="L1814" s="129">
        <f>INT(base[[#This Row],[Data de liquidação]])</f>
        <v>46150</v>
      </c>
      <c r="M1814" s="126">
        <f>base[[#This Row],[L/P Bruto]]-base[[#This Row],[L/P Líquido]]</f>
        <v>5.7501047120418889</v>
      </c>
      <c r="N1814" s="126">
        <f>base[[#This Row],[L/P Líquido]]/base[[#This Row],[Stake/Responsabilidade]]</f>
        <v>1.0611304347826087</v>
      </c>
      <c r="O1814" s="132">
        <f>IF(base[[#This Row],[L/P Líquido]]&gt;0,1,0)</f>
        <v>1</v>
      </c>
      <c r="P1814" s="132"/>
      <c r="Q1814" s="132" t="str">
        <f>LEFT(base[[#This Row],[Evento / Mercado]],FIND("vs",base[[#This Row],[Evento / Mercado]])-2)</f>
        <v>Catanzaro</v>
      </c>
      <c r="R18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Bari</v>
      </c>
      <c r="S1814" s="132" t="str">
        <f>LEFT(base[[#This Row],[Evento / Mercado]],FIND("/",base[[#This Row],[Evento / Mercado]])-2)</f>
        <v>Catanzaro vs Bari</v>
      </c>
    </row>
    <row r="1815" spans="2:19" ht="15" customHeight="1">
      <c r="B1815" s="128" t="s">
        <v>1764</v>
      </c>
      <c r="C1815" s="128" t="s">
        <v>2982</v>
      </c>
      <c r="D1815" s="129">
        <v>46150.68236111111</v>
      </c>
      <c r="E1815" s="130">
        <v>-50</v>
      </c>
      <c r="F1815" s="136">
        <v>4.4999999999999998E-2</v>
      </c>
      <c r="G1815" s="126">
        <f t="shared" si="29"/>
        <v>-50</v>
      </c>
      <c r="H1815" s="126" t="s">
        <v>1784</v>
      </c>
      <c r="I1815" s="127" t="s">
        <v>1448</v>
      </c>
      <c r="J1815" s="126">
        <v>1.27</v>
      </c>
      <c r="K1815" s="126">
        <v>50</v>
      </c>
      <c r="L1815" s="129">
        <f>INT(base[[#This Row],[Data de liquidação]])</f>
        <v>46150</v>
      </c>
      <c r="M1815" s="126">
        <f>base[[#This Row],[L/P Bruto]]-base[[#This Row],[L/P Líquido]]</f>
        <v>0</v>
      </c>
      <c r="N1815" s="126">
        <f>base[[#This Row],[L/P Líquido]]/base[[#This Row],[Stake/Responsabilidade]]</f>
        <v>-1</v>
      </c>
      <c r="O1815" s="132">
        <f>IF(base[[#This Row],[L/P Líquido]]&gt;0,1,0)</f>
        <v>0</v>
      </c>
      <c r="P1815" s="132"/>
      <c r="Q1815" s="132" t="str">
        <f>LEFT(base[[#This Row],[Evento / Mercado]],FIND("vs",base[[#This Row],[Evento / Mercado]])-2)</f>
        <v>Lech Poznan</v>
      </c>
      <c r="R18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Arka Gdynia</v>
      </c>
      <c r="S1815" s="132" t="str">
        <f>LEFT(base[[#This Row],[Evento / Mercado]],FIND("/",base[[#This Row],[Evento / Mercado]])-2)</f>
        <v>Lech Poznan vs Arka Gdynia</v>
      </c>
    </row>
    <row r="1816" spans="2:19" ht="15" customHeight="1">
      <c r="B1816" s="128" t="s">
        <v>1763</v>
      </c>
      <c r="C1816" s="128" t="s">
        <v>2982</v>
      </c>
      <c r="D1816" s="129">
        <v>46150.688437500001</v>
      </c>
      <c r="E1816" s="130">
        <v>-2</v>
      </c>
      <c r="F1816" s="136">
        <v>4.4999999999999998E-2</v>
      </c>
      <c r="G1816" s="126">
        <f t="shared" si="29"/>
        <v>-2</v>
      </c>
      <c r="H1816" s="126" t="s">
        <v>1339</v>
      </c>
      <c r="I1816" s="127" t="s">
        <v>1448</v>
      </c>
      <c r="J1816" s="126">
        <v>1.59</v>
      </c>
      <c r="K1816" s="126">
        <v>2</v>
      </c>
      <c r="L1816" s="129">
        <f>INT(base[[#This Row],[Data de liquidação]])</f>
        <v>46150</v>
      </c>
      <c r="M1816" s="126">
        <f>base[[#This Row],[L/P Bruto]]-base[[#This Row],[L/P Líquido]]</f>
        <v>0</v>
      </c>
      <c r="N1816" s="126">
        <f>base[[#This Row],[L/P Líquido]]/base[[#This Row],[Stake/Responsabilidade]]</f>
        <v>-1</v>
      </c>
      <c r="O1816" s="132">
        <f>IF(base[[#This Row],[L/P Líquido]]&gt;0,1,0)</f>
        <v>0</v>
      </c>
      <c r="P1816" s="132"/>
      <c r="Q1816" s="132" t="str">
        <f>LEFT(base[[#This Row],[Evento / Mercado]],FIND("vs",base[[#This Row],[Evento / Mercado]])-2)</f>
        <v>RC Lens</v>
      </c>
      <c r="R18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1816" s="132" t="str">
        <f>LEFT(base[[#This Row],[Evento / Mercado]],FIND("/",base[[#This Row],[Evento / Mercado]])-2)</f>
        <v>RC Lens vs FC Nantes</v>
      </c>
    </row>
    <row r="1817" spans="2:19" ht="15" customHeight="1">
      <c r="B1817" s="128" t="s">
        <v>1762</v>
      </c>
      <c r="C1817" s="128" t="s">
        <v>2982</v>
      </c>
      <c r="D1817" s="129">
        <v>46150.704108796293</v>
      </c>
      <c r="E1817" s="130">
        <v>-1.53</v>
      </c>
      <c r="F1817" s="136">
        <v>4.4999999999999998E-2</v>
      </c>
      <c r="G1817" s="126">
        <f t="shared" si="29"/>
        <v>-1.53</v>
      </c>
      <c r="H1817" s="126" t="s">
        <v>1339</v>
      </c>
      <c r="I1817" s="127" t="s">
        <v>1236</v>
      </c>
      <c r="J1817" s="126">
        <v>7.6</v>
      </c>
      <c r="K1817" s="126">
        <v>4</v>
      </c>
      <c r="L1817" s="129">
        <f>INT(base[[#This Row],[Data de liquidação]])</f>
        <v>46150</v>
      </c>
      <c r="M1817" s="126">
        <f>base[[#This Row],[L/P Bruto]]-base[[#This Row],[L/P Líquido]]</f>
        <v>0</v>
      </c>
      <c r="N1817" s="126">
        <f>base[[#This Row],[L/P Líquido]]/base[[#This Row],[Stake/Responsabilidade]]</f>
        <v>-0.38250000000000001</v>
      </c>
      <c r="O1817" s="132">
        <f>IF(base[[#This Row],[L/P Líquido]]&gt;0,1,0)</f>
        <v>0</v>
      </c>
      <c r="P1817" s="132"/>
      <c r="Q1817" s="132" t="str">
        <f>LEFT(base[[#This Row],[Evento / Mercado]],FIND("vs",base[[#This Row],[Evento / Mercado]])-2)</f>
        <v>FC Sudtirol</v>
      </c>
      <c r="R18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 Stabia</v>
      </c>
      <c r="S1817" s="132" t="str">
        <f>LEFT(base[[#This Row],[Evento / Mercado]],FIND("/",base[[#This Row],[Evento / Mercado]])-2)</f>
        <v>FC Sudtirol vs Juve Stabia</v>
      </c>
    </row>
    <row r="1818" spans="2:19" ht="15" customHeight="1">
      <c r="B1818" s="128" t="s">
        <v>1761</v>
      </c>
      <c r="C1818" s="128" t="s">
        <v>2982</v>
      </c>
      <c r="D1818" s="129">
        <v>46150.722418981481</v>
      </c>
      <c r="E1818" s="130">
        <v>1.91</v>
      </c>
      <c r="F1818" s="136">
        <v>4.4999999999999998E-2</v>
      </c>
      <c r="G1818" s="126">
        <f t="shared" si="29"/>
        <v>2</v>
      </c>
      <c r="H1818" s="126" t="s">
        <v>1339</v>
      </c>
      <c r="I1818" s="127" t="s">
        <v>1431</v>
      </c>
      <c r="J1818" s="126">
        <v>2.04</v>
      </c>
      <c r="K1818" s="126">
        <v>1.92</v>
      </c>
      <c r="L1818" s="129">
        <f>INT(base[[#This Row],[Data de liquidação]])</f>
        <v>46150</v>
      </c>
      <c r="M1818" s="126">
        <f>base[[#This Row],[L/P Bruto]]-base[[#This Row],[L/P Líquido]]</f>
        <v>9.000000000000008E-2</v>
      </c>
      <c r="N1818" s="126">
        <f>base[[#This Row],[L/P Líquido]]/base[[#This Row],[Stake/Responsabilidade]]</f>
        <v>0.99479166666666663</v>
      </c>
      <c r="O1818" s="132">
        <f>IF(base[[#This Row],[L/P Líquido]]&gt;0,1,0)</f>
        <v>1</v>
      </c>
      <c r="P1818" s="132"/>
      <c r="Q1818" s="132" t="str">
        <f>LEFT(base[[#This Row],[Evento / Mercado]],FIND("vs",base[[#This Row],[Evento / Mercado]])-2)</f>
        <v>Cádiz</v>
      </c>
      <c r="R18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La Coruña</v>
      </c>
      <c r="S1818" s="132" t="str">
        <f>LEFT(base[[#This Row],[Evento / Mercado]],FIND("/",base[[#This Row],[Evento / Mercado]])-2)</f>
        <v>Cádiz vs Deportivo La Coruña</v>
      </c>
    </row>
    <row r="1819" spans="2:19" ht="15" customHeight="1">
      <c r="B1819" s="128" t="s">
        <v>1760</v>
      </c>
      <c r="C1819" s="128" t="s">
        <v>2982</v>
      </c>
      <c r="D1819" s="129">
        <v>46150.72488425926</v>
      </c>
      <c r="E1819" s="130">
        <v>4.3499999999999996</v>
      </c>
      <c r="F1819" s="136">
        <v>4.4999999999999998E-2</v>
      </c>
      <c r="G1819" s="126">
        <f t="shared" si="29"/>
        <v>4.5549738219895284</v>
      </c>
      <c r="H1819" s="126" t="s">
        <v>1339</v>
      </c>
      <c r="I1819" s="127" t="s">
        <v>1388</v>
      </c>
      <c r="J1819" s="126">
        <v>13.5</v>
      </c>
      <c r="K1819" s="126">
        <v>56.88</v>
      </c>
      <c r="L1819" s="129">
        <f>INT(base[[#This Row],[Data de liquidação]])</f>
        <v>46150</v>
      </c>
      <c r="M1819" s="126">
        <f>base[[#This Row],[L/P Bruto]]-base[[#This Row],[L/P Líquido]]</f>
        <v>0.20497382198952874</v>
      </c>
      <c r="N1819" s="126">
        <f>base[[#This Row],[L/P Líquido]]/base[[#This Row],[Stake/Responsabilidade]]</f>
        <v>7.6476793248945144E-2</v>
      </c>
      <c r="O1819" s="132">
        <f>IF(base[[#This Row],[L/P Líquido]]&gt;0,1,0)</f>
        <v>1</v>
      </c>
      <c r="P1819" s="132"/>
      <c r="Q1819" s="132" t="str">
        <f>LEFT(base[[#This Row],[Evento / Mercado]],FIND("vs",base[[#This Row],[Evento / Mercado]])-2)</f>
        <v>Borussia Dortmund</v>
      </c>
      <c r="R18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1819" s="132" t="str">
        <f>LEFT(base[[#This Row],[Evento / Mercado]],FIND("/",base[[#This Row],[Evento / Mercado]])-2)</f>
        <v>Borussia Dortmund vs Eintracht Frankfurt</v>
      </c>
    </row>
    <row r="1820" spans="2:19" ht="15" customHeight="1">
      <c r="B1820" s="128" t="s">
        <v>1538</v>
      </c>
      <c r="C1820" s="128" t="s">
        <v>2982</v>
      </c>
      <c r="D1820" s="129">
        <v>46150.728564814817</v>
      </c>
      <c r="E1820" s="130">
        <v>-5</v>
      </c>
      <c r="F1820" s="136">
        <v>4.4999999999999998E-2</v>
      </c>
      <c r="G1820" s="126">
        <f t="shared" si="29"/>
        <v>-5</v>
      </c>
      <c r="H1820" s="126" t="s">
        <v>1339</v>
      </c>
      <c r="I1820" s="127" t="s">
        <v>1389</v>
      </c>
      <c r="J1820" s="126">
        <v>1.58</v>
      </c>
      <c r="K1820" s="126">
        <v>5</v>
      </c>
      <c r="L1820" s="129">
        <f>INT(base[[#This Row],[Data de liquidação]])</f>
        <v>46150</v>
      </c>
      <c r="M1820" s="126">
        <f>base[[#This Row],[L/P Bruto]]-base[[#This Row],[L/P Líquido]]</f>
        <v>0</v>
      </c>
      <c r="N1820" s="126">
        <f>base[[#This Row],[L/P Líquido]]/base[[#This Row],[Stake/Responsabilidade]]</f>
        <v>-1</v>
      </c>
      <c r="O1820" s="132">
        <f>IF(base[[#This Row],[L/P Líquido]]&gt;0,1,0)</f>
        <v>0</v>
      </c>
      <c r="P1820" s="132"/>
      <c r="Q1820" s="132" t="str">
        <f>LEFT(base[[#This Row],[Evento / Mercado]],FIND("vs",base[[#This Row],[Evento / Mercado]])-2)</f>
        <v>Venezia</v>
      </c>
      <c r="R18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Palermo</v>
      </c>
      <c r="S1820" s="132" t="str">
        <f>LEFT(base[[#This Row],[Evento / Mercado]],FIND("/",base[[#This Row],[Evento / Mercado]])-2)</f>
        <v>Venezia vs Palermo</v>
      </c>
    </row>
    <row r="1821" spans="2:19" ht="15" customHeight="1">
      <c r="B1821" s="128" t="s">
        <v>1759</v>
      </c>
      <c r="C1821" s="128" t="s">
        <v>2982</v>
      </c>
      <c r="D1821" s="129">
        <v>46150.72859953704</v>
      </c>
      <c r="E1821" s="130">
        <v>-115</v>
      </c>
      <c r="F1821" s="136">
        <v>4.4999999999999998E-2</v>
      </c>
      <c r="G1821" s="126">
        <f t="shared" si="29"/>
        <v>-115</v>
      </c>
      <c r="H1821" s="126" t="s">
        <v>231</v>
      </c>
      <c r="I1821" s="127" t="s">
        <v>232</v>
      </c>
      <c r="J1821" s="126">
        <v>1.72</v>
      </c>
      <c r="K1821" s="126">
        <v>115</v>
      </c>
      <c r="L1821" s="129">
        <f>INT(base[[#This Row],[Data de liquidação]])</f>
        <v>46150</v>
      </c>
      <c r="M1821" s="126">
        <f>base[[#This Row],[L/P Bruto]]-base[[#This Row],[L/P Líquido]]</f>
        <v>0</v>
      </c>
      <c r="N1821" s="126">
        <f>base[[#This Row],[L/P Líquido]]/base[[#This Row],[Stake/Responsabilidade]]</f>
        <v>-1</v>
      </c>
      <c r="O1821" s="132">
        <f>IF(base[[#This Row],[L/P Líquido]]&gt;0,1,0)</f>
        <v>0</v>
      </c>
      <c r="P1821" s="132"/>
      <c r="Q1821" s="132" t="str">
        <f>LEFT(base[[#This Row],[Evento / Mercado]],FIND("vs",base[[#This Row],[Evento / Mercado]])-2)</f>
        <v>Venezia</v>
      </c>
      <c r="R18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Palermo</v>
      </c>
      <c r="S1821" s="132" t="str">
        <f>LEFT(base[[#This Row],[Evento / Mercado]],FIND("/",base[[#This Row],[Evento / Mercado]])-2)</f>
        <v>Venezia vs Palermo</v>
      </c>
    </row>
    <row r="1822" spans="2:19" ht="15" customHeight="1">
      <c r="B1822" s="128" t="s">
        <v>1758</v>
      </c>
      <c r="C1822" s="128" t="s">
        <v>2982</v>
      </c>
      <c r="D1822" s="129">
        <v>46150.728831018518</v>
      </c>
      <c r="E1822" s="130">
        <v>2.99</v>
      </c>
      <c r="F1822" s="136">
        <v>4.4999999999999998E-2</v>
      </c>
      <c r="G1822" s="126">
        <f t="shared" si="29"/>
        <v>3.1308900523560212</v>
      </c>
      <c r="H1822" s="126" t="s">
        <v>1339</v>
      </c>
      <c r="I1822" s="127" t="s">
        <v>1388</v>
      </c>
      <c r="J1822" s="126">
        <v>17</v>
      </c>
      <c r="K1822" s="126">
        <v>50.08</v>
      </c>
      <c r="L1822" s="129">
        <f>INT(base[[#This Row],[Data de liquidação]])</f>
        <v>46150</v>
      </c>
      <c r="M1822" s="126">
        <f>base[[#This Row],[L/P Bruto]]-base[[#This Row],[L/P Líquido]]</f>
        <v>0.14089005235602103</v>
      </c>
      <c r="N1822" s="126">
        <f>base[[#This Row],[L/P Líquido]]/base[[#This Row],[Stake/Responsabilidade]]</f>
        <v>5.9704472843450485E-2</v>
      </c>
      <c r="O1822" s="132">
        <f>IF(base[[#This Row],[L/P Líquido]]&gt;0,1,0)</f>
        <v>1</v>
      </c>
      <c r="P1822" s="132"/>
      <c r="Q1822" s="132" t="str">
        <f>LEFT(base[[#This Row],[Evento / Mercado]],FIND("vs",base[[#This Row],[Evento / Mercado]])-2)</f>
        <v>Monza</v>
      </c>
      <c r="R18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1822" s="132" t="str">
        <f>LEFT(base[[#This Row],[Evento / Mercado]],FIND("/",base[[#This Row],[Evento / Mercado]])-2)</f>
        <v>Monza vs Empoli</v>
      </c>
    </row>
    <row r="1823" spans="2:19" ht="15" customHeight="1">
      <c r="B1823" s="128" t="s">
        <v>1757</v>
      </c>
      <c r="C1823" s="128" t="s">
        <v>2982</v>
      </c>
      <c r="D1823" s="129">
        <v>46150.729409722226</v>
      </c>
      <c r="E1823" s="130">
        <v>2.63</v>
      </c>
      <c r="F1823" s="136">
        <v>4.4999999999999998E-2</v>
      </c>
      <c r="G1823" s="126">
        <f t="shared" si="29"/>
        <v>2.7539267015706805</v>
      </c>
      <c r="H1823" s="126" t="s">
        <v>1339</v>
      </c>
      <c r="I1823" s="127" t="s">
        <v>1446</v>
      </c>
      <c r="J1823" s="126">
        <v>2.84</v>
      </c>
      <c r="K1823" s="126">
        <v>5.0599999999999996</v>
      </c>
      <c r="L1823" s="129">
        <f>INT(base[[#This Row],[Data de liquidação]])</f>
        <v>46150</v>
      </c>
      <c r="M1823" s="126">
        <f>base[[#This Row],[L/P Bruto]]-base[[#This Row],[L/P Líquido]]</f>
        <v>0.12392670157068064</v>
      </c>
      <c r="N1823" s="126">
        <f>base[[#This Row],[L/P Líquido]]/base[[#This Row],[Stake/Responsabilidade]]</f>
        <v>0.51976284584980237</v>
      </c>
      <c r="O1823" s="132">
        <f>IF(base[[#This Row],[L/P Líquido]]&gt;0,1,0)</f>
        <v>1</v>
      </c>
      <c r="P1823" s="132"/>
      <c r="Q1823" s="132" t="str">
        <f>LEFT(base[[#This Row],[Evento / Mercado]],FIND("vs",base[[#This Row],[Evento / Mercado]])-2)</f>
        <v>FC Sudtirol</v>
      </c>
      <c r="R18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 Stabia</v>
      </c>
      <c r="S1823" s="132" t="str">
        <f>LEFT(base[[#This Row],[Evento / Mercado]],FIND("/",base[[#This Row],[Evento / Mercado]])-2)</f>
        <v>FC Sudtirol vs Juve Stabia</v>
      </c>
    </row>
    <row r="1824" spans="2:19" ht="15" customHeight="1">
      <c r="B1824" s="128" t="s">
        <v>1756</v>
      </c>
      <c r="C1824" s="128" t="s">
        <v>2982</v>
      </c>
      <c r="D1824" s="129">
        <v>46150.729456018518</v>
      </c>
      <c r="E1824" s="130">
        <v>2.5099999999999998</v>
      </c>
      <c r="F1824" s="136">
        <v>4.4999999999999998E-2</v>
      </c>
      <c r="G1824" s="126">
        <f t="shared" si="29"/>
        <v>2.6282722513089003</v>
      </c>
      <c r="H1824" s="126" t="s">
        <v>1339</v>
      </c>
      <c r="I1824" s="127" t="s">
        <v>1388</v>
      </c>
      <c r="J1824" s="126">
        <v>23</v>
      </c>
      <c r="K1824" s="126">
        <v>57.86</v>
      </c>
      <c r="L1824" s="129">
        <f>INT(base[[#This Row],[Data de liquidação]])</f>
        <v>46150</v>
      </c>
      <c r="M1824" s="126">
        <f>base[[#This Row],[L/P Bruto]]-base[[#This Row],[L/P Líquido]]</f>
        <v>0.11827225130890051</v>
      </c>
      <c r="N1824" s="126">
        <f>base[[#This Row],[L/P Líquido]]/base[[#This Row],[Stake/Responsabilidade]]</f>
        <v>4.3380573798824748E-2</v>
      </c>
      <c r="O1824" s="132">
        <f>IF(base[[#This Row],[L/P Líquido]]&gt;0,1,0)</f>
        <v>1</v>
      </c>
      <c r="P1824" s="132"/>
      <c r="Q1824" s="132" t="str">
        <f>LEFT(base[[#This Row],[Evento / Mercado]],FIND("vs",base[[#This Row],[Evento / Mercado]])-2)</f>
        <v>FC Sudtirol</v>
      </c>
      <c r="R18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 Stabia</v>
      </c>
      <c r="S1824" s="132" t="str">
        <f>LEFT(base[[#This Row],[Evento / Mercado]],FIND("/",base[[#This Row],[Evento / Mercado]])-2)</f>
        <v>FC Sudtirol vs Juve Stabia</v>
      </c>
    </row>
    <row r="1825" spans="2:21" ht="15" customHeight="1">
      <c r="B1825" s="128" t="s">
        <v>1755</v>
      </c>
      <c r="C1825" s="128" t="s">
        <v>2982</v>
      </c>
      <c r="D1825" s="129">
        <v>46150.730497685188</v>
      </c>
      <c r="E1825" s="130">
        <v>2.39</v>
      </c>
      <c r="F1825" s="136">
        <v>4.4999999999999998E-2</v>
      </c>
      <c r="G1825" s="126">
        <f t="shared" si="29"/>
        <v>2.5026178010471205</v>
      </c>
      <c r="H1825" s="126" t="s">
        <v>1339</v>
      </c>
      <c r="I1825" s="127" t="s">
        <v>1430</v>
      </c>
      <c r="J1825" s="126">
        <v>22</v>
      </c>
      <c r="K1825" s="126">
        <v>52.5</v>
      </c>
      <c r="L1825" s="129">
        <f>INT(base[[#This Row],[Data de liquidação]])</f>
        <v>46150</v>
      </c>
      <c r="M1825" s="126">
        <f>base[[#This Row],[L/P Bruto]]-base[[#This Row],[L/P Líquido]]</f>
        <v>0.11261780104712038</v>
      </c>
      <c r="N1825" s="126">
        <f>base[[#This Row],[L/P Líquido]]/base[[#This Row],[Stake/Responsabilidade]]</f>
        <v>4.5523809523809529E-2</v>
      </c>
      <c r="O1825" s="132">
        <f>IF(base[[#This Row],[L/P Líquido]]&gt;0,1,0)</f>
        <v>1</v>
      </c>
      <c r="P1825" s="132"/>
      <c r="Q1825" s="132" t="str">
        <f>LEFT(base[[#This Row],[Evento / Mercado]],FIND("vs",base[[#This Row],[Evento / Mercado]])-2)</f>
        <v>Pescara</v>
      </c>
      <c r="R18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Spezia</v>
      </c>
      <c r="S1825" s="132" t="str">
        <f>LEFT(base[[#This Row],[Evento / Mercado]],FIND("/",base[[#This Row],[Evento / Mercado]])-2)</f>
        <v>Pescara vs Spezia</v>
      </c>
    </row>
    <row r="1826" spans="2:21" ht="15" customHeight="1">
      <c r="B1826" s="128" t="s">
        <v>1754</v>
      </c>
      <c r="C1826" s="128" t="s">
        <v>2982</v>
      </c>
      <c r="D1826" s="129">
        <v>46150.731030092589</v>
      </c>
      <c r="E1826" s="130">
        <v>61.72</v>
      </c>
      <c r="F1826" s="136">
        <v>4.4999999999999998E-2</v>
      </c>
      <c r="G1826" s="126">
        <f t="shared" si="29"/>
        <v>64.6282722513089</v>
      </c>
      <c r="H1826" s="126" t="s">
        <v>145</v>
      </c>
      <c r="I1826" s="127" t="s">
        <v>301</v>
      </c>
      <c r="J1826" s="126">
        <v>9.1999999999999993</v>
      </c>
      <c r="K1826" s="126">
        <v>529.97</v>
      </c>
      <c r="L1826" s="129">
        <f>INT(base[[#This Row],[Data de liquidação]])</f>
        <v>46150</v>
      </c>
      <c r="M1826" s="126">
        <f>base[[#This Row],[L/P Bruto]]-base[[#This Row],[L/P Líquido]]</f>
        <v>2.908272251308901</v>
      </c>
      <c r="N1826" s="126">
        <f>base[[#This Row],[L/P Líquido]]/base[[#This Row],[Stake/Responsabilidade]]</f>
        <v>0.11645942223144705</v>
      </c>
      <c r="O1826" s="132">
        <f>IF(base[[#This Row],[L/P Líquido]]&gt;0,1,0)</f>
        <v>1</v>
      </c>
      <c r="P1826" s="132" t="s">
        <v>1786</v>
      </c>
      <c r="Q1826" s="132" t="str">
        <f>LEFT(base[[#This Row],[Evento / Mercado]],FIND("vs",base[[#This Row],[Evento / Mercado]])-2)</f>
        <v>Lech Poznan</v>
      </c>
      <c r="R18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Arka Gdynia</v>
      </c>
      <c r="S1826" s="132" t="str">
        <f>LEFT(base[[#This Row],[Evento / Mercado]],FIND("/",base[[#This Row],[Evento / Mercado]])-2)</f>
        <v>Lech Poznan vs Arka Gdynia</v>
      </c>
    </row>
    <row r="1827" spans="2:21" ht="15" customHeight="1">
      <c r="B1827" s="128" t="s">
        <v>1753</v>
      </c>
      <c r="C1827" s="128" t="s">
        <v>2982</v>
      </c>
      <c r="D1827" s="129">
        <v>46150.735023148147</v>
      </c>
      <c r="E1827" s="130">
        <v>0.84</v>
      </c>
      <c r="F1827" s="136">
        <v>4.4999999999999998E-2</v>
      </c>
      <c r="G1827" s="126">
        <f t="shared" si="29"/>
        <v>0.87958115183246077</v>
      </c>
      <c r="H1827" s="126" t="s">
        <v>1339</v>
      </c>
      <c r="I1827" s="127" t="s">
        <v>1336</v>
      </c>
      <c r="J1827" s="126">
        <v>1.4</v>
      </c>
      <c r="K1827" s="126">
        <v>5</v>
      </c>
      <c r="L1827" s="129">
        <f>INT(base[[#This Row],[Data de liquidação]])</f>
        <v>46150</v>
      </c>
      <c r="M1827" s="126">
        <f>base[[#This Row],[L/P Bruto]]-base[[#This Row],[L/P Líquido]]</f>
        <v>3.9581151832460804E-2</v>
      </c>
      <c r="N1827" s="126">
        <f>base[[#This Row],[L/P Líquido]]/base[[#This Row],[Stake/Responsabilidade]]</f>
        <v>0.16799999999999998</v>
      </c>
      <c r="O1827" s="132">
        <f>IF(base[[#This Row],[L/P Líquido]]&gt;0,1,0)</f>
        <v>1</v>
      </c>
      <c r="P1827" s="132"/>
      <c r="Q1827" s="132" t="str">
        <f>LEFT(base[[#This Row],[Evento / Mercado]],FIND("vs",base[[#This Row],[Evento / Mercado]])-2)</f>
        <v>RC Lens</v>
      </c>
      <c r="R18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1827" s="132" t="str">
        <f>LEFT(base[[#This Row],[Evento / Mercado]],FIND("/",base[[#This Row],[Evento / Mercado]])-2)</f>
        <v>RC Lens vs FC Nantes</v>
      </c>
    </row>
    <row r="1828" spans="2:21" ht="15" customHeight="1">
      <c r="B1828" s="128" t="s">
        <v>1535</v>
      </c>
      <c r="C1828" s="128" t="s">
        <v>2982</v>
      </c>
      <c r="D1828" s="129">
        <v>46150.735046296293</v>
      </c>
      <c r="E1828" s="130">
        <v>3.9823499999999998</v>
      </c>
      <c r="F1828" s="136">
        <v>4.4999999999999998E-2</v>
      </c>
      <c r="G1828" s="126">
        <f t="shared" si="29"/>
        <v>4.17</v>
      </c>
      <c r="H1828" s="126" t="s">
        <v>1339</v>
      </c>
      <c r="I1828" s="127" t="s">
        <v>1390</v>
      </c>
      <c r="J1828" s="126">
        <v>8.1999999999999993</v>
      </c>
      <c r="K1828" s="126">
        <v>30.02</v>
      </c>
      <c r="L1828" s="129">
        <f>INT(base[[#This Row],[Data de liquidação]])</f>
        <v>46150</v>
      </c>
      <c r="M1828" s="126">
        <f>base[[#This Row],[L/P Bruto]]-base[[#This Row],[L/P Líquido]]</f>
        <v>0.18765000000000009</v>
      </c>
      <c r="N1828" s="126">
        <f>base[[#This Row],[L/P Líquido]]/base[[#This Row],[Stake/Responsabilidade]]</f>
        <v>0.13265656229180545</v>
      </c>
      <c r="O1828" s="132">
        <f>IF(base[[#This Row],[L/P Líquido]]&gt;0,1,0)</f>
        <v>1</v>
      </c>
      <c r="P1828" s="132"/>
      <c r="Q1828" s="132" t="str">
        <f>LEFT(base[[#This Row],[Evento / Mercado]],FIND("vs",base[[#This Row],[Evento / Mercado]])-2)</f>
        <v>RC Lens</v>
      </c>
      <c r="R18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1828" s="132" t="str">
        <f>LEFT(base[[#This Row],[Evento / Mercado]],FIND("/",base[[#This Row],[Evento / Mercado]])-2)</f>
        <v>RC Lens vs FC Nantes</v>
      </c>
      <c r="T1828" s="8">
        <v>4.17</v>
      </c>
      <c r="U1828" s="9">
        <f>T1828*0.955</f>
        <v>3.9823499999999998</v>
      </c>
    </row>
    <row r="1829" spans="2:21" ht="15" customHeight="1">
      <c r="B1829" s="128" t="s">
        <v>1535</v>
      </c>
      <c r="C1829" s="128" t="s">
        <v>2982</v>
      </c>
      <c r="D1829" s="129">
        <v>46150.735046296293</v>
      </c>
      <c r="E1829" s="130">
        <v>22.919999999999998</v>
      </c>
      <c r="F1829" s="136">
        <v>4.4999999999999998E-2</v>
      </c>
      <c r="G1829" s="126">
        <f t="shared" si="29"/>
        <v>24</v>
      </c>
      <c r="H1829" s="126" t="s">
        <v>1784</v>
      </c>
      <c r="I1829" s="127" t="s">
        <v>1787</v>
      </c>
      <c r="J1829" s="126">
        <v>1.48</v>
      </c>
      <c r="K1829" s="126">
        <v>50</v>
      </c>
      <c r="L1829" s="129">
        <f>INT(base[[#This Row],[Data de liquidação]])</f>
        <v>46150</v>
      </c>
      <c r="M1829" s="126">
        <f>base[[#This Row],[L/P Bruto]]-base[[#This Row],[L/P Líquido]]</f>
        <v>1.0800000000000018</v>
      </c>
      <c r="N1829" s="126">
        <f>base[[#This Row],[L/P Líquido]]/base[[#This Row],[Stake/Responsabilidade]]</f>
        <v>0.45839999999999997</v>
      </c>
      <c r="O1829" s="132">
        <f>IF(base[[#This Row],[L/P Líquido]]&gt;0,1,0)</f>
        <v>1</v>
      </c>
      <c r="P1829" s="132"/>
      <c r="Q1829" s="132" t="str">
        <f>LEFT(base[[#This Row],[Evento / Mercado]],FIND("vs",base[[#This Row],[Evento / Mercado]])-2)</f>
        <v>RC Lens</v>
      </c>
      <c r="R18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1829" s="132" t="str">
        <f>LEFT(base[[#This Row],[Evento / Mercado]],FIND("/",base[[#This Row],[Evento / Mercado]])-2)</f>
        <v>RC Lens vs FC Nantes</v>
      </c>
      <c r="T1829" s="8">
        <v>24</v>
      </c>
      <c r="U1829" s="9">
        <f>T1829*0.955</f>
        <v>22.919999999999998</v>
      </c>
    </row>
    <row r="1830" spans="2:21" ht="15" customHeight="1">
      <c r="B1830" s="128" t="s">
        <v>1535</v>
      </c>
      <c r="C1830" s="128" t="s">
        <v>2982</v>
      </c>
      <c r="D1830" s="129">
        <v>46150.735046296293</v>
      </c>
      <c r="E1830" s="130">
        <v>76.686499999999995</v>
      </c>
      <c r="F1830" s="136">
        <v>4.4999999999999998E-2</v>
      </c>
      <c r="G1830" s="126">
        <f t="shared" si="29"/>
        <v>80.3</v>
      </c>
      <c r="H1830" s="126" t="s">
        <v>145</v>
      </c>
      <c r="I1830" s="127" t="s">
        <v>301</v>
      </c>
      <c r="J1830" s="126">
        <v>7.6</v>
      </c>
      <c r="K1830" s="126">
        <v>529.98</v>
      </c>
      <c r="L1830" s="129">
        <f>INT(base[[#This Row],[Data de liquidação]])</f>
        <v>46150</v>
      </c>
      <c r="M1830" s="126">
        <f>base[[#This Row],[L/P Bruto]]-base[[#This Row],[L/P Líquido]]</f>
        <v>3.6135000000000019</v>
      </c>
      <c r="N1830" s="126">
        <f>base[[#This Row],[L/P Líquido]]/base[[#This Row],[Stake/Responsabilidade]]</f>
        <v>0.14469696969696969</v>
      </c>
      <c r="O1830" s="132">
        <f>IF(base[[#This Row],[L/P Líquido]]&gt;0,1,0)</f>
        <v>1</v>
      </c>
      <c r="P1830" s="132" t="s">
        <v>970</v>
      </c>
      <c r="Q1830" s="132" t="str">
        <f>LEFT(base[[#This Row],[Evento / Mercado]],FIND("vs",base[[#This Row],[Evento / Mercado]])-2)</f>
        <v>RC Lens</v>
      </c>
      <c r="R18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1830" s="132" t="str">
        <f>LEFT(base[[#This Row],[Evento / Mercado]],FIND("/",base[[#This Row],[Evento / Mercado]])-2)</f>
        <v>RC Lens vs FC Nantes</v>
      </c>
      <c r="T1830" s="8">
        <v>80.3</v>
      </c>
      <c r="U1830" s="9">
        <f>T1830*0.955</f>
        <v>76.686499999999995</v>
      </c>
    </row>
    <row r="1831" spans="2:21" ht="15" customHeight="1">
      <c r="B1831" s="128" t="s">
        <v>1752</v>
      </c>
      <c r="C1831" s="128" t="s">
        <v>2982</v>
      </c>
      <c r="D1831" s="129">
        <v>46150.737187500003</v>
      </c>
      <c r="E1831" s="130">
        <v>2.39</v>
      </c>
      <c r="F1831" s="136">
        <v>4.4999999999999998E-2</v>
      </c>
      <c r="G1831" s="126">
        <f t="shared" si="29"/>
        <v>2.5026178010471205</v>
      </c>
      <c r="H1831" s="126" t="s">
        <v>1339</v>
      </c>
      <c r="I1831" s="127" t="s">
        <v>1388</v>
      </c>
      <c r="J1831" s="126">
        <v>21</v>
      </c>
      <c r="K1831" s="126">
        <v>50</v>
      </c>
      <c r="L1831" s="129">
        <f>INT(base[[#This Row],[Data de liquidação]])</f>
        <v>46150</v>
      </c>
      <c r="M1831" s="126">
        <f>base[[#This Row],[L/P Bruto]]-base[[#This Row],[L/P Líquido]]</f>
        <v>0.11261780104712038</v>
      </c>
      <c r="N1831" s="126">
        <f>base[[#This Row],[L/P Líquido]]/base[[#This Row],[Stake/Responsabilidade]]</f>
        <v>4.7800000000000002E-2</v>
      </c>
      <c r="O1831" s="132">
        <f>IF(base[[#This Row],[L/P Líquido]]&gt;0,1,0)</f>
        <v>1</v>
      </c>
      <c r="P1831" s="132"/>
      <c r="Q1831" s="132" t="str">
        <f>LEFT(base[[#This Row],[Evento / Mercado]],FIND("vs",base[[#This Row],[Evento / Mercado]])-2)</f>
        <v>Standard de Liège</v>
      </c>
      <c r="R18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Oud-Heverlee Leuven</v>
      </c>
      <c r="S1831" s="132" t="str">
        <f>LEFT(base[[#This Row],[Evento / Mercado]],FIND("/",base[[#This Row],[Evento / Mercado]])-2)</f>
        <v>Standard de Liège vs Oud-Heverlee Leuven</v>
      </c>
    </row>
    <row r="1832" spans="2:21" ht="15" customHeight="1">
      <c r="B1832" s="128" t="s">
        <v>1751</v>
      </c>
      <c r="C1832" s="128" t="s">
        <v>2982</v>
      </c>
      <c r="D1832" s="129">
        <v>46150.745173611111</v>
      </c>
      <c r="E1832" s="130">
        <v>31.55</v>
      </c>
      <c r="F1832" s="136">
        <v>4.4999999999999998E-2</v>
      </c>
      <c r="G1832" s="126">
        <f t="shared" si="29"/>
        <v>33.03664921465969</v>
      </c>
      <c r="H1832" s="126" t="s">
        <v>145</v>
      </c>
      <c r="I1832" s="127" t="s">
        <v>301</v>
      </c>
      <c r="J1832" s="126">
        <v>12.5</v>
      </c>
      <c r="K1832" s="126">
        <v>379.96</v>
      </c>
      <c r="L1832" s="129">
        <f>INT(base[[#This Row],[Data de liquidação]])</f>
        <v>46150</v>
      </c>
      <c r="M1832" s="126">
        <f>base[[#This Row],[L/P Bruto]]-base[[#This Row],[L/P Líquido]]</f>
        <v>1.486649214659689</v>
      </c>
      <c r="N1832" s="126">
        <f>base[[#This Row],[L/P Líquido]]/base[[#This Row],[Stake/Responsabilidade]]</f>
        <v>8.3035056321718079E-2</v>
      </c>
      <c r="O1832" s="132">
        <f>IF(base[[#This Row],[L/P Líquido]]&gt;0,1,0)</f>
        <v>1</v>
      </c>
      <c r="P1832" s="132" t="s">
        <v>1788</v>
      </c>
      <c r="Q1832" s="132" t="str">
        <f>LEFT(base[[#This Row],[Evento / Mercado]],FIND("vs",base[[#This Row],[Evento / Mercado]])-2)</f>
        <v>St. Patrick's Athletic</v>
      </c>
      <c r="R18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Waterford FC</v>
      </c>
      <c r="S1832" s="132" t="str">
        <f>LEFT(base[[#This Row],[Evento / Mercado]],FIND("/",base[[#This Row],[Evento / Mercado]])-2)</f>
        <v>St. Patrick's Athletic vs Waterford FC</v>
      </c>
    </row>
    <row r="1833" spans="2:21" ht="15" customHeight="1">
      <c r="B1833" s="128" t="s">
        <v>1863</v>
      </c>
      <c r="C1833" s="128" t="s">
        <v>2982</v>
      </c>
      <c r="D1833" s="129">
        <v>46151.007662037038</v>
      </c>
      <c r="E1833" s="130">
        <v>9.5500000000000007</v>
      </c>
      <c r="F1833" s="136">
        <v>4.4999999999999998E-2</v>
      </c>
      <c r="G1833" s="126">
        <f t="shared" si="29"/>
        <v>10.000000000000002</v>
      </c>
      <c r="H1833" s="126" t="s">
        <v>1784</v>
      </c>
      <c r="I1833" s="127" t="s">
        <v>1785</v>
      </c>
      <c r="J1833" s="126">
        <v>6</v>
      </c>
      <c r="K1833" s="126">
        <v>50</v>
      </c>
      <c r="L1833" s="129">
        <f>INT(base[[#This Row],[Data de liquidação]])</f>
        <v>46151</v>
      </c>
      <c r="M1833" s="126">
        <f>base[[#This Row],[L/P Bruto]]-base[[#This Row],[L/P Líquido]]</f>
        <v>0.45000000000000107</v>
      </c>
      <c r="N1833" s="126">
        <f>base[[#This Row],[L/P Líquido]]/base[[#This Row],[Stake/Responsabilidade]]</f>
        <v>0.191</v>
      </c>
      <c r="O1833" s="132">
        <f>IF(base[[#This Row],[L/P Líquido]]&gt;0,1,0)</f>
        <v>1</v>
      </c>
      <c r="P1833" s="132"/>
      <c r="Q1833" s="132" t="str">
        <f>LEFT(base[[#This Row],[Evento / Mercado]],FIND("vs",base[[#This Row],[Evento / Mercado]])-2)</f>
        <v>Colorado Springs Switchbacks FC</v>
      </c>
      <c r="R18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Orange County SC</v>
      </c>
      <c r="S1833" s="132" t="str">
        <f>LEFT(base[[#This Row],[Evento / Mercado]],FIND("/",base[[#This Row],[Evento / Mercado]])-2)</f>
        <v>Colorado Springs Switchbacks FC vs Orange County SC</v>
      </c>
    </row>
    <row r="1834" spans="2:21" ht="15" customHeight="1">
      <c r="B1834" s="128" t="s">
        <v>1862</v>
      </c>
      <c r="C1834" s="128" t="s">
        <v>2982</v>
      </c>
      <c r="D1834" s="129">
        <v>46151.367002314815</v>
      </c>
      <c r="E1834" s="130">
        <v>3.82</v>
      </c>
      <c r="F1834" s="136">
        <v>4.4999999999999998E-2</v>
      </c>
      <c r="G1834" s="126">
        <f t="shared" si="29"/>
        <v>4</v>
      </c>
      <c r="H1834" s="126" t="s">
        <v>1339</v>
      </c>
      <c r="I1834" s="127" t="s">
        <v>1236</v>
      </c>
      <c r="J1834" s="126">
        <v>7.6</v>
      </c>
      <c r="K1834" s="126">
        <v>4</v>
      </c>
      <c r="L1834" s="129">
        <f>INT(base[[#This Row],[Data de liquidação]])</f>
        <v>46151</v>
      </c>
      <c r="M1834" s="126">
        <f>base[[#This Row],[L/P Bruto]]-base[[#This Row],[L/P Líquido]]</f>
        <v>0.18000000000000016</v>
      </c>
      <c r="N1834" s="126">
        <f>base[[#This Row],[L/P Líquido]]/base[[#This Row],[Stake/Responsabilidade]]</f>
        <v>0.95499999999999996</v>
      </c>
      <c r="O1834" s="132">
        <f>IF(base[[#This Row],[L/P Líquido]]&gt;0,1,0)</f>
        <v>1</v>
      </c>
      <c r="P1834" s="132"/>
      <c r="Q1834" s="132" t="str">
        <f>LEFT(base[[#This Row],[Evento / Mercado]],FIND("vs",base[[#This Row],[Evento / Mercado]])-2)</f>
        <v>Holstein Kiel</v>
      </c>
      <c r="R18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Magdeburg</v>
      </c>
      <c r="S1834" s="132" t="str">
        <f>LEFT(base[[#This Row],[Evento / Mercado]],FIND("/",base[[#This Row],[Evento / Mercado]])-2)</f>
        <v>Holstein Kiel vs 1. FC Magdeburg</v>
      </c>
    </row>
    <row r="1835" spans="2:21" ht="15" customHeight="1">
      <c r="B1835" s="128" t="s">
        <v>1861</v>
      </c>
      <c r="C1835" s="128" t="s">
        <v>2982</v>
      </c>
      <c r="D1835" s="129">
        <v>46151.36755787037</v>
      </c>
      <c r="E1835" s="130">
        <v>-50</v>
      </c>
      <c r="F1835" s="136">
        <v>4.4999999999999998E-2</v>
      </c>
      <c r="G1835" s="126">
        <f t="shared" si="29"/>
        <v>-50</v>
      </c>
      <c r="H1835" s="126" t="s">
        <v>1784</v>
      </c>
      <c r="I1835" s="127" t="s">
        <v>1448</v>
      </c>
      <c r="J1835" s="126">
        <v>1.3</v>
      </c>
      <c r="K1835" s="126">
        <v>50</v>
      </c>
      <c r="L1835" s="129">
        <f>INT(base[[#This Row],[Data de liquidação]])</f>
        <v>46151</v>
      </c>
      <c r="M1835" s="126">
        <f>base[[#This Row],[L/P Bruto]]-base[[#This Row],[L/P Líquido]]</f>
        <v>0</v>
      </c>
      <c r="N1835" s="126">
        <f>base[[#This Row],[L/P Líquido]]/base[[#This Row],[Stake/Responsabilidade]]</f>
        <v>-1</v>
      </c>
      <c r="O1835" s="132">
        <f>IF(base[[#This Row],[L/P Líquido]]&gt;0,1,0)</f>
        <v>0</v>
      </c>
      <c r="P1835" s="132"/>
      <c r="Q1835" s="132" t="str">
        <f>LEFT(base[[#This Row],[Evento / Mercado]],FIND("vs",base[[#This Row],[Evento / Mercado]])-2)</f>
        <v>VfL Bochum</v>
      </c>
      <c r="R18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Hannover 96</v>
      </c>
      <c r="S1835" s="132" t="str">
        <f>LEFT(base[[#This Row],[Evento / Mercado]],FIND("/",base[[#This Row],[Evento / Mercado]])-2)</f>
        <v>VfL Bochum vs Hannover 96</v>
      </c>
    </row>
    <row r="1836" spans="2:21" ht="15" customHeight="1">
      <c r="B1836" s="128" t="s">
        <v>1860</v>
      </c>
      <c r="C1836" s="128" t="s">
        <v>2982</v>
      </c>
      <c r="D1836" s="129">
        <v>46151.367592592593</v>
      </c>
      <c r="E1836" s="130">
        <v>-50</v>
      </c>
      <c r="F1836" s="136">
        <v>4.4999999999999998E-2</v>
      </c>
      <c r="G1836" s="126">
        <f t="shared" si="29"/>
        <v>-50</v>
      </c>
      <c r="H1836" s="126" t="s">
        <v>1784</v>
      </c>
      <c r="I1836" s="127" t="s">
        <v>1448</v>
      </c>
      <c r="J1836" s="126">
        <v>1.37</v>
      </c>
      <c r="K1836" s="126">
        <v>50</v>
      </c>
      <c r="L1836" s="129">
        <f>INT(base[[#This Row],[Data de liquidação]])</f>
        <v>46151</v>
      </c>
      <c r="M1836" s="126">
        <f>base[[#This Row],[L/P Bruto]]-base[[#This Row],[L/P Líquido]]</f>
        <v>0</v>
      </c>
      <c r="N1836" s="126">
        <f>base[[#This Row],[L/P Líquido]]/base[[#This Row],[Stake/Responsabilidade]]</f>
        <v>-1</v>
      </c>
      <c r="O1836" s="132">
        <f>IF(base[[#This Row],[L/P Líquido]]&gt;0,1,0)</f>
        <v>0</v>
      </c>
      <c r="P1836" s="132"/>
      <c r="Q1836" s="132" t="str">
        <f>LEFT(base[[#This Row],[Evento / Mercado]],FIND("vs",base[[#This Row],[Evento / Mercado]])-2)</f>
        <v>Östersunds FK</v>
      </c>
      <c r="R18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Falkenbergs FF</v>
      </c>
      <c r="S1836" s="132" t="str">
        <f>LEFT(base[[#This Row],[Evento / Mercado]],FIND("/",base[[#This Row],[Evento / Mercado]])-2)</f>
        <v>Östersunds FK vs Falkenbergs FF</v>
      </c>
    </row>
    <row r="1837" spans="2:21" ht="15" customHeight="1">
      <c r="B1837" s="128" t="s">
        <v>1859</v>
      </c>
      <c r="C1837" s="128" t="s">
        <v>2982</v>
      </c>
      <c r="D1837" s="129">
        <v>46151.382962962962</v>
      </c>
      <c r="E1837" s="130">
        <v>12.89</v>
      </c>
      <c r="F1837" s="136">
        <v>4.4999999999999998E-2</v>
      </c>
      <c r="G1837" s="126">
        <f t="shared" si="29"/>
        <v>13.497382198952881</v>
      </c>
      <c r="H1837" s="126" t="s">
        <v>1784</v>
      </c>
      <c r="I1837" s="127" t="s">
        <v>1448</v>
      </c>
      <c r="J1837" s="126">
        <v>1.27</v>
      </c>
      <c r="K1837" s="126">
        <v>50</v>
      </c>
      <c r="L1837" s="129">
        <f>INT(base[[#This Row],[Data de liquidação]])</f>
        <v>46151</v>
      </c>
      <c r="M1837" s="126">
        <f>base[[#This Row],[L/P Bruto]]-base[[#This Row],[L/P Líquido]]</f>
        <v>0.60738219895288026</v>
      </c>
      <c r="N1837" s="126">
        <f>base[[#This Row],[L/P Líquido]]/base[[#This Row],[Stake/Responsabilidade]]</f>
        <v>0.25780000000000003</v>
      </c>
      <c r="O1837" s="132">
        <f>IF(base[[#This Row],[L/P Líquido]]&gt;0,1,0)</f>
        <v>1</v>
      </c>
      <c r="P1837" s="132"/>
      <c r="Q1837" s="132" t="str">
        <f>LEFT(base[[#This Row],[Evento / Mercado]],FIND("vs",base[[#This Row],[Evento / Mercado]])-2)</f>
        <v>Tallinna FC Levadia</v>
      </c>
      <c r="R18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Harju JK Laagri</v>
      </c>
      <c r="S1837" s="132" t="str">
        <f>LEFT(base[[#This Row],[Evento / Mercado]],FIND("/",base[[#This Row],[Evento / Mercado]])-2)</f>
        <v>Tallinna FC Levadia vs Harju JK Laagri</v>
      </c>
    </row>
    <row r="1838" spans="2:21" ht="15" customHeight="1">
      <c r="B1838" s="128" t="s">
        <v>1858</v>
      </c>
      <c r="C1838" s="128" t="s">
        <v>2982</v>
      </c>
      <c r="D1838" s="129">
        <v>46151.406747685185</v>
      </c>
      <c r="E1838" s="130">
        <v>72.48</v>
      </c>
      <c r="F1838" s="136">
        <v>4.4999999999999998E-2</v>
      </c>
      <c r="G1838" s="126">
        <f t="shared" si="29"/>
        <v>75.89528795811519</v>
      </c>
      <c r="H1838" s="126" t="s">
        <v>231</v>
      </c>
      <c r="I1838" s="127" t="s">
        <v>266</v>
      </c>
      <c r="J1838" s="126">
        <v>1.66</v>
      </c>
      <c r="K1838" s="126">
        <v>115</v>
      </c>
      <c r="L1838" s="129">
        <f>INT(base[[#This Row],[Data de liquidação]])</f>
        <v>46151</v>
      </c>
      <c r="M1838" s="126">
        <f>base[[#This Row],[L/P Bruto]]-base[[#This Row],[L/P Líquido]]</f>
        <v>3.4152879581151865</v>
      </c>
      <c r="N1838" s="126">
        <f>base[[#This Row],[L/P Líquido]]/base[[#This Row],[Stake/Responsabilidade]]</f>
        <v>0.63026086956521743</v>
      </c>
      <c r="O1838" s="132">
        <f>IF(base[[#This Row],[L/P Líquido]]&gt;0,1,0)</f>
        <v>1</v>
      </c>
      <c r="P1838" s="132"/>
      <c r="Q1838" s="132" t="str">
        <f>LEFT(base[[#This Row],[Evento / Mercado]],FIND("vs",base[[#This Row],[Evento / Mercado]])-2)</f>
        <v>Energie Cottbus</v>
      </c>
      <c r="R18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Wehen Wiesbaden</v>
      </c>
      <c r="S1838" s="132" t="str">
        <f>LEFT(base[[#This Row],[Evento / Mercado]],FIND("/",base[[#This Row],[Evento / Mercado]])-2)</f>
        <v>Energie Cottbus vs SV Wehen Wiesbaden</v>
      </c>
    </row>
    <row r="1839" spans="2:21" ht="15" customHeight="1">
      <c r="B1839" s="128" t="s">
        <v>1857</v>
      </c>
      <c r="C1839" s="128" t="s">
        <v>2982</v>
      </c>
      <c r="D1839" s="129">
        <v>46151.431527777779</v>
      </c>
      <c r="E1839" s="130">
        <v>-115</v>
      </c>
      <c r="F1839" s="136">
        <v>4.4999999999999998E-2</v>
      </c>
      <c r="G1839" s="126">
        <f t="shared" si="29"/>
        <v>-115</v>
      </c>
      <c r="H1839" s="126" t="s">
        <v>231</v>
      </c>
      <c r="I1839" s="127" t="s">
        <v>266</v>
      </c>
      <c r="J1839" s="126">
        <v>1.9</v>
      </c>
      <c r="K1839" s="126">
        <v>115</v>
      </c>
      <c r="L1839" s="129">
        <f>INT(base[[#This Row],[Data de liquidação]])</f>
        <v>46151</v>
      </c>
      <c r="M1839" s="126">
        <f>base[[#This Row],[L/P Bruto]]-base[[#This Row],[L/P Líquido]]</f>
        <v>0</v>
      </c>
      <c r="N1839" s="126">
        <f>base[[#This Row],[L/P Líquido]]/base[[#This Row],[Stake/Responsabilidade]]</f>
        <v>-1</v>
      </c>
      <c r="O1839" s="132">
        <f>IF(base[[#This Row],[L/P Líquido]]&gt;0,1,0)</f>
        <v>0</v>
      </c>
      <c r="P1839" s="132"/>
      <c r="Q1839" s="132" t="str">
        <f>LEFT(base[[#This Row],[Evento / Mercado]],FIND("vs",base[[#This Row],[Evento / Mercado]])-2)</f>
        <v>Middlesbrough</v>
      </c>
      <c r="R18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Southampton</v>
      </c>
      <c r="S1839" s="132" t="str">
        <f>LEFT(base[[#This Row],[Evento / Mercado]],FIND("/",base[[#This Row],[Evento / Mercado]])-2)</f>
        <v>Middlesbrough vs Southampton</v>
      </c>
    </row>
    <row r="1840" spans="2:21" ht="15" customHeight="1">
      <c r="B1840" s="128" t="s">
        <v>1856</v>
      </c>
      <c r="C1840" s="128" t="s">
        <v>2982</v>
      </c>
      <c r="D1840" s="129">
        <v>46151.435624999998</v>
      </c>
      <c r="E1840" s="130">
        <v>10.61</v>
      </c>
      <c r="F1840" s="136">
        <v>4.4999999999999998E-2</v>
      </c>
      <c r="G1840" s="126">
        <f t="shared" si="29"/>
        <v>11.109947643979057</v>
      </c>
      <c r="H1840" s="126" t="s">
        <v>1784</v>
      </c>
      <c r="I1840" s="127" t="s">
        <v>1448</v>
      </c>
      <c r="J1840" s="126">
        <v>1.22</v>
      </c>
      <c r="K1840" s="126">
        <v>50</v>
      </c>
      <c r="L1840" s="129">
        <f>INT(base[[#This Row],[Data de liquidação]])</f>
        <v>46151</v>
      </c>
      <c r="M1840" s="126">
        <f>base[[#This Row],[L/P Bruto]]-base[[#This Row],[L/P Líquido]]</f>
        <v>0.49994764397905733</v>
      </c>
      <c r="N1840" s="126">
        <f>base[[#This Row],[L/P Líquido]]/base[[#This Row],[Stake/Responsabilidade]]</f>
        <v>0.2122</v>
      </c>
      <c r="O1840" s="132">
        <f>IF(base[[#This Row],[L/P Líquido]]&gt;0,1,0)</f>
        <v>1</v>
      </c>
      <c r="P1840" s="132"/>
      <c r="Q1840" s="132" t="str">
        <f>LEFT(base[[#This Row],[Evento / Mercado]],FIND("vs",base[[#This Row],[Evento / Mercado]])-2)</f>
        <v>NK Bravo</v>
      </c>
      <c r="R18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Radomlje</v>
      </c>
      <c r="S1840" s="132" t="str">
        <f>LEFT(base[[#This Row],[Evento / Mercado]],FIND("/",base[[#This Row],[Evento / Mercado]])-2)</f>
        <v>NK Bravo vs NK Radomlje</v>
      </c>
    </row>
    <row r="1841" spans="2:19" ht="15" customHeight="1">
      <c r="B1841" s="128" t="s">
        <v>1855</v>
      </c>
      <c r="C1841" s="128" t="s">
        <v>2982</v>
      </c>
      <c r="D1841" s="129">
        <v>46151.438668981478</v>
      </c>
      <c r="E1841" s="130">
        <v>86.78</v>
      </c>
      <c r="F1841" s="136">
        <v>4.4999999999999998E-2</v>
      </c>
      <c r="G1841" s="126">
        <f t="shared" si="29"/>
        <v>90.869109947643977</v>
      </c>
      <c r="H1841" s="126" t="s">
        <v>231</v>
      </c>
      <c r="I1841" s="127" t="s">
        <v>266</v>
      </c>
      <c r="J1841" s="126">
        <v>1.79</v>
      </c>
      <c r="K1841" s="126">
        <v>115</v>
      </c>
      <c r="L1841" s="129">
        <f>INT(base[[#This Row],[Data de liquidação]])</f>
        <v>46151</v>
      </c>
      <c r="M1841" s="126">
        <f>base[[#This Row],[L/P Bruto]]-base[[#This Row],[L/P Líquido]]</f>
        <v>4.0891099476439763</v>
      </c>
      <c r="N1841" s="126">
        <f>base[[#This Row],[L/P Líquido]]/base[[#This Row],[Stake/Responsabilidade]]</f>
        <v>0.75460869565217392</v>
      </c>
      <c r="O1841" s="132">
        <f>IF(base[[#This Row],[L/P Líquido]]&gt;0,1,0)</f>
        <v>1</v>
      </c>
      <c r="P1841" s="132"/>
      <c r="Q1841" s="132" t="str">
        <f>LEFT(base[[#This Row],[Evento / Mercado]],FIND("vs",base[[#This Row],[Evento / Mercado]])-2)</f>
        <v>Elche CF</v>
      </c>
      <c r="R18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Alaves</v>
      </c>
      <c r="S1841" s="132" t="str">
        <f>LEFT(base[[#This Row],[Evento / Mercado]],FIND("/",base[[#This Row],[Evento / Mercado]])-2)</f>
        <v>Elche CF vs Deportivo Alaves</v>
      </c>
    </row>
    <row r="1842" spans="2:19" ht="15" customHeight="1">
      <c r="B1842" s="128" t="s">
        <v>1854</v>
      </c>
      <c r="C1842" s="128" t="s">
        <v>2982</v>
      </c>
      <c r="D1842" s="129">
        <v>46151.448379629626</v>
      </c>
      <c r="E1842" s="130">
        <v>-50</v>
      </c>
      <c r="F1842" s="136">
        <v>4.4999999999999998E-2</v>
      </c>
      <c r="G1842" s="126">
        <f t="shared" si="29"/>
        <v>-50</v>
      </c>
      <c r="H1842" s="126" t="s">
        <v>1784</v>
      </c>
      <c r="I1842" s="127" t="s">
        <v>1448</v>
      </c>
      <c r="J1842" s="126">
        <v>1.42</v>
      </c>
      <c r="K1842" s="126">
        <v>50</v>
      </c>
      <c r="L1842" s="129">
        <f>INT(base[[#This Row],[Data de liquidação]])</f>
        <v>46151</v>
      </c>
      <c r="M1842" s="126">
        <f>base[[#This Row],[L/P Bruto]]-base[[#This Row],[L/P Líquido]]</f>
        <v>0</v>
      </c>
      <c r="N1842" s="126">
        <f>base[[#This Row],[L/P Líquido]]/base[[#This Row],[Stake/Responsabilidade]]</f>
        <v>-1</v>
      </c>
      <c r="O1842" s="132">
        <f>IF(base[[#This Row],[L/P Líquido]]&gt;0,1,0)</f>
        <v>0</v>
      </c>
      <c r="P1842" s="132"/>
      <c r="Q1842" s="132" t="str">
        <f>LEFT(base[[#This Row],[Evento / Mercado]],FIND("vs",base[[#This Row],[Evento / Mercado]])-2)</f>
        <v>Västerås SK FK</v>
      </c>
      <c r="R18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GAIS</v>
      </c>
      <c r="S1842" s="132" t="str">
        <f>LEFT(base[[#This Row],[Evento / Mercado]],FIND("/",base[[#This Row],[Evento / Mercado]])-2)</f>
        <v>Västerås SK FK vs GAIS</v>
      </c>
    </row>
    <row r="1843" spans="2:19" ht="15" customHeight="1">
      <c r="B1843" s="128" t="s">
        <v>1853</v>
      </c>
      <c r="C1843" s="128" t="s">
        <v>2982</v>
      </c>
      <c r="D1843" s="129">
        <v>46151.456550925926</v>
      </c>
      <c r="E1843" s="130">
        <v>7.7</v>
      </c>
      <c r="F1843" s="136">
        <v>4.4999999999999998E-2</v>
      </c>
      <c r="G1843" s="126">
        <f t="shared" si="29"/>
        <v>8.0628272251308903</v>
      </c>
      <c r="H1843" s="126" t="s">
        <v>1784</v>
      </c>
      <c r="I1843" s="127" t="s">
        <v>1785</v>
      </c>
      <c r="J1843" s="126">
        <v>7.2</v>
      </c>
      <c r="K1843" s="126">
        <v>49.97</v>
      </c>
      <c r="L1843" s="129">
        <f>INT(base[[#This Row],[Data de liquidação]])</f>
        <v>46151</v>
      </c>
      <c r="M1843" s="126">
        <f>base[[#This Row],[L/P Bruto]]-base[[#This Row],[L/P Líquido]]</f>
        <v>0.36282722513089016</v>
      </c>
      <c r="N1843" s="126">
        <f>base[[#This Row],[L/P Líquido]]/base[[#This Row],[Stake/Responsabilidade]]</f>
        <v>0.15409245547328398</v>
      </c>
      <c r="O1843" s="132">
        <f>IF(base[[#This Row],[L/P Líquido]]&gt;0,1,0)</f>
        <v>1</v>
      </c>
      <c r="P1843" s="132"/>
      <c r="Q1843" s="132" t="str">
        <f>LEFT(base[[#This Row],[Evento / Mercado]],FIND("vs",base[[#This Row],[Evento / Mercado]])-2)</f>
        <v>Chengdu Rongcheng</v>
      </c>
      <c r="R18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Henan Songshan Longmen</v>
      </c>
      <c r="S1843" s="132" t="str">
        <f>LEFT(base[[#This Row],[Evento / Mercado]],FIND("/",base[[#This Row],[Evento / Mercado]])-2)</f>
        <v>Chengdu Rongcheng vs Henan Songshan Longmen</v>
      </c>
    </row>
    <row r="1844" spans="2:19" ht="15" customHeight="1">
      <c r="B1844" s="128" t="s">
        <v>1852</v>
      </c>
      <c r="C1844" s="128" t="s">
        <v>2982</v>
      </c>
      <c r="D1844" s="129">
        <v>46151.462418981479</v>
      </c>
      <c r="E1844" s="130">
        <v>0.93</v>
      </c>
      <c r="F1844" s="136">
        <v>4.4999999999999998E-2</v>
      </c>
      <c r="G1844" s="126">
        <f t="shared" si="29"/>
        <v>0.97382198952879595</v>
      </c>
      <c r="H1844" s="126" t="s">
        <v>1339</v>
      </c>
      <c r="I1844" s="127" t="s">
        <v>1336</v>
      </c>
      <c r="J1844" s="126">
        <v>1.48</v>
      </c>
      <c r="K1844" s="126">
        <v>5</v>
      </c>
      <c r="L1844" s="129">
        <f>INT(base[[#This Row],[Data de liquidação]])</f>
        <v>46151</v>
      </c>
      <c r="M1844" s="126">
        <f>base[[#This Row],[L/P Bruto]]-base[[#This Row],[L/P Líquido]]</f>
        <v>4.3821989528795902E-2</v>
      </c>
      <c r="N1844" s="126">
        <f>base[[#This Row],[L/P Líquido]]/base[[#This Row],[Stake/Responsabilidade]]</f>
        <v>0.186</v>
      </c>
      <c r="O1844" s="132">
        <f>IF(base[[#This Row],[L/P Líquido]]&gt;0,1,0)</f>
        <v>1</v>
      </c>
      <c r="P1844" s="132"/>
      <c r="Q1844" s="132" t="str">
        <f>LEFT(base[[#This Row],[Evento / Mercado]],FIND("vs",base[[#This Row],[Evento / Mercado]])-2)</f>
        <v>AD Ceuta FC</v>
      </c>
      <c r="R18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Castellon</v>
      </c>
      <c r="S1844" s="132" t="str">
        <f>LEFT(base[[#This Row],[Evento / Mercado]],FIND("/",base[[#This Row],[Evento / Mercado]])-2)</f>
        <v>AD Ceuta FC vs CD Castellon</v>
      </c>
    </row>
    <row r="1845" spans="2:19" ht="15" customHeight="1">
      <c r="B1845" s="128" t="s">
        <v>1851</v>
      </c>
      <c r="C1845" s="128" t="s">
        <v>2982</v>
      </c>
      <c r="D1845" s="129">
        <v>46151.467418981483</v>
      </c>
      <c r="E1845" s="130">
        <v>3.82</v>
      </c>
      <c r="F1845" s="136">
        <v>4.4999999999999998E-2</v>
      </c>
      <c r="G1845" s="126">
        <f t="shared" si="29"/>
        <v>4</v>
      </c>
      <c r="H1845" s="126" t="s">
        <v>1339</v>
      </c>
      <c r="I1845" s="127" t="s">
        <v>1236</v>
      </c>
      <c r="J1845" s="126">
        <v>12</v>
      </c>
      <c r="K1845" s="126">
        <v>4</v>
      </c>
      <c r="L1845" s="129">
        <f>INT(base[[#This Row],[Data de liquidação]])</f>
        <v>46151</v>
      </c>
      <c r="M1845" s="126">
        <f>base[[#This Row],[L/P Bruto]]-base[[#This Row],[L/P Líquido]]</f>
        <v>0.18000000000000016</v>
      </c>
      <c r="N1845" s="126">
        <f>base[[#This Row],[L/P Líquido]]/base[[#This Row],[Stake/Responsabilidade]]</f>
        <v>0.95499999999999996</v>
      </c>
      <c r="O1845" s="132">
        <f>IF(base[[#This Row],[L/P Líquido]]&gt;0,1,0)</f>
        <v>1</v>
      </c>
      <c r="P1845" s="132"/>
      <c r="Q1845" s="132" t="str">
        <f>LEFT(base[[#This Row],[Evento / Mercado]],FIND("vs",base[[#This Row],[Evento / Mercado]])-2)</f>
        <v>FC Augsburg</v>
      </c>
      <c r="R18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1845" s="132" t="str">
        <f>LEFT(base[[#This Row],[Evento / Mercado]],FIND("/",base[[#This Row],[Evento / Mercado]])-2)</f>
        <v>FC Augsburg vs Borussia Mönchengladbach</v>
      </c>
    </row>
    <row r="1846" spans="2:19" ht="15" customHeight="1">
      <c r="B1846" s="128" t="s">
        <v>1850</v>
      </c>
      <c r="C1846" s="128" t="s">
        <v>2982</v>
      </c>
      <c r="D1846" s="129">
        <v>46151.469872685186</v>
      </c>
      <c r="E1846" s="130">
        <v>1.18</v>
      </c>
      <c r="F1846" s="136">
        <v>4.4999999999999998E-2</v>
      </c>
      <c r="G1846" s="126">
        <f t="shared" si="29"/>
        <v>1.2356020942408377</v>
      </c>
      <c r="H1846" s="126" t="s">
        <v>1339</v>
      </c>
      <c r="I1846" s="127" t="s">
        <v>1448</v>
      </c>
      <c r="J1846" s="126">
        <v>1.62</v>
      </c>
      <c r="K1846" s="126">
        <v>2</v>
      </c>
      <c r="L1846" s="129">
        <f>INT(base[[#This Row],[Data de liquidação]])</f>
        <v>46151</v>
      </c>
      <c r="M1846" s="126">
        <f>base[[#This Row],[L/P Bruto]]-base[[#This Row],[L/P Líquido]]</f>
        <v>5.5602094240837729E-2</v>
      </c>
      <c r="N1846" s="126">
        <f>base[[#This Row],[L/P Líquido]]/base[[#This Row],[Stake/Responsabilidade]]</f>
        <v>0.59</v>
      </c>
      <c r="O1846" s="132">
        <f>IF(base[[#This Row],[L/P Líquido]]&gt;0,1,0)</f>
        <v>1</v>
      </c>
      <c r="P1846" s="132"/>
      <c r="Q1846" s="132" t="str">
        <f>LEFT(base[[#This Row],[Evento / Mercado]],FIND("vs",base[[#This Row],[Evento / Mercado]])-2)</f>
        <v>RB Leipzig</v>
      </c>
      <c r="R18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Pauli</v>
      </c>
      <c r="S1846" s="132" t="str">
        <f>LEFT(base[[#This Row],[Evento / Mercado]],FIND("/",base[[#This Row],[Evento / Mercado]])-2)</f>
        <v>RB Leipzig vs FC St. Pauli</v>
      </c>
    </row>
    <row r="1847" spans="2:19" ht="15" customHeight="1">
      <c r="B1847" s="128" t="s">
        <v>1849</v>
      </c>
      <c r="C1847" s="128" t="s">
        <v>2982</v>
      </c>
      <c r="D1847" s="129">
        <v>46151.476400462961</v>
      </c>
      <c r="E1847" s="130">
        <v>14.92</v>
      </c>
      <c r="F1847" s="136">
        <v>4.4999999999999998E-2</v>
      </c>
      <c r="G1847" s="126">
        <f t="shared" si="29"/>
        <v>15.62303664921466</v>
      </c>
      <c r="H1847" s="126" t="s">
        <v>1784</v>
      </c>
      <c r="I1847" s="127" t="s">
        <v>1448</v>
      </c>
      <c r="J1847" s="126">
        <v>1.31</v>
      </c>
      <c r="K1847" s="126">
        <v>50</v>
      </c>
      <c r="L1847" s="129">
        <f>INT(base[[#This Row],[Data de liquidação]])</f>
        <v>46151</v>
      </c>
      <c r="M1847" s="126">
        <f>base[[#This Row],[L/P Bruto]]-base[[#This Row],[L/P Líquido]]</f>
        <v>0.7030366492146598</v>
      </c>
      <c r="N1847" s="126">
        <f>base[[#This Row],[L/P Líquido]]/base[[#This Row],[Stake/Responsabilidade]]</f>
        <v>0.2984</v>
      </c>
      <c r="O1847" s="132">
        <f>IF(base[[#This Row],[L/P Líquido]]&gt;0,1,0)</f>
        <v>1</v>
      </c>
      <c r="P1847" s="132"/>
      <c r="Q1847" s="132" t="str">
        <f>LEFT(base[[#This Row],[Evento / Mercado]],FIND("vs",base[[#This Row],[Evento / Mercado]])-2)</f>
        <v>Dinamo Zagreb</v>
      </c>
      <c r="R18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Hajduk Split</v>
      </c>
      <c r="S1847" s="132" t="str">
        <f>LEFT(base[[#This Row],[Evento / Mercado]],FIND("/",base[[#This Row],[Evento / Mercado]])-2)</f>
        <v>Dinamo Zagreb vs Hajduk Split</v>
      </c>
    </row>
    <row r="1848" spans="2:19" ht="15" customHeight="1">
      <c r="B1848" s="128" t="s">
        <v>1848</v>
      </c>
      <c r="C1848" s="128" t="s">
        <v>2982</v>
      </c>
      <c r="D1848" s="129">
        <v>46151.511840277781</v>
      </c>
      <c r="E1848" s="130">
        <v>-50</v>
      </c>
      <c r="F1848" s="136">
        <v>4.4999999999999998E-2</v>
      </c>
      <c r="G1848" s="126">
        <f t="shared" si="29"/>
        <v>-50</v>
      </c>
      <c r="H1848" s="126" t="s">
        <v>1784</v>
      </c>
      <c r="I1848" s="127" t="s">
        <v>1448</v>
      </c>
      <c r="J1848" s="126">
        <v>1.3640000000000001</v>
      </c>
      <c r="K1848" s="126">
        <v>50</v>
      </c>
      <c r="L1848" s="129">
        <f>INT(base[[#This Row],[Data de liquidação]])</f>
        <v>46151</v>
      </c>
      <c r="M1848" s="126">
        <f>base[[#This Row],[L/P Bruto]]-base[[#This Row],[L/P Líquido]]</f>
        <v>0</v>
      </c>
      <c r="N1848" s="126">
        <f>base[[#This Row],[L/P Líquido]]/base[[#This Row],[Stake/Responsabilidade]]</f>
        <v>-1</v>
      </c>
      <c r="O1848" s="132">
        <f>IF(base[[#This Row],[L/P Líquido]]&gt;0,1,0)</f>
        <v>0</v>
      </c>
      <c r="P1848" s="132"/>
      <c r="Q1848" s="132" t="str">
        <f>LEFT(base[[#This Row],[Evento / Mercado]],FIND("vs",base[[#This Row],[Evento / Mercado]])-2)</f>
        <v>Willem II</v>
      </c>
      <c r="R18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RKC Waalwijk</v>
      </c>
      <c r="S1848" s="132" t="str">
        <f>LEFT(base[[#This Row],[Evento / Mercado]],FIND("/",base[[#This Row],[Evento / Mercado]])-2)</f>
        <v>Willem II vs RKC Waalwijk</v>
      </c>
    </row>
    <row r="1849" spans="2:19" ht="15" customHeight="1">
      <c r="B1849" s="128" t="s">
        <v>1847</v>
      </c>
      <c r="C1849" s="128" t="s">
        <v>2982</v>
      </c>
      <c r="D1849" s="129">
        <v>46151.515104166669</v>
      </c>
      <c r="E1849" s="130">
        <v>1.05</v>
      </c>
      <c r="F1849" s="136">
        <v>4.4999999999999998E-2</v>
      </c>
      <c r="G1849" s="126">
        <f t="shared" si="29"/>
        <v>1.0994764397905761</v>
      </c>
      <c r="H1849" s="126" t="s">
        <v>1339</v>
      </c>
      <c r="I1849" s="127" t="s">
        <v>1336</v>
      </c>
      <c r="J1849" s="126">
        <v>1.44</v>
      </c>
      <c r="K1849" s="126">
        <v>5</v>
      </c>
      <c r="L1849" s="129">
        <f>INT(base[[#This Row],[Data de liquidação]])</f>
        <v>46151</v>
      </c>
      <c r="M1849" s="126">
        <f>base[[#This Row],[L/P Bruto]]-base[[#This Row],[L/P Líquido]]</f>
        <v>4.9476439790576032E-2</v>
      </c>
      <c r="N1849" s="126">
        <f>base[[#This Row],[L/P Líquido]]/base[[#This Row],[Stake/Responsabilidade]]</f>
        <v>0.21000000000000002</v>
      </c>
      <c r="O1849" s="132">
        <f>IF(base[[#This Row],[L/P Líquido]]&gt;0,1,0)</f>
        <v>1</v>
      </c>
      <c r="P1849" s="132"/>
      <c r="Q1849" s="132" t="str">
        <f>LEFT(base[[#This Row],[Evento / Mercado]],FIND("vs",base[[#This Row],[Evento / Mercado]])-2)</f>
        <v>FC Augsburg</v>
      </c>
      <c r="R18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1849" s="132" t="str">
        <f>LEFT(base[[#This Row],[Evento / Mercado]],FIND("/",base[[#This Row],[Evento / Mercado]])-2)</f>
        <v>FC Augsburg vs Borussia Mönchengladbach</v>
      </c>
    </row>
    <row r="1850" spans="2:19" ht="15" customHeight="1">
      <c r="B1850" s="128" t="s">
        <v>1846</v>
      </c>
      <c r="C1850" s="128" t="s">
        <v>2982</v>
      </c>
      <c r="D1850" s="129">
        <v>46151.516562500001</v>
      </c>
      <c r="E1850" s="130">
        <v>3.41</v>
      </c>
      <c r="F1850" s="136">
        <v>4.4999999999999998E-2</v>
      </c>
      <c r="G1850" s="126">
        <f t="shared" si="29"/>
        <v>3.5706806282722514</v>
      </c>
      <c r="H1850" s="126" t="s">
        <v>1339</v>
      </c>
      <c r="I1850" s="127" t="s">
        <v>1388</v>
      </c>
      <c r="J1850" s="126">
        <v>16</v>
      </c>
      <c r="K1850" s="126">
        <v>53.55</v>
      </c>
      <c r="L1850" s="129">
        <f>INT(base[[#This Row],[Data de liquidação]])</f>
        <v>46151</v>
      </c>
      <c r="M1850" s="126">
        <f>base[[#This Row],[L/P Bruto]]-base[[#This Row],[L/P Líquido]]</f>
        <v>0.16068062827225127</v>
      </c>
      <c r="N1850" s="126">
        <f>base[[#This Row],[L/P Líquido]]/base[[#This Row],[Stake/Responsabilidade]]</f>
        <v>6.3678804855275453E-2</v>
      </c>
      <c r="O1850" s="132">
        <f>IF(base[[#This Row],[L/P Líquido]]&gt;0,1,0)</f>
        <v>1</v>
      </c>
      <c r="P1850" s="132"/>
      <c r="Q1850" s="132" t="str">
        <f>LEFT(base[[#This Row],[Evento / Mercado]],FIND("vs",base[[#This Row],[Evento / Mercado]])-2)</f>
        <v>FC Augsburg</v>
      </c>
      <c r="R18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1850" s="132" t="str">
        <f>LEFT(base[[#This Row],[Evento / Mercado]],FIND("/",base[[#This Row],[Evento / Mercado]])-2)</f>
        <v>FC Augsburg vs Borussia Mönchengladbach</v>
      </c>
    </row>
    <row r="1851" spans="2:19" ht="15" customHeight="1">
      <c r="B1851" s="128" t="s">
        <v>1845</v>
      </c>
      <c r="C1851" s="128" t="s">
        <v>2982</v>
      </c>
      <c r="D1851" s="129">
        <v>46151.516701388886</v>
      </c>
      <c r="E1851" s="130">
        <v>17.690000000000001</v>
      </c>
      <c r="F1851" s="136">
        <v>4.4999999999999998E-2</v>
      </c>
      <c r="G1851" s="126">
        <f t="shared" si="29"/>
        <v>18.523560209424087</v>
      </c>
      <c r="H1851" s="126" t="s">
        <v>1784</v>
      </c>
      <c r="I1851" s="127" t="s">
        <v>1785</v>
      </c>
      <c r="J1851" s="126">
        <v>3.7</v>
      </c>
      <c r="K1851" s="126">
        <v>50</v>
      </c>
      <c r="L1851" s="129">
        <f>INT(base[[#This Row],[Data de liquidação]])</f>
        <v>46151</v>
      </c>
      <c r="M1851" s="126">
        <f>base[[#This Row],[L/P Bruto]]-base[[#This Row],[L/P Líquido]]</f>
        <v>0.83356020942408549</v>
      </c>
      <c r="N1851" s="126">
        <f>base[[#This Row],[L/P Líquido]]/base[[#This Row],[Stake/Responsabilidade]]</f>
        <v>0.3538</v>
      </c>
      <c r="O1851" s="132">
        <f>IF(base[[#This Row],[L/P Líquido]]&gt;0,1,0)</f>
        <v>1</v>
      </c>
      <c r="P1851" s="132"/>
      <c r="Q1851" s="132" t="str">
        <f>LEFT(base[[#This Row],[Evento / Mercado]],FIND("vs",base[[#This Row],[Evento / Mercado]])-2)</f>
        <v>FC Augsburg</v>
      </c>
      <c r="R18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1851" s="132" t="str">
        <f>LEFT(base[[#This Row],[Evento / Mercado]],FIND("/",base[[#This Row],[Evento / Mercado]])-2)</f>
        <v>FC Augsburg vs Borussia Mönchengladbach</v>
      </c>
    </row>
    <row r="1852" spans="2:19" ht="15" customHeight="1">
      <c r="B1852" s="128" t="s">
        <v>1844</v>
      </c>
      <c r="C1852" s="128" t="s">
        <v>2982</v>
      </c>
      <c r="D1852" s="129">
        <v>46151.518935185188</v>
      </c>
      <c r="E1852" s="130">
        <v>3.72</v>
      </c>
      <c r="F1852" s="136">
        <v>4.4999999999999998E-2</v>
      </c>
      <c r="G1852" s="126">
        <f t="shared" si="29"/>
        <v>3.8952879581151838</v>
      </c>
      <c r="H1852" s="126" t="s">
        <v>1339</v>
      </c>
      <c r="I1852" s="127" t="s">
        <v>1389</v>
      </c>
      <c r="J1852" s="126">
        <v>1.78</v>
      </c>
      <c r="K1852" s="126">
        <v>5</v>
      </c>
      <c r="L1852" s="129">
        <f>INT(base[[#This Row],[Data de liquidação]])</f>
        <v>46151</v>
      </c>
      <c r="M1852" s="126">
        <f>base[[#This Row],[L/P Bruto]]-base[[#This Row],[L/P Líquido]]</f>
        <v>0.17528795811518361</v>
      </c>
      <c r="N1852" s="126">
        <f>base[[#This Row],[L/P Líquido]]/base[[#This Row],[Stake/Responsabilidade]]</f>
        <v>0.74399999999999999</v>
      </c>
      <c r="O1852" s="132">
        <f>IF(base[[#This Row],[L/P Líquido]]&gt;0,1,0)</f>
        <v>1</v>
      </c>
      <c r="P1852" s="132"/>
      <c r="Q1852" s="132" t="str">
        <f>LEFT(base[[#This Row],[Evento / Mercado]],FIND("vs",base[[#This Row],[Evento / Mercado]])-2)</f>
        <v>1899 Hoffenheim</v>
      </c>
      <c r="R18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Werder Bremen</v>
      </c>
      <c r="S1852" s="132" t="str">
        <f>LEFT(base[[#This Row],[Evento / Mercado]],FIND("/",base[[#This Row],[Evento / Mercado]])-2)</f>
        <v>1899 Hoffenheim vs Werder Bremen</v>
      </c>
    </row>
    <row r="1853" spans="2:19" ht="15" customHeight="1">
      <c r="B1853" s="128" t="s">
        <v>1843</v>
      </c>
      <c r="C1853" s="128" t="s">
        <v>2982</v>
      </c>
      <c r="D1853" s="129">
        <v>46151.526238425926</v>
      </c>
      <c r="E1853" s="130">
        <v>25.31</v>
      </c>
      <c r="F1853" s="136">
        <v>4.4999999999999998E-2</v>
      </c>
      <c r="G1853" s="126">
        <f t="shared" si="29"/>
        <v>26.502617801047119</v>
      </c>
      <c r="H1853" s="126" t="s">
        <v>1784</v>
      </c>
      <c r="I1853" s="127" t="s">
        <v>1448</v>
      </c>
      <c r="J1853" s="126">
        <v>1.53</v>
      </c>
      <c r="K1853" s="126">
        <v>50</v>
      </c>
      <c r="L1853" s="129">
        <f>INT(base[[#This Row],[Data de liquidação]])</f>
        <v>46151</v>
      </c>
      <c r="M1853" s="126">
        <f>base[[#This Row],[L/P Bruto]]-base[[#This Row],[L/P Líquido]]</f>
        <v>1.1926178010471205</v>
      </c>
      <c r="N1853" s="126">
        <f>base[[#This Row],[L/P Líquido]]/base[[#This Row],[Stake/Responsabilidade]]</f>
        <v>0.50619999999999998</v>
      </c>
      <c r="O1853" s="132">
        <f>IF(base[[#This Row],[L/P Líquido]]&gt;0,1,0)</f>
        <v>1</v>
      </c>
      <c r="P1853" s="132"/>
      <c r="Q1853" s="132" t="str">
        <f>LEFT(base[[#This Row],[Evento / Mercado]],FIND("vs",base[[#This Row],[Evento / Mercado]])-2)</f>
        <v>Grazer AK</v>
      </c>
      <c r="R18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SCR Altach</v>
      </c>
      <c r="S1853" s="132" t="str">
        <f>LEFT(base[[#This Row],[Evento / Mercado]],FIND("/",base[[#This Row],[Evento / Mercado]])-2)</f>
        <v>Grazer AK vs SCR Altach</v>
      </c>
    </row>
    <row r="1854" spans="2:19" ht="15" customHeight="1">
      <c r="B1854" s="128" t="s">
        <v>1842</v>
      </c>
      <c r="C1854" s="128" t="s">
        <v>2982</v>
      </c>
      <c r="D1854" s="129">
        <v>46151.538113425922</v>
      </c>
      <c r="E1854" s="130">
        <v>2.0699999999999998</v>
      </c>
      <c r="F1854" s="136">
        <v>4.4999999999999998E-2</v>
      </c>
      <c r="G1854" s="126">
        <f t="shared" si="29"/>
        <v>2.1675392670157065</v>
      </c>
      <c r="H1854" s="126" t="s">
        <v>1339</v>
      </c>
      <c r="I1854" s="127" t="s">
        <v>1430</v>
      </c>
      <c r="J1854" s="126">
        <v>25</v>
      </c>
      <c r="K1854" s="126">
        <v>52.08</v>
      </c>
      <c r="L1854" s="129">
        <f>INT(base[[#This Row],[Data de liquidação]])</f>
        <v>46151</v>
      </c>
      <c r="M1854" s="126">
        <f>base[[#This Row],[L/P Bruto]]-base[[#This Row],[L/P Líquido]]</f>
        <v>9.7539267015706699E-2</v>
      </c>
      <c r="N1854" s="126">
        <f>base[[#This Row],[L/P Líquido]]/base[[#This Row],[Stake/Responsabilidade]]</f>
        <v>3.9746543778801845E-2</v>
      </c>
      <c r="O1854" s="132">
        <f>IF(base[[#This Row],[L/P Líquido]]&gt;0,1,0)</f>
        <v>1</v>
      </c>
      <c r="P1854" s="132"/>
      <c r="Q1854" s="132" t="str">
        <f>LEFT(base[[#This Row],[Evento / Mercado]],FIND("vs",base[[#This Row],[Evento / Mercado]])-2)</f>
        <v>Aberdeen</v>
      </c>
      <c r="R18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Dundee United</v>
      </c>
      <c r="S1854" s="132" t="str">
        <f>LEFT(base[[#This Row],[Evento / Mercado]],FIND("/",base[[#This Row],[Evento / Mercado]])-2)</f>
        <v>Aberdeen vs Dundee United</v>
      </c>
    </row>
    <row r="1855" spans="2:19" ht="15" customHeight="1">
      <c r="B1855" s="128" t="s">
        <v>1841</v>
      </c>
      <c r="C1855" s="128" t="s">
        <v>2982</v>
      </c>
      <c r="D1855" s="129">
        <v>46151.541597222225</v>
      </c>
      <c r="E1855" s="130">
        <v>-115</v>
      </c>
      <c r="F1855" s="136">
        <v>4.4999999999999998E-2</v>
      </c>
      <c r="G1855" s="126">
        <f t="shared" si="29"/>
        <v>-115</v>
      </c>
      <c r="H1855" s="126" t="s">
        <v>231</v>
      </c>
      <c r="I1855" s="127" t="s">
        <v>232</v>
      </c>
      <c r="J1855" s="126">
        <v>1.67</v>
      </c>
      <c r="K1855" s="126">
        <v>115</v>
      </c>
      <c r="L1855" s="129">
        <f>INT(base[[#This Row],[Data de liquidação]])</f>
        <v>46151</v>
      </c>
      <c r="M1855" s="126">
        <f>base[[#This Row],[L/P Bruto]]-base[[#This Row],[L/P Líquido]]</f>
        <v>0</v>
      </c>
      <c r="N1855" s="126">
        <f>base[[#This Row],[L/P Líquido]]/base[[#This Row],[Stake/Responsabilidade]]</f>
        <v>-1</v>
      </c>
      <c r="O1855" s="132">
        <f>IF(base[[#This Row],[L/P Líquido]]&gt;0,1,0)</f>
        <v>0</v>
      </c>
      <c r="P1855" s="132"/>
      <c r="Q1855" s="132" t="str">
        <f>LEFT(base[[#This Row],[Evento / Mercado]],FIND("vs",base[[#This Row],[Evento / Mercado]])-2)</f>
        <v>Fulham</v>
      </c>
      <c r="R18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1855" s="132" t="str">
        <f>LEFT(base[[#This Row],[Evento / Mercado]],FIND("/",base[[#This Row],[Evento / Mercado]])-2)</f>
        <v>Fulham vs AFC Bournemouth</v>
      </c>
    </row>
    <row r="1856" spans="2:19" ht="15" customHeight="1">
      <c r="B1856" s="128" t="s">
        <v>1841</v>
      </c>
      <c r="C1856" s="128" t="s">
        <v>2982</v>
      </c>
      <c r="D1856" s="129">
        <v>46151.541597222225</v>
      </c>
      <c r="E1856" s="130">
        <v>6.24</v>
      </c>
      <c r="F1856" s="136">
        <v>0</v>
      </c>
      <c r="G1856" s="126">
        <f t="shared" si="29"/>
        <v>6.24</v>
      </c>
      <c r="H1856" s="126" t="s">
        <v>1339</v>
      </c>
      <c r="I1856" s="127" t="s">
        <v>1338</v>
      </c>
      <c r="J1856" s="126">
        <v>2.25</v>
      </c>
      <c r="K1856" s="126">
        <v>5</v>
      </c>
      <c r="L1856" s="129">
        <f>INT(base[[#This Row],[Data de liquidação]])</f>
        <v>46151</v>
      </c>
      <c r="M1856" s="126">
        <f>base[[#This Row],[L/P Bruto]]-base[[#This Row],[L/P Líquido]]</f>
        <v>0</v>
      </c>
      <c r="N1856" s="126">
        <f>base[[#This Row],[L/P Líquido]]/base[[#This Row],[Stake/Responsabilidade]]</f>
        <v>1.248</v>
      </c>
      <c r="O1856" s="132">
        <f>IF(base[[#This Row],[L/P Líquido]]&gt;0,1,0)</f>
        <v>1</v>
      </c>
      <c r="P1856" s="132"/>
      <c r="Q1856" s="132" t="str">
        <f>LEFT(base[[#This Row],[Evento / Mercado]],FIND("vs",base[[#This Row],[Evento / Mercado]])-2)</f>
        <v>Fulham</v>
      </c>
      <c r="R18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1856" s="132" t="str">
        <f>LEFT(base[[#This Row],[Evento / Mercado]],FIND("/",base[[#This Row],[Evento / Mercado]])-2)</f>
        <v>Fulham vs AFC Bournemouth</v>
      </c>
    </row>
    <row r="1857" spans="2:21" ht="15" customHeight="1">
      <c r="B1857" s="128" t="s">
        <v>1840</v>
      </c>
      <c r="C1857" s="128" t="s">
        <v>2982</v>
      </c>
      <c r="D1857" s="129">
        <v>46151.541608796295</v>
      </c>
      <c r="E1857" s="130">
        <v>0.79</v>
      </c>
      <c r="F1857" s="136">
        <v>4.4999999999999998E-2</v>
      </c>
      <c r="G1857" s="126">
        <f t="shared" si="29"/>
        <v>0.82722513089005245</v>
      </c>
      <c r="H1857" s="126" t="s">
        <v>1339</v>
      </c>
      <c r="I1857" s="127" t="s">
        <v>1336</v>
      </c>
      <c r="J1857" s="126">
        <v>1.41</v>
      </c>
      <c r="K1857" s="126">
        <v>5</v>
      </c>
      <c r="L1857" s="129">
        <f>INT(base[[#This Row],[Data de liquidação]])</f>
        <v>46151</v>
      </c>
      <c r="M1857" s="126">
        <f>base[[#This Row],[L/P Bruto]]-base[[#This Row],[L/P Líquido]]</f>
        <v>3.7225130890052416E-2</v>
      </c>
      <c r="N1857" s="126">
        <f>base[[#This Row],[L/P Líquido]]/base[[#This Row],[Stake/Responsabilidade]]</f>
        <v>0.158</v>
      </c>
      <c r="O1857" s="132">
        <f>IF(base[[#This Row],[L/P Líquido]]&gt;0,1,0)</f>
        <v>1</v>
      </c>
      <c r="P1857" s="132"/>
      <c r="Q1857" s="132" t="str">
        <f>LEFT(base[[#This Row],[Evento / Mercado]],FIND("vs",base[[#This Row],[Evento / Mercado]])-2)</f>
        <v>Fulham</v>
      </c>
      <c r="R18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1857" s="132" t="str">
        <f>LEFT(base[[#This Row],[Evento / Mercado]],FIND("/",base[[#This Row],[Evento / Mercado]])-2)</f>
        <v>Fulham vs AFC Bournemouth</v>
      </c>
    </row>
    <row r="1858" spans="2:21" ht="15" customHeight="1">
      <c r="B1858" s="128" t="s">
        <v>1838</v>
      </c>
      <c r="C1858" s="128" t="s">
        <v>2982</v>
      </c>
      <c r="D1858" s="129">
        <v>46151.541631944441</v>
      </c>
      <c r="E1858" s="130">
        <v>-0.25</v>
      </c>
      <c r="F1858" s="136">
        <v>4.4999999999999998E-2</v>
      </c>
      <c r="G1858" s="126">
        <f t="shared" si="29"/>
        <v>-0.25</v>
      </c>
      <c r="H1858" s="126" t="s">
        <v>1339</v>
      </c>
      <c r="I1858" s="127" t="s">
        <v>1391</v>
      </c>
      <c r="J1858" s="126">
        <v>3.5</v>
      </c>
      <c r="K1858" s="126">
        <v>10.199999999999999</v>
      </c>
      <c r="L1858" s="129">
        <f>INT(base[[#This Row],[Data de liquidação]])</f>
        <v>46151</v>
      </c>
      <c r="M1858" s="126">
        <f>base[[#This Row],[L/P Bruto]]-base[[#This Row],[L/P Líquido]]</f>
        <v>0</v>
      </c>
      <c r="N1858" s="126">
        <f>base[[#This Row],[L/P Líquido]]/base[[#This Row],[Stake/Responsabilidade]]</f>
        <v>-2.4509803921568631E-2</v>
      </c>
      <c r="O1858" s="132">
        <f>IF(base[[#This Row],[L/P Líquido]]&gt;0,1,0)</f>
        <v>0</v>
      </c>
      <c r="P1858" s="132"/>
      <c r="Q1858" s="132" t="str">
        <f>LEFT(base[[#This Row],[Evento / Mercado]],FIND("vs",base[[#This Row],[Evento / Mercado]])-2)</f>
        <v>Fulham</v>
      </c>
      <c r="R18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1858" s="132" t="str">
        <f>LEFT(base[[#This Row],[Evento / Mercado]],FIND("/",base[[#This Row],[Evento / Mercado]])-2)</f>
        <v>Fulham vs AFC Bournemouth</v>
      </c>
    </row>
    <row r="1859" spans="2:21" ht="15" customHeight="1">
      <c r="B1859" s="128" t="s">
        <v>1839</v>
      </c>
      <c r="C1859" s="128" t="s">
        <v>2982</v>
      </c>
      <c r="D1859" s="129">
        <v>46151.541631944441</v>
      </c>
      <c r="E1859" s="130">
        <v>7.46</v>
      </c>
      <c r="F1859" s="136">
        <v>4.4999999999999998E-2</v>
      </c>
      <c r="G1859" s="126">
        <f t="shared" ref="G1859:G1922" si="30">IF(E1859&gt;0,E1859/(1-F1859),E1859)</f>
        <v>7.8115183246073299</v>
      </c>
      <c r="H1859" s="126" t="s">
        <v>1784</v>
      </c>
      <c r="I1859" s="127" t="s">
        <v>1785</v>
      </c>
      <c r="J1859" s="126">
        <v>7.4</v>
      </c>
      <c r="K1859" s="126">
        <v>49.98</v>
      </c>
      <c r="L1859" s="129">
        <f>INT(base[[#This Row],[Data de liquidação]])</f>
        <v>46151</v>
      </c>
      <c r="M1859" s="126">
        <f>base[[#This Row],[L/P Bruto]]-base[[#This Row],[L/P Líquido]]</f>
        <v>0.3515183246073299</v>
      </c>
      <c r="N1859" s="126">
        <f>base[[#This Row],[L/P Líquido]]/base[[#This Row],[Stake/Responsabilidade]]</f>
        <v>0.14925970388155263</v>
      </c>
      <c r="O1859" s="132">
        <f>IF(base[[#This Row],[L/P Líquido]]&gt;0,1,0)</f>
        <v>1</v>
      </c>
      <c r="P1859" s="132"/>
      <c r="Q1859" s="132" t="str">
        <f>LEFT(base[[#This Row],[Evento / Mercado]],FIND("vs",base[[#This Row],[Evento / Mercado]])-2)</f>
        <v>Zulte Waregem</v>
      </c>
      <c r="R18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FCV Dender EH</v>
      </c>
      <c r="S1859" s="132" t="str">
        <f>LEFT(base[[#This Row],[Evento / Mercado]],FIND("/",base[[#This Row],[Evento / Mercado]])-2)</f>
        <v>Zulte Waregem vs FCV Dender EH</v>
      </c>
    </row>
    <row r="1860" spans="2:21" ht="15" customHeight="1">
      <c r="B1860" s="128" t="s">
        <v>1837</v>
      </c>
      <c r="C1860" s="128" t="s">
        <v>2982</v>
      </c>
      <c r="D1860" s="129">
        <v>46151.543124999997</v>
      </c>
      <c r="E1860" s="130">
        <v>-115</v>
      </c>
      <c r="F1860" s="136">
        <v>4.4999999999999998E-2</v>
      </c>
      <c r="G1860" s="126">
        <f t="shared" si="30"/>
        <v>-115</v>
      </c>
      <c r="H1860" s="126" t="s">
        <v>231</v>
      </c>
      <c r="I1860" s="127" t="s">
        <v>266</v>
      </c>
      <c r="J1860" s="126">
        <v>1.72</v>
      </c>
      <c r="K1860" s="126">
        <v>115</v>
      </c>
      <c r="L1860" s="129">
        <f>INT(base[[#This Row],[Data de liquidação]])</f>
        <v>46151</v>
      </c>
      <c r="M1860" s="126">
        <f>base[[#This Row],[L/P Bruto]]-base[[#This Row],[L/P Líquido]]</f>
        <v>0</v>
      </c>
      <c r="N1860" s="126">
        <f>base[[#This Row],[L/P Líquido]]/base[[#This Row],[Stake/Responsabilidade]]</f>
        <v>-1</v>
      </c>
      <c r="O1860" s="132">
        <f>IF(base[[#This Row],[L/P Líquido]]&gt;0,1,0)</f>
        <v>0</v>
      </c>
      <c r="P1860" s="132"/>
      <c r="Q1860" s="132" t="str">
        <f>LEFT(base[[#This Row],[Evento / Mercado]],FIND("vs",base[[#This Row],[Evento / Mercado]])-2)</f>
        <v>Dinamo Zagreb</v>
      </c>
      <c r="R18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Hajduk Split</v>
      </c>
      <c r="S1860" s="132" t="str">
        <f>LEFT(base[[#This Row],[Evento / Mercado]],FIND("/",base[[#This Row],[Evento / Mercado]])-2)</f>
        <v>Dinamo Zagreb vs Hajduk Split</v>
      </c>
    </row>
    <row r="1861" spans="2:21" ht="15" customHeight="1">
      <c r="B1861" s="128" t="s">
        <v>1836</v>
      </c>
      <c r="C1861" s="128" t="s">
        <v>2982</v>
      </c>
      <c r="D1861" s="129">
        <v>46151.55400462963</v>
      </c>
      <c r="E1861" s="130">
        <v>2.58</v>
      </c>
      <c r="F1861" s="136">
        <v>4.4999999999999998E-2</v>
      </c>
      <c r="G1861" s="126">
        <f t="shared" si="30"/>
        <v>2.7015706806282727</v>
      </c>
      <c r="H1861" s="126" t="s">
        <v>1339</v>
      </c>
      <c r="I1861" s="127" t="s">
        <v>1430</v>
      </c>
      <c r="J1861" s="126">
        <v>19.5</v>
      </c>
      <c r="K1861" s="126">
        <v>49.95</v>
      </c>
      <c r="L1861" s="129">
        <f>INT(base[[#This Row],[Data de liquidação]])</f>
        <v>46151</v>
      </c>
      <c r="M1861" s="126">
        <f>base[[#This Row],[L/P Bruto]]-base[[#This Row],[L/P Líquido]]</f>
        <v>0.12157068062827259</v>
      </c>
      <c r="N1861" s="126">
        <f>base[[#This Row],[L/P Líquido]]/base[[#This Row],[Stake/Responsabilidade]]</f>
        <v>5.1651651651651649E-2</v>
      </c>
      <c r="O1861" s="132">
        <f>IF(base[[#This Row],[L/P Líquido]]&gt;0,1,0)</f>
        <v>1</v>
      </c>
      <c r="P1861" s="132"/>
      <c r="Q1861" s="132" t="str">
        <f>LEFT(base[[#This Row],[Evento / Mercado]],FIND("vs",base[[#This Row],[Evento / Mercado]])-2)</f>
        <v>Albacete Balompié</v>
      </c>
      <c r="R18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Cultural Leonesa</v>
      </c>
      <c r="S1861" s="132" t="str">
        <f>LEFT(base[[#This Row],[Evento / Mercado]],FIND("/",base[[#This Row],[Evento / Mercado]])-2)</f>
        <v>Albacete Balompié vs Cultural Leonesa</v>
      </c>
    </row>
    <row r="1862" spans="2:21" ht="15" customHeight="1">
      <c r="B1862" s="128" t="s">
        <v>1835</v>
      </c>
      <c r="C1862" s="128" t="s">
        <v>2982</v>
      </c>
      <c r="D1862" s="129">
        <v>46151.554837962962</v>
      </c>
      <c r="E1862" s="130">
        <v>-50</v>
      </c>
      <c r="F1862" s="136">
        <v>4.4999999999999998E-2</v>
      </c>
      <c r="G1862" s="126">
        <f t="shared" si="30"/>
        <v>-50</v>
      </c>
      <c r="H1862" s="126" t="s">
        <v>1784</v>
      </c>
      <c r="I1862" s="127" t="s">
        <v>1448</v>
      </c>
      <c r="J1862" s="126">
        <v>1.25</v>
      </c>
      <c r="K1862" s="126">
        <v>50</v>
      </c>
      <c r="L1862" s="129">
        <f>INT(base[[#This Row],[Data de liquidação]])</f>
        <v>46151</v>
      </c>
      <c r="M1862" s="126">
        <f>base[[#This Row],[L/P Bruto]]-base[[#This Row],[L/P Líquido]]</f>
        <v>0</v>
      </c>
      <c r="N1862" s="126">
        <f>base[[#This Row],[L/P Líquido]]/base[[#This Row],[Stake/Responsabilidade]]</f>
        <v>-1</v>
      </c>
      <c r="O1862" s="132">
        <f>IF(base[[#This Row],[L/P Líquido]]&gt;0,1,0)</f>
        <v>0</v>
      </c>
      <c r="P1862" s="132"/>
      <c r="Q1862" s="132" t="str">
        <f>LEFT(base[[#This Row],[Evento / Mercado]],FIND("vs",base[[#This Row],[Evento / Mercado]])-2)</f>
        <v>FC Koper</v>
      </c>
      <c r="R18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Aluminij</v>
      </c>
      <c r="S1862" s="132" t="str">
        <f>LEFT(base[[#This Row],[Evento / Mercado]],FIND("/",base[[#This Row],[Evento / Mercado]])-2)</f>
        <v>FC Koper vs NK Aluminij</v>
      </c>
    </row>
    <row r="1863" spans="2:21" ht="15" customHeight="1">
      <c r="B1863" s="128" t="s">
        <v>1834</v>
      </c>
      <c r="C1863" s="128" t="s">
        <v>2982</v>
      </c>
      <c r="D1863" s="129">
        <v>46151.565011574072</v>
      </c>
      <c r="E1863" s="130">
        <v>1.91</v>
      </c>
      <c r="F1863" s="136">
        <v>4.4999999999999998E-2</v>
      </c>
      <c r="G1863" s="126">
        <f t="shared" si="30"/>
        <v>2</v>
      </c>
      <c r="H1863" s="126" t="s">
        <v>1339</v>
      </c>
      <c r="I1863" s="127" t="s">
        <v>1430</v>
      </c>
      <c r="J1863" s="126">
        <v>26</v>
      </c>
      <c r="K1863" s="126">
        <v>50</v>
      </c>
      <c r="L1863" s="129">
        <f>INT(base[[#This Row],[Data de liquidação]])</f>
        <v>46151</v>
      </c>
      <c r="M1863" s="126">
        <f>base[[#This Row],[L/P Bruto]]-base[[#This Row],[L/P Líquido]]</f>
        <v>9.000000000000008E-2</v>
      </c>
      <c r="N1863" s="126">
        <f>base[[#This Row],[L/P Líquido]]/base[[#This Row],[Stake/Responsabilidade]]</f>
        <v>3.8199999999999998E-2</v>
      </c>
      <c r="O1863" s="132">
        <f>IF(base[[#This Row],[L/P Líquido]]&gt;0,1,0)</f>
        <v>1</v>
      </c>
      <c r="P1863" s="132"/>
      <c r="Q1863" s="132" t="str">
        <f>LEFT(base[[#This Row],[Evento / Mercado]],FIND("vs",base[[#This Row],[Evento / Mercado]])-2)</f>
        <v>Feirense</v>
      </c>
      <c r="R18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Oliveirense</v>
      </c>
      <c r="S1863" s="132" t="str">
        <f>LEFT(base[[#This Row],[Evento / Mercado]],FIND("/",base[[#This Row],[Evento / Mercado]])-2)</f>
        <v>Feirense vs Oliveirense</v>
      </c>
    </row>
    <row r="1864" spans="2:21" ht="15" customHeight="1">
      <c r="B1864" s="128" t="s">
        <v>1833</v>
      </c>
      <c r="C1864" s="128" t="s">
        <v>2982</v>
      </c>
      <c r="D1864" s="129">
        <v>46151.588506944441</v>
      </c>
      <c r="E1864" s="130">
        <v>13.85</v>
      </c>
      <c r="F1864" s="136">
        <v>4.4999999999999998E-2</v>
      </c>
      <c r="G1864" s="126">
        <f t="shared" si="30"/>
        <v>14.502617801047121</v>
      </c>
      <c r="H1864" s="126" t="s">
        <v>1784</v>
      </c>
      <c r="I1864" s="127" t="s">
        <v>1448</v>
      </c>
      <c r="J1864" s="126">
        <v>1.29</v>
      </c>
      <c r="K1864" s="126">
        <v>50</v>
      </c>
      <c r="L1864" s="129">
        <f>INT(base[[#This Row],[Data de liquidação]])</f>
        <v>46151</v>
      </c>
      <c r="M1864" s="126">
        <f>base[[#This Row],[L/P Bruto]]-base[[#This Row],[L/P Líquido]]</f>
        <v>0.6526178010471213</v>
      </c>
      <c r="N1864" s="126">
        <f>base[[#This Row],[L/P Líquido]]/base[[#This Row],[Stake/Responsabilidade]]</f>
        <v>0.27699999999999997</v>
      </c>
      <c r="O1864" s="132">
        <f>IF(base[[#This Row],[L/P Líquido]]&gt;0,1,0)</f>
        <v>1</v>
      </c>
      <c r="P1864" s="132"/>
      <c r="Q1864" s="132" t="str">
        <f>LEFT(base[[#This Row],[Evento / Mercado]],FIND("vs",base[[#This Row],[Evento / Mercado]])-2)</f>
        <v>Istanbul Basaksehir FK</v>
      </c>
      <c r="R18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Samsunspor</v>
      </c>
      <c r="S1864" s="132" t="str">
        <f>LEFT(base[[#This Row],[Evento / Mercado]],FIND("/",base[[#This Row],[Evento / Mercado]])-2)</f>
        <v>Istanbul Basaksehir FK vs Samsunspor</v>
      </c>
    </row>
    <row r="1865" spans="2:21" ht="15" customHeight="1">
      <c r="B1865" s="128" t="s">
        <v>1832</v>
      </c>
      <c r="C1865" s="128" t="s">
        <v>2982</v>
      </c>
      <c r="D1865" s="129">
        <v>46151.595462962963</v>
      </c>
      <c r="E1865" s="130">
        <v>-2</v>
      </c>
      <c r="F1865" s="136">
        <v>4.4999999999999998E-2</v>
      </c>
      <c r="G1865" s="126">
        <f t="shared" si="30"/>
        <v>-2</v>
      </c>
      <c r="H1865" s="126" t="s">
        <v>1339</v>
      </c>
      <c r="I1865" s="127" t="s">
        <v>1448</v>
      </c>
      <c r="J1865" s="126">
        <v>1.58</v>
      </c>
      <c r="K1865" s="126">
        <v>2</v>
      </c>
      <c r="L1865" s="129">
        <f>INT(base[[#This Row],[Data de liquidação]])</f>
        <v>46151</v>
      </c>
      <c r="M1865" s="126">
        <f>base[[#This Row],[L/P Bruto]]-base[[#This Row],[L/P Líquido]]</f>
        <v>0</v>
      </c>
      <c r="N1865" s="126">
        <f>base[[#This Row],[L/P Líquido]]/base[[#This Row],[Stake/Responsabilidade]]</f>
        <v>-1</v>
      </c>
      <c r="O1865" s="132">
        <f>IF(base[[#This Row],[L/P Líquido]]&gt;0,1,0)</f>
        <v>0</v>
      </c>
      <c r="P1865" s="132"/>
      <c r="Q1865" s="132" t="str">
        <f>LEFT(base[[#This Row],[Evento / Mercado]],FIND("vs",base[[#This Row],[Evento / Mercado]])-2)</f>
        <v>Manchester City</v>
      </c>
      <c r="R18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1865" s="132" t="str">
        <f>LEFT(base[[#This Row],[Evento / Mercado]],FIND("/",base[[#This Row],[Evento / Mercado]])-2)</f>
        <v>Manchester City vs Brentford</v>
      </c>
    </row>
    <row r="1866" spans="2:21" ht="15" customHeight="1">
      <c r="B1866" s="128" t="s">
        <v>1831</v>
      </c>
      <c r="C1866" s="128" t="s">
        <v>2982</v>
      </c>
      <c r="D1866" s="129">
        <v>46151.596319444441</v>
      </c>
      <c r="E1866" s="130">
        <v>-50</v>
      </c>
      <c r="F1866" s="136">
        <v>4.4999999999999998E-2</v>
      </c>
      <c r="G1866" s="126">
        <f t="shared" si="30"/>
        <v>-50</v>
      </c>
      <c r="H1866" s="126" t="s">
        <v>1784</v>
      </c>
      <c r="I1866" s="127" t="s">
        <v>1448</v>
      </c>
      <c r="J1866" s="126">
        <v>1.36</v>
      </c>
      <c r="K1866" s="126">
        <v>50</v>
      </c>
      <c r="L1866" s="129">
        <f>INT(base[[#This Row],[Data de liquidação]])</f>
        <v>46151</v>
      </c>
      <c r="M1866" s="126">
        <f>base[[#This Row],[L/P Bruto]]-base[[#This Row],[L/P Líquido]]</f>
        <v>0</v>
      </c>
      <c r="N1866" s="126">
        <f>base[[#This Row],[L/P Líquido]]/base[[#This Row],[Stake/Responsabilidade]]</f>
        <v>-1</v>
      </c>
      <c r="O1866" s="132">
        <f>IF(base[[#This Row],[L/P Líquido]]&gt;0,1,0)</f>
        <v>0</v>
      </c>
      <c r="P1866" s="132"/>
      <c r="Q1866" s="132" t="str">
        <f>LEFT(base[[#This Row],[Evento / Mercado]],FIND("vs",base[[#This Row],[Evento / Mercado]])-2)</f>
        <v>Atlético de Madrid</v>
      </c>
      <c r="R18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866" s="132" t="str">
        <f>LEFT(base[[#This Row],[Evento / Mercado]],FIND("/",base[[#This Row],[Evento / Mercado]])-2)</f>
        <v>Atlético de Madrid vs Celta de Vigo</v>
      </c>
    </row>
    <row r="1867" spans="2:21" ht="15" customHeight="1">
      <c r="B1867" s="128" t="s">
        <v>1830</v>
      </c>
      <c r="C1867" s="128" t="s">
        <v>2982</v>
      </c>
      <c r="D1867" s="129">
        <v>46151.612372685187</v>
      </c>
      <c r="E1867" s="130">
        <v>13.85</v>
      </c>
      <c r="F1867" s="136">
        <v>4.4999999999999998E-2</v>
      </c>
      <c r="G1867" s="126">
        <f t="shared" si="30"/>
        <v>14.502617801047121</v>
      </c>
      <c r="H1867" s="126" t="s">
        <v>1784</v>
      </c>
      <c r="I1867" s="127" t="s">
        <v>1448</v>
      </c>
      <c r="J1867" s="126">
        <v>1.29</v>
      </c>
      <c r="K1867" s="126">
        <v>50</v>
      </c>
      <c r="L1867" s="129">
        <f>INT(base[[#This Row],[Data de liquidação]])</f>
        <v>46151</v>
      </c>
      <c r="M1867" s="126">
        <f>base[[#This Row],[L/P Bruto]]-base[[#This Row],[L/P Líquido]]</f>
        <v>0.6526178010471213</v>
      </c>
      <c r="N1867" s="126">
        <f>base[[#This Row],[L/P Líquido]]/base[[#This Row],[Stake/Responsabilidade]]</f>
        <v>0.27699999999999997</v>
      </c>
      <c r="O1867" s="132">
        <f>IF(base[[#This Row],[L/P Líquido]]&gt;0,1,0)</f>
        <v>1</v>
      </c>
      <c r="P1867" s="132"/>
      <c r="Q1867" s="132" t="str">
        <f>LEFT(base[[#This Row],[Evento / Mercado]],FIND("vs",base[[#This Row],[Evento / Mercado]])-2)</f>
        <v>FK Partizan</v>
      </c>
      <c r="R18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OFK Beograd</v>
      </c>
      <c r="S1867" s="132" t="str">
        <f>LEFT(base[[#This Row],[Evento / Mercado]],FIND("/",base[[#This Row],[Evento / Mercado]])-2)</f>
        <v>FK Partizan vs OFK Beograd</v>
      </c>
    </row>
    <row r="1868" spans="2:21" ht="15" customHeight="1">
      <c r="B1868" s="128" t="s">
        <v>1829</v>
      </c>
      <c r="C1868" s="128" t="s">
        <v>2982</v>
      </c>
      <c r="D1868" s="129">
        <v>46151.624537037038</v>
      </c>
      <c r="E1868" s="130">
        <v>-100</v>
      </c>
      <c r="F1868" s="136">
        <v>4.4999999999999998E-2</v>
      </c>
      <c r="G1868" s="126">
        <f t="shared" si="30"/>
        <v>-100</v>
      </c>
      <c r="H1868" s="126" t="s">
        <v>1233</v>
      </c>
      <c r="I1868" s="127"/>
      <c r="J1868" s="126">
        <v>4.5</v>
      </c>
      <c r="K1868" s="126">
        <v>100</v>
      </c>
      <c r="L1868" s="129">
        <f>INT(base[[#This Row],[Data de liquidação]])</f>
        <v>46151</v>
      </c>
      <c r="M1868" s="126">
        <f>base[[#This Row],[L/P Bruto]]-base[[#This Row],[L/P Líquido]]</f>
        <v>0</v>
      </c>
      <c r="N1868" s="126">
        <f>base[[#This Row],[L/P Líquido]]/base[[#This Row],[Stake/Responsabilidade]]</f>
        <v>-1</v>
      </c>
      <c r="O1868" s="132">
        <f>IF(base[[#This Row],[L/P Líquido]]&gt;0,1,0)</f>
        <v>0</v>
      </c>
      <c r="P1868" s="132"/>
      <c r="Q1868" s="132" t="str">
        <f>LEFT(base[[#This Row],[Evento / Mercado]],FIND("vs",base[[#This Row],[Evento / Mercado]])-2)</f>
        <v>Bodø/Glimt</v>
      </c>
      <c r="R1868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1868" s="132" t="str">
        <f>LEFT(base[[#This Row],[Evento / Mercado]],FIND("/",base[[#This Row],[Evento / Mercado]])-2)</f>
        <v>Bod</v>
      </c>
    </row>
    <row r="1869" spans="2:21" ht="15" customHeight="1">
      <c r="B1869" s="128" t="s">
        <v>1828</v>
      </c>
      <c r="C1869" s="128" t="s">
        <v>2982</v>
      </c>
      <c r="D1869" s="129">
        <v>46151.641423611109</v>
      </c>
      <c r="E1869" s="130">
        <v>34.520000000000003</v>
      </c>
      <c r="F1869" s="136">
        <v>4.4999999999999998E-2</v>
      </c>
      <c r="G1869" s="126">
        <f t="shared" si="30"/>
        <v>36.146596858638745</v>
      </c>
      <c r="H1869" s="126" t="s">
        <v>122</v>
      </c>
      <c r="I1869" s="127" t="s">
        <v>477</v>
      </c>
      <c r="J1869" s="126">
        <v>14.5</v>
      </c>
      <c r="K1869" s="126">
        <v>488.03</v>
      </c>
      <c r="L1869" s="129">
        <f>INT(base[[#This Row],[Data de liquidação]])</f>
        <v>46151</v>
      </c>
      <c r="M1869" s="126">
        <f>base[[#This Row],[L/P Bruto]]-base[[#This Row],[L/P Líquido]]</f>
        <v>1.6265968586387416</v>
      </c>
      <c r="N1869" s="126">
        <f>base[[#This Row],[L/P Líquido]]/base[[#This Row],[Stake/Responsabilidade]]</f>
        <v>7.0733356555949436E-2</v>
      </c>
      <c r="O1869" s="132">
        <f>IF(base[[#This Row],[L/P Líquido]]&gt;0,1,0)</f>
        <v>1</v>
      </c>
      <c r="P1869" s="132" t="s">
        <v>963</v>
      </c>
      <c r="Q1869" s="132" t="str">
        <f>LEFT(base[[#This Row],[Evento / Mercado]],FIND("vs",base[[#This Row],[Evento / Mercado]])-2)</f>
        <v>Manchester City</v>
      </c>
      <c r="R18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1869" s="132" t="str">
        <f>LEFT(base[[#This Row],[Evento / Mercado]],FIND("/",base[[#This Row],[Evento / Mercado]])-2)</f>
        <v>Manchester City vs Brentford</v>
      </c>
    </row>
    <row r="1870" spans="2:21" ht="15" customHeight="1">
      <c r="B1870" s="128" t="s">
        <v>1531</v>
      </c>
      <c r="C1870" s="128" t="s">
        <v>2982</v>
      </c>
      <c r="D1870" s="129">
        <v>46151.641793981478</v>
      </c>
      <c r="E1870" s="130">
        <v>19.49155</v>
      </c>
      <c r="F1870" s="136">
        <v>4.4999999999999998E-2</v>
      </c>
      <c r="G1870" s="126">
        <f t="shared" si="30"/>
        <v>20.41</v>
      </c>
      <c r="H1870" s="126" t="s">
        <v>1233</v>
      </c>
      <c r="I1870" s="127"/>
      <c r="J1870" s="126">
        <v>5.9</v>
      </c>
      <c r="K1870" s="126">
        <v>100.01</v>
      </c>
      <c r="L1870" s="129">
        <f>INT(base[[#This Row],[Data de liquidação]])</f>
        <v>46151</v>
      </c>
      <c r="M1870" s="126">
        <f>base[[#This Row],[L/P Bruto]]-base[[#This Row],[L/P Líquido]]</f>
        <v>0.91844999999999999</v>
      </c>
      <c r="N1870" s="126">
        <f>base[[#This Row],[L/P Líquido]]/base[[#This Row],[Stake/Responsabilidade]]</f>
        <v>0.1948960103989601</v>
      </c>
      <c r="O1870" s="132">
        <f>IF(base[[#This Row],[L/P Líquido]]&gt;0,1,0)</f>
        <v>1</v>
      </c>
      <c r="P1870" s="132"/>
      <c r="Q1870" s="132" t="str">
        <f>LEFT(base[[#This Row],[Evento / Mercado]],FIND("vs",base[[#This Row],[Evento / Mercado]])-2)</f>
        <v>Manchester City</v>
      </c>
      <c r="R18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1870" s="132" t="str">
        <f>LEFT(base[[#This Row],[Evento / Mercado]],FIND("/",base[[#This Row],[Evento / Mercado]])-2)</f>
        <v>Manchester City vs Brentford</v>
      </c>
      <c r="T1870" s="8">
        <v>20.41</v>
      </c>
      <c r="U1870" s="9">
        <f>T1870*0.955</f>
        <v>19.49155</v>
      </c>
    </row>
    <row r="1871" spans="2:21" ht="15" customHeight="1">
      <c r="B1871" s="128" t="s">
        <v>1531</v>
      </c>
      <c r="C1871" s="128" t="s">
        <v>2982</v>
      </c>
      <c r="D1871" s="129">
        <v>46151.641793981478</v>
      </c>
      <c r="E1871" s="130">
        <v>53.298549999999999</v>
      </c>
      <c r="F1871" s="136">
        <v>4.4999999999999998E-2</v>
      </c>
      <c r="G1871" s="126">
        <f t="shared" si="30"/>
        <v>55.81</v>
      </c>
      <c r="H1871" s="126" t="s">
        <v>145</v>
      </c>
      <c r="I1871" s="127" t="s">
        <v>301</v>
      </c>
      <c r="J1871" s="126">
        <v>8.4</v>
      </c>
      <c r="K1871" s="126">
        <v>412.99</v>
      </c>
      <c r="L1871" s="129">
        <f>INT(base[[#This Row],[Data de liquidação]])</f>
        <v>46151</v>
      </c>
      <c r="M1871" s="126">
        <f>base[[#This Row],[L/P Bruto]]-base[[#This Row],[L/P Líquido]]</f>
        <v>2.5114500000000035</v>
      </c>
      <c r="N1871" s="126">
        <f>base[[#This Row],[L/P Líquido]]/base[[#This Row],[Stake/Responsabilidade]]</f>
        <v>0.12905530400251822</v>
      </c>
      <c r="O1871" s="132">
        <f>IF(base[[#This Row],[L/P Líquido]]&gt;0,1,0)</f>
        <v>1</v>
      </c>
      <c r="P1871" s="132" t="s">
        <v>963</v>
      </c>
      <c r="Q1871" s="132" t="str">
        <f>LEFT(base[[#This Row],[Evento / Mercado]],FIND("vs",base[[#This Row],[Evento / Mercado]])-2)</f>
        <v>Manchester City</v>
      </c>
      <c r="R18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1871" s="132" t="str">
        <f>LEFT(base[[#This Row],[Evento / Mercado]],FIND("/",base[[#This Row],[Evento / Mercado]])-2)</f>
        <v>Manchester City vs Brentford</v>
      </c>
      <c r="T1871" s="8">
        <v>55.81</v>
      </c>
      <c r="U1871" s="9">
        <f>T1871*0.955</f>
        <v>53.298549999999999</v>
      </c>
    </row>
    <row r="1872" spans="2:21" ht="15" customHeight="1">
      <c r="B1872" s="128" t="s">
        <v>1827</v>
      </c>
      <c r="C1872" s="128" t="s">
        <v>2982</v>
      </c>
      <c r="D1872" s="129">
        <v>46151.642083333332</v>
      </c>
      <c r="E1872" s="130">
        <v>-2</v>
      </c>
      <c r="F1872" s="136">
        <v>4.4999999999999998E-2</v>
      </c>
      <c r="G1872" s="126">
        <f t="shared" si="30"/>
        <v>-2</v>
      </c>
      <c r="H1872" s="126" t="s">
        <v>1339</v>
      </c>
      <c r="I1872" s="127" t="s">
        <v>1429</v>
      </c>
      <c r="J1872" s="126">
        <v>1.72</v>
      </c>
      <c r="K1872" s="126">
        <v>2</v>
      </c>
      <c r="L1872" s="129">
        <f>INT(base[[#This Row],[Data de liquidação]])</f>
        <v>46151</v>
      </c>
      <c r="M1872" s="126">
        <f>base[[#This Row],[L/P Bruto]]-base[[#This Row],[L/P Líquido]]</f>
        <v>0</v>
      </c>
      <c r="N1872" s="126">
        <f>base[[#This Row],[L/P Líquido]]/base[[#This Row],[Stake/Responsabilidade]]</f>
        <v>-1</v>
      </c>
      <c r="O1872" s="132">
        <f>IF(base[[#This Row],[L/P Líquido]]&gt;0,1,0)</f>
        <v>0</v>
      </c>
      <c r="P1872" s="132"/>
      <c r="Q1872" s="132" t="str">
        <f>LEFT(base[[#This Row],[Evento / Mercado]],FIND("vs",base[[#This Row],[Evento / Mercado]])-2)</f>
        <v>Atlético de Madrid</v>
      </c>
      <c r="R18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872" s="132" t="str">
        <f>LEFT(base[[#This Row],[Evento / Mercado]],FIND("/",base[[#This Row],[Evento / Mercado]])-2)</f>
        <v>Atlético de Madrid vs Celta de Vigo</v>
      </c>
    </row>
    <row r="1873" spans="2:19" ht="15" customHeight="1">
      <c r="B1873" s="128" t="s">
        <v>1826</v>
      </c>
      <c r="C1873" s="128" t="s">
        <v>2982</v>
      </c>
      <c r="D1873" s="129">
        <v>46151.642175925925</v>
      </c>
      <c r="E1873" s="130">
        <v>0.84</v>
      </c>
      <c r="F1873" s="136">
        <v>4.4999999999999998E-2</v>
      </c>
      <c r="G1873" s="126">
        <f t="shared" si="30"/>
        <v>0.87958115183246077</v>
      </c>
      <c r="H1873" s="126" t="s">
        <v>1339</v>
      </c>
      <c r="I1873" s="127" t="s">
        <v>1336</v>
      </c>
      <c r="J1873" s="126">
        <v>1.4</v>
      </c>
      <c r="K1873" s="126">
        <v>5</v>
      </c>
      <c r="L1873" s="129">
        <f>INT(base[[#This Row],[Data de liquidação]])</f>
        <v>46151</v>
      </c>
      <c r="M1873" s="126">
        <f>base[[#This Row],[L/P Bruto]]-base[[#This Row],[L/P Líquido]]</f>
        <v>3.9581151832460804E-2</v>
      </c>
      <c r="N1873" s="126">
        <f>base[[#This Row],[L/P Líquido]]/base[[#This Row],[Stake/Responsabilidade]]</f>
        <v>0.16799999999999998</v>
      </c>
      <c r="O1873" s="132">
        <f>IF(base[[#This Row],[L/P Líquido]]&gt;0,1,0)</f>
        <v>1</v>
      </c>
      <c r="P1873" s="132"/>
      <c r="Q1873" s="132" t="str">
        <f>LEFT(base[[#This Row],[Evento / Mercado]],FIND("vs",base[[#This Row],[Evento / Mercado]])-2)</f>
        <v>Atlético de Madrid</v>
      </c>
      <c r="R18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873" s="132" t="str">
        <f>LEFT(base[[#This Row],[Evento / Mercado]],FIND("/",base[[#This Row],[Evento / Mercado]])-2)</f>
        <v>Atlético de Madrid vs Celta de Vigo</v>
      </c>
    </row>
    <row r="1874" spans="2:19" ht="15" customHeight="1">
      <c r="B1874" s="128" t="s">
        <v>1825</v>
      </c>
      <c r="C1874" s="128" t="s">
        <v>2982</v>
      </c>
      <c r="D1874" s="129">
        <v>46151.642222222225</v>
      </c>
      <c r="E1874" s="130">
        <v>-115</v>
      </c>
      <c r="F1874" s="136">
        <v>4.4999999999999998E-2</v>
      </c>
      <c r="G1874" s="126">
        <f t="shared" si="30"/>
        <v>-115</v>
      </c>
      <c r="H1874" s="126" t="s">
        <v>231</v>
      </c>
      <c r="I1874" s="127" t="s">
        <v>232</v>
      </c>
      <c r="J1874" s="126">
        <v>1.74</v>
      </c>
      <c r="K1874" s="126">
        <v>115</v>
      </c>
      <c r="L1874" s="129">
        <f>INT(base[[#This Row],[Data de liquidação]])</f>
        <v>46151</v>
      </c>
      <c r="M1874" s="126">
        <f>base[[#This Row],[L/P Bruto]]-base[[#This Row],[L/P Líquido]]</f>
        <v>0</v>
      </c>
      <c r="N1874" s="126">
        <f>base[[#This Row],[L/P Líquido]]/base[[#This Row],[Stake/Responsabilidade]]</f>
        <v>-1</v>
      </c>
      <c r="O1874" s="132">
        <f>IF(base[[#This Row],[L/P Líquido]]&gt;0,1,0)</f>
        <v>0</v>
      </c>
      <c r="P1874" s="132"/>
      <c r="Q1874" s="132" t="str">
        <f>LEFT(base[[#This Row],[Evento / Mercado]],FIND("vs",base[[#This Row],[Evento / Mercado]])-2)</f>
        <v>Atlético de Madrid</v>
      </c>
      <c r="R18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874" s="132" t="str">
        <f>LEFT(base[[#This Row],[Evento / Mercado]],FIND("/",base[[#This Row],[Evento / Mercado]])-2)</f>
        <v>Atlético de Madrid vs Celta de Vigo</v>
      </c>
    </row>
    <row r="1875" spans="2:19" ht="15" customHeight="1">
      <c r="B1875" s="128" t="s">
        <v>1824</v>
      </c>
      <c r="C1875" s="128" t="s">
        <v>2982</v>
      </c>
      <c r="D1875" s="129">
        <v>46151.644212962965</v>
      </c>
      <c r="E1875" s="130">
        <v>1.45</v>
      </c>
      <c r="F1875" s="136">
        <v>4.4999999999999998E-2</v>
      </c>
      <c r="G1875" s="126">
        <f t="shared" si="30"/>
        <v>1.5183246073298429</v>
      </c>
      <c r="H1875" s="126" t="s">
        <v>1339</v>
      </c>
      <c r="I1875" s="127" t="s">
        <v>1430</v>
      </c>
      <c r="J1875" s="126">
        <v>32</v>
      </c>
      <c r="K1875" s="126">
        <v>47.12</v>
      </c>
      <c r="L1875" s="129">
        <f>INT(base[[#This Row],[Data de liquidação]])</f>
        <v>46151</v>
      </c>
      <c r="M1875" s="126">
        <f>base[[#This Row],[L/P Bruto]]-base[[#This Row],[L/P Líquido]]</f>
        <v>6.8324607329842912E-2</v>
      </c>
      <c r="N1875" s="126">
        <f>base[[#This Row],[L/P Líquido]]/base[[#This Row],[Stake/Responsabilidade]]</f>
        <v>3.0772495755517829E-2</v>
      </c>
      <c r="O1875" s="132">
        <f>IF(base[[#This Row],[L/P Líquido]]&gt;0,1,0)</f>
        <v>1</v>
      </c>
      <c r="P1875" s="132"/>
      <c r="Q1875" s="132" t="str">
        <f>LEFT(base[[#This Row],[Evento / Mercado]],FIND("vs",base[[#This Row],[Evento / Mercado]])-2)</f>
        <v>Real Valladolid</v>
      </c>
      <c r="R18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Zaragoza</v>
      </c>
      <c r="S1875" s="132" t="str">
        <f>LEFT(base[[#This Row],[Evento / Mercado]],FIND("/",base[[#This Row],[Evento / Mercado]])-2)</f>
        <v>Real Valladolid vs Real Zaragoza</v>
      </c>
    </row>
    <row r="1876" spans="2:19" ht="15" customHeight="1">
      <c r="B1876" s="128" t="s">
        <v>1530</v>
      </c>
      <c r="C1876" s="128" t="s">
        <v>2982</v>
      </c>
      <c r="D1876" s="129">
        <v>46151.656493055554</v>
      </c>
      <c r="E1876" s="130">
        <v>13.26</v>
      </c>
      <c r="F1876" s="136">
        <v>4.4999999999999998E-2</v>
      </c>
      <c r="G1876" s="126">
        <f t="shared" si="30"/>
        <v>13.884816753926701</v>
      </c>
      <c r="H1876" s="126" t="s">
        <v>1784</v>
      </c>
      <c r="I1876" s="127" t="s">
        <v>1448</v>
      </c>
      <c r="J1876" s="126">
        <v>1.28</v>
      </c>
      <c r="K1876" s="126">
        <v>50</v>
      </c>
      <c r="L1876" s="129">
        <f>INT(base[[#This Row],[Data de liquidação]])</f>
        <v>46151</v>
      </c>
      <c r="M1876" s="126">
        <f>base[[#This Row],[L/P Bruto]]-base[[#This Row],[L/P Líquido]]</f>
        <v>0.62481675392670155</v>
      </c>
      <c r="N1876" s="126">
        <f>base[[#This Row],[L/P Líquido]]/base[[#This Row],[Stake/Responsabilidade]]</f>
        <v>0.26519999999999999</v>
      </c>
      <c r="O1876" s="132">
        <f>IF(base[[#This Row],[L/P Líquido]]&gt;0,1,0)</f>
        <v>1</v>
      </c>
      <c r="P1876" s="132"/>
      <c r="Q1876" s="132" t="str">
        <f>LEFT(base[[#This Row],[Evento / Mercado]],FIND("vs",base[[#This Row],[Evento / Mercado]])-2)</f>
        <v>Al-Fayha FC</v>
      </c>
      <c r="R18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Al-Qadisiyah</v>
      </c>
      <c r="S1876" s="132" t="str">
        <f>LEFT(base[[#This Row],[Evento / Mercado]],FIND("/",base[[#This Row],[Evento / Mercado]])-2)</f>
        <v>Al-Fayha FC vs Al-Qadisiyah</v>
      </c>
    </row>
    <row r="1877" spans="2:19" ht="15" customHeight="1">
      <c r="B1877" s="128" t="s">
        <v>1823</v>
      </c>
      <c r="C1877" s="128" t="s">
        <v>2982</v>
      </c>
      <c r="D1877" s="129">
        <v>46151.666863425926</v>
      </c>
      <c r="E1877" s="130">
        <v>38.840000000000003</v>
      </c>
      <c r="F1877" s="136">
        <v>4.4999999999999998E-2</v>
      </c>
      <c r="G1877" s="126">
        <f t="shared" si="30"/>
        <v>40.670157068062835</v>
      </c>
      <c r="H1877" s="126" t="s">
        <v>122</v>
      </c>
      <c r="I1877" s="127" t="s">
        <v>477</v>
      </c>
      <c r="J1877" s="126">
        <v>13</v>
      </c>
      <c r="K1877" s="126">
        <v>488.04</v>
      </c>
      <c r="L1877" s="129">
        <f>INT(base[[#This Row],[Data de liquidação]])</f>
        <v>46151</v>
      </c>
      <c r="M1877" s="126">
        <f>base[[#This Row],[L/P Bruto]]-base[[#This Row],[L/P Líquido]]</f>
        <v>1.8301570680628316</v>
      </c>
      <c r="N1877" s="126">
        <f>base[[#This Row],[L/P Líquido]]/base[[#This Row],[Stake/Responsabilidade]]</f>
        <v>7.9583640685189735E-2</v>
      </c>
      <c r="O1877" s="132">
        <f>IF(base[[#This Row],[L/P Líquido]]&gt;0,1,0)</f>
        <v>1</v>
      </c>
      <c r="P1877" s="132" t="s">
        <v>966</v>
      </c>
      <c r="Q1877" s="132" t="str">
        <f>LEFT(base[[#This Row],[Evento / Mercado]],FIND("vs",base[[#This Row],[Evento / Mercado]])-2)</f>
        <v>Galatasaray SK</v>
      </c>
      <c r="R18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Antalyaspor</v>
      </c>
      <c r="S1877" s="132" t="str">
        <f>LEFT(base[[#This Row],[Evento / Mercado]],FIND("/",base[[#This Row],[Evento / Mercado]])-2)</f>
        <v>Galatasaray SK vs Antalyaspor</v>
      </c>
    </row>
    <row r="1878" spans="2:19" ht="15" customHeight="1">
      <c r="B1878" s="128" t="s">
        <v>1822</v>
      </c>
      <c r="C1878" s="128" t="s">
        <v>2982</v>
      </c>
      <c r="D1878" s="129">
        <v>46151.668240740742</v>
      </c>
      <c r="E1878" s="130">
        <v>19.72</v>
      </c>
      <c r="F1878" s="136">
        <v>4.4999999999999998E-2</v>
      </c>
      <c r="G1878" s="126">
        <f t="shared" si="30"/>
        <v>20.649214659685864</v>
      </c>
      <c r="H1878" s="126" t="s">
        <v>145</v>
      </c>
      <c r="I1878" s="127" t="s">
        <v>301</v>
      </c>
      <c r="J1878" s="126">
        <v>21</v>
      </c>
      <c r="K1878" s="126">
        <v>413</v>
      </c>
      <c r="L1878" s="129">
        <f>INT(base[[#This Row],[Data de liquidação]])</f>
        <v>46151</v>
      </c>
      <c r="M1878" s="126">
        <f>base[[#This Row],[L/P Bruto]]-base[[#This Row],[L/P Líquido]]</f>
        <v>0.92921465968586503</v>
      </c>
      <c r="N1878" s="126">
        <f>base[[#This Row],[L/P Líquido]]/base[[#This Row],[Stake/Responsabilidade]]</f>
        <v>4.7748184019370456E-2</v>
      </c>
      <c r="O1878" s="132">
        <f>IF(base[[#This Row],[L/P Líquido]]&gt;0,1,0)</f>
        <v>1</v>
      </c>
      <c r="P1878" s="132" t="s">
        <v>966</v>
      </c>
      <c r="Q1878" s="132" t="str">
        <f>LEFT(base[[#This Row],[Evento / Mercado]],FIND("vs",base[[#This Row],[Evento / Mercado]])-2)</f>
        <v>Galatasaray SK</v>
      </c>
      <c r="R18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Antalyaspor</v>
      </c>
      <c r="S1878" s="132" t="str">
        <f>LEFT(base[[#This Row],[Evento / Mercado]],FIND("/",base[[#This Row],[Evento / Mercado]])-2)</f>
        <v>Galatasaray SK vs Antalyaspor</v>
      </c>
    </row>
    <row r="1879" spans="2:19" ht="15" customHeight="1">
      <c r="B1879" s="128" t="s">
        <v>1821</v>
      </c>
      <c r="C1879" s="128" t="s">
        <v>2982</v>
      </c>
      <c r="D1879" s="129">
        <v>46151.671875</v>
      </c>
      <c r="E1879" s="130">
        <v>19.579999999999998</v>
      </c>
      <c r="F1879" s="136">
        <v>4.4999999999999998E-2</v>
      </c>
      <c r="G1879" s="126">
        <f t="shared" si="30"/>
        <v>20.502617801047119</v>
      </c>
      <c r="H1879" s="126" t="s">
        <v>1784</v>
      </c>
      <c r="I1879" s="127" t="s">
        <v>1448</v>
      </c>
      <c r="J1879" s="126">
        <v>1.41</v>
      </c>
      <c r="K1879" s="126">
        <v>50</v>
      </c>
      <c r="L1879" s="129">
        <f>INT(base[[#This Row],[Data de liquidação]])</f>
        <v>46151</v>
      </c>
      <c r="M1879" s="126">
        <f>base[[#This Row],[L/P Bruto]]-base[[#This Row],[L/P Líquido]]</f>
        <v>0.92261780104712088</v>
      </c>
      <c r="N1879" s="126">
        <f>base[[#This Row],[L/P Líquido]]/base[[#This Row],[Stake/Responsabilidade]]</f>
        <v>0.39159999999999995</v>
      </c>
      <c r="O1879" s="132">
        <f>IF(base[[#This Row],[L/P Líquido]]&gt;0,1,0)</f>
        <v>1</v>
      </c>
      <c r="P1879" s="132"/>
      <c r="Q1879" s="132" t="str">
        <f>LEFT(base[[#This Row],[Evento / Mercado]],FIND("vs",base[[#This Row],[Evento / Mercado]])-2)</f>
        <v>Stal Mielec</v>
      </c>
      <c r="R18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Puszcza Niepolomice</v>
      </c>
      <c r="S1879" s="132" t="str">
        <f>LEFT(base[[#This Row],[Evento / Mercado]],FIND("/",base[[#This Row],[Evento / Mercado]])-2)</f>
        <v>Stal Mielec vs Puszcza Niepolomice</v>
      </c>
    </row>
    <row r="1880" spans="2:19" ht="15" customHeight="1">
      <c r="B1880" s="128" t="s">
        <v>1820</v>
      </c>
      <c r="C1880" s="128" t="s">
        <v>2982</v>
      </c>
      <c r="D1880" s="129">
        <v>46151.683645833335</v>
      </c>
      <c r="E1880" s="130">
        <v>-4</v>
      </c>
      <c r="F1880" s="136">
        <v>4.4999999999999998E-2</v>
      </c>
      <c r="G1880" s="126">
        <f t="shared" si="30"/>
        <v>-4</v>
      </c>
      <c r="H1880" s="126" t="s">
        <v>1339</v>
      </c>
      <c r="I1880" s="127" t="s">
        <v>1236</v>
      </c>
      <c r="J1880" s="126">
        <v>8.1999999999999993</v>
      </c>
      <c r="K1880" s="126">
        <v>4</v>
      </c>
      <c r="L1880" s="129">
        <f>INT(base[[#This Row],[Data de liquidação]])</f>
        <v>46151</v>
      </c>
      <c r="M1880" s="126">
        <f>base[[#This Row],[L/P Bruto]]-base[[#This Row],[L/P Líquido]]</f>
        <v>0</v>
      </c>
      <c r="N1880" s="126">
        <f>base[[#This Row],[L/P Líquido]]/base[[#This Row],[Stake/Responsabilidade]]</f>
        <v>-1</v>
      </c>
      <c r="O1880" s="132">
        <f>IF(base[[#This Row],[L/P Líquido]]&gt;0,1,0)</f>
        <v>0</v>
      </c>
      <c r="P1880" s="132"/>
      <c r="Q1880" s="132" t="str">
        <f>LEFT(base[[#This Row],[Evento / Mercado]],FIND("vs",base[[#This Row],[Evento / Mercado]])-2)</f>
        <v>Hapoel Tel Aviv</v>
      </c>
      <c r="R18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Maccabi Tel Aviv</v>
      </c>
      <c r="S1880" s="132" t="str">
        <f>LEFT(base[[#This Row],[Evento / Mercado]],FIND("/",base[[#This Row],[Evento / Mercado]])-2)</f>
        <v>Hapoel Tel Aviv vs Maccabi Tel Aviv</v>
      </c>
    </row>
    <row r="1881" spans="2:19" ht="15" customHeight="1">
      <c r="B1881" s="128" t="s">
        <v>1819</v>
      </c>
      <c r="C1881" s="128" t="s">
        <v>2982</v>
      </c>
      <c r="D1881" s="129">
        <v>46151.695543981485</v>
      </c>
      <c r="E1881" s="130">
        <v>16.47</v>
      </c>
      <c r="F1881" s="136">
        <v>4.4999999999999998E-2</v>
      </c>
      <c r="G1881" s="126">
        <f t="shared" si="30"/>
        <v>17.246073298429319</v>
      </c>
      <c r="H1881" s="126" t="s">
        <v>1784</v>
      </c>
      <c r="I1881" s="127" t="s">
        <v>1448</v>
      </c>
      <c r="J1881" s="126">
        <v>1.34</v>
      </c>
      <c r="K1881" s="126">
        <v>50</v>
      </c>
      <c r="L1881" s="129">
        <f>INT(base[[#This Row],[Data de liquidação]])</f>
        <v>46151</v>
      </c>
      <c r="M1881" s="126">
        <f>base[[#This Row],[L/P Bruto]]-base[[#This Row],[L/P Líquido]]</f>
        <v>0.7760732984293206</v>
      </c>
      <c r="N1881" s="126">
        <f>base[[#This Row],[L/P Líquido]]/base[[#This Row],[Stake/Responsabilidade]]</f>
        <v>0.32939999999999997</v>
      </c>
      <c r="O1881" s="132">
        <f>IF(base[[#This Row],[L/P Líquido]]&gt;0,1,0)</f>
        <v>1</v>
      </c>
      <c r="P1881" s="132"/>
      <c r="Q1881" s="132" t="str">
        <f>LEFT(base[[#This Row],[Evento / Mercado]],FIND("vs",base[[#This Row],[Evento / Mercado]])-2)</f>
        <v>Real Sociedad</v>
      </c>
      <c r="R18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1881" s="132" t="str">
        <f>LEFT(base[[#This Row],[Evento / Mercado]],FIND("/",base[[#This Row],[Evento / Mercado]])-2)</f>
        <v>Real Sociedad vs Real Betis</v>
      </c>
    </row>
    <row r="1882" spans="2:19" ht="15" customHeight="1">
      <c r="B1882" s="128" t="s">
        <v>1818</v>
      </c>
      <c r="C1882" s="128" t="s">
        <v>2982</v>
      </c>
      <c r="D1882" s="129">
        <v>46151.698888888888</v>
      </c>
      <c r="E1882" s="130">
        <v>-50</v>
      </c>
      <c r="F1882" s="136">
        <v>4.4999999999999998E-2</v>
      </c>
      <c r="G1882" s="126">
        <f t="shared" si="30"/>
        <v>-50</v>
      </c>
      <c r="H1882" s="126" t="s">
        <v>1784</v>
      </c>
      <c r="I1882" s="127" t="s">
        <v>1448</v>
      </c>
      <c r="J1882" s="126">
        <v>1.43</v>
      </c>
      <c r="K1882" s="126">
        <v>50</v>
      </c>
      <c r="L1882" s="129">
        <f>INT(base[[#This Row],[Data de liquidação]])</f>
        <v>46151</v>
      </c>
      <c r="M1882" s="126">
        <f>base[[#This Row],[L/P Bruto]]-base[[#This Row],[L/P Líquido]]</f>
        <v>0</v>
      </c>
      <c r="N1882" s="126">
        <f>base[[#This Row],[L/P Líquido]]/base[[#This Row],[Stake/Responsabilidade]]</f>
        <v>-1</v>
      </c>
      <c r="O1882" s="132">
        <f>IF(base[[#This Row],[L/P Líquido]]&gt;0,1,0)</f>
        <v>0</v>
      </c>
      <c r="P1882" s="132"/>
      <c r="Q1882" s="132" t="str">
        <f>LEFT(base[[#This Row],[Evento / Mercado]],FIND("vs",base[[#This Row],[Evento / Mercado]])-2)</f>
        <v>Bolton Wanderers</v>
      </c>
      <c r="R18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Bradford City</v>
      </c>
      <c r="S1882" s="132" t="str">
        <f>LEFT(base[[#This Row],[Evento / Mercado]],FIND("/",base[[#This Row],[Evento / Mercado]])-2)</f>
        <v>Bolton Wanderers vs Bradford City</v>
      </c>
    </row>
    <row r="1883" spans="2:19" ht="15" customHeight="1">
      <c r="B1883" s="128" t="s">
        <v>1817</v>
      </c>
      <c r="C1883" s="128" t="s">
        <v>2982</v>
      </c>
      <c r="D1883" s="129">
        <v>46151.703113425923</v>
      </c>
      <c r="E1883" s="130">
        <v>1.64</v>
      </c>
      <c r="F1883" s="136">
        <v>4.4999999999999998E-2</v>
      </c>
      <c r="G1883" s="126">
        <f t="shared" si="30"/>
        <v>1.7172774869109948</v>
      </c>
      <c r="H1883" s="126" t="s">
        <v>1339</v>
      </c>
      <c r="I1883" s="127" t="s">
        <v>1388</v>
      </c>
      <c r="J1883" s="126">
        <v>30</v>
      </c>
      <c r="K1883" s="126">
        <v>49.88</v>
      </c>
      <c r="L1883" s="129">
        <f>INT(base[[#This Row],[Data de liquidação]])</f>
        <v>46151</v>
      </c>
      <c r="M1883" s="126">
        <f>base[[#This Row],[L/P Bruto]]-base[[#This Row],[L/P Líquido]]</f>
        <v>7.7277486910994897E-2</v>
      </c>
      <c r="N1883" s="126">
        <f>base[[#This Row],[L/P Líquido]]/base[[#This Row],[Stake/Responsabilidade]]</f>
        <v>3.2878909382518043E-2</v>
      </c>
      <c r="O1883" s="132">
        <f>IF(base[[#This Row],[L/P Líquido]]&gt;0,1,0)</f>
        <v>1</v>
      </c>
      <c r="P1883" s="132"/>
      <c r="Q1883" s="132" t="str">
        <f>LEFT(base[[#This Row],[Evento / Mercado]],FIND("vs",base[[#This Row],[Evento / Mercado]])-2)</f>
        <v>Annecy FC</v>
      </c>
      <c r="R18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Rodez</v>
      </c>
      <c r="S1883" s="132" t="str">
        <f>LEFT(base[[#This Row],[Evento / Mercado]],FIND("/",base[[#This Row],[Evento / Mercado]])-2)</f>
        <v>Annecy FC vs Rodez</v>
      </c>
    </row>
    <row r="1884" spans="2:19" ht="15" customHeight="1">
      <c r="B1884" s="128" t="s">
        <v>1816</v>
      </c>
      <c r="C1884" s="128" t="s">
        <v>2982</v>
      </c>
      <c r="D1884" s="129">
        <v>46151.703634259262</v>
      </c>
      <c r="E1884" s="130">
        <v>2.27</v>
      </c>
      <c r="F1884" s="136">
        <v>4.4999999999999998E-2</v>
      </c>
      <c r="G1884" s="126">
        <f t="shared" si="30"/>
        <v>2.3769633507853403</v>
      </c>
      <c r="H1884" s="126" t="s">
        <v>1339</v>
      </c>
      <c r="I1884" s="127" t="s">
        <v>1388</v>
      </c>
      <c r="J1884" s="126">
        <v>22</v>
      </c>
      <c r="K1884" s="126">
        <v>49.98</v>
      </c>
      <c r="L1884" s="129">
        <f>INT(base[[#This Row],[Data de liquidação]])</f>
        <v>46151</v>
      </c>
      <c r="M1884" s="126">
        <f>base[[#This Row],[L/P Bruto]]-base[[#This Row],[L/P Líquido]]</f>
        <v>0.10696335078534025</v>
      </c>
      <c r="N1884" s="126">
        <f>base[[#This Row],[L/P Líquido]]/base[[#This Row],[Stake/Responsabilidade]]</f>
        <v>4.5418167266906763E-2</v>
      </c>
      <c r="O1884" s="132">
        <f>IF(base[[#This Row],[L/P Líquido]]&gt;0,1,0)</f>
        <v>1</v>
      </c>
      <c r="P1884" s="132"/>
      <c r="Q1884" s="132" t="str">
        <f>LEFT(base[[#This Row],[Evento / Mercado]],FIND("vs",base[[#This Row],[Evento / Mercado]])-2)</f>
        <v>Red Star FC 93</v>
      </c>
      <c r="R18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Montpellier HSC</v>
      </c>
      <c r="S1884" s="132" t="str">
        <f>LEFT(base[[#This Row],[Evento / Mercado]],FIND("/",base[[#This Row],[Evento / Mercado]])-2)</f>
        <v>Red Star FC 93 vs Montpellier HSC</v>
      </c>
    </row>
    <row r="1885" spans="2:19" ht="15" customHeight="1">
      <c r="B1885" s="128" t="s">
        <v>1815</v>
      </c>
      <c r="C1885" s="128" t="s">
        <v>2982</v>
      </c>
      <c r="D1885" s="129">
        <v>46151.704560185186</v>
      </c>
      <c r="E1885" s="130">
        <v>24.12</v>
      </c>
      <c r="F1885" s="136">
        <v>4.4999999999999998E-2</v>
      </c>
      <c r="G1885" s="126">
        <f t="shared" si="30"/>
        <v>25.256544502617803</v>
      </c>
      <c r="H1885" s="126" t="s">
        <v>1784</v>
      </c>
      <c r="I1885" s="127" t="s">
        <v>266</v>
      </c>
      <c r="J1885" s="126">
        <v>1.51</v>
      </c>
      <c r="K1885" s="126">
        <v>50</v>
      </c>
      <c r="L1885" s="129">
        <f>INT(base[[#This Row],[Data de liquidação]])</f>
        <v>46151</v>
      </c>
      <c r="M1885" s="126">
        <f>base[[#This Row],[L/P Bruto]]-base[[#This Row],[L/P Líquido]]</f>
        <v>1.1365445026178023</v>
      </c>
      <c r="N1885" s="126">
        <f>base[[#This Row],[L/P Líquido]]/base[[#This Row],[Stake/Responsabilidade]]</f>
        <v>0.4824</v>
      </c>
      <c r="O1885" s="132">
        <f>IF(base[[#This Row],[L/P Líquido]]&gt;0,1,0)</f>
        <v>1</v>
      </c>
      <c r="P1885" s="132"/>
      <c r="Q1885" s="132" t="str">
        <f>LEFT(base[[#This Row],[Evento / Mercado]],FIND("vs",base[[#This Row],[Evento / Mercado]])-2)</f>
        <v>FC Luzern</v>
      </c>
      <c r="R18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Servette FC</v>
      </c>
      <c r="S1885" s="132" t="str">
        <f>LEFT(base[[#This Row],[Evento / Mercado]],FIND("/",base[[#This Row],[Evento / Mercado]])-2)</f>
        <v>FC Luzern vs Servette FC</v>
      </c>
    </row>
    <row r="1886" spans="2:19" ht="15" customHeight="1">
      <c r="B1886" s="128" t="s">
        <v>1814</v>
      </c>
      <c r="C1886" s="128" t="s">
        <v>2982</v>
      </c>
      <c r="D1886" s="129">
        <v>46151.709803240738</v>
      </c>
      <c r="E1886" s="130">
        <v>13.65</v>
      </c>
      <c r="F1886" s="136">
        <v>4.4999999999999998E-2</v>
      </c>
      <c r="G1886" s="126">
        <f t="shared" si="30"/>
        <v>14.293193717277488</v>
      </c>
      <c r="H1886" s="126" t="s">
        <v>1784</v>
      </c>
      <c r="I1886" s="127" t="s">
        <v>1785</v>
      </c>
      <c r="J1886" s="126">
        <v>4.5</v>
      </c>
      <c r="K1886" s="126">
        <v>50.02</v>
      </c>
      <c r="L1886" s="129">
        <f>INT(base[[#This Row],[Data de liquidação]])</f>
        <v>46151</v>
      </c>
      <c r="M1886" s="126">
        <f>base[[#This Row],[L/P Bruto]]-base[[#This Row],[L/P Líquido]]</f>
        <v>0.64319371727748731</v>
      </c>
      <c r="N1886" s="126">
        <f>base[[#This Row],[L/P Líquido]]/base[[#This Row],[Stake/Responsabilidade]]</f>
        <v>0.27289084366253497</v>
      </c>
      <c r="O1886" s="132">
        <f>IF(base[[#This Row],[L/P Líquido]]&gt;0,1,0)</f>
        <v>1</v>
      </c>
      <c r="P1886" s="132"/>
      <c r="Q1886" s="132" t="str">
        <f>LEFT(base[[#This Row],[Evento / Mercado]],FIND("vs",base[[#This Row],[Evento / Mercado]])-2)</f>
        <v>Universitatea Cluj</v>
      </c>
      <c r="R18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Rapid Bucuresti</v>
      </c>
      <c r="S1886" s="132" t="str">
        <f>LEFT(base[[#This Row],[Evento / Mercado]],FIND("/",base[[#This Row],[Evento / Mercado]])-2)</f>
        <v>Universitatea Cluj vs Rapid Bucuresti</v>
      </c>
    </row>
    <row r="1887" spans="2:19" ht="15" customHeight="1">
      <c r="B1887" s="128" t="s">
        <v>1813</v>
      </c>
      <c r="C1887" s="128" t="s">
        <v>2982</v>
      </c>
      <c r="D1887" s="129">
        <v>46151.71197916667</v>
      </c>
      <c r="E1887" s="130">
        <v>-5</v>
      </c>
      <c r="F1887" s="136">
        <v>4.4999999999999998E-2</v>
      </c>
      <c r="G1887" s="126">
        <f t="shared" si="30"/>
        <v>-5</v>
      </c>
      <c r="H1887" s="126" t="s">
        <v>1339</v>
      </c>
      <c r="I1887" s="127" t="s">
        <v>1338</v>
      </c>
      <c r="J1887" s="126">
        <v>2.2599999999999998</v>
      </c>
      <c r="K1887" s="126">
        <v>5</v>
      </c>
      <c r="L1887" s="129">
        <f>INT(base[[#This Row],[Data de liquidação]])</f>
        <v>46151</v>
      </c>
      <c r="M1887" s="126">
        <f>base[[#This Row],[L/P Bruto]]-base[[#This Row],[L/P Líquido]]</f>
        <v>0</v>
      </c>
      <c r="N1887" s="126">
        <f>base[[#This Row],[L/P Líquido]]/base[[#This Row],[Stake/Responsabilidade]]</f>
        <v>-1</v>
      </c>
      <c r="O1887" s="132">
        <f>IF(base[[#This Row],[L/P Líquido]]&gt;0,1,0)</f>
        <v>0</v>
      </c>
      <c r="P1887" s="132"/>
      <c r="Q1887" s="132" t="str">
        <f>LEFT(base[[#This Row],[Evento / Mercado]],FIND("vs",base[[#This Row],[Evento / Mercado]])-2)</f>
        <v>1. FC Nürnberg</v>
      </c>
      <c r="R18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Schalke 04</v>
      </c>
      <c r="S1887" s="132" t="str">
        <f>LEFT(base[[#This Row],[Evento / Mercado]],FIND("/",base[[#This Row],[Evento / Mercado]])-2)</f>
        <v>1. FC Nürnberg vs FC Schalke 04</v>
      </c>
    </row>
    <row r="1888" spans="2:19" ht="15" customHeight="1">
      <c r="B1888" s="128" t="s">
        <v>1812</v>
      </c>
      <c r="C1888" s="128" t="s">
        <v>2982</v>
      </c>
      <c r="D1888" s="129">
        <v>46151.712118055555</v>
      </c>
      <c r="E1888" s="130">
        <v>7.96</v>
      </c>
      <c r="F1888" s="136">
        <v>4.4999999999999998E-2</v>
      </c>
      <c r="G1888" s="126">
        <f t="shared" si="30"/>
        <v>8.335078534031414</v>
      </c>
      <c r="H1888" s="126" t="s">
        <v>1784</v>
      </c>
      <c r="I1888" s="127" t="s">
        <v>1785</v>
      </c>
      <c r="J1888" s="126">
        <v>7</v>
      </c>
      <c r="K1888" s="126">
        <v>49.98</v>
      </c>
      <c r="L1888" s="129">
        <f>INT(base[[#This Row],[Data de liquidação]])</f>
        <v>46151</v>
      </c>
      <c r="M1888" s="126">
        <f>base[[#This Row],[L/P Bruto]]-base[[#This Row],[L/P Líquido]]</f>
        <v>0.375078534031414</v>
      </c>
      <c r="N1888" s="126">
        <f>base[[#This Row],[L/P Líquido]]/base[[#This Row],[Stake/Responsabilidade]]</f>
        <v>0.15926370548219287</v>
      </c>
      <c r="O1888" s="132">
        <f>IF(base[[#This Row],[L/P Líquido]]&gt;0,1,0)</f>
        <v>1</v>
      </c>
      <c r="P1888" s="132"/>
      <c r="Q1888" s="132" t="str">
        <f>LEFT(base[[#This Row],[Evento / Mercado]],FIND("vs",base[[#This Row],[Evento / Mercado]])-2)</f>
        <v>Deportivo Morón</v>
      </c>
      <c r="R18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Andes</v>
      </c>
      <c r="S1888" s="132" t="str">
        <f>LEFT(base[[#This Row],[Evento / Mercado]],FIND("/",base[[#This Row],[Evento / Mercado]])-2)</f>
        <v>Deportivo Morón vs Los Andes</v>
      </c>
    </row>
    <row r="1889" spans="2:19" ht="15" customHeight="1">
      <c r="B1889" s="128" t="s">
        <v>1811</v>
      </c>
      <c r="C1889" s="128" t="s">
        <v>2982</v>
      </c>
      <c r="D1889" s="129">
        <v>46151.717638888891</v>
      </c>
      <c r="E1889" s="130">
        <v>-50.01</v>
      </c>
      <c r="F1889" s="136">
        <v>4.4999999999999998E-2</v>
      </c>
      <c r="G1889" s="126">
        <f t="shared" si="30"/>
        <v>-50.01</v>
      </c>
      <c r="H1889" s="126" t="s">
        <v>1784</v>
      </c>
      <c r="I1889" s="127" t="s">
        <v>1785</v>
      </c>
      <c r="J1889" s="126">
        <v>6.6</v>
      </c>
      <c r="K1889" s="126">
        <v>50</v>
      </c>
      <c r="L1889" s="129">
        <f>INT(base[[#This Row],[Data de liquidação]])</f>
        <v>46151</v>
      </c>
      <c r="M1889" s="126">
        <f>base[[#This Row],[L/P Bruto]]-base[[#This Row],[L/P Líquido]]</f>
        <v>0</v>
      </c>
      <c r="N1889" s="126">
        <f>base[[#This Row],[L/P Líquido]]/base[[#This Row],[Stake/Responsabilidade]]</f>
        <v>-1.0002</v>
      </c>
      <c r="O1889" s="132">
        <f>IF(base[[#This Row],[L/P Líquido]]&gt;0,1,0)</f>
        <v>0</v>
      </c>
      <c r="P1889" s="132"/>
      <c r="Q1889" s="132" t="str">
        <f>LEFT(base[[#This Row],[Evento / Mercado]],FIND("vs",base[[#This Row],[Evento / Mercado]])-2)</f>
        <v>Górnik Zabrze</v>
      </c>
      <c r="R18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Zaglebie Lubin</v>
      </c>
      <c r="S1889" s="132" t="str">
        <f>LEFT(base[[#This Row],[Evento / Mercado]],FIND("/",base[[#This Row],[Evento / Mercado]])-2)</f>
        <v>Górnik Zabrze vs Zaglebie Lubin</v>
      </c>
    </row>
    <row r="1890" spans="2:19" ht="15" customHeight="1">
      <c r="B1890" s="128" t="s">
        <v>1810</v>
      </c>
      <c r="C1890" s="128" t="s">
        <v>2982</v>
      </c>
      <c r="D1890" s="129">
        <v>46151.723090277781</v>
      </c>
      <c r="E1890" s="130">
        <v>2.39</v>
      </c>
      <c r="F1890" s="136">
        <v>4.4999999999999998E-2</v>
      </c>
      <c r="G1890" s="126">
        <f t="shared" si="30"/>
        <v>2.5026178010471205</v>
      </c>
      <c r="H1890" s="126" t="s">
        <v>1339</v>
      </c>
      <c r="I1890" s="127" t="s">
        <v>1388</v>
      </c>
      <c r="J1890" s="126">
        <v>20</v>
      </c>
      <c r="K1890" s="126">
        <v>47.5</v>
      </c>
      <c r="L1890" s="129">
        <f>INT(base[[#This Row],[Data de liquidação]])</f>
        <v>46151</v>
      </c>
      <c r="M1890" s="126">
        <f>base[[#This Row],[L/P Bruto]]-base[[#This Row],[L/P Líquido]]</f>
        <v>0.11261780104712038</v>
      </c>
      <c r="N1890" s="126">
        <f>base[[#This Row],[L/P Líquido]]/base[[#This Row],[Stake/Responsabilidade]]</f>
        <v>5.0315789473684217E-2</v>
      </c>
      <c r="O1890" s="132">
        <f>IF(base[[#This Row],[L/P Líquido]]&gt;0,1,0)</f>
        <v>1</v>
      </c>
      <c r="P1890" s="132"/>
      <c r="Q1890" s="132" t="str">
        <f>LEFT(base[[#This Row],[Evento / Mercado]],FIND("vs",base[[#This Row],[Evento / Mercado]])-2)</f>
        <v>FC Luzern</v>
      </c>
      <c r="R18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Servette FC</v>
      </c>
      <c r="S1890" s="132" t="str">
        <f>LEFT(base[[#This Row],[Evento / Mercado]],FIND("/",base[[#This Row],[Evento / Mercado]])-2)</f>
        <v>FC Luzern vs Servette FC</v>
      </c>
    </row>
    <row r="1891" spans="2:19" ht="15" customHeight="1">
      <c r="B1891" s="128" t="s">
        <v>1809</v>
      </c>
      <c r="C1891" s="128" t="s">
        <v>2982</v>
      </c>
      <c r="D1891" s="129">
        <v>46151.725671296299</v>
      </c>
      <c r="E1891" s="130">
        <v>0.64</v>
      </c>
      <c r="F1891" s="136">
        <v>4.4999999999999998E-2</v>
      </c>
      <c r="G1891" s="126">
        <f t="shared" si="30"/>
        <v>0.67015706806282727</v>
      </c>
      <c r="H1891" s="126" t="s">
        <v>1339</v>
      </c>
      <c r="I1891" s="127" t="s">
        <v>1391</v>
      </c>
      <c r="J1891" s="126">
        <v>3.7</v>
      </c>
      <c r="K1891" s="126">
        <v>10.18</v>
      </c>
      <c r="L1891" s="129">
        <f>INT(base[[#This Row],[Data de liquidação]])</f>
        <v>46151</v>
      </c>
      <c r="M1891" s="126">
        <f>base[[#This Row],[L/P Bruto]]-base[[#This Row],[L/P Líquido]]</f>
        <v>3.0157068062827252E-2</v>
      </c>
      <c r="N1891" s="126">
        <f>base[[#This Row],[L/P Líquido]]/base[[#This Row],[Stake/Responsabilidade]]</f>
        <v>6.286836935166995E-2</v>
      </c>
      <c r="O1891" s="132">
        <f>IF(base[[#This Row],[L/P Líquido]]&gt;0,1,0)</f>
        <v>1</v>
      </c>
      <c r="P1891" s="132"/>
      <c r="Q1891" s="132" t="str">
        <f>LEFT(base[[#This Row],[Evento / Mercado]],FIND("vs",base[[#This Row],[Evento / Mercado]])-2)</f>
        <v>1. FC Nürnberg</v>
      </c>
      <c r="R18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Schalke 04</v>
      </c>
      <c r="S1891" s="132" t="str">
        <f>LEFT(base[[#This Row],[Evento / Mercado]],FIND("/",base[[#This Row],[Evento / Mercado]])-2)</f>
        <v>1. FC Nürnberg vs FC Schalke 04</v>
      </c>
    </row>
    <row r="1892" spans="2:19" ht="15" customHeight="1">
      <c r="B1892" s="128" t="s">
        <v>1808</v>
      </c>
      <c r="C1892" s="128" t="s">
        <v>2982</v>
      </c>
      <c r="D1892" s="129">
        <v>46151.735300925924</v>
      </c>
      <c r="E1892" s="130">
        <v>-50.02</v>
      </c>
      <c r="F1892" s="136">
        <v>4.4999999999999998E-2</v>
      </c>
      <c r="G1892" s="126">
        <f t="shared" si="30"/>
        <v>-50.02</v>
      </c>
      <c r="H1892" s="126" t="s">
        <v>1784</v>
      </c>
      <c r="I1892" s="127" t="s">
        <v>1785</v>
      </c>
      <c r="J1892" s="126">
        <v>6.2</v>
      </c>
      <c r="K1892" s="126">
        <v>50.02</v>
      </c>
      <c r="L1892" s="129">
        <f>INT(base[[#This Row],[Data de liquidação]])</f>
        <v>46151</v>
      </c>
      <c r="M1892" s="126">
        <f>base[[#This Row],[L/P Bruto]]-base[[#This Row],[L/P Líquido]]</f>
        <v>0</v>
      </c>
      <c r="N1892" s="126">
        <f>base[[#This Row],[L/P Líquido]]/base[[#This Row],[Stake/Responsabilidade]]</f>
        <v>-1</v>
      </c>
      <c r="O1892" s="132">
        <f>IF(base[[#This Row],[L/P Líquido]]&gt;0,1,0)</f>
        <v>0</v>
      </c>
      <c r="P1892" s="132"/>
      <c r="Q1892" s="132" t="str">
        <f>LEFT(base[[#This Row],[Evento / Mercado]],FIND("vs",base[[#This Row],[Evento / Mercado]])-2)</f>
        <v>Chicago Fire</v>
      </c>
      <c r="R18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York Red Bulls</v>
      </c>
      <c r="S1892" s="132" t="str">
        <f>LEFT(base[[#This Row],[Evento / Mercado]],FIND("/",base[[#This Row],[Evento / Mercado]])-2)</f>
        <v>Chicago Fire vs New York Red Bulls</v>
      </c>
    </row>
    <row r="1893" spans="2:19" ht="15" customHeight="1">
      <c r="B1893" s="128" t="s">
        <v>1807</v>
      </c>
      <c r="C1893" s="128" t="s">
        <v>2982</v>
      </c>
      <c r="D1893" s="129">
        <v>46151.74459490741</v>
      </c>
      <c r="E1893" s="130">
        <v>0.93</v>
      </c>
      <c r="F1893" s="136">
        <v>4.4999999999999998E-2</v>
      </c>
      <c r="G1893" s="126">
        <f t="shared" si="30"/>
        <v>0.97382198952879595</v>
      </c>
      <c r="H1893" s="126" t="s">
        <v>1339</v>
      </c>
      <c r="I1893" s="127" t="s">
        <v>1336</v>
      </c>
      <c r="J1893" s="126">
        <v>1.42</v>
      </c>
      <c r="K1893" s="126">
        <v>5</v>
      </c>
      <c r="L1893" s="129">
        <f>INT(base[[#This Row],[Data de liquidação]])</f>
        <v>46151</v>
      </c>
      <c r="M1893" s="126">
        <f>base[[#This Row],[L/P Bruto]]-base[[#This Row],[L/P Líquido]]</f>
        <v>4.3821989528795902E-2</v>
      </c>
      <c r="N1893" s="126">
        <f>base[[#This Row],[L/P Líquido]]/base[[#This Row],[Stake/Responsabilidade]]</f>
        <v>0.186</v>
      </c>
      <c r="O1893" s="132">
        <f>IF(base[[#This Row],[L/P Líquido]]&gt;0,1,0)</f>
        <v>1</v>
      </c>
      <c r="P1893" s="132"/>
      <c r="Q1893" s="132" t="str">
        <f>LEFT(base[[#This Row],[Evento / Mercado]],FIND("vs",base[[#This Row],[Evento / Mercado]])-2)</f>
        <v>Real Sociedad</v>
      </c>
      <c r="R18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1893" s="132" t="str">
        <f>LEFT(base[[#This Row],[Evento / Mercado]],FIND("/",base[[#This Row],[Evento / Mercado]])-2)</f>
        <v>Real Sociedad vs Real Betis</v>
      </c>
    </row>
    <row r="1894" spans="2:19" ht="15" customHeight="1">
      <c r="B1894" s="128" t="s">
        <v>1806</v>
      </c>
      <c r="C1894" s="128" t="s">
        <v>2982</v>
      </c>
      <c r="D1894" s="129">
        <v>46151.745937500003</v>
      </c>
      <c r="E1894" s="130">
        <v>81.96</v>
      </c>
      <c r="F1894" s="136">
        <v>4.4999999999999998E-2</v>
      </c>
      <c r="G1894" s="126">
        <f t="shared" si="30"/>
        <v>85.821989528795811</v>
      </c>
      <c r="H1894" s="126" t="s">
        <v>231</v>
      </c>
      <c r="I1894" s="127" t="s">
        <v>232</v>
      </c>
      <c r="J1894" s="126">
        <v>1.75</v>
      </c>
      <c r="K1894" s="126">
        <v>115</v>
      </c>
      <c r="L1894" s="129">
        <f>INT(base[[#This Row],[Data de liquidação]])</f>
        <v>46151</v>
      </c>
      <c r="M1894" s="126">
        <f>base[[#This Row],[L/P Bruto]]-base[[#This Row],[L/P Líquido]]</f>
        <v>3.8619895287958173</v>
      </c>
      <c r="N1894" s="126">
        <f>base[[#This Row],[L/P Líquido]]/base[[#This Row],[Stake/Responsabilidade]]</f>
        <v>0.71269565217391295</v>
      </c>
      <c r="O1894" s="132">
        <f>IF(base[[#This Row],[L/P Líquido]]&gt;0,1,0)</f>
        <v>1</v>
      </c>
      <c r="P1894" s="132"/>
      <c r="Q1894" s="132" t="str">
        <f>LEFT(base[[#This Row],[Evento / Mercado]],FIND("vs",base[[#This Row],[Evento / Mercado]])-2)</f>
        <v>Málaga</v>
      </c>
      <c r="R18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Sporting de Gijon</v>
      </c>
      <c r="S1894" s="132" t="str">
        <f>LEFT(base[[#This Row],[Evento / Mercado]],FIND("/",base[[#This Row],[Evento / Mercado]])-2)</f>
        <v>Málaga vs Real Sporting de Gijon</v>
      </c>
    </row>
    <row r="1895" spans="2:19" ht="15" customHeight="1">
      <c r="B1895" s="128" t="s">
        <v>1805</v>
      </c>
      <c r="C1895" s="128" t="s">
        <v>2982</v>
      </c>
      <c r="D1895" s="129">
        <v>46151.748437499999</v>
      </c>
      <c r="E1895" s="130">
        <v>27.76</v>
      </c>
      <c r="F1895" s="136">
        <v>4.4999999999999998E-2</v>
      </c>
      <c r="G1895" s="126">
        <f t="shared" si="30"/>
        <v>29.068062827225134</v>
      </c>
      <c r="H1895" s="126" t="s">
        <v>1784</v>
      </c>
      <c r="I1895" s="127" t="s">
        <v>1785</v>
      </c>
      <c r="J1895" s="126">
        <v>2.72</v>
      </c>
      <c r="K1895" s="126">
        <v>50</v>
      </c>
      <c r="L1895" s="129">
        <f>INT(base[[#This Row],[Data de liquidação]])</f>
        <v>46151</v>
      </c>
      <c r="M1895" s="126">
        <f>base[[#This Row],[L/P Bruto]]-base[[#This Row],[L/P Líquido]]</f>
        <v>1.3080628272251325</v>
      </c>
      <c r="N1895" s="126">
        <f>base[[#This Row],[L/P Líquido]]/base[[#This Row],[Stake/Responsabilidade]]</f>
        <v>0.55520000000000003</v>
      </c>
      <c r="O1895" s="132">
        <f>IF(base[[#This Row],[L/P Líquido]]&gt;0,1,0)</f>
        <v>1</v>
      </c>
      <c r="P1895" s="132"/>
      <c r="Q1895" s="132" t="str">
        <f>LEFT(base[[#This Row],[Evento / Mercado]],FIND("vs",base[[#This Row],[Evento / Mercado]])-2)</f>
        <v>Real Sociedad</v>
      </c>
      <c r="R18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1895" s="132" t="str">
        <f>LEFT(base[[#This Row],[Evento / Mercado]],FIND("/",base[[#This Row],[Evento / Mercado]])-2)</f>
        <v>Real Sociedad vs Real Betis</v>
      </c>
    </row>
    <row r="1896" spans="2:19" ht="15" customHeight="1">
      <c r="B1896" s="128" t="s">
        <v>1804</v>
      </c>
      <c r="C1896" s="128" t="s">
        <v>2982</v>
      </c>
      <c r="D1896" s="129">
        <v>46151.770532407405</v>
      </c>
      <c r="E1896" s="130">
        <v>-42.99</v>
      </c>
      <c r="F1896" s="136">
        <v>4.4999999999999998E-2</v>
      </c>
      <c r="G1896" s="126">
        <f t="shared" si="30"/>
        <v>-42.99</v>
      </c>
      <c r="H1896" s="126" t="s">
        <v>1339</v>
      </c>
      <c r="I1896" s="127" t="s">
        <v>1430</v>
      </c>
      <c r="J1896" s="126">
        <v>8.4</v>
      </c>
      <c r="K1896" s="126">
        <v>42.99</v>
      </c>
      <c r="L1896" s="129">
        <f>INT(base[[#This Row],[Data de liquidação]])</f>
        <v>46151</v>
      </c>
      <c r="M1896" s="126">
        <f>base[[#This Row],[L/P Bruto]]-base[[#This Row],[L/P Líquido]]</f>
        <v>0</v>
      </c>
      <c r="N1896" s="126">
        <f>base[[#This Row],[L/P Líquido]]/base[[#This Row],[Stake/Responsabilidade]]</f>
        <v>-1</v>
      </c>
      <c r="O1896" s="132">
        <f>IF(base[[#This Row],[L/P Líquido]]&gt;0,1,0)</f>
        <v>0</v>
      </c>
      <c r="P1896" s="132"/>
      <c r="Q1896" s="132" t="str">
        <f>LEFT(base[[#This Row],[Evento / Mercado]],FIND("vs",base[[#This Row],[Evento / Mercado]])-2)</f>
        <v>Lusitânia de Lourosa</v>
      </c>
      <c r="R18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União Torreense</v>
      </c>
      <c r="S1896" s="132" t="str">
        <f>LEFT(base[[#This Row],[Evento / Mercado]],FIND("/",base[[#This Row],[Evento / Mercado]])-2)</f>
        <v>Lusitânia de Lourosa vs SC União Torreense</v>
      </c>
    </row>
    <row r="1897" spans="2:19" ht="15" customHeight="1">
      <c r="B1897" s="128" t="s">
        <v>1803</v>
      </c>
      <c r="C1897" s="128" t="s">
        <v>2982</v>
      </c>
      <c r="D1897" s="129">
        <v>46151.808263888888</v>
      </c>
      <c r="E1897" s="130">
        <v>-1.85</v>
      </c>
      <c r="F1897" s="136">
        <v>4.4999999999999998E-2</v>
      </c>
      <c r="G1897" s="126">
        <f t="shared" si="30"/>
        <v>-1.85</v>
      </c>
      <c r="H1897" s="126" t="s">
        <v>1339</v>
      </c>
      <c r="I1897" s="127" t="s">
        <v>1236</v>
      </c>
      <c r="J1897" s="126">
        <v>4.9000000000000004</v>
      </c>
      <c r="K1897" s="126">
        <v>4</v>
      </c>
      <c r="L1897" s="129">
        <f>INT(base[[#This Row],[Data de liquidação]])</f>
        <v>46151</v>
      </c>
      <c r="M1897" s="126">
        <f>base[[#This Row],[L/P Bruto]]-base[[#This Row],[L/P Líquido]]</f>
        <v>0</v>
      </c>
      <c r="N1897" s="126">
        <f>base[[#This Row],[L/P Líquido]]/base[[#This Row],[Stake/Responsabilidade]]</f>
        <v>-0.46250000000000002</v>
      </c>
      <c r="O1897" s="132">
        <f>IF(base[[#This Row],[L/P Líquido]]&gt;0,1,0)</f>
        <v>0</v>
      </c>
      <c r="P1897" s="132"/>
      <c r="Q1897" s="132" t="str">
        <f>LEFT(base[[#This Row],[Evento / Mercado]],FIND("vs",base[[#This Row],[Evento / Mercado]])-2)</f>
        <v>Fluminense FC</v>
      </c>
      <c r="R18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1897" s="132" t="str">
        <f>LEFT(base[[#This Row],[Evento / Mercado]],FIND("/",base[[#This Row],[Evento / Mercado]])-2)</f>
        <v>Fluminense FC vs EC Vitória</v>
      </c>
    </row>
    <row r="1898" spans="2:19" ht="15" customHeight="1">
      <c r="B1898" s="128" t="s">
        <v>1802</v>
      </c>
      <c r="C1898" s="128" t="s">
        <v>2982</v>
      </c>
      <c r="D1898" s="129">
        <v>46151.816041666665</v>
      </c>
      <c r="E1898" s="130">
        <v>2.58</v>
      </c>
      <c r="F1898" s="136">
        <v>4.4999999999999998E-2</v>
      </c>
      <c r="G1898" s="126">
        <f t="shared" si="30"/>
        <v>2.7015706806282727</v>
      </c>
      <c r="H1898" s="126" t="s">
        <v>1339</v>
      </c>
      <c r="I1898" s="127" t="s">
        <v>1388</v>
      </c>
      <c r="J1898" s="126">
        <v>19.5</v>
      </c>
      <c r="K1898" s="126">
        <v>49.95</v>
      </c>
      <c r="L1898" s="129">
        <f>INT(base[[#This Row],[Data de liquidação]])</f>
        <v>46151</v>
      </c>
      <c r="M1898" s="126">
        <f>base[[#This Row],[L/P Bruto]]-base[[#This Row],[L/P Líquido]]</f>
        <v>0.12157068062827259</v>
      </c>
      <c r="N1898" s="126">
        <f>base[[#This Row],[L/P Líquido]]/base[[#This Row],[Stake/Responsabilidade]]</f>
        <v>5.1651651651651649E-2</v>
      </c>
      <c r="O1898" s="132">
        <f>IF(base[[#This Row],[L/P Líquido]]&gt;0,1,0)</f>
        <v>1</v>
      </c>
      <c r="P1898" s="132"/>
      <c r="Q1898" s="132" t="str">
        <f>LEFT(base[[#This Row],[Evento / Mercado]],FIND("vs",base[[#This Row],[Evento / Mercado]])-2)</f>
        <v>CF Montreal</v>
      </c>
      <c r="R18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1898" s="132" t="str">
        <f>LEFT(base[[#This Row],[Evento / Mercado]],FIND("/",base[[#This Row],[Evento / Mercado]])-2)</f>
        <v>CF Montreal vs Orlando City</v>
      </c>
    </row>
    <row r="1899" spans="2:19" ht="15" customHeight="1">
      <c r="B1899" s="128" t="s">
        <v>1801</v>
      </c>
      <c r="C1899" s="128" t="s">
        <v>2982</v>
      </c>
      <c r="D1899" s="129">
        <v>46151.816412037035</v>
      </c>
      <c r="E1899" s="130">
        <v>1.99</v>
      </c>
      <c r="F1899" s="136">
        <v>4.4999999999999998E-2</v>
      </c>
      <c r="G1899" s="126">
        <f t="shared" si="30"/>
        <v>2.0837696335078535</v>
      </c>
      <c r="H1899" s="126" t="s">
        <v>1339</v>
      </c>
      <c r="I1899" s="127" t="s">
        <v>1429</v>
      </c>
      <c r="J1899" s="126">
        <v>2.04</v>
      </c>
      <c r="K1899" s="126">
        <v>2</v>
      </c>
      <c r="L1899" s="129">
        <f>INT(base[[#This Row],[Data de liquidação]])</f>
        <v>46151</v>
      </c>
      <c r="M1899" s="126">
        <f>base[[#This Row],[L/P Bruto]]-base[[#This Row],[L/P Líquido]]</f>
        <v>9.37696335078535E-2</v>
      </c>
      <c r="N1899" s="126">
        <f>base[[#This Row],[L/P Líquido]]/base[[#This Row],[Stake/Responsabilidade]]</f>
        <v>0.995</v>
      </c>
      <c r="O1899" s="132">
        <f>IF(base[[#This Row],[L/P Líquido]]&gt;0,1,0)</f>
        <v>1</v>
      </c>
      <c r="P1899" s="132"/>
      <c r="Q1899" s="132" t="str">
        <f>LEFT(base[[#This Row],[Evento / Mercado]],FIND("vs",base[[#This Row],[Evento / Mercado]])-2)</f>
        <v>CF Montreal</v>
      </c>
      <c r="R18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1899" s="132" t="str">
        <f>LEFT(base[[#This Row],[Evento / Mercado]],FIND("/",base[[#This Row],[Evento / Mercado]])-2)</f>
        <v>CF Montreal vs Orlando City</v>
      </c>
    </row>
    <row r="1900" spans="2:19" ht="15" customHeight="1">
      <c r="B1900" s="128" t="s">
        <v>1800</v>
      </c>
      <c r="C1900" s="128" t="s">
        <v>2982</v>
      </c>
      <c r="D1900" s="129">
        <v>46151.872430555559</v>
      </c>
      <c r="E1900" s="130">
        <v>-50</v>
      </c>
      <c r="F1900" s="136">
        <v>4.4999999999999998E-2</v>
      </c>
      <c r="G1900" s="126">
        <f t="shared" si="30"/>
        <v>-50</v>
      </c>
      <c r="H1900" s="126" t="s">
        <v>1784</v>
      </c>
      <c r="I1900" s="127" t="s">
        <v>1785</v>
      </c>
      <c r="J1900" s="126">
        <v>4.9000000000000004</v>
      </c>
      <c r="K1900" s="126">
        <v>50</v>
      </c>
      <c r="L1900" s="129">
        <f>INT(base[[#This Row],[Data de liquidação]])</f>
        <v>46151</v>
      </c>
      <c r="M1900" s="126">
        <f>base[[#This Row],[L/P Bruto]]-base[[#This Row],[L/P Líquido]]</f>
        <v>0</v>
      </c>
      <c r="N1900" s="126">
        <f>base[[#This Row],[L/P Líquido]]/base[[#This Row],[Stake/Responsabilidade]]</f>
        <v>-1</v>
      </c>
      <c r="O1900" s="132">
        <f>IF(base[[#This Row],[L/P Líquido]]&gt;0,1,0)</f>
        <v>0</v>
      </c>
      <c r="P1900" s="132"/>
      <c r="Q1900" s="132" t="str">
        <f>LEFT(base[[#This Row],[Evento / Mercado]],FIND("vs",base[[#This Row],[Evento / Mercado]])-2)</f>
        <v>Ceará SC</v>
      </c>
      <c r="R19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Goianiense</v>
      </c>
      <c r="S1900" s="132" t="str">
        <f>LEFT(base[[#This Row],[Evento / Mercado]],FIND("/",base[[#This Row],[Evento / Mercado]])-2)</f>
        <v>Ceará SC vs Atlético Goianiense</v>
      </c>
    </row>
    <row r="1901" spans="2:19" ht="15" customHeight="1">
      <c r="B1901" s="128" t="s">
        <v>1799</v>
      </c>
      <c r="C1901" s="128" t="s">
        <v>2982</v>
      </c>
      <c r="D1901" s="129">
        <v>46151.89199074074</v>
      </c>
      <c r="E1901" s="130">
        <v>3.82</v>
      </c>
      <c r="F1901" s="136">
        <v>4.4999999999999998E-2</v>
      </c>
      <c r="G1901" s="126">
        <f t="shared" si="30"/>
        <v>4</v>
      </c>
      <c r="H1901" s="126" t="s">
        <v>1339</v>
      </c>
      <c r="I1901" s="127" t="s">
        <v>1236</v>
      </c>
      <c r="J1901" s="126">
        <v>9.1999999999999993</v>
      </c>
      <c r="K1901" s="126">
        <v>4</v>
      </c>
      <c r="L1901" s="129">
        <f>INT(base[[#This Row],[Data de liquidação]])</f>
        <v>46151</v>
      </c>
      <c r="M1901" s="126">
        <f>base[[#This Row],[L/P Bruto]]-base[[#This Row],[L/P Líquido]]</f>
        <v>0.18000000000000016</v>
      </c>
      <c r="N1901" s="126">
        <f>base[[#This Row],[L/P Líquido]]/base[[#This Row],[Stake/Responsabilidade]]</f>
        <v>0.95499999999999996</v>
      </c>
      <c r="O1901" s="132">
        <f>IF(base[[#This Row],[L/P Líquido]]&gt;0,1,0)</f>
        <v>1</v>
      </c>
      <c r="P1901" s="132"/>
      <c r="Q1901" s="132" t="str">
        <f>LEFT(base[[#This Row],[Evento / Mercado]],FIND("vs",base[[#This Row],[Evento / Mercado]])-2)</f>
        <v>Charlotte FC</v>
      </c>
      <c r="R19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Cincinnati</v>
      </c>
      <c r="S1901" s="132" t="str">
        <f>LEFT(base[[#This Row],[Evento / Mercado]],FIND("/",base[[#This Row],[Evento / Mercado]])-2)</f>
        <v>Charlotte FC vs FC Cincinnati</v>
      </c>
    </row>
    <row r="1902" spans="2:19" ht="15" customHeight="1">
      <c r="B1902" s="128" t="s">
        <v>1798</v>
      </c>
      <c r="C1902" s="128" t="s">
        <v>2982</v>
      </c>
      <c r="D1902" s="129">
        <v>46151.905486111114</v>
      </c>
      <c r="E1902" s="130">
        <v>3.82</v>
      </c>
      <c r="F1902" s="136">
        <v>4.4999999999999998E-2</v>
      </c>
      <c r="G1902" s="126">
        <f t="shared" si="30"/>
        <v>4</v>
      </c>
      <c r="H1902" s="126" t="s">
        <v>1339</v>
      </c>
      <c r="I1902" s="127" t="s">
        <v>1236</v>
      </c>
      <c r="J1902" s="126">
        <v>8</v>
      </c>
      <c r="K1902" s="126">
        <v>4</v>
      </c>
      <c r="L1902" s="129">
        <f>INT(base[[#This Row],[Data de liquidação]])</f>
        <v>46151</v>
      </c>
      <c r="M1902" s="126">
        <f>base[[#This Row],[L/P Bruto]]-base[[#This Row],[L/P Líquido]]</f>
        <v>0.18000000000000016</v>
      </c>
      <c r="N1902" s="126">
        <f>base[[#This Row],[L/P Líquido]]/base[[#This Row],[Stake/Responsabilidade]]</f>
        <v>0.95499999999999996</v>
      </c>
      <c r="O1902" s="132">
        <f>IF(base[[#This Row],[L/P Líquido]]&gt;0,1,0)</f>
        <v>1</v>
      </c>
      <c r="P1902" s="132"/>
      <c r="Q1902" s="132" t="str">
        <f>LEFT(base[[#This Row],[Evento / Mercado]],FIND("vs",base[[#This Row],[Evento / Mercado]])-2)</f>
        <v>Esporte Clube Bahia</v>
      </c>
      <c r="R19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1902" s="132" t="str">
        <f>LEFT(base[[#This Row],[Evento / Mercado]],FIND("/",base[[#This Row],[Evento / Mercado]])-2)</f>
        <v>Esporte Clube Bahia vs Cruzeiro</v>
      </c>
    </row>
    <row r="1903" spans="2:19" ht="15" customHeight="1">
      <c r="B1903" s="128" t="s">
        <v>1797</v>
      </c>
      <c r="C1903" s="128" t="s">
        <v>2982</v>
      </c>
      <c r="D1903" s="129">
        <v>46151.917951388888</v>
      </c>
      <c r="E1903" s="130">
        <v>4.1500000000000004</v>
      </c>
      <c r="F1903" s="136">
        <v>4.4999999999999998E-2</v>
      </c>
      <c r="G1903" s="126">
        <f t="shared" si="30"/>
        <v>4.345549738219896</v>
      </c>
      <c r="H1903" s="126" t="s">
        <v>1339</v>
      </c>
      <c r="I1903" s="127" t="s">
        <v>1388</v>
      </c>
      <c r="J1903" s="126">
        <v>12.5</v>
      </c>
      <c r="K1903" s="126">
        <v>50.03</v>
      </c>
      <c r="L1903" s="129">
        <f>INT(base[[#This Row],[Data de liquidação]])</f>
        <v>46151</v>
      </c>
      <c r="M1903" s="126">
        <f>base[[#This Row],[L/P Bruto]]-base[[#This Row],[L/P Líquido]]</f>
        <v>0.19554973821989563</v>
      </c>
      <c r="N1903" s="126">
        <f>base[[#This Row],[L/P Líquido]]/base[[#This Row],[Stake/Responsabilidade]]</f>
        <v>8.2950229862082753E-2</v>
      </c>
      <c r="O1903" s="132">
        <f>IF(base[[#This Row],[L/P Líquido]]&gt;0,1,0)</f>
        <v>1</v>
      </c>
      <c r="P1903" s="132"/>
      <c r="Q1903" s="132" t="str">
        <f>LEFT(base[[#This Row],[Evento / Mercado]],FIND("vs",base[[#This Row],[Evento / Mercado]])-2)</f>
        <v>Indy Eleven</v>
      </c>
      <c r="R19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Club Jacksonville</v>
      </c>
      <c r="S1903" s="132" t="str">
        <f>LEFT(base[[#This Row],[Evento / Mercado]],FIND("/",base[[#This Row],[Evento / Mercado]])-2)</f>
        <v>Indy Eleven vs Sporting Club Jacksonville</v>
      </c>
    </row>
    <row r="1904" spans="2:19" ht="15" customHeight="1">
      <c r="B1904" s="128" t="s">
        <v>1796</v>
      </c>
      <c r="C1904" s="128" t="s">
        <v>2982</v>
      </c>
      <c r="D1904" s="129">
        <v>46151.920104166667</v>
      </c>
      <c r="E1904" s="130">
        <v>25.4</v>
      </c>
      <c r="F1904" s="136">
        <v>4.4999999999999998E-2</v>
      </c>
      <c r="G1904" s="126">
        <f t="shared" si="30"/>
        <v>26.596858638743456</v>
      </c>
      <c r="H1904" s="126" t="s">
        <v>1784</v>
      </c>
      <c r="I1904" s="127" t="s">
        <v>1448</v>
      </c>
      <c r="J1904" s="126">
        <v>1.53</v>
      </c>
      <c r="K1904" s="126">
        <v>50</v>
      </c>
      <c r="L1904" s="129">
        <f>INT(base[[#This Row],[Data de liquidação]])</f>
        <v>46151</v>
      </c>
      <c r="M1904" s="126">
        <f>base[[#This Row],[L/P Bruto]]-base[[#This Row],[L/P Líquido]]</f>
        <v>1.196858638743457</v>
      </c>
      <c r="N1904" s="126">
        <f>base[[#This Row],[L/P Líquido]]/base[[#This Row],[Stake/Responsabilidade]]</f>
        <v>0.50800000000000001</v>
      </c>
      <c r="O1904" s="132">
        <f>IF(base[[#This Row],[L/P Líquido]]&gt;0,1,0)</f>
        <v>1</v>
      </c>
      <c r="P1904" s="132"/>
      <c r="Q1904" s="132" t="str">
        <f>LEFT(base[[#This Row],[Evento / Mercado]],FIND("vs",base[[#This Row],[Evento / Mercado]])-2)</f>
        <v>Independiente Rivadavia</v>
      </c>
      <c r="R19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Unión de Santa Fe</v>
      </c>
      <c r="S1904" s="132" t="str">
        <f>LEFT(base[[#This Row],[Evento / Mercado]],FIND("/",base[[#This Row],[Evento / Mercado]])-2)</f>
        <v>Independiente Rivadavia vs Unión de Santa Fe</v>
      </c>
    </row>
    <row r="1905" spans="2:21" ht="15" customHeight="1">
      <c r="B1905" s="128" t="s">
        <v>1795</v>
      </c>
      <c r="C1905" s="128" t="s">
        <v>2982</v>
      </c>
      <c r="D1905" s="129">
        <v>46151.934849537036</v>
      </c>
      <c r="E1905" s="130">
        <v>2.99</v>
      </c>
      <c r="F1905" s="136">
        <v>4.4999999999999998E-2</v>
      </c>
      <c r="G1905" s="126">
        <f t="shared" si="30"/>
        <v>3.1308900523560212</v>
      </c>
      <c r="H1905" s="126" t="s">
        <v>1339</v>
      </c>
      <c r="I1905" s="127" t="s">
        <v>1388</v>
      </c>
      <c r="J1905" s="126">
        <v>17</v>
      </c>
      <c r="K1905" s="126">
        <v>50.08</v>
      </c>
      <c r="L1905" s="129">
        <f>INT(base[[#This Row],[Data de liquidação]])</f>
        <v>46151</v>
      </c>
      <c r="M1905" s="126">
        <f>base[[#This Row],[L/P Bruto]]-base[[#This Row],[L/P Líquido]]</f>
        <v>0.14089005235602103</v>
      </c>
      <c r="N1905" s="126">
        <f>base[[#This Row],[L/P Líquido]]/base[[#This Row],[Stake/Responsabilidade]]</f>
        <v>5.9704472843450485E-2</v>
      </c>
      <c r="O1905" s="132">
        <f>IF(base[[#This Row],[L/P Líquido]]&gt;0,1,0)</f>
        <v>1</v>
      </c>
      <c r="P1905" s="132"/>
      <c r="Q1905" s="132" t="str">
        <f>LEFT(base[[#This Row],[Evento / Mercado]],FIND("vs",base[[#This Row],[Evento / Mercado]])-2)</f>
        <v>Real Tomayapo</v>
      </c>
      <c r="R19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Antonio</v>
      </c>
      <c r="S1905" s="132" t="str">
        <f>LEFT(base[[#This Row],[Evento / Mercado]],FIND("/",base[[#This Row],[Evento / Mercado]])-2)</f>
        <v>Real Tomayapo vs San Antonio</v>
      </c>
    </row>
    <row r="1906" spans="2:21" ht="15" customHeight="1">
      <c r="B1906" s="128" t="s">
        <v>1528</v>
      </c>
      <c r="C1906" s="128" t="s">
        <v>2982</v>
      </c>
      <c r="D1906" s="129">
        <v>46151.937488425923</v>
      </c>
      <c r="E1906" s="130">
        <v>0.36</v>
      </c>
      <c r="F1906" s="136">
        <v>4.4999999999999998E-2</v>
      </c>
      <c r="G1906" s="126">
        <f t="shared" si="30"/>
        <v>0.37696335078534032</v>
      </c>
      <c r="H1906" s="126" t="s">
        <v>1339</v>
      </c>
      <c r="I1906" s="127" t="s">
        <v>1864</v>
      </c>
      <c r="J1906" s="126">
        <v>1.93</v>
      </c>
      <c r="K1906" s="126">
        <v>10</v>
      </c>
      <c r="L1906" s="129">
        <f>INT(base[[#This Row],[Data de liquidação]])</f>
        <v>46151</v>
      </c>
      <c r="M1906" s="126">
        <f>base[[#This Row],[L/P Bruto]]-base[[#This Row],[L/P Líquido]]</f>
        <v>1.6963350785340336E-2</v>
      </c>
      <c r="N1906" s="126">
        <f>base[[#This Row],[L/P Líquido]]/base[[#This Row],[Stake/Responsabilidade]]</f>
        <v>3.5999999999999997E-2</v>
      </c>
      <c r="O1906" s="132">
        <f>IF(base[[#This Row],[L/P Líquido]]&gt;0,1,0)</f>
        <v>1</v>
      </c>
      <c r="P1906" s="132"/>
      <c r="Q1906" s="132" t="str">
        <f>LEFT(base[[#This Row],[Evento / Mercado]],FIND("vs",base[[#This Row],[Evento / Mercado]])-2)</f>
        <v>New England Revolution</v>
      </c>
      <c r="R19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Philadelphia Union</v>
      </c>
      <c r="S1906" s="132" t="str">
        <f>LEFT(base[[#This Row],[Evento / Mercado]],FIND("/",base[[#This Row],[Evento / Mercado]])-2)</f>
        <v>New England Revolution vs Philadelphia Union</v>
      </c>
    </row>
    <row r="1907" spans="2:21" ht="15" customHeight="1">
      <c r="B1907" s="128" t="s">
        <v>1794</v>
      </c>
      <c r="C1907" s="128" t="s">
        <v>2982</v>
      </c>
      <c r="D1907" s="129">
        <v>46151.939155092594</v>
      </c>
      <c r="E1907" s="130">
        <v>2.5099999999999998</v>
      </c>
      <c r="F1907" s="136">
        <v>4.4999999999999998E-2</v>
      </c>
      <c r="G1907" s="126">
        <f t="shared" si="30"/>
        <v>2.6282722513089003</v>
      </c>
      <c r="H1907" s="126" t="s">
        <v>1339</v>
      </c>
      <c r="I1907" s="127" t="s">
        <v>1388</v>
      </c>
      <c r="J1907" s="126">
        <v>20</v>
      </c>
      <c r="K1907" s="126">
        <v>49.97</v>
      </c>
      <c r="L1907" s="129">
        <f>INT(base[[#This Row],[Data de liquidação]])</f>
        <v>46151</v>
      </c>
      <c r="M1907" s="126">
        <f>base[[#This Row],[L/P Bruto]]-base[[#This Row],[L/P Líquido]]</f>
        <v>0.11827225130890051</v>
      </c>
      <c r="N1907" s="126">
        <f>base[[#This Row],[L/P Líquido]]/base[[#This Row],[Stake/Responsabilidade]]</f>
        <v>5.0230138082849707E-2</v>
      </c>
      <c r="O1907" s="132">
        <f>IF(base[[#This Row],[L/P Líquido]]&gt;0,1,0)</f>
        <v>1</v>
      </c>
      <c r="P1907" s="132"/>
      <c r="Q1907" s="132" t="str">
        <f>LEFT(base[[#This Row],[Evento / Mercado]],FIND("vs",base[[#This Row],[Evento / Mercado]])-2)</f>
        <v>Charlotte FC</v>
      </c>
      <c r="R19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Cincinnati</v>
      </c>
      <c r="S1907" s="132" t="str">
        <f>LEFT(base[[#This Row],[Evento / Mercado]],FIND("/",base[[#This Row],[Evento / Mercado]])-2)</f>
        <v>Charlotte FC vs FC Cincinnati</v>
      </c>
    </row>
    <row r="1908" spans="2:21" ht="15" customHeight="1">
      <c r="B1908" s="128" t="s">
        <v>1793</v>
      </c>
      <c r="C1908" s="128" t="s">
        <v>2982</v>
      </c>
      <c r="D1908" s="129">
        <v>46151.941516203704</v>
      </c>
      <c r="E1908" s="130">
        <v>0.55000000000000004</v>
      </c>
      <c r="F1908" s="136">
        <v>4.4999999999999998E-2</v>
      </c>
      <c r="G1908" s="126">
        <f t="shared" si="30"/>
        <v>0.5759162303664922</v>
      </c>
      <c r="H1908" s="126" t="s">
        <v>1339</v>
      </c>
      <c r="I1908" s="127" t="s">
        <v>1864</v>
      </c>
      <c r="J1908" s="126">
        <v>1.66</v>
      </c>
      <c r="K1908" s="126">
        <v>10</v>
      </c>
      <c r="L1908" s="129">
        <f>INT(base[[#This Row],[Data de liquidação]])</f>
        <v>46151</v>
      </c>
      <c r="M1908" s="126">
        <f>base[[#This Row],[L/P Bruto]]-base[[#This Row],[L/P Líquido]]</f>
        <v>2.5916230366492155E-2</v>
      </c>
      <c r="N1908" s="126">
        <f>base[[#This Row],[L/P Líquido]]/base[[#This Row],[Stake/Responsabilidade]]</f>
        <v>5.5000000000000007E-2</v>
      </c>
      <c r="O1908" s="132">
        <f>IF(base[[#This Row],[L/P Líquido]]&gt;0,1,0)</f>
        <v>1</v>
      </c>
      <c r="P1908" s="132"/>
      <c r="Q1908" s="132" t="str">
        <f>LEFT(base[[#This Row],[Evento / Mercado]],FIND("vs",base[[#This Row],[Evento / Mercado]])-2)</f>
        <v>Rhode Island FC</v>
      </c>
      <c r="R19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Tampa Bay Rowdies</v>
      </c>
      <c r="S1908" s="132" t="str">
        <f>LEFT(base[[#This Row],[Evento / Mercado]],FIND("/",base[[#This Row],[Evento / Mercado]])-2)</f>
        <v>Rhode Island FC vs Tampa Bay Rowdies</v>
      </c>
    </row>
    <row r="1909" spans="2:21" ht="15" customHeight="1">
      <c r="B1909" s="128" t="s">
        <v>1792</v>
      </c>
      <c r="C1909" s="128" t="s">
        <v>2982</v>
      </c>
      <c r="D1909" s="129">
        <v>46151.953935185185</v>
      </c>
      <c r="E1909" s="130">
        <v>123</v>
      </c>
      <c r="F1909" s="136">
        <v>4.4999999999999998E-2</v>
      </c>
      <c r="G1909" s="126">
        <f t="shared" si="30"/>
        <v>128.79581151832463</v>
      </c>
      <c r="H1909" s="126" t="s">
        <v>231</v>
      </c>
      <c r="I1909" s="127" t="s">
        <v>232</v>
      </c>
      <c r="J1909" s="126">
        <v>2.12</v>
      </c>
      <c r="K1909" s="126">
        <v>115</v>
      </c>
      <c r="L1909" s="129">
        <f>INT(base[[#This Row],[Data de liquidação]])</f>
        <v>46151</v>
      </c>
      <c r="M1909" s="126">
        <f>base[[#This Row],[L/P Bruto]]-base[[#This Row],[L/P Líquido]]</f>
        <v>5.7958115183246264</v>
      </c>
      <c r="N1909" s="126">
        <f>base[[#This Row],[L/P Líquido]]/base[[#This Row],[Stake/Responsabilidade]]</f>
        <v>1.0695652173913044</v>
      </c>
      <c r="O1909" s="132">
        <f>IF(base[[#This Row],[L/P Líquido]]&gt;0,1,0)</f>
        <v>1</v>
      </c>
      <c r="P1909" s="132"/>
      <c r="Q1909" s="132" t="str">
        <f>LEFT(base[[#This Row],[Evento / Mercado]],FIND("vs",base[[#This Row],[Evento / Mercado]])-2)</f>
        <v>Esporte Clube Bahia</v>
      </c>
      <c r="R19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1909" s="132" t="str">
        <f>LEFT(base[[#This Row],[Evento / Mercado]],FIND("/",base[[#This Row],[Evento / Mercado]])-2)</f>
        <v>Esporte Clube Bahia vs Cruzeiro</v>
      </c>
      <c r="T1909" s="8">
        <v>128.80000000000001</v>
      </c>
      <c r="U1909" s="9">
        <f>T1909*0.955</f>
        <v>123.004</v>
      </c>
    </row>
    <row r="1910" spans="2:21" ht="15" customHeight="1">
      <c r="B1910" s="128" t="s">
        <v>1792</v>
      </c>
      <c r="C1910" s="128" t="s">
        <v>2982</v>
      </c>
      <c r="D1910" s="129">
        <v>46151.953935185185</v>
      </c>
      <c r="E1910" s="130">
        <v>0.45</v>
      </c>
      <c r="F1910" s="136">
        <v>4.4999999999999998E-2</v>
      </c>
      <c r="G1910" s="126">
        <f t="shared" si="30"/>
        <v>0.47120418848167545</v>
      </c>
      <c r="H1910" s="126" t="s">
        <v>1339</v>
      </c>
      <c r="I1910" s="127" t="s">
        <v>1864</v>
      </c>
      <c r="J1910" s="126">
        <v>2</v>
      </c>
      <c r="K1910" s="126">
        <v>10</v>
      </c>
      <c r="L1910" s="129">
        <f>INT(base[[#This Row],[Data de liquidação]])</f>
        <v>46151</v>
      </c>
      <c r="M1910" s="126">
        <f>base[[#This Row],[L/P Bruto]]-base[[#This Row],[L/P Líquido]]</f>
        <v>2.1204188481675434E-2</v>
      </c>
      <c r="N1910" s="126">
        <f>base[[#This Row],[L/P Líquido]]/base[[#This Row],[Stake/Responsabilidade]]</f>
        <v>4.4999999999999998E-2</v>
      </c>
      <c r="O1910" s="132">
        <f>IF(base[[#This Row],[L/P Líquido]]&gt;0,1,0)</f>
        <v>1</v>
      </c>
      <c r="P1910" s="132"/>
      <c r="Q1910" s="132" t="str">
        <f>LEFT(base[[#This Row],[Evento / Mercado]],FIND("vs",base[[#This Row],[Evento / Mercado]])-2)</f>
        <v>Esporte Clube Bahia</v>
      </c>
      <c r="R19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1910" s="132" t="str">
        <f>LEFT(base[[#This Row],[Evento / Mercado]],FIND("/",base[[#This Row],[Evento / Mercado]])-2)</f>
        <v>Esporte Clube Bahia vs Cruzeiro</v>
      </c>
      <c r="T1910" s="8">
        <v>55.81</v>
      </c>
      <c r="U1910" s="9">
        <f>T1910*0.955</f>
        <v>53.298549999999999</v>
      </c>
    </row>
    <row r="1911" spans="2:21" ht="15" customHeight="1">
      <c r="B1911" s="128" t="s">
        <v>1791</v>
      </c>
      <c r="C1911" s="128" t="s">
        <v>2982</v>
      </c>
      <c r="D1911" s="129">
        <v>46151.955057870371</v>
      </c>
      <c r="E1911" s="130">
        <v>-4.8</v>
      </c>
      <c r="F1911" s="136">
        <v>4.4999999999999998E-2</v>
      </c>
      <c r="G1911" s="126">
        <f t="shared" si="30"/>
        <v>-4.8</v>
      </c>
      <c r="H1911" s="126" t="s">
        <v>1339</v>
      </c>
      <c r="I1911" s="127" t="s">
        <v>1864</v>
      </c>
      <c r="J1911" s="126">
        <v>1.97</v>
      </c>
      <c r="K1911" s="126">
        <v>10</v>
      </c>
      <c r="L1911" s="129">
        <f>INT(base[[#This Row],[Data de liquidação]])</f>
        <v>46151</v>
      </c>
      <c r="M1911" s="126">
        <f>base[[#This Row],[L/P Bruto]]-base[[#This Row],[L/P Líquido]]</f>
        <v>0</v>
      </c>
      <c r="N1911" s="126">
        <f>base[[#This Row],[L/P Líquido]]/base[[#This Row],[Stake/Responsabilidade]]</f>
        <v>-0.48</v>
      </c>
      <c r="O1911" s="132">
        <f>IF(base[[#This Row],[L/P Líquido]]&gt;0,1,0)</f>
        <v>0</v>
      </c>
      <c r="P1911" s="132"/>
      <c r="Q1911" s="132" t="str">
        <f>LEFT(base[[#This Row],[Evento / Mercado]],FIND("vs",base[[#This Row],[Evento / Mercado]])-2)</f>
        <v>Independiente del Valle</v>
      </c>
      <c r="R19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Barcelona SC</v>
      </c>
      <c r="S1911" s="132" t="str">
        <f>LEFT(base[[#This Row],[Evento / Mercado]],FIND("/",base[[#This Row],[Evento / Mercado]])-2)</f>
        <v>Independiente del Valle vs Barcelona SC</v>
      </c>
    </row>
    <row r="1912" spans="2:21" ht="15" customHeight="1">
      <c r="B1912" s="128" t="s">
        <v>1790</v>
      </c>
      <c r="C1912" s="128" t="s">
        <v>2982</v>
      </c>
      <c r="D1912" s="129">
        <v>46151.999351851853</v>
      </c>
      <c r="E1912" s="130">
        <v>-5</v>
      </c>
      <c r="F1912" s="136">
        <v>4.4999999999999998E-2</v>
      </c>
      <c r="G1912" s="126">
        <f t="shared" si="30"/>
        <v>-5</v>
      </c>
      <c r="H1912" s="126" t="s">
        <v>1339</v>
      </c>
      <c r="I1912" s="127" t="s">
        <v>1389</v>
      </c>
      <c r="J1912" s="126">
        <v>1.5</v>
      </c>
      <c r="K1912" s="126">
        <v>5</v>
      </c>
      <c r="L1912" s="129">
        <f>INT(base[[#This Row],[Data de liquidação]])</f>
        <v>46151</v>
      </c>
      <c r="M1912" s="126">
        <f>base[[#This Row],[L/P Bruto]]-base[[#This Row],[L/P Líquido]]</f>
        <v>0</v>
      </c>
      <c r="N1912" s="126">
        <f>base[[#This Row],[L/P Líquido]]/base[[#This Row],[Stake/Responsabilidade]]</f>
        <v>-1</v>
      </c>
      <c r="O1912" s="132">
        <f>IF(base[[#This Row],[L/P Líquido]]&gt;0,1,0)</f>
        <v>0</v>
      </c>
      <c r="P1912" s="132"/>
      <c r="Q1912" s="132" t="str">
        <f>LEFT(base[[#This Row],[Evento / Mercado]],FIND("vs",base[[#This Row],[Evento / Mercado]])-2)</f>
        <v>Alianza Lima</v>
      </c>
      <c r="R19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1912" s="132" t="str">
        <f>LEFT(base[[#This Row],[Evento / Mercado]],FIND("/",base[[#This Row],[Evento / Mercado]])-2)</f>
        <v>Alianza Lima vs Sporting Cristal</v>
      </c>
    </row>
    <row r="1913" spans="2:21" ht="15" customHeight="1">
      <c r="B1913" s="128" t="s">
        <v>1789</v>
      </c>
      <c r="C1913" s="128" t="s">
        <v>2982</v>
      </c>
      <c r="D1913" s="129">
        <v>46151.999594907407</v>
      </c>
      <c r="E1913" s="130">
        <v>13.37</v>
      </c>
      <c r="F1913" s="136">
        <v>4.4999999999999998E-2</v>
      </c>
      <c r="G1913" s="126">
        <f t="shared" si="30"/>
        <v>14</v>
      </c>
      <c r="H1913" s="126" t="s">
        <v>1784</v>
      </c>
      <c r="I1913" s="127" t="s">
        <v>1448</v>
      </c>
      <c r="J1913" s="126">
        <v>1.28</v>
      </c>
      <c r="K1913" s="126">
        <v>50</v>
      </c>
      <c r="L1913" s="129">
        <f>INT(base[[#This Row],[Data de liquidação]])</f>
        <v>46151</v>
      </c>
      <c r="M1913" s="126">
        <f>base[[#This Row],[L/P Bruto]]-base[[#This Row],[L/P Líquido]]</f>
        <v>0.63000000000000078</v>
      </c>
      <c r="N1913" s="126">
        <f>base[[#This Row],[L/P Líquido]]/base[[#This Row],[Stake/Responsabilidade]]</f>
        <v>0.26739999999999997</v>
      </c>
      <c r="O1913" s="132">
        <f>IF(base[[#This Row],[L/P Líquido]]&gt;0,1,0)</f>
        <v>1</v>
      </c>
      <c r="P1913" s="132"/>
      <c r="Q1913" s="132" t="str">
        <f>LEFT(base[[#This Row],[Evento / Mercado]],FIND("vs",base[[#This Row],[Evento / Mercado]])-2)</f>
        <v>Seattle Sounders</v>
      </c>
      <c r="R19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Diego FC</v>
      </c>
      <c r="S1913" s="132" t="str">
        <f>LEFT(base[[#This Row],[Evento / Mercado]],FIND("/",base[[#This Row],[Evento / Mercado]])-2)</f>
        <v>Seattle Sounders vs San Diego FC</v>
      </c>
    </row>
    <row r="1914" spans="2:21" ht="15" customHeight="1">
      <c r="B1914" s="128" t="s">
        <v>1932</v>
      </c>
      <c r="C1914" s="128" t="s">
        <v>2982</v>
      </c>
      <c r="D1914" s="129">
        <v>46152.000879629632</v>
      </c>
      <c r="E1914" s="130">
        <v>15.41</v>
      </c>
      <c r="F1914" s="136">
        <v>4.4999999999999998E-2</v>
      </c>
      <c r="G1914" s="126">
        <f t="shared" si="30"/>
        <v>16.136125654450261</v>
      </c>
      <c r="H1914" s="126" t="s">
        <v>1784</v>
      </c>
      <c r="I1914" s="127" t="s">
        <v>1785</v>
      </c>
      <c r="J1914" s="126">
        <v>4.0999999999999996</v>
      </c>
      <c r="K1914" s="126">
        <f>11.59+38.41</f>
        <v>50</v>
      </c>
      <c r="L1914" s="129">
        <f>INT(base[[#This Row],[Data de liquidação]])</f>
        <v>46152</v>
      </c>
      <c r="M1914" s="126">
        <f>base[[#This Row],[L/P Bruto]]-base[[#This Row],[L/P Líquido]]</f>
        <v>0.72612565445026078</v>
      </c>
      <c r="N1914" s="126">
        <f>base[[#This Row],[L/P Líquido]]/base[[#This Row],[Stake/Responsabilidade]]</f>
        <v>0.30820000000000003</v>
      </c>
      <c r="O1914" s="132">
        <f>IF(base[[#This Row],[L/P Líquido]]&gt;0,1,0)</f>
        <v>1</v>
      </c>
      <c r="P1914" s="132"/>
      <c r="Q1914" s="132" t="str">
        <f>LEFT(base[[#This Row],[Evento / Mercado]],FIND("vs",base[[#This Row],[Evento / Mercado]])-2)</f>
        <v>Club Jaiba Brava</v>
      </c>
      <c r="R19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Tepatitlan de Morelos</v>
      </c>
      <c r="S1914" s="132" t="str">
        <f>LEFT(base[[#This Row],[Evento / Mercado]],FIND("/",base[[#This Row],[Evento / Mercado]])-2)</f>
        <v>Club Jaiba Brava vs CD Tepatitlan de Morelos</v>
      </c>
    </row>
    <row r="1915" spans="2:21" ht="15" customHeight="1">
      <c r="B1915" s="128" t="s">
        <v>1931</v>
      </c>
      <c r="C1915" s="128" t="s">
        <v>2982</v>
      </c>
      <c r="D1915" s="129">
        <v>46152.001608796294</v>
      </c>
      <c r="E1915" s="130">
        <v>0.5</v>
      </c>
      <c r="F1915" s="136">
        <v>4.4999999999999998E-2</v>
      </c>
      <c r="G1915" s="126">
        <f t="shared" si="30"/>
        <v>0.52356020942408377</v>
      </c>
      <c r="H1915" s="126" t="s">
        <v>1339</v>
      </c>
      <c r="I1915" s="127" t="s">
        <v>1864</v>
      </c>
      <c r="J1915" s="126">
        <v>1.81</v>
      </c>
      <c r="K1915" s="126">
        <v>10</v>
      </c>
      <c r="L1915" s="129">
        <f>INT(base[[#This Row],[Data de liquidação]])</f>
        <v>46152</v>
      </c>
      <c r="M1915" s="126">
        <f>base[[#This Row],[L/P Bruto]]-base[[#This Row],[L/P Líquido]]</f>
        <v>2.3560209424083767E-2</v>
      </c>
      <c r="N1915" s="126">
        <f>base[[#This Row],[L/P Líquido]]/base[[#This Row],[Stake/Responsabilidade]]</f>
        <v>0.05</v>
      </c>
      <c r="O1915" s="132">
        <f>IF(base[[#This Row],[L/P Líquido]]&gt;0,1,0)</f>
        <v>1</v>
      </c>
      <c r="P1915" s="132"/>
      <c r="Q1915" s="132" t="str">
        <f>LEFT(base[[#This Row],[Evento / Mercado]],FIND("vs",base[[#This Row],[Evento / Mercado]])-2)</f>
        <v>Alianza Lima</v>
      </c>
      <c r="R19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1915" s="132" t="str">
        <f>LEFT(base[[#This Row],[Evento / Mercado]],FIND("/",base[[#This Row],[Evento / Mercado]])-2)</f>
        <v>Alianza Lima vs Sporting Cristal</v>
      </c>
    </row>
    <row r="1916" spans="2:21" ht="15" customHeight="1">
      <c r="B1916" s="128" t="s">
        <v>1930</v>
      </c>
      <c r="C1916" s="128" t="s">
        <v>2982</v>
      </c>
      <c r="D1916" s="129">
        <v>46152.003159722219</v>
      </c>
      <c r="E1916" s="130">
        <v>-6.85</v>
      </c>
      <c r="F1916" s="136">
        <v>4.4999999999999998E-2</v>
      </c>
      <c r="G1916" s="126">
        <f t="shared" si="30"/>
        <v>-6.85</v>
      </c>
      <c r="H1916" s="126" t="s">
        <v>1339</v>
      </c>
      <c r="I1916" s="127" t="s">
        <v>1864</v>
      </c>
      <c r="J1916" s="126">
        <v>1.99</v>
      </c>
      <c r="K1916" s="126">
        <v>10</v>
      </c>
      <c r="L1916" s="129">
        <f>INT(base[[#This Row],[Data de liquidação]])</f>
        <v>46152</v>
      </c>
      <c r="M1916" s="126">
        <f>base[[#This Row],[L/P Bruto]]-base[[#This Row],[L/P Líquido]]</f>
        <v>0</v>
      </c>
      <c r="N1916" s="126">
        <f>base[[#This Row],[L/P Líquido]]/base[[#This Row],[Stake/Responsabilidade]]</f>
        <v>-0.68499999999999994</v>
      </c>
      <c r="O1916" s="132">
        <f>IF(base[[#This Row],[L/P Líquido]]&gt;0,1,0)</f>
        <v>0</v>
      </c>
      <c r="P1916" s="132"/>
      <c r="Q1916" s="132" t="str">
        <f>LEFT(base[[#This Row],[Evento / Mercado]],FIND("vs",base[[#This Row],[Evento / Mercado]])-2)</f>
        <v>Nashville Soccer Club</v>
      </c>
      <c r="R19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DC United</v>
      </c>
      <c r="S1916" s="132" t="str">
        <f>LEFT(base[[#This Row],[Evento / Mercado]],FIND("/",base[[#This Row],[Evento / Mercado]])-2)</f>
        <v>Nashville Soccer Club vs DC United</v>
      </c>
    </row>
    <row r="1917" spans="2:21" ht="15" customHeight="1">
      <c r="B1917" s="128" t="s">
        <v>1929</v>
      </c>
      <c r="C1917" s="128" t="s">
        <v>2982</v>
      </c>
      <c r="D1917" s="129">
        <v>46152.016932870371</v>
      </c>
      <c r="E1917" s="130">
        <v>-2</v>
      </c>
      <c r="F1917" s="136">
        <v>4.4999999999999998E-2</v>
      </c>
      <c r="G1917" s="126">
        <f t="shared" si="30"/>
        <v>-2</v>
      </c>
      <c r="H1917" s="126" t="s">
        <v>1339</v>
      </c>
      <c r="I1917" s="127" t="s">
        <v>1429</v>
      </c>
      <c r="J1917" s="126">
        <v>1.84</v>
      </c>
      <c r="K1917" s="126">
        <v>2</v>
      </c>
      <c r="L1917" s="129">
        <f>INT(base[[#This Row],[Data de liquidação]])</f>
        <v>46152</v>
      </c>
      <c r="M1917" s="126">
        <f>base[[#This Row],[L/P Bruto]]-base[[#This Row],[L/P Líquido]]</f>
        <v>0</v>
      </c>
      <c r="N1917" s="126">
        <f>base[[#This Row],[L/P Líquido]]/base[[#This Row],[Stake/Responsabilidade]]</f>
        <v>-1</v>
      </c>
      <c r="O1917" s="132">
        <f>IF(base[[#This Row],[L/P Líquido]]&gt;0,1,0)</f>
        <v>0</v>
      </c>
      <c r="P1917" s="132"/>
      <c r="Q1917" s="132" t="str">
        <f>LEFT(base[[#This Row],[Evento / Mercado]],FIND("vs",base[[#This Row],[Evento / Mercado]])-2)</f>
        <v>Nashville Soccer Club</v>
      </c>
      <c r="R19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DC United</v>
      </c>
      <c r="S1917" s="132" t="str">
        <f>LEFT(base[[#This Row],[Evento / Mercado]],FIND("/",base[[#This Row],[Evento / Mercado]])-2)</f>
        <v>Nashville Soccer Club vs DC United</v>
      </c>
    </row>
    <row r="1918" spans="2:21" ht="15" customHeight="1">
      <c r="B1918" s="128" t="s">
        <v>1928</v>
      </c>
      <c r="C1918" s="128" t="s">
        <v>2982</v>
      </c>
      <c r="D1918" s="129">
        <v>46152.024780092594</v>
      </c>
      <c r="E1918" s="130">
        <v>2.58</v>
      </c>
      <c r="F1918" s="136">
        <v>4.4999999999999998E-2</v>
      </c>
      <c r="G1918" s="126">
        <f t="shared" si="30"/>
        <v>2.7015706806282727</v>
      </c>
      <c r="H1918" s="126" t="s">
        <v>1339</v>
      </c>
      <c r="I1918" s="127" t="s">
        <v>1388</v>
      </c>
      <c r="J1918" s="126">
        <v>19.5</v>
      </c>
      <c r="K1918" s="126">
        <v>49.95</v>
      </c>
      <c r="L1918" s="129">
        <f>INT(base[[#This Row],[Data de liquidação]])</f>
        <v>46152</v>
      </c>
      <c r="M1918" s="126">
        <f>base[[#This Row],[L/P Bruto]]-base[[#This Row],[L/P Líquido]]</f>
        <v>0.12157068062827259</v>
      </c>
      <c r="N1918" s="126">
        <f>base[[#This Row],[L/P Líquido]]/base[[#This Row],[Stake/Responsabilidade]]</f>
        <v>5.1651651651651649E-2</v>
      </c>
      <c r="O1918" s="132">
        <f>IF(base[[#This Row],[L/P Líquido]]&gt;0,1,0)</f>
        <v>1</v>
      </c>
      <c r="P1918" s="132"/>
      <c r="Q1918" s="132" t="str">
        <f>LEFT(base[[#This Row],[Evento / Mercado]],FIND("vs",base[[#This Row],[Evento / Mercado]])-2)</f>
        <v>Colorado Rapids</v>
      </c>
      <c r="R19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Saint Louis City SC</v>
      </c>
      <c r="S1918" s="132" t="str">
        <f>LEFT(base[[#This Row],[Evento / Mercado]],FIND("/",base[[#This Row],[Evento / Mercado]])-2)</f>
        <v>Colorado Rapids vs Saint Louis City SC</v>
      </c>
    </row>
    <row r="1919" spans="2:21" ht="15" customHeight="1">
      <c r="B1919" s="128" t="s">
        <v>1927</v>
      </c>
      <c r="C1919" s="128" t="s">
        <v>2982</v>
      </c>
      <c r="D1919" s="129">
        <v>46152.047303240739</v>
      </c>
      <c r="E1919" s="130">
        <v>0.67</v>
      </c>
      <c r="F1919" s="136">
        <v>4.4999999999999998E-2</v>
      </c>
      <c r="G1919" s="126">
        <f t="shared" si="30"/>
        <v>0.70157068062827233</v>
      </c>
      <c r="H1919" s="126" t="s">
        <v>1339</v>
      </c>
      <c r="I1919" s="127" t="s">
        <v>1864</v>
      </c>
      <c r="J1919" s="126">
        <v>1.57</v>
      </c>
      <c r="K1919" s="126">
        <v>10</v>
      </c>
      <c r="L1919" s="129">
        <f>INT(base[[#This Row],[Data de liquidação]])</f>
        <v>46152</v>
      </c>
      <c r="M1919" s="126">
        <f>base[[#This Row],[L/P Bruto]]-base[[#This Row],[L/P Líquido]]</f>
        <v>3.1570680628272285E-2</v>
      </c>
      <c r="N1919" s="126">
        <f>base[[#This Row],[L/P Líquido]]/base[[#This Row],[Stake/Responsabilidade]]</f>
        <v>6.7000000000000004E-2</v>
      </c>
      <c r="O1919" s="132">
        <f>IF(base[[#This Row],[L/P Líquido]]&gt;0,1,0)</f>
        <v>1</v>
      </c>
      <c r="P1919" s="132"/>
      <c r="Q1919" s="132" t="str">
        <f>LEFT(base[[#This Row],[Evento / Mercado]],FIND("vs",base[[#This Row],[Evento / Mercado]])-2)</f>
        <v>Phoenix Rising FC</v>
      </c>
      <c r="R19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Antonio FC</v>
      </c>
      <c r="S1919" s="132" t="str">
        <f>LEFT(base[[#This Row],[Evento / Mercado]],FIND("/",base[[#This Row],[Evento / Mercado]])-2)</f>
        <v>Phoenix Rising FC vs San Antonio FC</v>
      </c>
    </row>
    <row r="1920" spans="2:21" ht="15" customHeight="1">
      <c r="B1920" s="128" t="s">
        <v>1926</v>
      </c>
      <c r="C1920" s="128" t="s">
        <v>2982</v>
      </c>
      <c r="D1920" s="129">
        <v>46152.052314814813</v>
      </c>
      <c r="E1920" s="130">
        <v>-3.56</v>
      </c>
      <c r="F1920" s="136">
        <v>4.4999999999999998E-2</v>
      </c>
      <c r="G1920" s="126">
        <f t="shared" si="30"/>
        <v>-3.56</v>
      </c>
      <c r="H1920" s="126" t="s">
        <v>1339</v>
      </c>
      <c r="I1920" s="127" t="s">
        <v>1236</v>
      </c>
      <c r="J1920" s="126">
        <v>8.69</v>
      </c>
      <c r="K1920" s="126">
        <v>4</v>
      </c>
      <c r="L1920" s="129">
        <f>INT(base[[#This Row],[Data de liquidação]])</f>
        <v>46152</v>
      </c>
      <c r="M1920" s="126">
        <f>base[[#This Row],[L/P Bruto]]-base[[#This Row],[L/P Líquido]]</f>
        <v>0</v>
      </c>
      <c r="N1920" s="126">
        <f>base[[#This Row],[L/P Líquido]]/base[[#This Row],[Stake/Responsabilidade]]</f>
        <v>-0.89</v>
      </c>
      <c r="O1920" s="132">
        <f>IF(base[[#This Row],[L/P Líquido]]&gt;0,1,0)</f>
        <v>0</v>
      </c>
      <c r="P1920" s="132"/>
      <c r="Q1920" s="132" t="str">
        <f>LEFT(base[[#This Row],[Evento / Mercado]],FIND("vs",base[[#This Row],[Evento / Mercado]])-2)</f>
        <v>San Jose Earthquakes</v>
      </c>
      <c r="R19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1920" s="132" t="str">
        <f>LEFT(base[[#This Row],[Evento / Mercado]],FIND("/",base[[#This Row],[Evento / Mercado]])-2)</f>
        <v>San Jose Earthquakes vs Vancouver Whitecaps</v>
      </c>
    </row>
    <row r="1921" spans="2:19" ht="15" customHeight="1">
      <c r="B1921" s="128" t="s">
        <v>1925</v>
      </c>
      <c r="C1921" s="128" t="s">
        <v>2982</v>
      </c>
      <c r="D1921" s="129">
        <v>46152.056388888886</v>
      </c>
      <c r="E1921" s="130">
        <v>-4.18</v>
      </c>
      <c r="F1921" s="136">
        <v>4.4999999999999998E-2</v>
      </c>
      <c r="G1921" s="126">
        <f t="shared" si="30"/>
        <v>-4.18</v>
      </c>
      <c r="H1921" s="126" t="s">
        <v>1339</v>
      </c>
      <c r="I1921" s="127" t="s">
        <v>1236</v>
      </c>
      <c r="J1921" s="126">
        <v>13.5</v>
      </c>
      <c r="K1921" s="126">
        <v>4</v>
      </c>
      <c r="L1921" s="129">
        <f>INT(base[[#This Row],[Data de liquidação]])</f>
        <v>46152</v>
      </c>
      <c r="M1921" s="126">
        <f>base[[#This Row],[L/P Bruto]]-base[[#This Row],[L/P Líquido]]</f>
        <v>0</v>
      </c>
      <c r="N1921" s="126">
        <f>base[[#This Row],[L/P Líquido]]/base[[#This Row],[Stake/Responsabilidade]]</f>
        <v>-1.0449999999999999</v>
      </c>
      <c r="O1921" s="132">
        <f>IF(base[[#This Row],[L/P Líquido]]&gt;0,1,0)</f>
        <v>0</v>
      </c>
      <c r="P1921" s="132"/>
      <c r="Q1921" s="132" t="str">
        <f>LEFT(base[[#This Row],[Evento / Mercado]],FIND("vs",base[[#This Row],[Evento / Mercado]])-2)</f>
        <v>Seattle Sounders</v>
      </c>
      <c r="R19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Diego FC</v>
      </c>
      <c r="S1921" s="132" t="str">
        <f>LEFT(base[[#This Row],[Evento / Mercado]],FIND("/",base[[#This Row],[Evento / Mercado]])-2)</f>
        <v>Seattle Sounders vs San Diego FC</v>
      </c>
    </row>
    <row r="1922" spans="2:19" ht="15" customHeight="1">
      <c r="B1922" s="128" t="s">
        <v>1924</v>
      </c>
      <c r="C1922" s="128" t="s">
        <v>2982</v>
      </c>
      <c r="D1922" s="129">
        <v>46152.065289351849</v>
      </c>
      <c r="E1922" s="130">
        <v>27.22</v>
      </c>
      <c r="F1922" s="136">
        <v>4.4999999999999998E-2</v>
      </c>
      <c r="G1922" s="126">
        <f t="shared" si="30"/>
        <v>28.502617801047119</v>
      </c>
      <c r="H1922" s="126" t="s">
        <v>1784</v>
      </c>
      <c r="I1922" s="127" t="s">
        <v>1787</v>
      </c>
      <c r="J1922" s="126">
        <v>1.57</v>
      </c>
      <c r="K1922" s="126">
        <v>50</v>
      </c>
      <c r="L1922" s="129">
        <f>INT(base[[#This Row],[Data de liquidação]])</f>
        <v>46152</v>
      </c>
      <c r="M1922" s="126">
        <f>base[[#This Row],[L/P Bruto]]-base[[#This Row],[L/P Líquido]]</f>
        <v>1.2826178010471203</v>
      </c>
      <c r="N1922" s="126">
        <f>base[[#This Row],[L/P Líquido]]/base[[#This Row],[Stake/Responsabilidade]]</f>
        <v>0.5444</v>
      </c>
      <c r="O1922" s="132">
        <f>IF(base[[#This Row],[L/P Líquido]]&gt;0,1,0)</f>
        <v>1</v>
      </c>
      <c r="P1922" s="132"/>
      <c r="Q1922" s="132" t="str">
        <f>LEFT(base[[#This Row],[Evento / Mercado]],FIND("vs",base[[#This Row],[Evento / Mercado]])-2)</f>
        <v>Portland Timbers</v>
      </c>
      <c r="R19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Kansas City</v>
      </c>
      <c r="S1922" s="132" t="str">
        <f>LEFT(base[[#This Row],[Evento / Mercado]],FIND("/",base[[#This Row],[Evento / Mercado]])-2)</f>
        <v>Portland Timbers vs Sporting Kansas City</v>
      </c>
    </row>
    <row r="1923" spans="2:19" ht="15" customHeight="1">
      <c r="B1923" s="128" t="s">
        <v>1923</v>
      </c>
      <c r="C1923" s="128" t="s">
        <v>2982</v>
      </c>
      <c r="D1923" s="129">
        <v>46152.066284722219</v>
      </c>
      <c r="E1923" s="130">
        <v>10.38</v>
      </c>
      <c r="F1923" s="136">
        <v>4.4999999999999998E-2</v>
      </c>
      <c r="G1923" s="126">
        <f t="shared" ref="G1923:G1986" si="31">IF(E1923&gt;0,E1923/(1-F1923),E1923)</f>
        <v>10.869109947643981</v>
      </c>
      <c r="H1923" s="126" t="s">
        <v>1784</v>
      </c>
      <c r="I1923" s="127" t="s">
        <v>1785</v>
      </c>
      <c r="J1923" s="126">
        <v>5.6</v>
      </c>
      <c r="K1923" s="126">
        <v>50</v>
      </c>
      <c r="L1923" s="129">
        <f>INT(base[[#This Row],[Data de liquidação]])</f>
        <v>46152</v>
      </c>
      <c r="M1923" s="126">
        <f>base[[#This Row],[L/P Bruto]]-base[[#This Row],[L/P Líquido]]</f>
        <v>0.48910994764398019</v>
      </c>
      <c r="N1923" s="126">
        <f>base[[#This Row],[L/P Líquido]]/base[[#This Row],[Stake/Responsabilidade]]</f>
        <v>0.20760000000000001</v>
      </c>
      <c r="O1923" s="132">
        <f>IF(base[[#This Row],[L/P Líquido]]&gt;0,1,0)</f>
        <v>1</v>
      </c>
      <c r="P1923" s="132"/>
      <c r="Q1923" s="132" t="str">
        <f>LEFT(base[[#This Row],[Evento / Mercado]],FIND("vs",base[[#This Row],[Evento / Mercado]])-2)</f>
        <v>Seattle Sounders</v>
      </c>
      <c r="R19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Diego FC</v>
      </c>
      <c r="S1923" s="132" t="str">
        <f>LEFT(base[[#This Row],[Evento / Mercado]],FIND("/",base[[#This Row],[Evento / Mercado]])-2)</f>
        <v>Seattle Sounders vs San Diego FC</v>
      </c>
    </row>
    <row r="1924" spans="2:19" ht="15" customHeight="1">
      <c r="B1924" s="128" t="s">
        <v>1922</v>
      </c>
      <c r="C1924" s="128" t="s">
        <v>2982</v>
      </c>
      <c r="D1924" s="129">
        <v>46152.066759259258</v>
      </c>
      <c r="E1924" s="130">
        <v>3.94</v>
      </c>
      <c r="F1924" s="136">
        <v>4.4999999999999998E-2</v>
      </c>
      <c r="G1924" s="126">
        <f t="shared" si="31"/>
        <v>4.1256544502617798</v>
      </c>
      <c r="H1924" s="126" t="s">
        <v>1339</v>
      </c>
      <c r="I1924" s="127" t="s">
        <v>1430</v>
      </c>
      <c r="J1924" s="126">
        <v>12.5</v>
      </c>
      <c r="K1924" s="126">
        <v>47.5</v>
      </c>
      <c r="L1924" s="129">
        <f>INT(base[[#This Row],[Data de liquidação]])</f>
        <v>46152</v>
      </c>
      <c r="M1924" s="126">
        <f>base[[#This Row],[L/P Bruto]]-base[[#This Row],[L/P Líquido]]</f>
        <v>0.18565445026177985</v>
      </c>
      <c r="N1924" s="126">
        <f>base[[#This Row],[L/P Líquido]]/base[[#This Row],[Stake/Responsabilidade]]</f>
        <v>8.2947368421052631E-2</v>
      </c>
      <c r="O1924" s="132">
        <f>IF(base[[#This Row],[L/P Líquido]]&gt;0,1,0)</f>
        <v>1</v>
      </c>
      <c r="P1924" s="132"/>
      <c r="Q1924" s="132" t="str">
        <f>LEFT(base[[#This Row],[Evento / Mercado]],FIND("vs",base[[#This Row],[Evento / Mercado]])-2)</f>
        <v>San Jose Earthquakes</v>
      </c>
      <c r="R19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1924" s="132" t="str">
        <f>LEFT(base[[#This Row],[Evento / Mercado]],FIND("/",base[[#This Row],[Evento / Mercado]])-2)</f>
        <v>San Jose Earthquakes vs Vancouver Whitecaps</v>
      </c>
    </row>
    <row r="1925" spans="2:19" ht="15" customHeight="1">
      <c r="B1925" s="128" t="s">
        <v>1921</v>
      </c>
      <c r="C1925" s="128" t="s">
        <v>2982</v>
      </c>
      <c r="D1925" s="129">
        <v>46152.0940162037</v>
      </c>
      <c r="E1925" s="130">
        <v>7.96</v>
      </c>
      <c r="F1925" s="136">
        <v>4.4999999999999998E-2</v>
      </c>
      <c r="G1925" s="126">
        <f t="shared" si="31"/>
        <v>8.335078534031414</v>
      </c>
      <c r="H1925" s="126" t="s">
        <v>1784</v>
      </c>
      <c r="I1925" s="127" t="s">
        <v>1785</v>
      </c>
      <c r="J1925" s="126">
        <v>7</v>
      </c>
      <c r="K1925" s="126">
        <v>49.98</v>
      </c>
      <c r="L1925" s="129">
        <f>INT(base[[#This Row],[Data de liquidação]])</f>
        <v>46152</v>
      </c>
      <c r="M1925" s="126">
        <f>base[[#This Row],[L/P Bruto]]-base[[#This Row],[L/P Líquido]]</f>
        <v>0.375078534031414</v>
      </c>
      <c r="N1925" s="126">
        <f>base[[#This Row],[L/P Líquido]]/base[[#This Row],[Stake/Responsabilidade]]</f>
        <v>0.15926370548219287</v>
      </c>
      <c r="O1925" s="132">
        <f>IF(base[[#This Row],[L/P Líquido]]&gt;0,1,0)</f>
        <v>1</v>
      </c>
      <c r="P1925" s="132"/>
      <c r="Q1925" s="132" t="str">
        <f>LEFT(base[[#This Row],[Evento / Mercado]],FIND("vs",base[[#This Row],[Evento / Mercado]])-2)</f>
        <v>Cruz Azul</v>
      </c>
      <c r="R19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Atlas</v>
      </c>
      <c r="S1925" s="132" t="str">
        <f>LEFT(base[[#This Row],[Evento / Mercado]],FIND("/",base[[#This Row],[Evento / Mercado]])-2)</f>
        <v>Cruz Azul vs Atlas</v>
      </c>
    </row>
    <row r="1926" spans="2:19" ht="15" customHeight="1">
      <c r="B1926" s="128" t="s">
        <v>1920</v>
      </c>
      <c r="C1926" s="128" t="s">
        <v>2982</v>
      </c>
      <c r="D1926" s="129">
        <v>46152.167870370373</v>
      </c>
      <c r="E1926" s="130">
        <v>3.98</v>
      </c>
      <c r="F1926" s="136">
        <v>4.4999999999999998E-2</v>
      </c>
      <c r="G1926" s="126">
        <f t="shared" si="31"/>
        <v>4.167539267015707</v>
      </c>
      <c r="H1926" s="126" t="s">
        <v>1339</v>
      </c>
      <c r="I1926" s="127" t="s">
        <v>1430</v>
      </c>
      <c r="J1926" s="126">
        <v>13</v>
      </c>
      <c r="K1926" s="126">
        <v>50.04</v>
      </c>
      <c r="L1926" s="129">
        <f>INT(base[[#This Row],[Data de liquidação]])</f>
        <v>46152</v>
      </c>
      <c r="M1926" s="126">
        <f>base[[#This Row],[L/P Bruto]]-base[[#This Row],[L/P Líquido]]</f>
        <v>0.187539267015707</v>
      </c>
      <c r="N1926" s="126">
        <f>base[[#This Row],[L/P Líquido]]/base[[#This Row],[Stake/Responsabilidade]]</f>
        <v>7.9536370903277379E-2</v>
      </c>
      <c r="O1926" s="132">
        <f>IF(base[[#This Row],[L/P Líquido]]&gt;0,1,0)</f>
        <v>1</v>
      </c>
      <c r="P1926" s="132"/>
      <c r="Q1926" s="132" t="str">
        <f>LEFT(base[[#This Row],[Evento / Mercado]],FIND("vs",base[[#This Row],[Evento / Mercado]])-2)</f>
        <v>Yokohama F. Marinos</v>
      </c>
      <c r="R19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Kashima Antlers</v>
      </c>
      <c r="S1926" s="132" t="str">
        <f>LEFT(base[[#This Row],[Evento / Mercado]],FIND("/",base[[#This Row],[Evento / Mercado]])-2)</f>
        <v>Yokohama F. Marinos vs Kashima Antlers</v>
      </c>
    </row>
    <row r="1927" spans="2:19" ht="15" customHeight="1">
      <c r="B1927" s="128" t="s">
        <v>1919</v>
      </c>
      <c r="C1927" s="128" t="s">
        <v>2982</v>
      </c>
      <c r="D1927" s="129">
        <v>46152.222800925927</v>
      </c>
      <c r="E1927" s="130">
        <v>18.62</v>
      </c>
      <c r="F1927" s="136">
        <v>4.4999999999999998E-2</v>
      </c>
      <c r="G1927" s="126">
        <f t="shared" si="31"/>
        <v>19.497382198952881</v>
      </c>
      <c r="H1927" s="126" t="s">
        <v>1784</v>
      </c>
      <c r="I1927" s="127" t="s">
        <v>1448</v>
      </c>
      <c r="J1927" s="126">
        <v>1.39</v>
      </c>
      <c r="K1927" s="126">
        <v>50</v>
      </c>
      <c r="L1927" s="129">
        <f>INT(base[[#This Row],[Data de liquidação]])</f>
        <v>46152</v>
      </c>
      <c r="M1927" s="126">
        <f>base[[#This Row],[L/P Bruto]]-base[[#This Row],[L/P Líquido]]</f>
        <v>0.87738219895287983</v>
      </c>
      <c r="N1927" s="126">
        <f>base[[#This Row],[L/P Líquido]]/base[[#This Row],[Stake/Responsabilidade]]</f>
        <v>0.37240000000000001</v>
      </c>
      <c r="O1927" s="132">
        <f>IF(base[[#This Row],[L/P Líquido]]&gt;0,1,0)</f>
        <v>1</v>
      </c>
      <c r="P1927" s="132"/>
      <c r="Q1927" s="132" t="str">
        <f>LEFT(base[[#This Row],[Evento / Mercado]],FIND("vs",base[[#This Row],[Evento / Mercado]])-2)</f>
        <v>Busan I'Park</v>
      </c>
      <c r="R19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Cheonan City</v>
      </c>
      <c r="S1927" s="132" t="str">
        <f>LEFT(base[[#This Row],[Evento / Mercado]],FIND("/",base[[#This Row],[Evento / Mercado]])-2)</f>
        <v>Busan I'Park vs Cheonan City</v>
      </c>
    </row>
    <row r="1928" spans="2:19" ht="15" customHeight="1">
      <c r="B1928" s="128" t="s">
        <v>1918</v>
      </c>
      <c r="C1928" s="128" t="s">
        <v>2982</v>
      </c>
      <c r="D1928" s="129">
        <v>46152.269282407404</v>
      </c>
      <c r="E1928" s="130">
        <v>9.74</v>
      </c>
      <c r="F1928" s="136">
        <v>4.4999999999999998E-2</v>
      </c>
      <c r="G1928" s="126">
        <f t="shared" si="31"/>
        <v>10.198952879581153</v>
      </c>
      <c r="H1928" s="126" t="s">
        <v>1784</v>
      </c>
      <c r="I1928" s="127" t="s">
        <v>1785</v>
      </c>
      <c r="J1928" s="126">
        <v>5.9</v>
      </c>
      <c r="K1928" s="126">
        <v>49.98</v>
      </c>
      <c r="L1928" s="129">
        <f>INT(base[[#This Row],[Data de liquidação]])</f>
        <v>46152</v>
      </c>
      <c r="M1928" s="126">
        <f>base[[#This Row],[L/P Bruto]]-base[[#This Row],[L/P Líquido]]</f>
        <v>0.45895287958115283</v>
      </c>
      <c r="N1928" s="126">
        <f>base[[#This Row],[L/P Líquido]]/base[[#This Row],[Stake/Responsabilidade]]</f>
        <v>0.19487795118047221</v>
      </c>
      <c r="O1928" s="132">
        <f>IF(base[[#This Row],[L/P Líquido]]&gt;0,1,0)</f>
        <v>1</v>
      </c>
      <c r="P1928" s="132"/>
      <c r="Q1928" s="132" t="str">
        <f>LEFT(base[[#This Row],[Evento / Mercado]],FIND("vs",base[[#This Row],[Evento / Mercado]])-2)</f>
        <v>Busan I'Park</v>
      </c>
      <c r="R19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Cheonan City</v>
      </c>
      <c r="S1928" s="132" t="str">
        <f>LEFT(base[[#This Row],[Evento / Mercado]],FIND("/",base[[#This Row],[Evento / Mercado]])-2)</f>
        <v>Busan I'Park vs Cheonan City</v>
      </c>
    </row>
    <row r="1929" spans="2:19" ht="15" customHeight="1">
      <c r="B1929" s="128" t="s">
        <v>1917</v>
      </c>
      <c r="C1929" s="128" t="s">
        <v>2982</v>
      </c>
      <c r="D1929" s="129">
        <v>46152.353159722225</v>
      </c>
      <c r="E1929" s="130">
        <v>2.0699999999999998</v>
      </c>
      <c r="F1929" s="136">
        <v>4.4999999999999998E-2</v>
      </c>
      <c r="G1929" s="126">
        <f t="shared" si="31"/>
        <v>2.1675392670157065</v>
      </c>
      <c r="H1929" s="126" t="s">
        <v>1339</v>
      </c>
      <c r="I1929" s="127" t="s">
        <v>1430</v>
      </c>
      <c r="J1929" s="126">
        <v>24</v>
      </c>
      <c r="K1929" s="126">
        <v>49.91</v>
      </c>
      <c r="L1929" s="129">
        <f>INT(base[[#This Row],[Data de liquidação]])</f>
        <v>46152</v>
      </c>
      <c r="M1929" s="126">
        <f>base[[#This Row],[L/P Bruto]]-base[[#This Row],[L/P Líquido]]</f>
        <v>9.7539267015706699E-2</v>
      </c>
      <c r="N1929" s="126">
        <f>base[[#This Row],[L/P Líquido]]/base[[#This Row],[Stake/Responsabilidade]]</f>
        <v>4.1474654377880185E-2</v>
      </c>
      <c r="O1929" s="132">
        <f>IF(base[[#This Row],[L/P Líquido]]&gt;0,1,0)</f>
        <v>1</v>
      </c>
      <c r="P1929" s="132"/>
      <c r="Q1929" s="132" t="str">
        <f>LEFT(base[[#This Row],[Evento / Mercado]],FIND("vs",base[[#This Row],[Evento / Mercado]])-2)</f>
        <v>Qingdao West Coast</v>
      </c>
      <c r="R19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1929" s="132" t="str">
        <f>LEFT(base[[#This Row],[Evento / Mercado]],FIND("/",base[[#This Row],[Evento / Mercado]])-2)</f>
        <v>Qingdao West Coast vs Wuhan Three Towns</v>
      </c>
    </row>
    <row r="1930" spans="2:19" ht="15" customHeight="1">
      <c r="B1930" s="128" t="s">
        <v>1916</v>
      </c>
      <c r="C1930" s="128" t="s">
        <v>2982</v>
      </c>
      <c r="D1930" s="129">
        <v>46152.353194444448</v>
      </c>
      <c r="E1930" s="130">
        <v>0.4</v>
      </c>
      <c r="F1930" s="136">
        <v>4.4999999999999998E-2</v>
      </c>
      <c r="G1930" s="126">
        <f t="shared" si="31"/>
        <v>0.41884816753926707</v>
      </c>
      <c r="H1930" s="126" t="s">
        <v>1339</v>
      </c>
      <c r="I1930" s="127" t="s">
        <v>1864</v>
      </c>
      <c r="J1930" s="126">
        <v>1.88</v>
      </c>
      <c r="K1930" s="126">
        <v>10</v>
      </c>
      <c r="L1930" s="129">
        <f>INT(base[[#This Row],[Data de liquidação]])</f>
        <v>46152</v>
      </c>
      <c r="M1930" s="126">
        <f>base[[#This Row],[L/P Bruto]]-base[[#This Row],[L/P Líquido]]</f>
        <v>1.8848167539267047E-2</v>
      </c>
      <c r="N1930" s="126">
        <f>base[[#This Row],[L/P Líquido]]/base[[#This Row],[Stake/Responsabilidade]]</f>
        <v>0.04</v>
      </c>
      <c r="O1930" s="132">
        <f>IF(base[[#This Row],[L/P Líquido]]&gt;0,1,0)</f>
        <v>1</v>
      </c>
      <c r="P1930" s="132"/>
      <c r="Q1930" s="132" t="str">
        <f>LEFT(base[[#This Row],[Evento / Mercado]],FIND("vs",base[[#This Row],[Evento / Mercado]])-2)</f>
        <v>Qingdao West Coast</v>
      </c>
      <c r="R19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1930" s="132" t="str">
        <f>LEFT(base[[#This Row],[Evento / Mercado]],FIND("/",base[[#This Row],[Evento / Mercado]])-2)</f>
        <v>Qingdao West Coast vs Wuhan Three Towns</v>
      </c>
    </row>
    <row r="1931" spans="2:19" ht="15" customHeight="1">
      <c r="B1931" s="128" t="s">
        <v>1915</v>
      </c>
      <c r="C1931" s="128" t="s">
        <v>2982</v>
      </c>
      <c r="D1931" s="129">
        <v>46152.370115740741</v>
      </c>
      <c r="E1931" s="130">
        <v>3.82</v>
      </c>
      <c r="F1931" s="136">
        <v>4.4999999999999998E-2</v>
      </c>
      <c r="G1931" s="126">
        <f t="shared" si="31"/>
        <v>4</v>
      </c>
      <c r="H1931" s="126" t="s">
        <v>1339</v>
      </c>
      <c r="I1931" s="127" t="s">
        <v>1236</v>
      </c>
      <c r="J1931" s="126">
        <v>12.11</v>
      </c>
      <c r="K1931" s="126">
        <v>4</v>
      </c>
      <c r="L1931" s="129">
        <f>INT(base[[#This Row],[Data de liquidação]])</f>
        <v>46152</v>
      </c>
      <c r="M1931" s="126">
        <f>base[[#This Row],[L/P Bruto]]-base[[#This Row],[L/P Líquido]]</f>
        <v>0.18000000000000016</v>
      </c>
      <c r="N1931" s="126">
        <f>base[[#This Row],[L/P Líquido]]/base[[#This Row],[Stake/Responsabilidade]]</f>
        <v>0.95499999999999996</v>
      </c>
      <c r="O1931" s="132">
        <f>IF(base[[#This Row],[L/P Líquido]]&gt;0,1,0)</f>
        <v>1</v>
      </c>
      <c r="P1931" s="132"/>
      <c r="Q1931" s="132" t="str">
        <f>LEFT(base[[#This Row],[Evento / Mercado]],FIND("vs",base[[#This Row],[Evento / Mercado]])-2)</f>
        <v>BG Pathumthani United</v>
      </c>
      <c r="R19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Prachuap FC</v>
      </c>
      <c r="S1931" s="132" t="str">
        <f>LEFT(base[[#This Row],[Evento / Mercado]],FIND("/",base[[#This Row],[Evento / Mercado]])-2)</f>
        <v>BG Pathumthani United vs Prachuap FC</v>
      </c>
    </row>
    <row r="1932" spans="2:19" ht="15" customHeight="1">
      <c r="B1932" s="128" t="s">
        <v>1914</v>
      </c>
      <c r="C1932" s="128" t="s">
        <v>2982</v>
      </c>
      <c r="D1932" s="129">
        <v>46152.394074074073</v>
      </c>
      <c r="E1932" s="130">
        <v>0.67</v>
      </c>
      <c r="F1932" s="136">
        <v>4.4999999999999998E-2</v>
      </c>
      <c r="G1932" s="126">
        <f t="shared" si="31"/>
        <v>0.70157068062827233</v>
      </c>
      <c r="H1932" s="126" t="s">
        <v>1339</v>
      </c>
      <c r="I1932" s="127" t="s">
        <v>1864</v>
      </c>
      <c r="J1932" s="126">
        <v>1.94</v>
      </c>
      <c r="K1932" s="126">
        <v>10</v>
      </c>
      <c r="L1932" s="129">
        <f>INT(base[[#This Row],[Data de liquidação]])</f>
        <v>46152</v>
      </c>
      <c r="M1932" s="126">
        <f>base[[#This Row],[L/P Bruto]]-base[[#This Row],[L/P Líquido]]</f>
        <v>3.1570680628272285E-2</v>
      </c>
      <c r="N1932" s="126">
        <f>base[[#This Row],[L/P Líquido]]/base[[#This Row],[Stake/Responsabilidade]]</f>
        <v>6.7000000000000004E-2</v>
      </c>
      <c r="O1932" s="132">
        <f>IF(base[[#This Row],[L/P Líquido]]&gt;0,1,0)</f>
        <v>1</v>
      </c>
      <c r="P1932" s="132"/>
      <c r="Q1932" s="132" t="str">
        <f>LEFT(base[[#This Row],[Evento / Mercado]],FIND("vs",base[[#This Row],[Evento / Mercado]])-2)</f>
        <v>Hellas Verona</v>
      </c>
      <c r="R19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Como</v>
      </c>
      <c r="S1932" s="132" t="str">
        <f>LEFT(base[[#This Row],[Evento / Mercado]],FIND("/",base[[#This Row],[Evento / Mercado]])-2)</f>
        <v>Hellas Verona vs Como</v>
      </c>
    </row>
    <row r="1933" spans="2:19" ht="15" customHeight="1">
      <c r="B1933" s="128" t="s">
        <v>1913</v>
      </c>
      <c r="C1933" s="128" t="s">
        <v>2982</v>
      </c>
      <c r="D1933" s="129">
        <v>46152.406886574077</v>
      </c>
      <c r="E1933" s="130">
        <v>1.81</v>
      </c>
      <c r="F1933" s="136">
        <v>4.4999999999999998E-2</v>
      </c>
      <c r="G1933" s="126">
        <f t="shared" si="31"/>
        <v>1.8952879581151834</v>
      </c>
      <c r="H1933" s="126" t="s">
        <v>1339</v>
      </c>
      <c r="I1933" s="127" t="s">
        <v>1431</v>
      </c>
      <c r="J1933" s="126">
        <v>1.95</v>
      </c>
      <c r="K1933" s="126">
        <v>2</v>
      </c>
      <c r="L1933" s="129">
        <f>INT(base[[#This Row],[Data de liquidação]])</f>
        <v>46152</v>
      </c>
      <c r="M1933" s="126">
        <f>base[[#This Row],[L/P Bruto]]-base[[#This Row],[L/P Líquido]]</f>
        <v>8.5287958115183304E-2</v>
      </c>
      <c r="N1933" s="126">
        <f>base[[#This Row],[L/P Líquido]]/base[[#This Row],[Stake/Responsabilidade]]</f>
        <v>0.90500000000000003</v>
      </c>
      <c r="O1933" s="132">
        <f>IF(base[[#This Row],[L/P Líquido]]&gt;0,1,0)</f>
        <v>1</v>
      </c>
      <c r="P1933" s="132"/>
      <c r="Q1933" s="132" t="str">
        <f>LEFT(base[[#This Row],[Evento / Mercado]],FIND("vs",base[[#This Row],[Evento / Mercado]])-2)</f>
        <v>Chonburi</v>
      </c>
      <c r="R19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Nakhon Ratchasima</v>
      </c>
      <c r="S1933" s="132" t="str">
        <f>LEFT(base[[#This Row],[Evento / Mercado]],FIND("/",base[[#This Row],[Evento / Mercado]])-2)</f>
        <v>Chonburi vs Nakhon Ratchasima</v>
      </c>
    </row>
    <row r="1934" spans="2:19" ht="15" customHeight="1">
      <c r="B1934" s="128" t="s">
        <v>1912</v>
      </c>
      <c r="C1934" s="128" t="s">
        <v>2982</v>
      </c>
      <c r="D1934" s="129">
        <v>46152.407916666663</v>
      </c>
      <c r="E1934" s="130">
        <v>-50</v>
      </c>
      <c r="F1934" s="136">
        <v>4.4999999999999998E-2</v>
      </c>
      <c r="G1934" s="126">
        <f t="shared" si="31"/>
        <v>-50</v>
      </c>
      <c r="H1934" s="126" t="s">
        <v>1784</v>
      </c>
      <c r="I1934" s="127" t="s">
        <v>1448</v>
      </c>
      <c r="J1934" s="126">
        <v>1.37</v>
      </c>
      <c r="K1934" s="126">
        <v>50</v>
      </c>
      <c r="L1934" s="129">
        <f>INT(base[[#This Row],[Data de liquidação]])</f>
        <v>46152</v>
      </c>
      <c r="M1934" s="126">
        <f>base[[#This Row],[L/P Bruto]]-base[[#This Row],[L/P Líquido]]</f>
        <v>0</v>
      </c>
      <c r="N1934" s="126">
        <f>base[[#This Row],[L/P Líquido]]/base[[#This Row],[Stake/Responsabilidade]]</f>
        <v>-1</v>
      </c>
      <c r="O1934" s="132">
        <f>IF(base[[#This Row],[L/P Líquido]]&gt;0,1,0)</f>
        <v>0</v>
      </c>
      <c r="P1934" s="132"/>
      <c r="Q1934" s="132" t="str">
        <f>LEFT(base[[#This Row],[Evento / Mercado]],FIND("vs",base[[#This Row],[Evento / Mercado]])-2)</f>
        <v>Kalmar FF</v>
      </c>
      <c r="R19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1934" s="132" t="str">
        <f>LEFT(base[[#This Row],[Evento / Mercado]],FIND("/",base[[#This Row],[Evento / Mercado]])-2)</f>
        <v>Kalmar FF vs Halmstads BK</v>
      </c>
    </row>
    <row r="1935" spans="2:19" ht="15" customHeight="1">
      <c r="B1935" s="128" t="s">
        <v>1911</v>
      </c>
      <c r="C1935" s="128" t="s">
        <v>2982</v>
      </c>
      <c r="D1935" s="129">
        <v>46152.412627314814</v>
      </c>
      <c r="E1935" s="130">
        <v>2.5099999999999998</v>
      </c>
      <c r="F1935" s="136">
        <v>4.4999999999999998E-2</v>
      </c>
      <c r="G1935" s="126">
        <f t="shared" si="31"/>
        <v>2.6282722513089003</v>
      </c>
      <c r="H1935" s="126" t="s">
        <v>1339</v>
      </c>
      <c r="I1935" s="127" t="s">
        <v>1388</v>
      </c>
      <c r="J1935" s="126">
        <v>20</v>
      </c>
      <c r="K1935" s="126">
        <v>49.97</v>
      </c>
      <c r="L1935" s="129">
        <f>INT(base[[#This Row],[Data de liquidação]])</f>
        <v>46152</v>
      </c>
      <c r="M1935" s="126">
        <f>base[[#This Row],[L/P Bruto]]-base[[#This Row],[L/P Líquido]]</f>
        <v>0.11827225130890051</v>
      </c>
      <c r="N1935" s="126">
        <f>base[[#This Row],[L/P Líquido]]/base[[#This Row],[Stake/Responsabilidade]]</f>
        <v>5.0230138082849707E-2</v>
      </c>
      <c r="O1935" s="132">
        <f>IF(base[[#This Row],[L/P Líquido]]&gt;0,1,0)</f>
        <v>1</v>
      </c>
      <c r="P1935" s="132"/>
      <c r="Q1935" s="132" t="str">
        <f>LEFT(base[[#This Row],[Evento / Mercado]],FIND("vs",base[[#This Row],[Evento / Mercado]])-2)</f>
        <v>Liaoning Tieren F.C.</v>
      </c>
      <c r="R19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Yunnan Yukun</v>
      </c>
      <c r="S1935" s="132" t="str">
        <f>LEFT(base[[#This Row],[Evento / Mercado]],FIND("/",base[[#This Row],[Evento / Mercado]])-2)</f>
        <v>Liaoning Tieren F.C. vs Yunnan Yukun</v>
      </c>
    </row>
    <row r="1936" spans="2:19" ht="15" customHeight="1">
      <c r="B1936" s="128" t="s">
        <v>1910</v>
      </c>
      <c r="C1936" s="128" t="s">
        <v>2982</v>
      </c>
      <c r="D1936" s="129">
        <v>46152.413807870369</v>
      </c>
      <c r="E1936" s="130">
        <v>2.39</v>
      </c>
      <c r="F1936" s="136">
        <v>4.4999999999999998E-2</v>
      </c>
      <c r="G1936" s="126">
        <f t="shared" si="31"/>
        <v>2.5026178010471205</v>
      </c>
      <c r="H1936" s="126" t="s">
        <v>1339</v>
      </c>
      <c r="I1936" s="127" t="s">
        <v>1388</v>
      </c>
      <c r="J1936" s="126">
        <v>21</v>
      </c>
      <c r="K1936" s="126">
        <v>50</v>
      </c>
      <c r="L1936" s="129">
        <f>INT(base[[#This Row],[Data de liquidação]])</f>
        <v>46152</v>
      </c>
      <c r="M1936" s="126">
        <f>base[[#This Row],[L/P Bruto]]-base[[#This Row],[L/P Líquido]]</f>
        <v>0.11261780104712038</v>
      </c>
      <c r="N1936" s="126">
        <f>base[[#This Row],[L/P Líquido]]/base[[#This Row],[Stake/Responsabilidade]]</f>
        <v>4.7800000000000002E-2</v>
      </c>
      <c r="O1936" s="132">
        <f>IF(base[[#This Row],[L/P Líquido]]&gt;0,1,0)</f>
        <v>1</v>
      </c>
      <c r="P1936" s="132"/>
      <c r="Q1936" s="132" t="str">
        <f>LEFT(base[[#This Row],[Evento / Mercado]],FIND("vs",base[[#This Row],[Evento / Mercado]])-2)</f>
        <v>Chonburi</v>
      </c>
      <c r="R19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Nakhon Ratchasima</v>
      </c>
      <c r="S1936" s="132" t="str">
        <f>LEFT(base[[#This Row],[Evento / Mercado]],FIND("/",base[[#This Row],[Evento / Mercado]])-2)</f>
        <v>Chonburi vs Nakhon Ratchasima</v>
      </c>
    </row>
    <row r="1937" spans="2:19" ht="15" customHeight="1">
      <c r="B1937" s="128" t="s">
        <v>1909</v>
      </c>
      <c r="C1937" s="128" t="s">
        <v>2982</v>
      </c>
      <c r="D1937" s="129">
        <v>46152.433530092596</v>
      </c>
      <c r="E1937" s="130">
        <v>0.69</v>
      </c>
      <c r="F1937" s="136">
        <v>4.4999999999999998E-2</v>
      </c>
      <c r="G1937" s="126">
        <f t="shared" si="31"/>
        <v>0.72251308900523559</v>
      </c>
      <c r="H1937" s="126" t="s">
        <v>1339</v>
      </c>
      <c r="I1937" s="127" t="s">
        <v>1864</v>
      </c>
      <c r="J1937" s="126">
        <v>1.93</v>
      </c>
      <c r="K1937" s="126">
        <v>10</v>
      </c>
      <c r="L1937" s="129">
        <f>INT(base[[#This Row],[Data de liquidação]])</f>
        <v>46152</v>
      </c>
      <c r="M1937" s="126">
        <f>base[[#This Row],[L/P Bruto]]-base[[#This Row],[L/P Líquido]]</f>
        <v>3.251308900523564E-2</v>
      </c>
      <c r="N1937" s="126">
        <f>base[[#This Row],[L/P Líquido]]/base[[#This Row],[Stake/Responsabilidade]]</f>
        <v>6.8999999999999992E-2</v>
      </c>
      <c r="O1937" s="132">
        <f>IF(base[[#This Row],[L/P Líquido]]&gt;0,1,0)</f>
        <v>1</v>
      </c>
      <c r="P1937" s="132"/>
      <c r="Q1937" s="132" t="str">
        <f>LEFT(base[[#This Row],[Evento / Mercado]],FIND("vs",base[[#This Row],[Evento / Mercado]])-2)</f>
        <v>Andorra FC</v>
      </c>
      <c r="R19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Las Palmas</v>
      </c>
      <c r="S1937" s="132" t="str">
        <f>LEFT(base[[#This Row],[Evento / Mercado]],FIND("/",base[[#This Row],[Evento / Mercado]])-2)</f>
        <v>Andorra FC vs UD Las Palmas</v>
      </c>
    </row>
    <row r="1938" spans="2:19" ht="15" customHeight="1">
      <c r="B1938" s="128" t="s">
        <v>1908</v>
      </c>
      <c r="C1938" s="128" t="s">
        <v>2982</v>
      </c>
      <c r="D1938" s="129">
        <v>46152.436111111114</v>
      </c>
      <c r="E1938" s="130">
        <v>2.99</v>
      </c>
      <c r="F1938" s="136">
        <v>4.4999999999999998E-2</v>
      </c>
      <c r="G1938" s="126">
        <f t="shared" si="31"/>
        <v>3.1308900523560212</v>
      </c>
      <c r="H1938" s="126" t="s">
        <v>1339</v>
      </c>
      <c r="I1938" s="127" t="s">
        <v>1388</v>
      </c>
      <c r="J1938" s="126">
        <v>16.5</v>
      </c>
      <c r="K1938" s="126">
        <v>48.52</v>
      </c>
      <c r="L1938" s="129">
        <f>INT(base[[#This Row],[Data de liquidação]])</f>
        <v>46152</v>
      </c>
      <c r="M1938" s="126">
        <f>base[[#This Row],[L/P Bruto]]-base[[#This Row],[L/P Líquido]]</f>
        <v>0.14089005235602103</v>
      </c>
      <c r="N1938" s="126">
        <f>base[[#This Row],[L/P Líquido]]/base[[#This Row],[Stake/Responsabilidade]]</f>
        <v>6.1624072547403132E-2</v>
      </c>
      <c r="O1938" s="132">
        <f>IF(base[[#This Row],[L/P Líquido]]&gt;0,1,0)</f>
        <v>1</v>
      </c>
      <c r="P1938" s="132"/>
      <c r="Q1938" s="132" t="str">
        <f>LEFT(base[[#This Row],[Evento / Mercado]],FIND("vs",base[[#This Row],[Evento / Mercado]])-2)</f>
        <v>Hertha BSC</v>
      </c>
      <c r="R19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SpVgg Greuther Fürth</v>
      </c>
      <c r="S1938" s="132" t="str">
        <f>LEFT(base[[#This Row],[Evento / Mercado]],FIND("/",base[[#This Row],[Evento / Mercado]])-2)</f>
        <v>Hertha BSC vs SpVgg Greuther Fürth</v>
      </c>
    </row>
    <row r="1939" spans="2:19" ht="15" customHeight="1">
      <c r="B1939" s="128" t="s">
        <v>1907</v>
      </c>
      <c r="C1939" s="128" t="s">
        <v>2982</v>
      </c>
      <c r="D1939" s="129">
        <v>46152.446319444447</v>
      </c>
      <c r="E1939" s="130">
        <v>3.02</v>
      </c>
      <c r="F1939" s="136">
        <v>4.4999999999999998E-2</v>
      </c>
      <c r="G1939" s="126">
        <f t="shared" si="31"/>
        <v>3.162303664921466</v>
      </c>
      <c r="H1939" s="126" t="s">
        <v>1339</v>
      </c>
      <c r="I1939" s="127" t="s">
        <v>1446</v>
      </c>
      <c r="J1939" s="126">
        <v>2.58</v>
      </c>
      <c r="K1939" s="126">
        <v>4.99</v>
      </c>
      <c r="L1939" s="129">
        <f>INT(base[[#This Row],[Data de liquidação]])</f>
        <v>46152</v>
      </c>
      <c r="M1939" s="126">
        <f>base[[#This Row],[L/P Bruto]]-base[[#This Row],[L/P Líquido]]</f>
        <v>0.14230366492146596</v>
      </c>
      <c r="N1939" s="126">
        <f>base[[#This Row],[L/P Líquido]]/base[[#This Row],[Stake/Responsabilidade]]</f>
        <v>0.60521042084168331</v>
      </c>
      <c r="O1939" s="132">
        <f>IF(base[[#This Row],[L/P Líquido]]&gt;0,1,0)</f>
        <v>1</v>
      </c>
      <c r="P1939" s="132"/>
      <c r="Q1939" s="132" t="str">
        <f>LEFT(base[[#This Row],[Evento / Mercado]],FIND("vs",base[[#This Row],[Evento / Mercado]])-2)</f>
        <v>Beijing Guoan</v>
      </c>
      <c r="R19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Port</v>
      </c>
      <c r="S1939" s="132" t="str">
        <f>LEFT(base[[#This Row],[Evento / Mercado]],FIND("/",base[[#This Row],[Evento / Mercado]])-2)</f>
        <v>Beijing Guoan vs Shanghai Port</v>
      </c>
    </row>
    <row r="1940" spans="2:19" ht="15" customHeight="1">
      <c r="B1940" s="128" t="s">
        <v>1906</v>
      </c>
      <c r="C1940" s="128" t="s">
        <v>2982</v>
      </c>
      <c r="D1940" s="129">
        <v>46152.446736111109</v>
      </c>
      <c r="E1940" s="130">
        <v>3.82</v>
      </c>
      <c r="F1940" s="136">
        <v>4.4999999999999998E-2</v>
      </c>
      <c r="G1940" s="126">
        <f t="shared" si="31"/>
        <v>4</v>
      </c>
      <c r="H1940" s="126" t="s">
        <v>1339</v>
      </c>
      <c r="I1940" s="127" t="s">
        <v>1236</v>
      </c>
      <c r="J1940" s="126">
        <v>9</v>
      </c>
      <c r="K1940" s="126">
        <v>4</v>
      </c>
      <c r="L1940" s="129">
        <f>INT(base[[#This Row],[Data de liquidação]])</f>
        <v>46152</v>
      </c>
      <c r="M1940" s="126">
        <f>base[[#This Row],[L/P Bruto]]-base[[#This Row],[L/P Líquido]]</f>
        <v>0.18000000000000016</v>
      </c>
      <c r="N1940" s="126">
        <f>base[[#This Row],[L/P Líquido]]/base[[#This Row],[Stake/Responsabilidade]]</f>
        <v>0.95499999999999996</v>
      </c>
      <c r="O1940" s="132">
        <f>IF(base[[#This Row],[L/P Líquido]]&gt;0,1,0)</f>
        <v>1</v>
      </c>
      <c r="P1940" s="132"/>
      <c r="Q1940" s="132" t="str">
        <f>LEFT(base[[#This Row],[Evento / Mercado]],FIND("vs",base[[#This Row],[Evento / Mercado]])-2)</f>
        <v>Burnley</v>
      </c>
      <c r="R19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1940" s="132" t="str">
        <f>LEFT(base[[#This Row],[Evento / Mercado]],FIND("/",base[[#This Row],[Evento / Mercado]])-2)</f>
        <v>Burnley vs Aston Villa</v>
      </c>
    </row>
    <row r="1941" spans="2:19" ht="15" customHeight="1">
      <c r="B1941" s="128" t="s">
        <v>1905</v>
      </c>
      <c r="C1941" s="128" t="s">
        <v>2982</v>
      </c>
      <c r="D1941" s="129">
        <v>46152.457442129627</v>
      </c>
      <c r="E1941" s="130">
        <v>6.45</v>
      </c>
      <c r="F1941" s="136">
        <v>4.4999999999999998E-2</v>
      </c>
      <c r="G1941" s="126">
        <f t="shared" si="31"/>
        <v>6.7539267015706814</v>
      </c>
      <c r="H1941" s="126" t="s">
        <v>1339</v>
      </c>
      <c r="I1941" s="127" t="s">
        <v>1338</v>
      </c>
      <c r="J1941" s="126">
        <v>2.35</v>
      </c>
      <c r="K1941" s="126">
        <v>5</v>
      </c>
      <c r="L1941" s="129">
        <f>INT(base[[#This Row],[Data de liquidação]])</f>
        <v>46152</v>
      </c>
      <c r="M1941" s="126">
        <f>base[[#This Row],[L/P Bruto]]-base[[#This Row],[L/P Líquido]]</f>
        <v>0.30392670157068125</v>
      </c>
      <c r="N1941" s="126">
        <f>base[[#This Row],[L/P Líquido]]/base[[#This Row],[Stake/Responsabilidade]]</f>
        <v>1.29</v>
      </c>
      <c r="O1941" s="132">
        <f>IF(base[[#This Row],[L/P Líquido]]&gt;0,1,0)</f>
        <v>1</v>
      </c>
      <c r="P1941" s="132"/>
      <c r="Q1941" s="132" t="str">
        <f>LEFT(base[[#This Row],[Evento / Mercado]],FIND("vs",base[[#This Row],[Evento / Mercado]])-2)</f>
        <v>FC Nordsjælland</v>
      </c>
      <c r="R19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Midtjylland</v>
      </c>
      <c r="S1941" s="132" t="str">
        <f>LEFT(base[[#This Row],[Evento / Mercado]],FIND("/",base[[#This Row],[Evento / Mercado]])-2)</f>
        <v>FC Nordsjælland vs FC Midtjylland</v>
      </c>
    </row>
    <row r="1942" spans="2:19" ht="15" customHeight="1">
      <c r="B1942" s="128" t="s">
        <v>1904</v>
      </c>
      <c r="C1942" s="128" t="s">
        <v>2982</v>
      </c>
      <c r="D1942" s="129">
        <v>46152.457453703704</v>
      </c>
      <c r="E1942" s="130">
        <v>0.88</v>
      </c>
      <c r="F1942" s="136">
        <v>4.4999999999999998E-2</v>
      </c>
      <c r="G1942" s="126">
        <f t="shared" si="31"/>
        <v>0.92146596858638752</v>
      </c>
      <c r="H1942" s="126" t="s">
        <v>1339</v>
      </c>
      <c r="I1942" s="127" t="s">
        <v>1336</v>
      </c>
      <c r="J1942" s="126">
        <v>1.44</v>
      </c>
      <c r="K1942" s="126">
        <v>5</v>
      </c>
      <c r="L1942" s="129">
        <f>INT(base[[#This Row],[Data de liquidação]])</f>
        <v>46152</v>
      </c>
      <c r="M1942" s="126">
        <f>base[[#This Row],[L/P Bruto]]-base[[#This Row],[L/P Líquido]]</f>
        <v>4.1465968586387514E-2</v>
      </c>
      <c r="N1942" s="126">
        <f>base[[#This Row],[L/P Líquido]]/base[[#This Row],[Stake/Responsabilidade]]</f>
        <v>0.17599999999999999</v>
      </c>
      <c r="O1942" s="132">
        <f>IF(base[[#This Row],[L/P Líquido]]&gt;0,1,0)</f>
        <v>1</v>
      </c>
      <c r="P1942" s="132"/>
      <c r="Q1942" s="132" t="str">
        <f>LEFT(base[[#This Row],[Evento / Mercado]],FIND("vs",base[[#This Row],[Evento / Mercado]])-2)</f>
        <v>FC Nordsjælland</v>
      </c>
      <c r="R19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Midtjylland</v>
      </c>
      <c r="S1942" s="132" t="str">
        <f>LEFT(base[[#This Row],[Evento / Mercado]],FIND("/",base[[#This Row],[Evento / Mercado]])-2)</f>
        <v>FC Nordsjælland vs FC Midtjylland</v>
      </c>
    </row>
    <row r="1943" spans="2:19" ht="15" customHeight="1">
      <c r="B1943" s="128" t="s">
        <v>1903</v>
      </c>
      <c r="C1943" s="128" t="s">
        <v>2982</v>
      </c>
      <c r="D1943" s="129">
        <v>46152.458518518521</v>
      </c>
      <c r="E1943" s="130">
        <v>-115</v>
      </c>
      <c r="F1943" s="136">
        <v>4.4999999999999998E-2</v>
      </c>
      <c r="G1943" s="126">
        <f t="shared" si="31"/>
        <v>-115</v>
      </c>
      <c r="H1943" s="126" t="s">
        <v>231</v>
      </c>
      <c r="I1943" s="127" t="s">
        <v>232</v>
      </c>
      <c r="J1943" s="126">
        <v>1.81</v>
      </c>
      <c r="K1943" s="126">
        <v>115</v>
      </c>
      <c r="L1943" s="129">
        <f>INT(base[[#This Row],[Data de liquidação]])</f>
        <v>46152</v>
      </c>
      <c r="M1943" s="126">
        <f>base[[#This Row],[L/P Bruto]]-base[[#This Row],[L/P Líquido]]</f>
        <v>0</v>
      </c>
      <c r="N1943" s="126">
        <f>base[[#This Row],[L/P Líquido]]/base[[#This Row],[Stake/Responsabilidade]]</f>
        <v>-1</v>
      </c>
      <c r="O1943" s="132">
        <f>IF(base[[#This Row],[L/P Líquido]]&gt;0,1,0)</f>
        <v>0</v>
      </c>
      <c r="P1943" s="132"/>
      <c r="Q1943" s="132" t="str">
        <f>LEFT(base[[#This Row],[Evento / Mercado]],FIND("vs",base[[#This Row],[Evento / Mercado]])-2)</f>
        <v>Real Mallorca</v>
      </c>
      <c r="R19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1943" s="132" t="str">
        <f>LEFT(base[[#This Row],[Evento / Mercado]],FIND("/",base[[#This Row],[Evento / Mercado]])-2)</f>
        <v>Real Mallorca vs Villarreal</v>
      </c>
    </row>
    <row r="1944" spans="2:19" ht="15" customHeight="1">
      <c r="B1944" s="128" t="s">
        <v>1902</v>
      </c>
      <c r="C1944" s="128" t="s">
        <v>2982</v>
      </c>
      <c r="D1944" s="129">
        <v>46152.490972222222</v>
      </c>
      <c r="E1944" s="130">
        <v>72.48</v>
      </c>
      <c r="F1944" s="136">
        <v>4.4999999999999998E-2</v>
      </c>
      <c r="G1944" s="126">
        <f t="shared" si="31"/>
        <v>75.89528795811519</v>
      </c>
      <c r="H1944" s="126" t="s">
        <v>231</v>
      </c>
      <c r="I1944" s="127" t="s">
        <v>266</v>
      </c>
      <c r="J1944" s="126">
        <v>1.66</v>
      </c>
      <c r="K1944" s="126">
        <v>115</v>
      </c>
      <c r="L1944" s="129">
        <f>INT(base[[#This Row],[Data de liquidação]])</f>
        <v>46152</v>
      </c>
      <c r="M1944" s="126">
        <f>base[[#This Row],[L/P Bruto]]-base[[#This Row],[L/P Líquido]]</f>
        <v>3.4152879581151865</v>
      </c>
      <c r="N1944" s="126">
        <f>base[[#This Row],[L/P Líquido]]/base[[#This Row],[Stake/Responsabilidade]]</f>
        <v>0.63026086956521743</v>
      </c>
      <c r="O1944" s="132">
        <f>IF(base[[#This Row],[L/P Líquido]]&gt;0,1,0)</f>
        <v>1</v>
      </c>
      <c r="P1944" s="132"/>
      <c r="Q1944" s="132" t="str">
        <f>LEFT(base[[#This Row],[Evento / Mercado]],FIND("vs",base[[#This Row],[Evento / Mercado]])-2)</f>
        <v>Nottingham Forest</v>
      </c>
      <c r="R19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1944" s="132" t="str">
        <f>LEFT(base[[#This Row],[Evento / Mercado]],FIND("/",base[[#This Row],[Evento / Mercado]])-2)</f>
        <v>Nottingham Forest vs Newcastle United</v>
      </c>
    </row>
    <row r="1945" spans="2:19" ht="15" customHeight="1">
      <c r="B1945" s="128" t="s">
        <v>1900</v>
      </c>
      <c r="C1945" s="128" t="s">
        <v>2982</v>
      </c>
      <c r="D1945" s="129">
        <v>46152.499143518522</v>
      </c>
      <c r="E1945" s="130">
        <v>-5</v>
      </c>
      <c r="F1945" s="136">
        <v>4.4999999999999998E-2</v>
      </c>
      <c r="G1945" s="126">
        <f t="shared" si="31"/>
        <v>-5</v>
      </c>
      <c r="H1945" s="126" t="s">
        <v>1339</v>
      </c>
      <c r="I1945" s="127" t="s">
        <v>1338</v>
      </c>
      <c r="J1945" s="126">
        <v>2.2200000000000002</v>
      </c>
      <c r="K1945" s="126">
        <v>5</v>
      </c>
      <c r="L1945" s="129">
        <f>INT(base[[#This Row],[Data de liquidação]])</f>
        <v>46152</v>
      </c>
      <c r="M1945" s="126">
        <f>base[[#This Row],[L/P Bruto]]-base[[#This Row],[L/P Líquido]]</f>
        <v>0</v>
      </c>
      <c r="N1945" s="126">
        <f>base[[#This Row],[L/P Líquido]]/base[[#This Row],[Stake/Responsabilidade]]</f>
        <v>-1</v>
      </c>
      <c r="O1945" s="132">
        <f>IF(base[[#This Row],[L/P Líquido]]&gt;0,1,0)</f>
        <v>0</v>
      </c>
      <c r="P1945" s="132"/>
      <c r="Q1945" s="132" t="str">
        <f>LEFT(base[[#This Row],[Evento / Mercado]],FIND("vs",base[[#This Row],[Evento / Mercado]])-2)</f>
        <v>Hamburger SV</v>
      </c>
      <c r="R19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1945" s="132" t="str">
        <f>LEFT(base[[#This Row],[Evento / Mercado]],FIND("/",base[[#This Row],[Evento / Mercado]])-2)</f>
        <v>Hamburger SV vs SC Freiburg</v>
      </c>
    </row>
    <row r="1946" spans="2:19" ht="15" customHeight="1">
      <c r="B1946" s="128" t="s">
        <v>1901</v>
      </c>
      <c r="C1946" s="128" t="s">
        <v>2982</v>
      </c>
      <c r="D1946" s="129">
        <v>46152.499143518522</v>
      </c>
      <c r="E1946" s="130">
        <v>-5</v>
      </c>
      <c r="F1946" s="136">
        <v>4.4999999999999998E-2</v>
      </c>
      <c r="G1946" s="126">
        <f t="shared" si="31"/>
        <v>-5</v>
      </c>
      <c r="H1946" s="126" t="s">
        <v>1339</v>
      </c>
      <c r="I1946" s="127" t="s">
        <v>1336</v>
      </c>
      <c r="J1946" s="126">
        <v>1.4</v>
      </c>
      <c r="K1946" s="126">
        <v>5</v>
      </c>
      <c r="L1946" s="129">
        <f>INT(base[[#This Row],[Data de liquidação]])</f>
        <v>46152</v>
      </c>
      <c r="M1946" s="126">
        <f>base[[#This Row],[L/P Bruto]]-base[[#This Row],[L/P Líquido]]</f>
        <v>0</v>
      </c>
      <c r="N1946" s="126">
        <f>base[[#This Row],[L/P Líquido]]/base[[#This Row],[Stake/Responsabilidade]]</f>
        <v>-1</v>
      </c>
      <c r="O1946" s="132">
        <f>IF(base[[#This Row],[L/P Líquido]]&gt;0,1,0)</f>
        <v>0</v>
      </c>
      <c r="P1946" s="132"/>
      <c r="Q1946" s="132" t="str">
        <f>LEFT(base[[#This Row],[Evento / Mercado]],FIND("vs",base[[#This Row],[Evento / Mercado]])-2)</f>
        <v>Hamburger SV</v>
      </c>
      <c r="R19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1946" s="132" t="str">
        <f>LEFT(base[[#This Row],[Evento / Mercado]],FIND("/",base[[#This Row],[Evento / Mercado]])-2)</f>
        <v>Hamburger SV vs SC Freiburg</v>
      </c>
    </row>
    <row r="1947" spans="2:19" ht="15" customHeight="1">
      <c r="B1947" s="128" t="s">
        <v>1899</v>
      </c>
      <c r="C1947" s="128" t="s">
        <v>2982</v>
      </c>
      <c r="D1947" s="129">
        <v>46152.522187499999</v>
      </c>
      <c r="E1947" s="130">
        <v>-2</v>
      </c>
      <c r="F1947" s="136">
        <v>4.4999999999999998E-2</v>
      </c>
      <c r="G1947" s="126">
        <f t="shared" si="31"/>
        <v>-2</v>
      </c>
      <c r="H1947" s="126" t="s">
        <v>1339</v>
      </c>
      <c r="I1947" s="127" t="s">
        <v>1448</v>
      </c>
      <c r="J1947" s="126">
        <v>1.61</v>
      </c>
      <c r="K1947" s="126">
        <v>2</v>
      </c>
      <c r="L1947" s="129">
        <f>INT(base[[#This Row],[Data de liquidação]])</f>
        <v>46152</v>
      </c>
      <c r="M1947" s="126">
        <f>base[[#This Row],[L/P Bruto]]-base[[#This Row],[L/P Líquido]]</f>
        <v>0</v>
      </c>
      <c r="N1947" s="126">
        <f>base[[#This Row],[L/P Líquido]]/base[[#This Row],[Stake/Responsabilidade]]</f>
        <v>-1</v>
      </c>
      <c r="O1947" s="132">
        <f>IF(base[[#This Row],[L/P Líquido]]&gt;0,1,0)</f>
        <v>0</v>
      </c>
      <c r="P1947" s="132"/>
      <c r="Q1947" s="132" t="str">
        <f>LEFT(base[[#This Row],[Evento / Mercado]],FIND("vs",base[[#This Row],[Evento / Mercado]])-2)</f>
        <v>FC Twente</v>
      </c>
      <c r="R19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Sparta Rotterdam</v>
      </c>
      <c r="S1947" s="132" t="str">
        <f>LEFT(base[[#This Row],[Evento / Mercado]],FIND("/",base[[#This Row],[Evento / Mercado]])-2)</f>
        <v>FC Twente vs Sparta Rotterdam</v>
      </c>
    </row>
    <row r="1948" spans="2:19" ht="15" customHeight="1">
      <c r="B1948" s="128" t="s">
        <v>1524</v>
      </c>
      <c r="C1948" s="128" t="s">
        <v>2982</v>
      </c>
      <c r="D1948" s="129">
        <v>46152.524074074077</v>
      </c>
      <c r="E1948" s="130">
        <v>-50</v>
      </c>
      <c r="F1948" s="136">
        <v>4.4999999999999998E-2</v>
      </c>
      <c r="G1948" s="126">
        <f t="shared" si="31"/>
        <v>-50</v>
      </c>
      <c r="H1948" s="126" t="s">
        <v>1784</v>
      </c>
      <c r="I1948" s="127" t="s">
        <v>1448</v>
      </c>
      <c r="J1948" s="126">
        <v>1.22</v>
      </c>
      <c r="K1948" s="126">
        <v>50</v>
      </c>
      <c r="L1948" s="129">
        <f>INT(base[[#This Row],[Data de liquidação]])</f>
        <v>46152</v>
      </c>
      <c r="M1948" s="126">
        <f>base[[#This Row],[L/P Bruto]]-base[[#This Row],[L/P Líquido]]</f>
        <v>0</v>
      </c>
      <c r="N1948" s="126">
        <f>base[[#This Row],[L/P Líquido]]/base[[#This Row],[Stake/Responsabilidade]]</f>
        <v>-1</v>
      </c>
      <c r="O1948" s="132">
        <f>IF(base[[#This Row],[L/P Líquido]]&gt;0,1,0)</f>
        <v>0</v>
      </c>
      <c r="P1948" s="132"/>
      <c r="Q1948" s="132" t="str">
        <f>LEFT(base[[#This Row],[Evento / Mercado]],FIND("vs",base[[#This Row],[Evento / Mercado]])-2)</f>
        <v>SC Telstar</v>
      </c>
      <c r="R19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Heracles Almelo</v>
      </c>
      <c r="S1948" s="132" t="str">
        <f>LEFT(base[[#This Row],[Evento / Mercado]],FIND("/",base[[#This Row],[Evento / Mercado]])-2)</f>
        <v>SC Telstar vs Heracles Almelo</v>
      </c>
    </row>
    <row r="1949" spans="2:19" ht="15" customHeight="1">
      <c r="B1949" s="128" t="s">
        <v>1524</v>
      </c>
      <c r="C1949" s="128" t="s">
        <v>2982</v>
      </c>
      <c r="D1949" s="129">
        <v>46152.524074074077</v>
      </c>
      <c r="E1949" s="130">
        <v>-2</v>
      </c>
      <c r="F1949" s="136">
        <v>4.4999999999999998E-2</v>
      </c>
      <c r="G1949" s="126">
        <f t="shared" si="31"/>
        <v>-2</v>
      </c>
      <c r="H1949" s="126" t="s">
        <v>1339</v>
      </c>
      <c r="I1949" s="127" t="s">
        <v>1448</v>
      </c>
      <c r="J1949" s="126">
        <v>1.78</v>
      </c>
      <c r="K1949" s="126">
        <v>2</v>
      </c>
      <c r="L1949" s="129">
        <f>INT(base[[#This Row],[Data de liquidação]])</f>
        <v>46152</v>
      </c>
      <c r="M1949" s="126">
        <f>base[[#This Row],[L/P Bruto]]-base[[#This Row],[L/P Líquido]]</f>
        <v>0</v>
      </c>
      <c r="N1949" s="126">
        <f>base[[#This Row],[L/P Líquido]]/base[[#This Row],[Stake/Responsabilidade]]</f>
        <v>-1</v>
      </c>
      <c r="O1949" s="132">
        <f>IF(base[[#This Row],[L/P Líquido]]&gt;0,1,0)</f>
        <v>0</v>
      </c>
      <c r="P1949" s="132"/>
      <c r="Q1949" s="132" t="str">
        <f>LEFT(base[[#This Row],[Evento / Mercado]],FIND("vs",base[[#This Row],[Evento / Mercado]])-2)</f>
        <v>SC Telstar</v>
      </c>
      <c r="R19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Heracles Almelo</v>
      </c>
      <c r="S1949" s="132" t="str">
        <f>LEFT(base[[#This Row],[Evento / Mercado]],FIND("/",base[[#This Row],[Evento / Mercado]])-2)</f>
        <v>SC Telstar vs Heracles Almelo</v>
      </c>
    </row>
    <row r="1950" spans="2:19" ht="15" customHeight="1">
      <c r="B1950" s="128" t="s">
        <v>1898</v>
      </c>
      <c r="C1950" s="128" t="s">
        <v>2982</v>
      </c>
      <c r="D1950" s="129">
        <v>46152.544027777774</v>
      </c>
      <c r="E1950" s="130">
        <v>-4.13</v>
      </c>
      <c r="F1950" s="136">
        <v>4.4999999999999998E-2</v>
      </c>
      <c r="G1950" s="126">
        <f t="shared" si="31"/>
        <v>-4.13</v>
      </c>
      <c r="H1950" s="126" t="s">
        <v>1339</v>
      </c>
      <c r="I1950" s="127" t="s">
        <v>1236</v>
      </c>
      <c r="J1950" s="126">
        <v>13</v>
      </c>
      <c r="K1950" s="126">
        <v>4</v>
      </c>
      <c r="L1950" s="129">
        <f>INT(base[[#This Row],[Data de liquidação]])</f>
        <v>46152</v>
      </c>
      <c r="M1950" s="126">
        <f>base[[#This Row],[L/P Bruto]]-base[[#This Row],[L/P Líquido]]</f>
        <v>0</v>
      </c>
      <c r="N1950" s="126">
        <f>base[[#This Row],[L/P Líquido]]/base[[#This Row],[Stake/Responsabilidade]]</f>
        <v>-1.0325</v>
      </c>
      <c r="O1950" s="132">
        <f>IF(base[[#This Row],[L/P Líquido]]&gt;0,1,0)</f>
        <v>0</v>
      </c>
      <c r="P1950" s="132"/>
      <c r="Q1950" s="132" t="str">
        <f>LEFT(base[[#This Row],[Evento / Mercado]],FIND("vs",base[[#This Row],[Evento / Mercado]])-2)</f>
        <v>Feyenoord</v>
      </c>
      <c r="R19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AZ Alkmaar</v>
      </c>
      <c r="S1950" s="132" t="str">
        <f>LEFT(base[[#This Row],[Evento / Mercado]],FIND("/",base[[#This Row],[Evento / Mercado]])-2)</f>
        <v>Feyenoord vs AZ Alkmaar</v>
      </c>
    </row>
    <row r="1951" spans="2:19" ht="15" customHeight="1">
      <c r="B1951" s="128" t="s">
        <v>1897</v>
      </c>
      <c r="C1951" s="128" t="s">
        <v>2982</v>
      </c>
      <c r="D1951" s="129">
        <v>46152.545335648145</v>
      </c>
      <c r="E1951" s="130">
        <v>-4.8899999999999997</v>
      </c>
      <c r="F1951" s="136">
        <v>4.4999999999999998E-2</v>
      </c>
      <c r="G1951" s="126">
        <f t="shared" si="31"/>
        <v>-4.8899999999999997</v>
      </c>
      <c r="H1951" s="126" t="s">
        <v>1339</v>
      </c>
      <c r="I1951" s="127" t="s">
        <v>1236</v>
      </c>
      <c r="J1951" s="126">
        <v>10</v>
      </c>
      <c r="K1951" s="126">
        <v>4</v>
      </c>
      <c r="L1951" s="129">
        <f>INT(base[[#This Row],[Data de liquidação]])</f>
        <v>46152</v>
      </c>
      <c r="M1951" s="126">
        <f>base[[#This Row],[L/P Bruto]]-base[[#This Row],[L/P Líquido]]</f>
        <v>0</v>
      </c>
      <c r="N1951" s="126">
        <f>base[[#This Row],[L/P Líquido]]/base[[#This Row],[Stake/Responsabilidade]]</f>
        <v>-1.2224999999999999</v>
      </c>
      <c r="O1951" s="132">
        <f>IF(base[[#This Row],[L/P Líquido]]&gt;0,1,0)</f>
        <v>0</v>
      </c>
      <c r="P1951" s="132"/>
      <c r="Q1951" s="132" t="str">
        <f>LEFT(base[[#This Row],[Evento / Mercado]],FIND("vs",base[[#This Row],[Evento / Mercado]])-2)</f>
        <v>Leganés</v>
      </c>
      <c r="R19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1951" s="132" t="str">
        <f>LEFT(base[[#This Row],[Evento / Mercado]],FIND("/",base[[#This Row],[Evento / Mercado]])-2)</f>
        <v>Leganés vs Racing Santander</v>
      </c>
    </row>
    <row r="1952" spans="2:19" ht="15" customHeight="1">
      <c r="B1952" s="128" t="s">
        <v>1896</v>
      </c>
      <c r="C1952" s="128" t="s">
        <v>2982</v>
      </c>
      <c r="D1952" s="129">
        <v>46152.556747685187</v>
      </c>
      <c r="E1952" s="130">
        <v>4.3499999999999996</v>
      </c>
      <c r="F1952" s="136">
        <v>4.4999999999999998E-2</v>
      </c>
      <c r="G1952" s="126">
        <f t="shared" si="31"/>
        <v>4.5549738219895284</v>
      </c>
      <c r="H1952" s="126" t="s">
        <v>1339</v>
      </c>
      <c r="I1952" s="127" t="s">
        <v>1388</v>
      </c>
      <c r="J1952" s="126">
        <v>12</v>
      </c>
      <c r="K1952" s="126">
        <v>50.05</v>
      </c>
      <c r="L1952" s="129">
        <f>INT(base[[#This Row],[Data de liquidação]])</f>
        <v>46152</v>
      </c>
      <c r="M1952" s="126">
        <f>base[[#This Row],[L/P Bruto]]-base[[#This Row],[L/P Líquido]]</f>
        <v>0.20497382198952874</v>
      </c>
      <c r="N1952" s="126">
        <f>base[[#This Row],[L/P Líquido]]/base[[#This Row],[Stake/Responsabilidade]]</f>
        <v>8.6913086913086912E-2</v>
      </c>
      <c r="O1952" s="132">
        <f>IF(base[[#This Row],[L/P Líquido]]&gt;0,1,0)</f>
        <v>1</v>
      </c>
      <c r="P1952" s="132"/>
      <c r="Q1952" s="132" t="str">
        <f>LEFT(base[[#This Row],[Evento / Mercado]],FIND("vs",base[[#This Row],[Evento / Mercado]])-2)</f>
        <v>BSC Young Boys</v>
      </c>
      <c r="R19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Basel</v>
      </c>
      <c r="S1952" s="132" t="str">
        <f>LEFT(base[[#This Row],[Evento / Mercado]],FIND("/",base[[#This Row],[Evento / Mercado]])-2)</f>
        <v>BSC Young Boys vs FC Basel</v>
      </c>
    </row>
    <row r="1953" spans="2:19" ht="15" customHeight="1">
      <c r="B1953" s="128" t="s">
        <v>1895</v>
      </c>
      <c r="C1953" s="128" t="s">
        <v>2982</v>
      </c>
      <c r="D1953" s="129">
        <v>46152.563576388886</v>
      </c>
      <c r="E1953" s="130">
        <v>-2.67</v>
      </c>
      <c r="F1953" s="136">
        <v>4.4999999999999998E-2</v>
      </c>
      <c r="G1953" s="126">
        <f t="shared" si="31"/>
        <v>-2.67</v>
      </c>
      <c r="H1953" s="126" t="s">
        <v>1339</v>
      </c>
      <c r="I1953" s="127" t="s">
        <v>1236</v>
      </c>
      <c r="J1953" s="126">
        <v>8</v>
      </c>
      <c r="K1953" s="126">
        <v>4</v>
      </c>
      <c r="L1953" s="129">
        <f>INT(base[[#This Row],[Data de liquidação]])</f>
        <v>46152</v>
      </c>
      <c r="M1953" s="126">
        <f>base[[#This Row],[L/P Bruto]]-base[[#This Row],[L/P Líquido]]</f>
        <v>0</v>
      </c>
      <c r="N1953" s="126">
        <f>base[[#This Row],[L/P Líquido]]/base[[#This Row],[Stake/Responsabilidade]]</f>
        <v>-0.66749999999999998</v>
      </c>
      <c r="O1953" s="132">
        <f>IF(base[[#This Row],[L/P Líquido]]&gt;0,1,0)</f>
        <v>0</v>
      </c>
      <c r="P1953" s="132"/>
      <c r="Q1953" s="132" t="str">
        <f>LEFT(base[[#This Row],[Evento / Mercado]],FIND("vs",base[[#This Row],[Evento / Mercado]])-2)</f>
        <v>NAC Breda</v>
      </c>
      <c r="R19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1953" s="132" t="str">
        <f>LEFT(base[[#This Row],[Evento / Mercado]],FIND("/",base[[#This Row],[Evento / Mercado]])-2)</f>
        <v>NAC Breda vs Heerenveen</v>
      </c>
    </row>
    <row r="1954" spans="2:19" ht="15" customHeight="1">
      <c r="B1954" s="128" t="s">
        <v>1894</v>
      </c>
      <c r="C1954" s="128" t="s">
        <v>2982</v>
      </c>
      <c r="D1954" s="129">
        <v>46152.567453703705</v>
      </c>
      <c r="E1954" s="130">
        <v>5.97</v>
      </c>
      <c r="F1954" s="136">
        <v>4.4999999999999998E-2</v>
      </c>
      <c r="G1954" s="126">
        <f t="shared" si="31"/>
        <v>6.2513089005235605</v>
      </c>
      <c r="H1954" s="126" t="s">
        <v>1784</v>
      </c>
      <c r="I1954" s="127" t="s">
        <v>1785</v>
      </c>
      <c r="J1954" s="126">
        <v>9</v>
      </c>
      <c r="K1954" s="126">
        <v>50</v>
      </c>
      <c r="L1954" s="129">
        <f>INT(base[[#This Row],[Data de liquidação]])</f>
        <v>46152</v>
      </c>
      <c r="M1954" s="126">
        <f>base[[#This Row],[L/P Bruto]]-base[[#This Row],[L/P Líquido]]</f>
        <v>0.28130890052356072</v>
      </c>
      <c r="N1954" s="126">
        <f>base[[#This Row],[L/P Líquido]]/base[[#This Row],[Stake/Responsabilidade]]</f>
        <v>0.11939999999999999</v>
      </c>
      <c r="O1954" s="132">
        <f>IF(base[[#This Row],[L/P Líquido]]&gt;0,1,0)</f>
        <v>1</v>
      </c>
      <c r="P1954" s="132"/>
      <c r="Q1954" s="132" t="str">
        <f>LEFT(base[[#This Row],[Evento / Mercado]],FIND("vs",base[[#This Row],[Evento / Mercado]])-2)</f>
        <v>FC Twente</v>
      </c>
      <c r="R19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Sparta Rotterdam</v>
      </c>
      <c r="S1954" s="132" t="str">
        <f>LEFT(base[[#This Row],[Evento / Mercado]],FIND("/",base[[#This Row],[Evento / Mercado]])-2)</f>
        <v>FC Twente vs Sparta Rotterdam</v>
      </c>
    </row>
    <row r="1955" spans="2:19" ht="15" customHeight="1">
      <c r="B1955" s="128" t="s">
        <v>1893</v>
      </c>
      <c r="C1955" s="128" t="s">
        <v>2982</v>
      </c>
      <c r="D1955" s="129">
        <v>46152.56927083333</v>
      </c>
      <c r="E1955" s="130">
        <v>2.33</v>
      </c>
      <c r="F1955" s="136">
        <v>4.4999999999999998E-2</v>
      </c>
      <c r="G1955" s="126">
        <f t="shared" si="31"/>
        <v>2.4397905759162306</v>
      </c>
      <c r="H1955" s="126" t="s">
        <v>1339</v>
      </c>
      <c r="I1955" s="127" t="s">
        <v>1429</v>
      </c>
      <c r="J1955" s="126">
        <v>2.2200000000000002</v>
      </c>
      <c r="K1955" s="126">
        <v>2</v>
      </c>
      <c r="L1955" s="129">
        <f>INT(base[[#This Row],[Data de liquidação]])</f>
        <v>46152</v>
      </c>
      <c r="M1955" s="126">
        <f>base[[#This Row],[L/P Bruto]]-base[[#This Row],[L/P Líquido]]</f>
        <v>0.10979057591623054</v>
      </c>
      <c r="N1955" s="126">
        <f>base[[#This Row],[L/P Líquido]]/base[[#This Row],[Stake/Responsabilidade]]</f>
        <v>1.165</v>
      </c>
      <c r="O1955" s="132">
        <f>IF(base[[#This Row],[L/P Líquido]]&gt;0,1,0)</f>
        <v>1</v>
      </c>
      <c r="P1955" s="132"/>
      <c r="Q1955" s="132" t="str">
        <f>LEFT(base[[#This Row],[Evento / Mercado]],FIND("vs",base[[#This Row],[Evento / Mercado]])-2)</f>
        <v>Fortuna Sittard</v>
      </c>
      <c r="R19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1955" s="132" t="str">
        <f>LEFT(base[[#This Row],[Evento / Mercado]],FIND("/",base[[#This Row],[Evento / Mercado]])-2)</f>
        <v>Fortuna Sittard vs PEC Zwolle</v>
      </c>
    </row>
    <row r="1956" spans="2:19" ht="15" customHeight="1">
      <c r="B1956" s="128" t="s">
        <v>1892</v>
      </c>
      <c r="C1956" s="128" t="s">
        <v>2982</v>
      </c>
      <c r="D1956" s="129">
        <v>46152.577743055554</v>
      </c>
      <c r="E1956" s="130">
        <v>12.9</v>
      </c>
      <c r="F1956" s="136">
        <v>4.4999999999999998E-2</v>
      </c>
      <c r="G1956" s="126">
        <f t="shared" si="31"/>
        <v>13.507853403141363</v>
      </c>
      <c r="H1956" s="126" t="s">
        <v>1784</v>
      </c>
      <c r="I1956" s="127" t="s">
        <v>1785</v>
      </c>
      <c r="J1956" s="126">
        <v>4.7</v>
      </c>
      <c r="K1956" s="126">
        <v>49.99</v>
      </c>
      <c r="L1956" s="129">
        <f>INT(base[[#This Row],[Data de liquidação]])</f>
        <v>46152</v>
      </c>
      <c r="M1956" s="126">
        <f>base[[#This Row],[L/P Bruto]]-base[[#This Row],[L/P Líquido]]</f>
        <v>0.60785340314136249</v>
      </c>
      <c r="N1956" s="126">
        <f>base[[#This Row],[L/P Líquido]]/base[[#This Row],[Stake/Responsabilidade]]</f>
        <v>0.25805161032206442</v>
      </c>
      <c r="O1956" s="132">
        <f>IF(base[[#This Row],[L/P Líquido]]&gt;0,1,0)</f>
        <v>1</v>
      </c>
      <c r="P1956" s="132"/>
      <c r="Q1956" s="132" t="str">
        <f>LEFT(base[[#This Row],[Evento / Mercado]],FIND("vs",base[[#This Row],[Evento / Mercado]])-2)</f>
        <v>FK Košice</v>
      </c>
      <c r="R19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KFC Komárno</v>
      </c>
      <c r="S1956" s="132" t="str">
        <f>LEFT(base[[#This Row],[Evento / Mercado]],FIND("/",base[[#This Row],[Evento / Mercado]])-2)</f>
        <v>FK Košice vs KFC Komárno</v>
      </c>
    </row>
    <row r="1957" spans="2:19" ht="15" customHeight="1">
      <c r="B1957" s="128" t="s">
        <v>1891</v>
      </c>
      <c r="C1957" s="128" t="s">
        <v>2982</v>
      </c>
      <c r="D1957" s="129">
        <v>46152.57885416667</v>
      </c>
      <c r="E1957" s="130">
        <v>21.01</v>
      </c>
      <c r="F1957" s="136">
        <v>4.4999999999999998E-2</v>
      </c>
      <c r="G1957" s="126">
        <f t="shared" si="31"/>
        <v>22.000000000000004</v>
      </c>
      <c r="H1957" s="126" t="s">
        <v>1784</v>
      </c>
      <c r="I1957" s="127" t="s">
        <v>1787</v>
      </c>
      <c r="J1957" s="126">
        <v>1.44</v>
      </c>
      <c r="K1957" s="126">
        <v>50</v>
      </c>
      <c r="L1957" s="129">
        <f>INT(base[[#This Row],[Data de liquidação]])</f>
        <v>46152</v>
      </c>
      <c r="M1957" s="126">
        <f>base[[#This Row],[L/P Bruto]]-base[[#This Row],[L/P Líquido]]</f>
        <v>0.99000000000000199</v>
      </c>
      <c r="N1957" s="126">
        <f>base[[#This Row],[L/P Líquido]]/base[[#This Row],[Stake/Responsabilidade]]</f>
        <v>0.42020000000000002</v>
      </c>
      <c r="O1957" s="132">
        <f>IF(base[[#This Row],[L/P Líquido]]&gt;0,1,0)</f>
        <v>1</v>
      </c>
      <c r="P1957" s="132"/>
      <c r="Q1957" s="132" t="str">
        <f>LEFT(base[[#This Row],[Evento / Mercado]],FIND("vs",base[[#This Row],[Evento / Mercado]])-2)</f>
        <v>SC Telstar</v>
      </c>
      <c r="R19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Heracles Almelo</v>
      </c>
      <c r="S1957" s="132" t="str">
        <f>LEFT(base[[#This Row],[Evento / Mercado]],FIND("/",base[[#This Row],[Evento / Mercado]])-2)</f>
        <v>SC Telstar vs Heracles Almelo</v>
      </c>
    </row>
    <row r="1958" spans="2:19" ht="15" customHeight="1">
      <c r="B1958" s="128" t="s">
        <v>1890</v>
      </c>
      <c r="C1958" s="128" t="s">
        <v>2982</v>
      </c>
      <c r="D1958" s="129">
        <v>46152.581921296296</v>
      </c>
      <c r="E1958" s="130">
        <v>11.65</v>
      </c>
      <c r="F1958" s="136">
        <v>4.4999999999999998E-2</v>
      </c>
      <c r="G1958" s="126">
        <f t="shared" si="31"/>
        <v>12.198952879581153</v>
      </c>
      <c r="H1958" s="126" t="s">
        <v>1784</v>
      </c>
      <c r="I1958" s="127" t="s">
        <v>1785</v>
      </c>
      <c r="J1958" s="126">
        <v>5.0999999999999996</v>
      </c>
      <c r="K1958" s="126">
        <v>50.02</v>
      </c>
      <c r="L1958" s="129">
        <f>INT(base[[#This Row],[Data de liquidação]])</f>
        <v>46152</v>
      </c>
      <c r="M1958" s="126">
        <f>base[[#This Row],[L/P Bruto]]-base[[#This Row],[L/P Líquido]]</f>
        <v>0.54895287958115269</v>
      </c>
      <c r="N1958" s="126">
        <f>base[[#This Row],[L/P Líquido]]/base[[#This Row],[Stake/Responsabilidade]]</f>
        <v>0.23290683726509395</v>
      </c>
      <c r="O1958" s="132">
        <f>IF(base[[#This Row],[L/P Líquido]]&gt;0,1,0)</f>
        <v>1</v>
      </c>
      <c r="P1958" s="132"/>
      <c r="Q1958" s="132" t="str">
        <f>LEFT(base[[#This Row],[Evento / Mercado]],FIND("vs",base[[#This Row],[Evento / Mercado]])-2)</f>
        <v>AC Omonia Nicosia</v>
      </c>
      <c r="R19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AEK Larnaca</v>
      </c>
      <c r="S1958" s="132" t="str">
        <f>LEFT(base[[#This Row],[Evento / Mercado]],FIND("/",base[[#This Row],[Evento / Mercado]])-2)</f>
        <v>AC Omonia Nicosia vs AEK Larnaca</v>
      </c>
    </row>
    <row r="1959" spans="2:19" ht="15" customHeight="1">
      <c r="B1959" s="128" t="s">
        <v>1889</v>
      </c>
      <c r="C1959" s="128" t="s">
        <v>2982</v>
      </c>
      <c r="D1959" s="129">
        <v>46152.588796296295</v>
      </c>
      <c r="E1959" s="130">
        <v>3.82</v>
      </c>
      <c r="F1959" s="136">
        <v>4.4999999999999998E-2</v>
      </c>
      <c r="G1959" s="126">
        <f t="shared" si="31"/>
        <v>4</v>
      </c>
      <c r="H1959" s="126" t="s">
        <v>1339</v>
      </c>
      <c r="I1959" s="127" t="s">
        <v>1236</v>
      </c>
      <c r="J1959" s="126">
        <v>6.2</v>
      </c>
      <c r="K1959" s="126">
        <v>4</v>
      </c>
      <c r="L1959" s="129">
        <f>INT(base[[#This Row],[Data de liquidação]])</f>
        <v>46152</v>
      </c>
      <c r="M1959" s="126">
        <f>base[[#This Row],[L/P Bruto]]-base[[#This Row],[L/P Líquido]]</f>
        <v>0.18000000000000016</v>
      </c>
      <c r="N1959" s="126">
        <f>base[[#This Row],[L/P Líquido]]/base[[#This Row],[Stake/Responsabilidade]]</f>
        <v>0.95499999999999996</v>
      </c>
      <c r="O1959" s="132">
        <f>IF(base[[#This Row],[L/P Líquido]]&gt;0,1,0)</f>
        <v>1</v>
      </c>
      <c r="P1959" s="132"/>
      <c r="Q1959" s="132" t="str">
        <f>LEFT(base[[#This Row],[Evento / Mercado]],FIND("vs",base[[#This Row],[Evento / Mercado]])-2)</f>
        <v>Parma</v>
      </c>
      <c r="R19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 Roma</v>
      </c>
      <c r="S1959" s="132" t="str">
        <f>LEFT(base[[#This Row],[Evento / Mercado]],FIND("/",base[[#This Row],[Evento / Mercado]])-2)</f>
        <v>Parma vs AS Roma</v>
      </c>
    </row>
    <row r="1960" spans="2:19" ht="15" customHeight="1">
      <c r="B1960" s="128" t="s">
        <v>1888</v>
      </c>
      <c r="C1960" s="128" t="s">
        <v>2982</v>
      </c>
      <c r="D1960" s="129">
        <v>46152.627418981479</v>
      </c>
      <c r="E1960" s="130">
        <v>2.5099999999999998</v>
      </c>
      <c r="F1960" s="136">
        <v>4.4999999999999998E-2</v>
      </c>
      <c r="G1960" s="126">
        <f t="shared" si="31"/>
        <v>2.6282722513089003</v>
      </c>
      <c r="H1960" s="126" t="s">
        <v>1339</v>
      </c>
      <c r="I1960" s="127" t="s">
        <v>1430</v>
      </c>
      <c r="J1960" s="126">
        <v>22</v>
      </c>
      <c r="K1960" s="126">
        <v>55.23</v>
      </c>
      <c r="L1960" s="129">
        <f>INT(base[[#This Row],[Data de liquidação]])</f>
        <v>46152</v>
      </c>
      <c r="M1960" s="126">
        <f>base[[#This Row],[L/P Bruto]]-base[[#This Row],[L/P Líquido]]</f>
        <v>0.11827225130890051</v>
      </c>
      <c r="N1960" s="126">
        <f>base[[#This Row],[L/P Líquido]]/base[[#This Row],[Stake/Responsabilidade]]</f>
        <v>4.5446315408292595E-2</v>
      </c>
      <c r="O1960" s="132">
        <f>IF(base[[#This Row],[L/P Líquido]]&gt;0,1,0)</f>
        <v>1</v>
      </c>
      <c r="P1960" s="132"/>
      <c r="Q1960" s="132" t="str">
        <f>LEFT(base[[#This Row],[Evento / Mercado]],FIND("vs",base[[#This Row],[Evento / Mercado]])-2)</f>
        <v>Al-Riyadh</v>
      </c>
      <c r="R19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Al-Fateh Al-Hasa</v>
      </c>
      <c r="S1960" s="132" t="str">
        <f>LEFT(base[[#This Row],[Evento / Mercado]],FIND("/",base[[#This Row],[Evento / Mercado]])-2)</f>
        <v>Al-Riyadh vs Al-Fateh Al-Hasa</v>
      </c>
    </row>
    <row r="1961" spans="2:19" ht="15" customHeight="1">
      <c r="B1961" s="128" t="s">
        <v>1887</v>
      </c>
      <c r="C1961" s="128" t="s">
        <v>2982</v>
      </c>
      <c r="D1961" s="129">
        <v>46152.636319444442</v>
      </c>
      <c r="E1961" s="130">
        <v>1.62</v>
      </c>
      <c r="F1961" s="136">
        <v>4.4999999999999998E-2</v>
      </c>
      <c r="G1961" s="126">
        <f t="shared" si="31"/>
        <v>1.6963350785340316</v>
      </c>
      <c r="H1961" s="126" t="s">
        <v>1339</v>
      </c>
      <c r="I1961" s="127" t="s">
        <v>1431</v>
      </c>
      <c r="J1961" s="126">
        <v>1.85</v>
      </c>
      <c r="K1961" s="126">
        <v>2</v>
      </c>
      <c r="L1961" s="129">
        <f>INT(base[[#This Row],[Data de liquidação]])</f>
        <v>46152</v>
      </c>
      <c r="M1961" s="126">
        <f>base[[#This Row],[L/P Bruto]]-base[[#This Row],[L/P Líquido]]</f>
        <v>7.6335078534031542E-2</v>
      </c>
      <c r="N1961" s="126">
        <f>base[[#This Row],[L/P Líquido]]/base[[#This Row],[Stake/Responsabilidade]]</f>
        <v>0.81</v>
      </c>
      <c r="O1961" s="132">
        <f>IF(base[[#This Row],[L/P Líquido]]&gt;0,1,0)</f>
        <v>1</v>
      </c>
      <c r="P1961" s="132"/>
      <c r="Q1961" s="132" t="str">
        <f>LEFT(base[[#This Row],[Evento / Mercado]],FIND("vs",base[[#This Row],[Evento / Mercado]])-2)</f>
        <v>Córdoba CF</v>
      </c>
      <c r="R19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Granada CF</v>
      </c>
      <c r="S1961" s="132" t="str">
        <f>LEFT(base[[#This Row],[Evento / Mercado]],FIND("/",base[[#This Row],[Evento / Mercado]])-2)</f>
        <v>Córdoba CF vs Granada CF</v>
      </c>
    </row>
    <row r="1962" spans="2:19" ht="15" customHeight="1">
      <c r="B1962" s="128" t="s">
        <v>1886</v>
      </c>
      <c r="C1962" s="128" t="s">
        <v>2982</v>
      </c>
      <c r="D1962" s="129">
        <v>46152.636770833335</v>
      </c>
      <c r="E1962" s="130">
        <v>-3.34</v>
      </c>
      <c r="F1962" s="136">
        <v>4.4999999999999998E-2</v>
      </c>
      <c r="G1962" s="126">
        <f t="shared" si="31"/>
        <v>-3.34</v>
      </c>
      <c r="H1962" s="126" t="s">
        <v>1339</v>
      </c>
      <c r="I1962" s="127" t="s">
        <v>1236</v>
      </c>
      <c r="J1962" s="126">
        <v>12.11</v>
      </c>
      <c r="K1962" s="126">
        <v>4</v>
      </c>
      <c r="L1962" s="129">
        <f>INT(base[[#This Row],[Data de liquidação]])</f>
        <v>46152</v>
      </c>
      <c r="M1962" s="126">
        <f>base[[#This Row],[L/P Bruto]]-base[[#This Row],[L/P Líquido]]</f>
        <v>0</v>
      </c>
      <c r="N1962" s="126">
        <f>base[[#This Row],[L/P Líquido]]/base[[#This Row],[Stake/Responsabilidade]]</f>
        <v>-0.83499999999999996</v>
      </c>
      <c r="O1962" s="132">
        <f>IF(base[[#This Row],[L/P Líquido]]&gt;0,1,0)</f>
        <v>0</v>
      </c>
      <c r="P1962" s="132"/>
      <c r="Q1962" s="132" t="str">
        <f>LEFT(base[[#This Row],[Evento / Mercado]],FIND("vs",base[[#This Row],[Evento / Mercado]])-2)</f>
        <v>AVS Futebol SAD</v>
      </c>
      <c r="R19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Porto</v>
      </c>
      <c r="S1962" s="132" t="str">
        <f>LEFT(base[[#This Row],[Evento / Mercado]],FIND("/",base[[#This Row],[Evento / Mercado]])-2)</f>
        <v>AVS Futebol SAD vs FC Porto</v>
      </c>
    </row>
    <row r="1963" spans="2:19" ht="15" customHeight="1">
      <c r="B1963" s="128" t="s">
        <v>1885</v>
      </c>
      <c r="C1963" s="128" t="s">
        <v>2982</v>
      </c>
      <c r="D1963" s="129">
        <v>46152.646041666667</v>
      </c>
      <c r="E1963" s="130">
        <v>-2</v>
      </c>
      <c r="F1963" s="136">
        <v>4.4999999999999998E-2</v>
      </c>
      <c r="G1963" s="126">
        <f t="shared" si="31"/>
        <v>-2</v>
      </c>
      <c r="H1963" s="126" t="s">
        <v>1339</v>
      </c>
      <c r="I1963" s="127" t="s">
        <v>1431</v>
      </c>
      <c r="J1963" s="126">
        <v>2.1</v>
      </c>
      <c r="K1963" s="126">
        <v>2</v>
      </c>
      <c r="L1963" s="129">
        <f>INT(base[[#This Row],[Data de liquidação]])</f>
        <v>46152</v>
      </c>
      <c r="M1963" s="126">
        <f>base[[#This Row],[L/P Bruto]]-base[[#This Row],[L/P Líquido]]</f>
        <v>0</v>
      </c>
      <c r="N1963" s="126">
        <f>base[[#This Row],[L/P Líquido]]/base[[#This Row],[Stake/Responsabilidade]]</f>
        <v>-1</v>
      </c>
      <c r="O1963" s="132">
        <f>IF(base[[#This Row],[L/P Líquido]]&gt;0,1,0)</f>
        <v>0</v>
      </c>
      <c r="P1963" s="132"/>
      <c r="Q1963" s="132" t="str">
        <f>LEFT(base[[#This Row],[Evento / Mercado]],FIND("vs",base[[#This Row],[Evento / Mercado]])-2)</f>
        <v>Real Oviedo</v>
      </c>
      <c r="R19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Getafe</v>
      </c>
      <c r="S1963" s="132" t="str">
        <f>LEFT(base[[#This Row],[Evento / Mercado]],FIND("/",base[[#This Row],[Evento / Mercado]])-2)</f>
        <v>Real Oviedo vs Getafe</v>
      </c>
    </row>
    <row r="1964" spans="2:19" ht="15" customHeight="1">
      <c r="B1964" s="128" t="s">
        <v>1884</v>
      </c>
      <c r="C1964" s="128" t="s">
        <v>2982</v>
      </c>
      <c r="D1964" s="129">
        <v>46152.646099537036</v>
      </c>
      <c r="E1964" s="130">
        <v>10.85</v>
      </c>
      <c r="F1964" s="136">
        <v>4.4999999999999998E-2</v>
      </c>
      <c r="G1964" s="126">
        <f t="shared" si="31"/>
        <v>11.361256544502618</v>
      </c>
      <c r="H1964" s="126" t="s">
        <v>1784</v>
      </c>
      <c r="I1964" s="127" t="s">
        <v>1785</v>
      </c>
      <c r="J1964" s="126">
        <v>5.4</v>
      </c>
      <c r="K1964" s="126">
        <v>49.98</v>
      </c>
      <c r="L1964" s="129">
        <f>INT(base[[#This Row],[Data de liquidação]])</f>
        <v>46152</v>
      </c>
      <c r="M1964" s="126">
        <f>base[[#This Row],[L/P Bruto]]-base[[#This Row],[L/P Líquido]]</f>
        <v>0.51125654450261848</v>
      </c>
      <c r="N1964" s="126">
        <f>base[[#This Row],[L/P Líquido]]/base[[#This Row],[Stake/Responsabilidade]]</f>
        <v>0.21708683473389356</v>
      </c>
      <c r="O1964" s="132">
        <f>IF(base[[#This Row],[L/P Líquido]]&gt;0,1,0)</f>
        <v>1</v>
      </c>
      <c r="P1964" s="132"/>
      <c r="Q1964" s="132" t="str">
        <f>LEFT(base[[#This Row],[Evento / Mercado]],FIND("vs",base[[#This Row],[Evento / Mercado]])-2)</f>
        <v>Antofagasta</v>
      </c>
      <c r="R19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Deportivo San Luis</v>
      </c>
      <c r="S1964" s="132" t="str">
        <f>LEFT(base[[#This Row],[Evento / Mercado]],FIND("/",base[[#This Row],[Evento / Mercado]])-2)</f>
        <v>Antofagasta vs Club Deportivo San Luis</v>
      </c>
    </row>
    <row r="1965" spans="2:19" ht="15" customHeight="1">
      <c r="B1965" s="128" t="s">
        <v>1883</v>
      </c>
      <c r="C1965" s="128" t="s">
        <v>2982</v>
      </c>
      <c r="D1965" s="129">
        <v>46152.656886574077</v>
      </c>
      <c r="E1965" s="130">
        <v>3.82</v>
      </c>
      <c r="F1965" s="136">
        <v>4.4999999999999998E-2</v>
      </c>
      <c r="G1965" s="126">
        <f t="shared" si="31"/>
        <v>4</v>
      </c>
      <c r="H1965" s="126" t="s">
        <v>1339</v>
      </c>
      <c r="I1965" s="127" t="s">
        <v>1236</v>
      </c>
      <c r="J1965" s="126">
        <v>9.8000000000000007</v>
      </c>
      <c r="K1965" s="126">
        <v>4</v>
      </c>
      <c r="L1965" s="129">
        <f>INT(base[[#This Row],[Data de liquidação]])</f>
        <v>46152</v>
      </c>
      <c r="M1965" s="126">
        <f>base[[#This Row],[L/P Bruto]]-base[[#This Row],[L/P Líquido]]</f>
        <v>0.18000000000000016</v>
      </c>
      <c r="N1965" s="126">
        <f>base[[#This Row],[L/P Líquido]]/base[[#This Row],[Stake/Responsabilidade]]</f>
        <v>0.95499999999999996</v>
      </c>
      <c r="O1965" s="132">
        <f>IF(base[[#This Row],[L/P Líquido]]&gt;0,1,0)</f>
        <v>1</v>
      </c>
      <c r="P1965" s="132"/>
      <c r="Q1965" s="132" t="str">
        <f>LEFT(base[[#This Row],[Evento / Mercado]],FIND("vs",base[[#This Row],[Evento / Mercado]])-2)</f>
        <v>1. FSV Mainz 05</v>
      </c>
      <c r="R19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1965" s="132" t="str">
        <f>LEFT(base[[#This Row],[Evento / Mercado]],FIND("/",base[[#This Row],[Evento / Mercado]])-2)</f>
        <v>1. FSV Mainz 05 vs 1. FC Union Berlin</v>
      </c>
    </row>
    <row r="1966" spans="2:19" ht="15" customHeight="1">
      <c r="B1966" s="128" t="s">
        <v>1882</v>
      </c>
      <c r="C1966" s="128" t="s">
        <v>2982</v>
      </c>
      <c r="D1966" s="129">
        <v>46152.67392361111</v>
      </c>
      <c r="E1966" s="130">
        <v>4.1500000000000004</v>
      </c>
      <c r="F1966" s="136">
        <v>4.4999999999999998E-2</v>
      </c>
      <c r="G1966" s="126">
        <f t="shared" si="31"/>
        <v>4.345549738219896</v>
      </c>
      <c r="H1966" s="126" t="s">
        <v>1339</v>
      </c>
      <c r="I1966" s="127" t="s">
        <v>1388</v>
      </c>
      <c r="J1966" s="126">
        <v>13.5</v>
      </c>
      <c r="K1966" s="126">
        <v>54.37</v>
      </c>
      <c r="L1966" s="129">
        <f>INT(base[[#This Row],[Data de liquidação]])</f>
        <v>46152</v>
      </c>
      <c r="M1966" s="126">
        <f>base[[#This Row],[L/P Bruto]]-base[[#This Row],[L/P Líquido]]</f>
        <v>0.19554973821989563</v>
      </c>
      <c r="N1966" s="126">
        <f>base[[#This Row],[L/P Líquido]]/base[[#This Row],[Stake/Responsabilidade]]</f>
        <v>7.6328857826006999E-2</v>
      </c>
      <c r="O1966" s="132">
        <f>IF(base[[#This Row],[L/P Líquido]]&gt;0,1,0)</f>
        <v>1</v>
      </c>
      <c r="P1966" s="132"/>
      <c r="Q1966" s="132" t="str">
        <f>LEFT(base[[#This Row],[Evento / Mercado]],FIND("vs",base[[#This Row],[Evento / Mercado]])-2)</f>
        <v>Racing Genk</v>
      </c>
      <c r="R19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Westerlo</v>
      </c>
      <c r="S1966" s="132" t="str">
        <f>LEFT(base[[#This Row],[Evento / Mercado]],FIND("/",base[[#This Row],[Evento / Mercado]])-2)</f>
        <v>Racing Genk vs Westerlo</v>
      </c>
    </row>
    <row r="1967" spans="2:19" ht="15" customHeight="1">
      <c r="B1967" s="128" t="s">
        <v>1881</v>
      </c>
      <c r="C1967" s="128" t="s">
        <v>2982</v>
      </c>
      <c r="D1967" s="129">
        <v>46152.685543981483</v>
      </c>
      <c r="E1967" s="130">
        <v>85.66</v>
      </c>
      <c r="F1967" s="136">
        <v>4.4999999999999998E-2</v>
      </c>
      <c r="G1967" s="126">
        <f t="shared" si="31"/>
        <v>89.696335078534034</v>
      </c>
      <c r="H1967" s="126" t="s">
        <v>231</v>
      </c>
      <c r="I1967" s="127" t="s">
        <v>266</v>
      </c>
      <c r="J1967" s="126">
        <v>1.78</v>
      </c>
      <c r="K1967" s="126">
        <v>115</v>
      </c>
      <c r="L1967" s="129">
        <f>INT(base[[#This Row],[Data de liquidação]])</f>
        <v>46152</v>
      </c>
      <c r="M1967" s="126">
        <f>base[[#This Row],[L/P Bruto]]-base[[#This Row],[L/P Líquido]]</f>
        <v>4.0363350785340373</v>
      </c>
      <c r="N1967" s="126">
        <f>base[[#This Row],[L/P Líquido]]/base[[#This Row],[Stake/Responsabilidade]]</f>
        <v>0.74486956521739123</v>
      </c>
      <c r="O1967" s="132">
        <f>IF(base[[#This Row],[L/P Líquido]]&gt;0,1,0)</f>
        <v>1</v>
      </c>
      <c r="P1967" s="132"/>
      <c r="Q1967" s="132" t="str">
        <f>LEFT(base[[#This Row],[Evento / Mercado]],FIND("vs",base[[#This Row],[Evento / Mercado]])-2)</f>
        <v>AJ Auxerre</v>
      </c>
      <c r="R19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OGC Nice</v>
      </c>
      <c r="S1967" s="132" t="str">
        <f>LEFT(base[[#This Row],[Evento / Mercado]],FIND("/",base[[#This Row],[Evento / Mercado]])-2)</f>
        <v>AJ Auxerre vs OGC Nice</v>
      </c>
    </row>
    <row r="1968" spans="2:19" ht="15" customHeight="1">
      <c r="B1968" s="128" t="s">
        <v>1880</v>
      </c>
      <c r="C1968" s="128" t="s">
        <v>2982</v>
      </c>
      <c r="D1968" s="129">
        <v>46152.689560185187</v>
      </c>
      <c r="E1968" s="130">
        <v>4.1500000000000004</v>
      </c>
      <c r="F1968" s="136">
        <v>4.4999999999999998E-2</v>
      </c>
      <c r="G1968" s="126">
        <f t="shared" si="31"/>
        <v>4.345549738219896</v>
      </c>
      <c r="H1968" s="126" t="s">
        <v>1339</v>
      </c>
      <c r="I1968" s="127" t="s">
        <v>1388</v>
      </c>
      <c r="J1968" s="126">
        <v>12.5</v>
      </c>
      <c r="K1968" s="126">
        <v>50.03</v>
      </c>
      <c r="L1968" s="129">
        <f>INT(base[[#This Row],[Data de liquidação]])</f>
        <v>46152</v>
      </c>
      <c r="M1968" s="126">
        <f>base[[#This Row],[L/P Bruto]]-base[[#This Row],[L/P Líquido]]</f>
        <v>0.19554973821989563</v>
      </c>
      <c r="N1968" s="126">
        <f>base[[#This Row],[L/P Líquido]]/base[[#This Row],[Stake/Responsabilidade]]</f>
        <v>8.2950229862082753E-2</v>
      </c>
      <c r="O1968" s="132">
        <f>IF(base[[#This Row],[L/P Líquido]]&gt;0,1,0)</f>
        <v>1</v>
      </c>
      <c r="P1968" s="132"/>
      <c r="Q1968" s="132" t="str">
        <f>LEFT(base[[#This Row],[Evento / Mercado]],FIND("vs",base[[#This Row],[Evento / Mercado]])-2)</f>
        <v>1. FSV Mainz 05</v>
      </c>
      <c r="R19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1968" s="132" t="str">
        <f>LEFT(base[[#This Row],[Evento / Mercado]],FIND("/",base[[#This Row],[Evento / Mercado]])-2)</f>
        <v>1. FSV Mainz 05 vs 1. FC Union Berlin</v>
      </c>
    </row>
    <row r="1969" spans="2:19" ht="15" customHeight="1">
      <c r="B1969" s="128" t="s">
        <v>1879</v>
      </c>
      <c r="C1969" s="128" t="s">
        <v>2982</v>
      </c>
      <c r="D1969" s="129">
        <v>46152.690451388888</v>
      </c>
      <c r="E1969" s="130">
        <v>-4.75</v>
      </c>
      <c r="F1969" s="136">
        <v>4.4999999999999998E-2</v>
      </c>
      <c r="G1969" s="126">
        <f t="shared" si="31"/>
        <v>-4.75</v>
      </c>
      <c r="H1969" s="126" t="s">
        <v>1339</v>
      </c>
      <c r="I1969" s="127" t="s">
        <v>1236</v>
      </c>
      <c r="J1969" s="126">
        <v>10.5</v>
      </c>
      <c r="K1969" s="126">
        <v>38</v>
      </c>
      <c r="L1969" s="129">
        <f>INT(base[[#This Row],[Data de liquidação]])</f>
        <v>46152</v>
      </c>
      <c r="M1969" s="126">
        <f>base[[#This Row],[L/P Bruto]]-base[[#This Row],[L/P Líquido]]</f>
        <v>0</v>
      </c>
      <c r="N1969" s="126">
        <f>base[[#This Row],[L/P Líquido]]/base[[#This Row],[Stake/Responsabilidade]]</f>
        <v>-0.125</v>
      </c>
      <c r="O1969" s="132">
        <f>IF(base[[#This Row],[L/P Líquido]]&gt;0,1,0)</f>
        <v>0</v>
      </c>
      <c r="P1969" s="132"/>
      <c r="Q1969" s="132" t="str">
        <f>LEFT(base[[#This Row],[Evento / Mercado]],FIND("vs",base[[#This Row],[Evento / Mercado]])-2)</f>
        <v>Al-Ittihad Jeddah</v>
      </c>
      <c r="R19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Dhamk</v>
      </c>
      <c r="S1969" s="132" t="str">
        <f>LEFT(base[[#This Row],[Evento / Mercado]],FIND("/",base[[#This Row],[Evento / Mercado]])-2)</f>
        <v>Al-Ittihad Jeddah vs Dhamk</v>
      </c>
    </row>
    <row r="1970" spans="2:19" ht="15" customHeight="1">
      <c r="B1970" s="128" t="s">
        <v>1516</v>
      </c>
      <c r="C1970" s="128" t="s">
        <v>2982</v>
      </c>
      <c r="D1970" s="129">
        <v>46152.702951388892</v>
      </c>
      <c r="E1970" s="130">
        <v>-50</v>
      </c>
      <c r="F1970" s="136">
        <v>4.4999999999999998E-2</v>
      </c>
      <c r="G1970" s="126">
        <f t="shared" si="31"/>
        <v>-50</v>
      </c>
      <c r="H1970" s="126" t="s">
        <v>1784</v>
      </c>
      <c r="I1970" s="127" t="s">
        <v>1448</v>
      </c>
      <c r="J1970" s="126">
        <v>1.21</v>
      </c>
      <c r="K1970" s="126">
        <v>50</v>
      </c>
      <c r="L1970" s="129">
        <f>INT(base[[#This Row],[Data de liquidação]])</f>
        <v>46152</v>
      </c>
      <c r="M1970" s="126">
        <f>base[[#This Row],[L/P Bruto]]-base[[#This Row],[L/P Líquido]]</f>
        <v>0</v>
      </c>
      <c r="N1970" s="126">
        <f>base[[#This Row],[L/P Líquido]]/base[[#This Row],[Stake/Responsabilidade]]</f>
        <v>-1</v>
      </c>
      <c r="O1970" s="132">
        <f>IF(base[[#This Row],[L/P Líquido]]&gt;0,1,0)</f>
        <v>0</v>
      </c>
      <c r="P1970" s="132"/>
      <c r="Q1970" s="132" t="str">
        <f>LEFT(base[[#This Row],[Evento / Mercado]],FIND("vs",base[[#This Row],[Evento / Mercado]])-2)</f>
        <v>Paris Saint-Germain</v>
      </c>
      <c r="R19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1970" s="132" t="str">
        <f>LEFT(base[[#This Row],[Evento / Mercado]],FIND("/",base[[#This Row],[Evento / Mercado]])-2)</f>
        <v>Paris Saint-Germain vs Stade Brestois 29</v>
      </c>
    </row>
    <row r="1971" spans="2:19" ht="15" customHeight="1">
      <c r="B1971" s="128" t="s">
        <v>1516</v>
      </c>
      <c r="C1971" s="128" t="s">
        <v>2982</v>
      </c>
      <c r="D1971" s="129">
        <v>46152.702951388892</v>
      </c>
      <c r="E1971" s="130">
        <v>-2</v>
      </c>
      <c r="F1971" s="136">
        <v>4.4999999999999998E-2</v>
      </c>
      <c r="G1971" s="126">
        <f t="shared" si="31"/>
        <v>-2</v>
      </c>
      <c r="H1971" s="126" t="s">
        <v>1339</v>
      </c>
      <c r="I1971" s="127" t="s">
        <v>1448</v>
      </c>
      <c r="J1971" s="126">
        <v>1.6</v>
      </c>
      <c r="K1971" s="126">
        <v>2</v>
      </c>
      <c r="L1971" s="129">
        <f>INT(base[[#This Row],[Data de liquidação]])</f>
        <v>46152</v>
      </c>
      <c r="M1971" s="126">
        <f>base[[#This Row],[L/P Bruto]]-base[[#This Row],[L/P Líquido]]</f>
        <v>0</v>
      </c>
      <c r="N1971" s="126">
        <f>base[[#This Row],[L/P Líquido]]/base[[#This Row],[Stake/Responsabilidade]]</f>
        <v>-1</v>
      </c>
      <c r="O1971" s="132">
        <f>IF(base[[#This Row],[L/P Líquido]]&gt;0,1,0)</f>
        <v>0</v>
      </c>
      <c r="P1971" s="132"/>
      <c r="Q1971" s="132" t="str">
        <f>LEFT(base[[#This Row],[Evento / Mercado]],FIND("vs",base[[#This Row],[Evento / Mercado]])-2)</f>
        <v>Paris Saint-Germain</v>
      </c>
      <c r="R19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1971" s="132" t="str">
        <f>LEFT(base[[#This Row],[Evento / Mercado]],FIND("/",base[[#This Row],[Evento / Mercado]])-2)</f>
        <v>Paris Saint-Germain vs Stade Brestois 29</v>
      </c>
    </row>
    <row r="1972" spans="2:19" ht="15" customHeight="1">
      <c r="B1972" s="128" t="s">
        <v>1878</v>
      </c>
      <c r="C1972" s="128" t="s">
        <v>2982</v>
      </c>
      <c r="D1972" s="129">
        <v>46152.735011574077</v>
      </c>
      <c r="E1972" s="130">
        <v>85.8</v>
      </c>
      <c r="F1972" s="136">
        <v>4.4999999999999998E-2</v>
      </c>
      <c r="G1972" s="126">
        <f t="shared" si="31"/>
        <v>89.842931937172779</v>
      </c>
      <c r="H1972" s="126" t="s">
        <v>231</v>
      </c>
      <c r="I1972" s="127" t="s">
        <v>232</v>
      </c>
      <c r="J1972" s="126">
        <v>1.78</v>
      </c>
      <c r="K1972" s="126">
        <v>115</v>
      </c>
      <c r="L1972" s="129">
        <f>INT(base[[#This Row],[Data de liquidação]])</f>
        <v>46152</v>
      </c>
      <c r="M1972" s="126">
        <f>base[[#This Row],[L/P Bruto]]-base[[#This Row],[L/P Líquido]]</f>
        <v>4.0429319371727814</v>
      </c>
      <c r="N1972" s="126">
        <f>base[[#This Row],[L/P Líquido]]/base[[#This Row],[Stake/Responsabilidade]]</f>
        <v>0.74608695652173906</v>
      </c>
      <c r="O1972" s="132">
        <f>IF(base[[#This Row],[L/P Líquido]]&gt;0,1,0)</f>
        <v>1</v>
      </c>
      <c r="P1972" s="132"/>
      <c r="Q1972" s="132" t="str">
        <f>LEFT(base[[#This Row],[Evento / Mercado]],FIND("vs",base[[#This Row],[Evento / Mercado]])-2)</f>
        <v>Toulouse FC</v>
      </c>
      <c r="R19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Lyonnais</v>
      </c>
      <c r="S1972" s="132" t="str">
        <f>LEFT(base[[#This Row],[Evento / Mercado]],FIND("/",base[[#This Row],[Evento / Mercado]])-2)</f>
        <v>Toulouse FC vs Olympique Lyonnais</v>
      </c>
    </row>
    <row r="1973" spans="2:19" ht="15" customHeight="1">
      <c r="B1973" s="128" t="s">
        <v>1877</v>
      </c>
      <c r="C1973" s="128" t="s">
        <v>2982</v>
      </c>
      <c r="D1973" s="129">
        <v>46152.746469907404</v>
      </c>
      <c r="E1973" s="130">
        <v>1.08</v>
      </c>
      <c r="F1973" s="136">
        <v>4.4999999999999998E-2</v>
      </c>
      <c r="G1973" s="126">
        <f t="shared" si="31"/>
        <v>1.130890052356021</v>
      </c>
      <c r="H1973" s="126" t="s">
        <v>1339</v>
      </c>
      <c r="I1973" s="127" t="s">
        <v>1336</v>
      </c>
      <c r="J1973" s="126">
        <v>1.5</v>
      </c>
      <c r="K1973" s="126">
        <v>5</v>
      </c>
      <c r="L1973" s="129">
        <f>INT(base[[#This Row],[Data de liquidação]])</f>
        <v>46152</v>
      </c>
      <c r="M1973" s="126">
        <f>base[[#This Row],[L/P Bruto]]-base[[#This Row],[L/P Líquido]]</f>
        <v>5.0890052356020954E-2</v>
      </c>
      <c r="N1973" s="126">
        <f>base[[#This Row],[L/P Líquido]]/base[[#This Row],[Stake/Responsabilidade]]</f>
        <v>0.21600000000000003</v>
      </c>
      <c r="O1973" s="132">
        <f>IF(base[[#This Row],[L/P Líquido]]&gt;0,1,0)</f>
        <v>1</v>
      </c>
      <c r="P1973" s="132"/>
      <c r="Q1973" s="132" t="str">
        <f>LEFT(base[[#This Row],[Evento / Mercado]],FIND("vs",base[[#This Row],[Evento / Mercado]])-2)</f>
        <v>Stade Rennais</v>
      </c>
      <c r="R19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FC</v>
      </c>
      <c r="S1973" s="132" t="str">
        <f>LEFT(base[[#This Row],[Evento / Mercado]],FIND("/",base[[#This Row],[Evento / Mercado]])-2)</f>
        <v>Stade Rennais vs Paris FC</v>
      </c>
    </row>
    <row r="1974" spans="2:19" ht="15" customHeight="1">
      <c r="B1974" s="128" t="s">
        <v>1876</v>
      </c>
      <c r="C1974" s="128" t="s">
        <v>2982</v>
      </c>
      <c r="D1974" s="129">
        <v>46152.748495370368</v>
      </c>
      <c r="E1974" s="130">
        <v>-2</v>
      </c>
      <c r="F1974" s="136">
        <v>4.4999999999999998E-2</v>
      </c>
      <c r="G1974" s="126">
        <f t="shared" si="31"/>
        <v>-2</v>
      </c>
      <c r="H1974" s="126" t="s">
        <v>1339</v>
      </c>
      <c r="I1974" s="127" t="s">
        <v>1429</v>
      </c>
      <c r="J1974" s="126">
        <v>2.2400000000000002</v>
      </c>
      <c r="K1974" s="126">
        <v>2</v>
      </c>
      <c r="L1974" s="129">
        <f>INT(base[[#This Row],[Data de liquidação]])</f>
        <v>46152</v>
      </c>
      <c r="M1974" s="126">
        <f>base[[#This Row],[L/P Bruto]]-base[[#This Row],[L/P Líquido]]</f>
        <v>0</v>
      </c>
      <c r="N1974" s="126">
        <f>base[[#This Row],[L/P Líquido]]/base[[#This Row],[Stake/Responsabilidade]]</f>
        <v>-1</v>
      </c>
      <c r="O1974" s="132">
        <f>IF(base[[#This Row],[L/P Líquido]]&gt;0,1,0)</f>
        <v>0</v>
      </c>
      <c r="P1974" s="132"/>
      <c r="Q1974" s="132" t="str">
        <f>LEFT(base[[#This Row],[Evento / Mercado]],FIND("vs",base[[#This Row],[Evento / Mercado]])-2)</f>
        <v>Atlético Mineiro</v>
      </c>
      <c r="R19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1974" s="132" t="str">
        <f>LEFT(base[[#This Row],[Evento / Mercado]],FIND("/",base[[#This Row],[Evento / Mercado]])-2)</f>
        <v>Atlético Mineiro vs Botafogo FR</v>
      </c>
    </row>
    <row r="1975" spans="2:19" ht="15" customHeight="1">
      <c r="B1975" s="128" t="s">
        <v>1875</v>
      </c>
      <c r="C1975" s="128" t="s">
        <v>2982</v>
      </c>
      <c r="D1975" s="129">
        <v>46152.751076388886</v>
      </c>
      <c r="E1975" s="130">
        <v>2.04</v>
      </c>
      <c r="F1975" s="136">
        <v>4.4999999999999998E-2</v>
      </c>
      <c r="G1975" s="126">
        <f t="shared" si="31"/>
        <v>2.1361256544502618</v>
      </c>
      <c r="H1975" s="126" t="s">
        <v>1339</v>
      </c>
      <c r="I1975" s="127" t="s">
        <v>1390</v>
      </c>
      <c r="J1975" s="126">
        <v>15</v>
      </c>
      <c r="K1975" s="126">
        <v>29.96</v>
      </c>
      <c r="L1975" s="129">
        <f>INT(base[[#This Row],[Data de liquidação]])</f>
        <v>46152</v>
      </c>
      <c r="M1975" s="126">
        <f>base[[#This Row],[L/P Bruto]]-base[[#This Row],[L/P Líquido]]</f>
        <v>9.6125654450261777E-2</v>
      </c>
      <c r="N1975" s="126">
        <f>base[[#This Row],[L/P Líquido]]/base[[#This Row],[Stake/Responsabilidade]]</f>
        <v>6.8090787716955939E-2</v>
      </c>
      <c r="O1975" s="132">
        <f>IF(base[[#This Row],[L/P Líquido]]&gt;0,1,0)</f>
        <v>1</v>
      </c>
      <c r="P1975" s="132"/>
      <c r="Q1975" s="132" t="str">
        <f>LEFT(base[[#This Row],[Evento / Mercado]],FIND("vs",base[[#This Row],[Evento / Mercado]])-2)</f>
        <v>Paris Saint-Germain</v>
      </c>
      <c r="R19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1975" s="132" t="str">
        <f>LEFT(base[[#This Row],[Evento / Mercado]],FIND("/",base[[#This Row],[Evento / Mercado]])-2)</f>
        <v>Paris Saint-Germain vs Stade Brestois 29</v>
      </c>
    </row>
    <row r="1976" spans="2:19" ht="15" customHeight="1">
      <c r="B1976" s="128" t="s">
        <v>1874</v>
      </c>
      <c r="C1976" s="128" t="s">
        <v>2982</v>
      </c>
      <c r="D1976" s="129">
        <v>46152.753877314812</v>
      </c>
      <c r="E1976" s="130">
        <v>12.57</v>
      </c>
      <c r="F1976" s="136">
        <v>4.4999999999999998E-2</v>
      </c>
      <c r="G1976" s="126">
        <f t="shared" si="31"/>
        <v>13.162303664921467</v>
      </c>
      <c r="H1976" s="126" t="s">
        <v>1784</v>
      </c>
      <c r="I1976" s="127" t="s">
        <v>1785</v>
      </c>
      <c r="J1976" s="126">
        <v>4.8</v>
      </c>
      <c r="K1976" s="126">
        <v>50.01</v>
      </c>
      <c r="L1976" s="129">
        <f>INT(base[[#This Row],[Data de liquidação]])</f>
        <v>46152</v>
      </c>
      <c r="M1976" s="126">
        <f>base[[#This Row],[L/P Bruto]]-base[[#This Row],[L/P Líquido]]</f>
        <v>0.59230366492146658</v>
      </c>
      <c r="N1976" s="126">
        <f>base[[#This Row],[L/P Líquido]]/base[[#This Row],[Stake/Responsabilidade]]</f>
        <v>0.2513497300539892</v>
      </c>
      <c r="O1976" s="132">
        <f>IF(base[[#This Row],[L/P Líquido]]&gt;0,1,0)</f>
        <v>1</v>
      </c>
      <c r="P1976" s="132"/>
      <c r="Q1976" s="132" t="str">
        <f>LEFT(base[[#This Row],[Evento / Mercado]],FIND("vs",base[[#This Row],[Evento / Mercado]])-2)</f>
        <v>Vitória FC</v>
      </c>
      <c r="R19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Democrata GV</v>
      </c>
      <c r="S1976" s="132" t="str">
        <f>LEFT(base[[#This Row],[Evento / Mercado]],FIND("/",base[[#This Row],[Evento / Mercado]])-2)</f>
        <v>Vitória FC vs Democrata GV</v>
      </c>
    </row>
    <row r="1977" spans="2:19" ht="15" customHeight="1">
      <c r="B1977" s="128" t="s">
        <v>1873</v>
      </c>
      <c r="C1977" s="128" t="s">
        <v>2982</v>
      </c>
      <c r="D1977" s="129">
        <v>46152.758888888886</v>
      </c>
      <c r="E1977" s="130">
        <v>17.190000000000001</v>
      </c>
      <c r="F1977" s="136">
        <v>4.4999999999999998E-2</v>
      </c>
      <c r="G1977" s="126">
        <f t="shared" si="31"/>
        <v>18.000000000000004</v>
      </c>
      <c r="H1977" s="126" t="s">
        <v>1784</v>
      </c>
      <c r="I1977" s="127" t="s">
        <v>1448</v>
      </c>
      <c r="J1977" s="126">
        <v>1.36</v>
      </c>
      <c r="K1977" s="126">
        <v>50</v>
      </c>
      <c r="L1977" s="129">
        <f>INT(base[[#This Row],[Data de liquidação]])</f>
        <v>46152</v>
      </c>
      <c r="M1977" s="126">
        <f>base[[#This Row],[L/P Bruto]]-base[[#This Row],[L/P Líquido]]</f>
        <v>0.81000000000000227</v>
      </c>
      <c r="N1977" s="126">
        <f>base[[#This Row],[L/P Líquido]]/base[[#This Row],[Stake/Responsabilidade]]</f>
        <v>0.34380000000000005</v>
      </c>
      <c r="O1977" s="132">
        <f>IF(base[[#This Row],[L/P Líquido]]&gt;0,1,0)</f>
        <v>1</v>
      </c>
      <c r="P1977" s="132"/>
      <c r="Q1977" s="132" t="str">
        <f>LEFT(base[[#This Row],[Evento / Mercado]],FIND("vs",base[[#This Row],[Evento / Mercado]])-2)</f>
        <v>Imperatriz-MA</v>
      </c>
      <c r="R19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Trem Desportivo</v>
      </c>
      <c r="S1977" s="132" t="str">
        <f>LEFT(base[[#This Row],[Evento / Mercado]],FIND("/",base[[#This Row],[Evento / Mercado]])-2)</f>
        <v>Imperatriz-MA vs Trem Desportivo</v>
      </c>
    </row>
    <row r="1978" spans="2:19" ht="15" customHeight="1">
      <c r="B1978" s="128" t="s">
        <v>1872</v>
      </c>
      <c r="C1978" s="128" t="s">
        <v>2982</v>
      </c>
      <c r="D1978" s="129">
        <v>46152.794803240744</v>
      </c>
      <c r="E1978" s="130">
        <v>-2</v>
      </c>
      <c r="F1978" s="136">
        <v>4.4999999999999998E-2</v>
      </c>
      <c r="G1978" s="126">
        <f t="shared" si="31"/>
        <v>-2</v>
      </c>
      <c r="H1978" s="126" t="s">
        <v>1339</v>
      </c>
      <c r="I1978" s="127" t="s">
        <v>1448</v>
      </c>
      <c r="J1978" s="126">
        <v>1.61</v>
      </c>
      <c r="K1978" s="126">
        <v>2</v>
      </c>
      <c r="L1978" s="129">
        <f>INT(base[[#This Row],[Data de liquidação]])</f>
        <v>46152</v>
      </c>
      <c r="M1978" s="126">
        <f>base[[#This Row],[L/P Bruto]]-base[[#This Row],[L/P Líquido]]</f>
        <v>0</v>
      </c>
      <c r="N1978" s="126">
        <f>base[[#This Row],[L/P Líquido]]/base[[#This Row],[Stake/Responsabilidade]]</f>
        <v>-1</v>
      </c>
      <c r="O1978" s="132">
        <f>IF(base[[#This Row],[L/P Líquido]]&gt;0,1,0)</f>
        <v>0</v>
      </c>
      <c r="P1978" s="132"/>
      <c r="Q1978" s="132" t="str">
        <f>LEFT(base[[#This Row],[Evento / Mercado]],FIND("vs",base[[#This Row],[Evento / Mercado]])-2)</f>
        <v>The Strongest</v>
      </c>
      <c r="R19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Bamin Real Potosí</v>
      </c>
      <c r="S1978" s="132" t="str">
        <f>LEFT(base[[#This Row],[Evento / Mercado]],FIND("/",base[[#This Row],[Evento / Mercado]])-2)</f>
        <v>The Strongest vs Club Bamin Real Potosí</v>
      </c>
    </row>
    <row r="1979" spans="2:19" ht="15" customHeight="1">
      <c r="B1979" s="128" t="s">
        <v>1871</v>
      </c>
      <c r="C1979" s="128" t="s">
        <v>2982</v>
      </c>
      <c r="D1979" s="129">
        <v>46152.853344907409</v>
      </c>
      <c r="E1979" s="130">
        <v>2.38</v>
      </c>
      <c r="F1979" s="136">
        <v>4.4999999999999998E-2</v>
      </c>
      <c r="G1979" s="126">
        <f t="shared" si="31"/>
        <v>2.4921465968586389</v>
      </c>
      <c r="H1979" s="126" t="s">
        <v>1339</v>
      </c>
      <c r="I1979" s="127" t="s">
        <v>1429</v>
      </c>
      <c r="J1979" s="126">
        <v>2.2599999999999998</v>
      </c>
      <c r="K1979" s="126">
        <v>1.98</v>
      </c>
      <c r="L1979" s="129">
        <f>INT(base[[#This Row],[Data de liquidação]])</f>
        <v>46152</v>
      </c>
      <c r="M1979" s="126">
        <f>base[[#This Row],[L/P Bruto]]-base[[#This Row],[L/P Líquido]]</f>
        <v>0.11214659685863904</v>
      </c>
      <c r="N1979" s="126">
        <f>base[[#This Row],[L/P Líquido]]/base[[#This Row],[Stake/Responsabilidade]]</f>
        <v>1.202020202020202</v>
      </c>
      <c r="O1979" s="132">
        <f>IF(base[[#This Row],[L/P Líquido]]&gt;0,1,0)</f>
        <v>1</v>
      </c>
      <c r="P1979" s="132"/>
      <c r="Q1979" s="132" t="str">
        <f>LEFT(base[[#This Row],[Evento / Mercado]],FIND("vs",base[[#This Row],[Evento / Mercado]])-2)</f>
        <v>Santos FC</v>
      </c>
      <c r="R19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1979" s="132" t="str">
        <f>LEFT(base[[#This Row],[Evento / Mercado]],FIND("/",base[[#This Row],[Evento / Mercado]])-2)</f>
        <v>Santos FC vs Red Bull Bragantino</v>
      </c>
    </row>
    <row r="1980" spans="2:19" ht="15" customHeight="1">
      <c r="B1980" s="128" t="s">
        <v>1870</v>
      </c>
      <c r="C1980" s="128" t="s">
        <v>2982</v>
      </c>
      <c r="D1980" s="129">
        <v>46152.855405092596</v>
      </c>
      <c r="E1980" s="130">
        <v>-1.96</v>
      </c>
      <c r="F1980" s="136">
        <v>4.4999999999999998E-2</v>
      </c>
      <c r="G1980" s="126">
        <f t="shared" si="31"/>
        <v>-1.96</v>
      </c>
      <c r="H1980" s="126" t="s">
        <v>1339</v>
      </c>
      <c r="I1980" s="127" t="s">
        <v>1933</v>
      </c>
      <c r="J1980" s="126">
        <v>1.55</v>
      </c>
      <c r="K1980" s="126">
        <v>1.96</v>
      </c>
      <c r="L1980" s="129">
        <f>INT(base[[#This Row],[Data de liquidação]])</f>
        <v>46152</v>
      </c>
      <c r="M1980" s="126">
        <f>base[[#This Row],[L/P Bruto]]-base[[#This Row],[L/P Líquido]]</f>
        <v>0</v>
      </c>
      <c r="N1980" s="126">
        <f>base[[#This Row],[L/P Líquido]]/base[[#This Row],[Stake/Responsabilidade]]</f>
        <v>-1</v>
      </c>
      <c r="O1980" s="132">
        <f>IF(base[[#This Row],[L/P Líquido]]&gt;0,1,0)</f>
        <v>0</v>
      </c>
      <c r="P1980" s="132"/>
      <c r="Q1980" s="132" t="str">
        <f>LEFT(base[[#This Row],[Evento / Mercado]],FIND("vs",base[[#This Row],[Evento / Mercado]])-2)</f>
        <v>Avaí FC</v>
      </c>
      <c r="R19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EC</v>
      </c>
      <c r="S1980" s="132" t="str">
        <f>LEFT(base[[#This Row],[Evento / Mercado]],FIND("/",base[[#This Row],[Evento / Mercado]])-2)</f>
        <v>Avaí FC vs Fortaleza EC</v>
      </c>
    </row>
    <row r="1981" spans="2:19" ht="15" customHeight="1">
      <c r="B1981" s="128" t="s">
        <v>1869</v>
      </c>
      <c r="C1981" s="128" t="s">
        <v>2982</v>
      </c>
      <c r="D1981" s="129">
        <v>46152.8746875</v>
      </c>
      <c r="E1981" s="130">
        <v>7.7</v>
      </c>
      <c r="F1981" s="136">
        <v>4.4999999999999998E-2</v>
      </c>
      <c r="G1981" s="126">
        <f t="shared" si="31"/>
        <v>8.0628272251308903</v>
      </c>
      <c r="H1981" s="126" t="s">
        <v>1784</v>
      </c>
      <c r="I1981" s="127" t="s">
        <v>1785</v>
      </c>
      <c r="J1981" s="126">
        <v>7.2</v>
      </c>
      <c r="K1981" s="126">
        <v>49.97</v>
      </c>
      <c r="L1981" s="129">
        <f>INT(base[[#This Row],[Data de liquidação]])</f>
        <v>46152</v>
      </c>
      <c r="M1981" s="126">
        <f>base[[#This Row],[L/P Bruto]]-base[[#This Row],[L/P Líquido]]</f>
        <v>0.36282722513089016</v>
      </c>
      <c r="N1981" s="126">
        <f>base[[#This Row],[L/P Líquido]]/base[[#This Row],[Stake/Responsabilidade]]</f>
        <v>0.15409245547328398</v>
      </c>
      <c r="O1981" s="132">
        <f>IF(base[[#This Row],[L/P Líquido]]&gt;0,1,0)</f>
        <v>1</v>
      </c>
      <c r="P1981" s="132"/>
      <c r="Q1981" s="132" t="str">
        <f>LEFT(base[[#This Row],[Evento / Mercado]],FIND("vs",base[[#This Row],[Evento / Mercado]])-2)</f>
        <v>River Plate</v>
      </c>
      <c r="R19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Lorenzo</v>
      </c>
      <c r="S1981" s="132" t="str">
        <f>LEFT(base[[#This Row],[Evento / Mercado]],FIND("/",base[[#This Row],[Evento / Mercado]])-2)</f>
        <v>River Plate vs San Lorenzo</v>
      </c>
    </row>
    <row r="1982" spans="2:19" ht="15" customHeight="1">
      <c r="B1982" s="128" t="s">
        <v>1868</v>
      </c>
      <c r="C1982" s="128" t="s">
        <v>2982</v>
      </c>
      <c r="D1982" s="129">
        <v>46152.89334490741</v>
      </c>
      <c r="E1982" s="130">
        <v>1.99</v>
      </c>
      <c r="F1982" s="136">
        <v>4.4999999999999998E-2</v>
      </c>
      <c r="G1982" s="126">
        <f t="shared" si="31"/>
        <v>2.0837696335078535</v>
      </c>
      <c r="H1982" s="126" t="s">
        <v>1339</v>
      </c>
      <c r="I1982" s="127" t="s">
        <v>1388</v>
      </c>
      <c r="J1982" s="126">
        <v>24</v>
      </c>
      <c r="K1982" s="126">
        <v>47.84</v>
      </c>
      <c r="L1982" s="129">
        <f>INT(base[[#This Row],[Data de liquidação]])</f>
        <v>46152</v>
      </c>
      <c r="M1982" s="126">
        <f>base[[#This Row],[L/P Bruto]]-base[[#This Row],[L/P Líquido]]</f>
        <v>9.37696335078535E-2</v>
      </c>
      <c r="N1982" s="126">
        <f>base[[#This Row],[L/P Líquido]]/base[[#This Row],[Stake/Responsabilidade]]</f>
        <v>4.1596989966555184E-2</v>
      </c>
      <c r="O1982" s="132">
        <f>IF(base[[#This Row],[L/P Líquido]]&gt;0,1,0)</f>
        <v>1</v>
      </c>
      <c r="P1982" s="132"/>
      <c r="Q1982" s="132" t="str">
        <f>LEFT(base[[#This Row],[Evento / Mercado]],FIND("vs",base[[#This Row],[Evento / Mercado]])-2)</f>
        <v>Cusco FC</v>
      </c>
      <c r="R19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Los Chankas</v>
      </c>
      <c r="S1982" s="132" t="str">
        <f>LEFT(base[[#This Row],[Evento / Mercado]],FIND("/",base[[#This Row],[Evento / Mercado]])-2)</f>
        <v>Cusco FC vs CD Los Chankas</v>
      </c>
    </row>
    <row r="1983" spans="2:19" ht="15" customHeight="1">
      <c r="B1983" s="128" t="s">
        <v>1867</v>
      </c>
      <c r="C1983" s="128" t="s">
        <v>2982</v>
      </c>
      <c r="D1983" s="129">
        <v>46152.895173611112</v>
      </c>
      <c r="E1983" s="130">
        <v>-115</v>
      </c>
      <c r="F1983" s="136">
        <v>4.4999999999999998E-2</v>
      </c>
      <c r="G1983" s="126">
        <f t="shared" si="31"/>
        <v>-115</v>
      </c>
      <c r="H1983" s="126" t="s">
        <v>231</v>
      </c>
      <c r="I1983" s="127" t="s">
        <v>266</v>
      </c>
      <c r="J1983" s="126">
        <v>1.98</v>
      </c>
      <c r="K1983" s="126">
        <v>115</v>
      </c>
      <c r="L1983" s="129">
        <f>INT(base[[#This Row],[Data de liquidação]])</f>
        <v>46152</v>
      </c>
      <c r="M1983" s="126">
        <f>base[[#This Row],[L/P Bruto]]-base[[#This Row],[L/P Líquido]]</f>
        <v>0</v>
      </c>
      <c r="N1983" s="126">
        <f>base[[#This Row],[L/P Líquido]]/base[[#This Row],[Stake/Responsabilidade]]</f>
        <v>-1</v>
      </c>
      <c r="O1983" s="132">
        <f>IF(base[[#This Row],[L/P Líquido]]&gt;0,1,0)</f>
        <v>0</v>
      </c>
      <c r="P1983" s="132"/>
      <c r="Q1983" s="132" t="str">
        <f>LEFT(base[[#This Row],[Evento / Mercado]],FIND("vs",base[[#This Row],[Evento / Mercado]])-2)</f>
        <v>Grêmio FBPA</v>
      </c>
      <c r="R19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Flamengo</v>
      </c>
      <c r="S1983" s="132" t="str">
        <f>LEFT(base[[#This Row],[Evento / Mercado]],FIND("/",base[[#This Row],[Evento / Mercado]])-2)</f>
        <v>Grêmio FBPA vs Flamengo</v>
      </c>
    </row>
    <row r="1984" spans="2:19" ht="15" customHeight="1">
      <c r="B1984" s="128" t="s">
        <v>1866</v>
      </c>
      <c r="C1984" s="128" t="s">
        <v>2982</v>
      </c>
      <c r="D1984" s="129">
        <v>46152.929780092592</v>
      </c>
      <c r="E1984" s="130">
        <v>3.18</v>
      </c>
      <c r="F1984" s="136">
        <v>4.4999999999999998E-2</v>
      </c>
      <c r="G1984" s="126">
        <f t="shared" si="31"/>
        <v>3.329842931937173</v>
      </c>
      <c r="H1984" s="126" t="s">
        <v>1339</v>
      </c>
      <c r="I1984" s="127" t="s">
        <v>1388</v>
      </c>
      <c r="J1984" s="126">
        <v>16</v>
      </c>
      <c r="K1984" s="126">
        <v>49.95</v>
      </c>
      <c r="L1984" s="129">
        <f>INT(base[[#This Row],[Data de liquidação]])</f>
        <v>46152</v>
      </c>
      <c r="M1984" s="126">
        <f>base[[#This Row],[L/P Bruto]]-base[[#This Row],[L/P Líquido]]</f>
        <v>0.1498429319371728</v>
      </c>
      <c r="N1984" s="126">
        <f>base[[#This Row],[L/P Líquido]]/base[[#This Row],[Stake/Responsabilidade]]</f>
        <v>6.3663663663663661E-2</v>
      </c>
      <c r="O1984" s="132">
        <f>IF(base[[#This Row],[L/P Líquido]]&gt;0,1,0)</f>
        <v>1</v>
      </c>
      <c r="P1984" s="132"/>
      <c r="Q1984" s="132" t="str">
        <f>LEFT(base[[#This Row],[Evento / Mercado]],FIND("vs",base[[#This Row],[Evento / Mercado]])-2)</f>
        <v>Minnesota United</v>
      </c>
      <c r="R19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1984" s="132" t="str">
        <f>LEFT(base[[#This Row],[Evento / Mercado]],FIND("/",base[[#This Row],[Evento / Mercado]])-2)</f>
        <v>Minnesota United vs Austin FC</v>
      </c>
    </row>
    <row r="1985" spans="2:21" ht="15" customHeight="1">
      <c r="B1985" s="128" t="s">
        <v>1865</v>
      </c>
      <c r="C1985" s="128" t="s">
        <v>2982</v>
      </c>
      <c r="D1985" s="129">
        <v>46152.945891203701</v>
      </c>
      <c r="E1985" s="130">
        <v>91.52</v>
      </c>
      <c r="F1985" s="136">
        <v>4.4999999999999998E-2</v>
      </c>
      <c r="G1985" s="126">
        <f t="shared" si="31"/>
        <v>95.832460732984288</v>
      </c>
      <c r="H1985" s="126" t="s">
        <v>231</v>
      </c>
      <c r="I1985" s="127" t="s">
        <v>232</v>
      </c>
      <c r="J1985" s="126">
        <v>1.83</v>
      </c>
      <c r="K1985" s="126">
        <v>115</v>
      </c>
      <c r="L1985" s="129">
        <f>INT(base[[#This Row],[Data de liquidação]])</f>
        <v>46152</v>
      </c>
      <c r="M1985" s="126">
        <f>base[[#This Row],[L/P Bruto]]-base[[#This Row],[L/P Líquido]]</f>
        <v>4.3124607329842917</v>
      </c>
      <c r="N1985" s="126">
        <f>base[[#This Row],[L/P Líquido]]/base[[#This Row],[Stake/Responsabilidade]]</f>
        <v>0.79582608695652168</v>
      </c>
      <c r="O1985" s="132">
        <f>IF(base[[#This Row],[L/P Líquido]]&gt;0,1,0)</f>
        <v>1</v>
      </c>
      <c r="P1985" s="132"/>
      <c r="Q1985" s="132" t="str">
        <f>LEFT(base[[#This Row],[Evento / Mercado]],FIND("vs",base[[#This Row],[Evento / Mercado]])-2)</f>
        <v>Pumas UNAM</v>
      </c>
      <c r="R19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América</v>
      </c>
      <c r="S1985" s="132" t="str">
        <f>LEFT(base[[#This Row],[Evento / Mercado]],FIND("/",base[[#This Row],[Evento / Mercado]])-2)</f>
        <v>Pumas UNAM vs Club América</v>
      </c>
    </row>
    <row r="1986" spans="2:21" ht="15" customHeight="1">
      <c r="B1986" s="128" t="s">
        <v>1962</v>
      </c>
      <c r="C1986" s="128" t="s">
        <v>2982</v>
      </c>
      <c r="D1986" s="129">
        <v>46153.475590277776</v>
      </c>
      <c r="E1986" s="130">
        <v>17.190000000000001</v>
      </c>
      <c r="F1986" s="136">
        <v>4.4999999999999998E-2</v>
      </c>
      <c r="G1986" s="126">
        <f t="shared" si="31"/>
        <v>18.000000000000004</v>
      </c>
      <c r="H1986" s="126" t="s">
        <v>1784</v>
      </c>
      <c r="I1986" s="127" t="s">
        <v>1448</v>
      </c>
      <c r="J1986" s="126">
        <v>1.36</v>
      </c>
      <c r="K1986" s="126">
        <v>50</v>
      </c>
      <c r="L1986" s="129">
        <f>INT(base[[#This Row],[Data de liquidação]])</f>
        <v>46153</v>
      </c>
      <c r="M1986" s="126">
        <f>base[[#This Row],[L/P Bruto]]-base[[#This Row],[L/P Líquido]]</f>
        <v>0.81000000000000227</v>
      </c>
      <c r="N1986" s="126">
        <f>base[[#This Row],[L/P Líquido]]/base[[#This Row],[Stake/Responsabilidade]]</f>
        <v>0.34380000000000005</v>
      </c>
      <c r="O1986" s="132">
        <f>IF(base[[#This Row],[L/P Líquido]]&gt;0,1,0)</f>
        <v>1</v>
      </c>
      <c r="P1986" s="132"/>
      <c r="Q1986" s="132" t="str">
        <f>LEFT(base[[#This Row],[Evento / Mercado]],FIND("vs",base[[#This Row],[Evento / Mercado]])-2)</f>
        <v>Al-Nasr (UAE)</v>
      </c>
      <c r="R19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Kalba</v>
      </c>
      <c r="S1986" s="132" t="str">
        <f>LEFT(base[[#This Row],[Evento / Mercado]],FIND("/",base[[#This Row],[Evento / Mercado]])-2)</f>
        <v>Al-Nasr (UAE) vs Al-Ittihad Kalba</v>
      </c>
    </row>
    <row r="1987" spans="2:21" ht="15" customHeight="1">
      <c r="B1987" s="128" t="s">
        <v>1961</v>
      </c>
      <c r="C1987" s="128" t="s">
        <v>2982</v>
      </c>
      <c r="D1987" s="129">
        <v>46153.537997685184</v>
      </c>
      <c r="E1987" s="130">
        <v>1.88</v>
      </c>
      <c r="F1987" s="136">
        <v>4.4999999999999998E-2</v>
      </c>
      <c r="G1987" s="126">
        <f t="shared" ref="G1987:G2050" si="32">IF(E1987&gt;0,E1987/(1-F1987),E1987)</f>
        <v>1.9685863874345551</v>
      </c>
      <c r="H1987" s="126" t="s">
        <v>1339</v>
      </c>
      <c r="I1987" s="127" t="s">
        <v>1388</v>
      </c>
      <c r="J1987" s="126">
        <v>26</v>
      </c>
      <c r="K1987" s="126">
        <v>49.19</v>
      </c>
      <c r="L1987" s="129">
        <f>INT(base[[#This Row],[Data de liquidação]])</f>
        <v>46153</v>
      </c>
      <c r="M1987" s="126">
        <f>base[[#This Row],[L/P Bruto]]-base[[#This Row],[L/P Líquido]]</f>
        <v>8.8586387434555158E-2</v>
      </c>
      <c r="N1987" s="126">
        <f>base[[#This Row],[L/P Líquido]]/base[[#This Row],[Stake/Responsabilidade]]</f>
        <v>3.8219150233787358E-2</v>
      </c>
      <c r="O1987" s="132">
        <f>IF(base[[#This Row],[L/P Líquido]]&gt;0,1,0)</f>
        <v>1</v>
      </c>
      <c r="P1987" s="132"/>
      <c r="Q1987" s="132" t="str">
        <f>LEFT(base[[#This Row],[Evento / Mercado]],FIND("vs",base[[#This Row],[Evento / Mercado]])-2)</f>
        <v>Emami East Bengal FC</v>
      </c>
      <c r="R19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Roundglass Punjab FC</v>
      </c>
      <c r="S1987" s="132" t="str">
        <f>LEFT(base[[#This Row],[Evento / Mercado]],FIND("/",base[[#This Row],[Evento / Mercado]])-2)</f>
        <v>Emami East Bengal FC vs Roundglass Punjab FC</v>
      </c>
    </row>
    <row r="1988" spans="2:21" ht="15" customHeight="1">
      <c r="B1988" s="128" t="s">
        <v>1960</v>
      </c>
      <c r="C1988" s="128" t="s">
        <v>2982</v>
      </c>
      <c r="D1988" s="129">
        <v>46153.551898148151</v>
      </c>
      <c r="E1988" s="130">
        <v>1.39</v>
      </c>
      <c r="F1988" s="136">
        <v>4.4999999999999998E-2</v>
      </c>
      <c r="G1988" s="126">
        <f t="shared" si="32"/>
        <v>1.4554973821989527</v>
      </c>
      <c r="H1988" s="126" t="s">
        <v>1339</v>
      </c>
      <c r="I1988" s="127" t="s">
        <v>1429</v>
      </c>
      <c r="J1988" s="126">
        <v>1.73</v>
      </c>
      <c r="K1988" s="126">
        <v>2</v>
      </c>
      <c r="L1988" s="129">
        <f>INT(base[[#This Row],[Data de liquidação]])</f>
        <v>46153</v>
      </c>
      <c r="M1988" s="126">
        <f>base[[#This Row],[L/P Bruto]]-base[[#This Row],[L/P Líquido]]</f>
        <v>6.5497382198952847E-2</v>
      </c>
      <c r="N1988" s="126">
        <f>base[[#This Row],[L/P Líquido]]/base[[#This Row],[Stake/Responsabilidade]]</f>
        <v>0.69499999999999995</v>
      </c>
      <c r="O1988" s="132">
        <f>IF(base[[#This Row],[L/P Líquido]]&gt;0,1,0)</f>
        <v>1</v>
      </c>
      <c r="P1988" s="132"/>
      <c r="Q1988" s="132" t="str">
        <f>LEFT(base[[#This Row],[Evento / Mercado]],FIND("vs",base[[#This Row],[Evento / Mercado]])-2)</f>
        <v>Al-Nasr (UAE)</v>
      </c>
      <c r="R19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Kalba</v>
      </c>
      <c r="S1988" s="132" t="str">
        <f>LEFT(base[[#This Row],[Evento / Mercado]],FIND("/",base[[#This Row],[Evento / Mercado]])-2)</f>
        <v>Al-Nasr (UAE) vs Al-Ittihad Kalba</v>
      </c>
    </row>
    <row r="1989" spans="2:21" ht="15" customHeight="1">
      <c r="B1989" s="128" t="s">
        <v>1959</v>
      </c>
      <c r="C1989" s="128" t="s">
        <v>2982</v>
      </c>
      <c r="D1989" s="129">
        <v>46153.59270833333</v>
      </c>
      <c r="E1989" s="130">
        <v>15.76</v>
      </c>
      <c r="F1989" s="136">
        <v>4.4999999999999998E-2</v>
      </c>
      <c r="G1989" s="126">
        <f t="shared" si="32"/>
        <v>16.502617801047119</v>
      </c>
      <c r="H1989" s="126" t="s">
        <v>1784</v>
      </c>
      <c r="I1989" s="127" t="s">
        <v>1448</v>
      </c>
      <c r="J1989" s="126">
        <v>1.73</v>
      </c>
      <c r="K1989" s="126">
        <v>50</v>
      </c>
      <c r="L1989" s="129">
        <f>INT(base[[#This Row],[Data de liquidação]])</f>
        <v>46153</v>
      </c>
      <c r="M1989" s="126">
        <f>base[[#This Row],[L/P Bruto]]-base[[#This Row],[L/P Líquido]]</f>
        <v>0.74261780104711939</v>
      </c>
      <c r="N1989" s="126">
        <f>base[[#This Row],[L/P Líquido]]/base[[#This Row],[Stake/Responsabilidade]]</f>
        <v>0.31519999999999998</v>
      </c>
      <c r="O1989" s="132">
        <f>IF(base[[#This Row],[L/P Líquido]]&gt;0,1,0)</f>
        <v>1</v>
      </c>
      <c r="P1989" s="132"/>
      <c r="Q1989" s="132" t="str">
        <f>LEFT(base[[#This Row],[Evento / Mercado]],FIND("vs",base[[#This Row],[Evento / Mercado]])-2)</f>
        <v>Slask Wroclaw</v>
      </c>
      <c r="R19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LKS Lódz</v>
      </c>
      <c r="S1989" s="132" t="str">
        <f>LEFT(base[[#This Row],[Evento / Mercado]],FIND("/",base[[#This Row],[Evento / Mercado]])-2)</f>
        <v>Slask Wroclaw vs LKS Lódz</v>
      </c>
    </row>
    <row r="1990" spans="2:21" ht="15" customHeight="1">
      <c r="B1990" s="128" t="s">
        <v>1958</v>
      </c>
      <c r="C1990" s="128" t="s">
        <v>2982</v>
      </c>
      <c r="D1990" s="129">
        <v>46153.597719907404</v>
      </c>
      <c r="E1990" s="130">
        <v>17.690000000000001</v>
      </c>
      <c r="F1990" s="136">
        <v>4.4999999999999998E-2</v>
      </c>
      <c r="G1990" s="126">
        <f t="shared" si="32"/>
        <v>18.523560209424087</v>
      </c>
      <c r="H1990" s="126" t="s">
        <v>1784</v>
      </c>
      <c r="I1990" s="127" t="s">
        <v>1448</v>
      </c>
      <c r="J1990" s="126">
        <v>1.33</v>
      </c>
      <c r="K1990" s="126">
        <v>50</v>
      </c>
      <c r="L1990" s="129">
        <f>INT(base[[#This Row],[Data de liquidação]])</f>
        <v>46153</v>
      </c>
      <c r="M1990" s="126">
        <f>base[[#This Row],[L/P Bruto]]-base[[#This Row],[L/P Líquido]]</f>
        <v>0.83356020942408549</v>
      </c>
      <c r="N1990" s="126">
        <f>base[[#This Row],[L/P Líquido]]/base[[#This Row],[Stake/Responsabilidade]]</f>
        <v>0.3538</v>
      </c>
      <c r="O1990" s="132">
        <f>IF(base[[#This Row],[L/P Líquido]]&gt;0,1,0)</f>
        <v>1</v>
      </c>
      <c r="P1990" s="132"/>
      <c r="Q1990" s="132" t="str">
        <f>LEFT(base[[#This Row],[Evento / Mercado]],FIND("vs",base[[#This Row],[Evento / Mercado]])-2)</f>
        <v>SK Super Nova</v>
      </c>
      <c r="R19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Tukums 2000</v>
      </c>
      <c r="S1990" s="132" t="str">
        <f>LEFT(base[[#This Row],[Evento / Mercado]],FIND("/",base[[#This Row],[Evento / Mercado]])-2)</f>
        <v>SK Super Nova vs FK Tukums 2000</v>
      </c>
    </row>
    <row r="1991" spans="2:21" ht="15" customHeight="1">
      <c r="B1991" s="128" t="s">
        <v>1957</v>
      </c>
      <c r="C1991" s="128" t="s">
        <v>2982</v>
      </c>
      <c r="D1991" s="129">
        <v>46153.611527777779</v>
      </c>
      <c r="E1991" s="130">
        <v>1.0900000000000001</v>
      </c>
      <c r="F1991" s="136">
        <v>4.4999999999999998E-2</v>
      </c>
      <c r="G1991" s="126">
        <f t="shared" si="32"/>
        <v>1.1413612565445028</v>
      </c>
      <c r="H1991" s="126" t="s">
        <v>1339</v>
      </c>
      <c r="I1991" s="127" t="s">
        <v>1448</v>
      </c>
      <c r="J1991" s="126">
        <v>1.57</v>
      </c>
      <c r="K1991" s="126">
        <v>2</v>
      </c>
      <c r="L1991" s="129">
        <f>INT(base[[#This Row],[Data de liquidação]])</f>
        <v>46153</v>
      </c>
      <c r="M1991" s="126">
        <f>base[[#This Row],[L/P Bruto]]-base[[#This Row],[L/P Líquido]]</f>
        <v>5.1361256544502742E-2</v>
      </c>
      <c r="N1991" s="126">
        <f>base[[#This Row],[L/P Líquido]]/base[[#This Row],[Stake/Responsabilidade]]</f>
        <v>0.54500000000000004</v>
      </c>
      <c r="O1991" s="132">
        <f>IF(base[[#This Row],[L/P Líquido]]&gt;0,1,0)</f>
        <v>1</v>
      </c>
      <c r="P1991" s="132"/>
      <c r="Q1991" s="132" t="str">
        <f>LEFT(base[[#This Row],[Evento / Mercado]],FIND("vs",base[[#This Row],[Evento / Mercado]])-2)</f>
        <v>IK Sirius</v>
      </c>
      <c r="R19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1991" s="132" t="str">
        <f>LEFT(base[[#This Row],[Evento / Mercado]],FIND("/",base[[#This Row],[Evento / Mercado]])-2)</f>
        <v>IK Sirius vs Örgryte IS</v>
      </c>
    </row>
    <row r="1992" spans="2:21" ht="15" customHeight="1">
      <c r="B1992" s="128" t="s">
        <v>1956</v>
      </c>
      <c r="C1992" s="128" t="s">
        <v>2982</v>
      </c>
      <c r="D1992" s="129">
        <v>46153.620185185187</v>
      </c>
      <c r="E1992" s="130">
        <v>27.76</v>
      </c>
      <c r="F1992" s="136">
        <v>4.4999999999999998E-2</v>
      </c>
      <c r="G1992" s="126">
        <f t="shared" si="32"/>
        <v>29.068062827225134</v>
      </c>
      <c r="H1992" s="126" t="s">
        <v>1784</v>
      </c>
      <c r="I1992" s="127" t="s">
        <v>266</v>
      </c>
      <c r="J1992" s="126">
        <v>1.58</v>
      </c>
      <c r="K1992" s="126">
        <v>50</v>
      </c>
      <c r="L1992" s="129">
        <f>INT(base[[#This Row],[Data de liquidação]])</f>
        <v>46153</v>
      </c>
      <c r="M1992" s="126">
        <f>base[[#This Row],[L/P Bruto]]-base[[#This Row],[L/P Líquido]]</f>
        <v>1.3080628272251325</v>
      </c>
      <c r="N1992" s="126">
        <f>base[[#This Row],[L/P Líquido]]/base[[#This Row],[Stake/Responsabilidade]]</f>
        <v>0.55520000000000003</v>
      </c>
      <c r="O1992" s="132">
        <f>IF(base[[#This Row],[L/P Líquido]]&gt;0,1,0)</f>
        <v>1</v>
      </c>
      <c r="P1992" s="132"/>
      <c r="Q1992" s="132" t="str">
        <f>LEFT(base[[#This Row],[Evento / Mercado]],FIND("vs",base[[#This Row],[Evento / Mercado]])-2)</f>
        <v>Slask Wroclaw</v>
      </c>
      <c r="R19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LKS Lódz</v>
      </c>
      <c r="S1992" s="132" t="str">
        <f>LEFT(base[[#This Row],[Evento / Mercado]],FIND("/",base[[#This Row],[Evento / Mercado]])-2)</f>
        <v>Slask Wroclaw vs LKS Lódz</v>
      </c>
    </row>
    <row r="1993" spans="2:21" ht="15" customHeight="1">
      <c r="B1993" s="128" t="s">
        <v>1955</v>
      </c>
      <c r="C1993" s="128" t="s">
        <v>2982</v>
      </c>
      <c r="D1993" s="129">
        <v>46153.623333333337</v>
      </c>
      <c r="E1993" s="130">
        <v>-50</v>
      </c>
      <c r="F1993" s="136">
        <v>4.4999999999999998E-2</v>
      </c>
      <c r="G1993" s="126">
        <f t="shared" si="32"/>
        <v>-50</v>
      </c>
      <c r="H1993" s="126" t="s">
        <v>1784</v>
      </c>
      <c r="I1993" s="127" t="s">
        <v>266</v>
      </c>
      <c r="J1993" s="126">
        <v>1.84</v>
      </c>
      <c r="K1993" s="126">
        <v>50</v>
      </c>
      <c r="L1993" s="129">
        <f>INT(base[[#This Row],[Data de liquidação]])</f>
        <v>46153</v>
      </c>
      <c r="M1993" s="126">
        <f>base[[#This Row],[L/P Bruto]]-base[[#This Row],[L/P Líquido]]</f>
        <v>0</v>
      </c>
      <c r="N1993" s="126">
        <f>base[[#This Row],[L/P Líquido]]/base[[#This Row],[Stake/Responsabilidade]]</f>
        <v>-1</v>
      </c>
      <c r="O1993" s="132">
        <f>IF(base[[#This Row],[L/P Líquido]]&gt;0,1,0)</f>
        <v>0</v>
      </c>
      <c r="P1993" s="132"/>
      <c r="Q1993" s="132" t="str">
        <f>LEFT(base[[#This Row],[Evento / Mercado]],FIND("vs",base[[#This Row],[Evento / Mercado]])-2)</f>
        <v>Al Ahli Club</v>
      </c>
      <c r="R19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Hidd</v>
      </c>
      <c r="S1993" s="132" t="str">
        <f>LEFT(base[[#This Row],[Evento / Mercado]],FIND("/",base[[#This Row],[Evento / Mercado]])-2)</f>
        <v>Al Ahli Club vs Al Hidd</v>
      </c>
    </row>
    <row r="1994" spans="2:21" ht="15" customHeight="1">
      <c r="B1994" s="128" t="s">
        <v>1954</v>
      </c>
      <c r="C1994" s="128" t="s">
        <v>2982</v>
      </c>
      <c r="D1994" s="129">
        <v>46153.646770833337</v>
      </c>
      <c r="E1994" s="130">
        <v>-2.11</v>
      </c>
      <c r="F1994" s="136">
        <v>4.4999999999999998E-2</v>
      </c>
      <c r="G1994" s="126">
        <f t="shared" si="32"/>
        <v>-2.11</v>
      </c>
      <c r="H1994" s="126" t="s">
        <v>1339</v>
      </c>
      <c r="I1994" s="127" t="s">
        <v>1236</v>
      </c>
      <c r="J1994" s="126">
        <v>8.4</v>
      </c>
      <c r="K1994" s="126">
        <v>4</v>
      </c>
      <c r="L1994" s="129">
        <f>INT(base[[#This Row],[Data de liquidação]])</f>
        <v>46153</v>
      </c>
      <c r="M1994" s="126">
        <f>base[[#This Row],[L/P Bruto]]-base[[#This Row],[L/P Líquido]]</f>
        <v>0</v>
      </c>
      <c r="N1994" s="126">
        <f>base[[#This Row],[L/P Líquido]]/base[[#This Row],[Stake/Responsabilidade]]</f>
        <v>-0.52749999999999997</v>
      </c>
      <c r="O1994" s="132">
        <f>IF(base[[#This Row],[L/P Líquido]]&gt;0,1,0)</f>
        <v>0</v>
      </c>
      <c r="P1994" s="132"/>
      <c r="Q1994" s="132" t="str">
        <f>LEFT(base[[#This Row],[Evento / Mercado]],FIND("vs",base[[#This Row],[Evento / Mercado]])-2)</f>
        <v>IK Sirius</v>
      </c>
      <c r="R19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1994" s="132" t="str">
        <f>LEFT(base[[#This Row],[Evento / Mercado]],FIND("/",base[[#This Row],[Evento / Mercado]])-2)</f>
        <v>IK Sirius vs Örgryte IS</v>
      </c>
    </row>
    <row r="1995" spans="2:21" ht="15" customHeight="1">
      <c r="B1995" s="128" t="s">
        <v>1953</v>
      </c>
      <c r="C1995" s="128" t="s">
        <v>2982</v>
      </c>
      <c r="D1995" s="129">
        <v>46153.655104166668</v>
      </c>
      <c r="E1995" s="130">
        <v>1.64</v>
      </c>
      <c r="F1995" s="136">
        <v>4.4999999999999998E-2</v>
      </c>
      <c r="G1995" s="126">
        <f t="shared" si="32"/>
        <v>1.7172774869109948</v>
      </c>
      <c r="H1995" s="126" t="s">
        <v>1339</v>
      </c>
      <c r="I1995" s="127" t="s">
        <v>1388</v>
      </c>
      <c r="J1995" s="126">
        <v>30</v>
      </c>
      <c r="K1995" s="126">
        <v>49.88</v>
      </c>
      <c r="L1995" s="129">
        <f>INT(base[[#This Row],[Data de liquidação]])</f>
        <v>46153</v>
      </c>
      <c r="M1995" s="126">
        <f>base[[#This Row],[L/P Bruto]]-base[[#This Row],[L/P Líquido]]</f>
        <v>7.7277486910994897E-2</v>
      </c>
      <c r="N1995" s="126">
        <f>base[[#This Row],[L/P Líquido]]/base[[#This Row],[Stake/Responsabilidade]]</f>
        <v>3.2878909382518043E-2</v>
      </c>
      <c r="O1995" s="132">
        <f>IF(base[[#This Row],[L/P Líquido]]&gt;0,1,0)</f>
        <v>1</v>
      </c>
      <c r="P1995" s="132"/>
      <c r="Q1995" s="132" t="str">
        <f>LEFT(base[[#This Row],[Evento / Mercado]],FIND("vs",base[[#This Row],[Evento / Mercado]])-2)</f>
        <v>Al-Jazira Club</v>
      </c>
      <c r="R19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Al-Wasl</v>
      </c>
      <c r="S1995" s="132" t="str">
        <f>LEFT(base[[#This Row],[Evento / Mercado]],FIND("/",base[[#This Row],[Evento / Mercado]])-2)</f>
        <v>Al-Jazira Club vs Al-Wasl</v>
      </c>
    </row>
    <row r="1996" spans="2:21" ht="15" customHeight="1">
      <c r="B1996" s="128" t="s">
        <v>1952</v>
      </c>
      <c r="C1996" s="128" t="s">
        <v>2982</v>
      </c>
      <c r="D1996" s="129">
        <v>46153.657743055555</v>
      </c>
      <c r="E1996" s="130">
        <v>6.63</v>
      </c>
      <c r="F1996" s="136">
        <v>4.4999999999999998E-2</v>
      </c>
      <c r="G1996" s="126">
        <f t="shared" si="32"/>
        <v>6.9424083769633507</v>
      </c>
      <c r="H1996" s="126" t="s">
        <v>1339</v>
      </c>
      <c r="I1996" s="127" t="s">
        <v>1430</v>
      </c>
      <c r="J1996" s="126">
        <v>8.1999999999999993</v>
      </c>
      <c r="K1996" s="126">
        <v>49.97</v>
      </c>
      <c r="L1996" s="129">
        <f>INT(base[[#This Row],[Data de liquidação]])</f>
        <v>46153</v>
      </c>
      <c r="M1996" s="126">
        <f>base[[#This Row],[L/P Bruto]]-base[[#This Row],[L/P Líquido]]</f>
        <v>0.31240837696335078</v>
      </c>
      <c r="N1996" s="126">
        <f>base[[#This Row],[L/P Líquido]]/base[[#This Row],[Stake/Responsabilidade]]</f>
        <v>0.13267960776465879</v>
      </c>
      <c r="O1996" s="132">
        <f>IF(base[[#This Row],[L/P Líquido]]&gt;0,1,0)</f>
        <v>1</v>
      </c>
      <c r="P1996" s="132"/>
      <c r="Q1996" s="132" t="str">
        <f>LEFT(base[[#This Row],[Evento / Mercado]],FIND("vs",base[[#This Row],[Evento / Mercado]])-2)</f>
        <v>Khor Fakkan</v>
      </c>
      <c r="R19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Al-Wahda Abu Dhabi</v>
      </c>
      <c r="S1996" s="132" t="str">
        <f>LEFT(base[[#This Row],[Evento / Mercado]],FIND("/",base[[#This Row],[Evento / Mercado]])-2)</f>
        <v>Khor Fakkan vs Al-Wahda Abu Dhabi</v>
      </c>
    </row>
    <row r="1997" spans="2:21" ht="15" customHeight="1">
      <c r="B1997" s="128" t="s">
        <v>1951</v>
      </c>
      <c r="C1997" s="128" t="s">
        <v>2982</v>
      </c>
      <c r="D1997" s="129">
        <v>46153.66070601852</v>
      </c>
      <c r="E1997" s="130">
        <v>-50</v>
      </c>
      <c r="F1997" s="136">
        <v>4.4999999999999998E-2</v>
      </c>
      <c r="G1997" s="126">
        <f t="shared" si="32"/>
        <v>-50</v>
      </c>
      <c r="H1997" s="126" t="s">
        <v>1784</v>
      </c>
      <c r="I1997" s="127" t="s">
        <v>266</v>
      </c>
      <c r="J1997" s="126">
        <v>1.54</v>
      </c>
      <c r="K1997" s="126">
        <v>50</v>
      </c>
      <c r="L1997" s="129">
        <f>INT(base[[#This Row],[Data de liquidação]])</f>
        <v>46153</v>
      </c>
      <c r="M1997" s="126">
        <f>base[[#This Row],[L/P Bruto]]-base[[#This Row],[L/P Líquido]]</f>
        <v>0</v>
      </c>
      <c r="N1997" s="126">
        <f>base[[#This Row],[L/P Líquido]]/base[[#This Row],[Stake/Responsabilidade]]</f>
        <v>-1</v>
      </c>
      <c r="O1997" s="132">
        <f>IF(base[[#This Row],[L/P Líquido]]&gt;0,1,0)</f>
        <v>0</v>
      </c>
      <c r="P1997" s="132"/>
      <c r="Q1997" s="132" t="str">
        <f>LEFT(base[[#This Row],[Evento / Mercado]],FIND("vs",base[[#This Row],[Evento / Mercado]])-2)</f>
        <v>Egersund</v>
      </c>
      <c r="R19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Odds Ballklubb</v>
      </c>
      <c r="S1997" s="132" t="str">
        <f>LEFT(base[[#This Row],[Evento / Mercado]],FIND("/",base[[#This Row],[Evento / Mercado]])-2)</f>
        <v>Egersund vs Odds Ballklubb</v>
      </c>
      <c r="U1997" s="9"/>
    </row>
    <row r="1998" spans="2:21" ht="15" customHeight="1">
      <c r="B1998" s="128" t="s">
        <v>1950</v>
      </c>
      <c r="C1998" s="128" t="s">
        <v>2982</v>
      </c>
      <c r="D1998" s="129">
        <v>46153.66138888889</v>
      </c>
      <c r="E1998" s="130">
        <v>11.297649999999999</v>
      </c>
      <c r="F1998" s="136">
        <v>4.4999999999999998E-2</v>
      </c>
      <c r="G1998" s="126">
        <f t="shared" si="32"/>
        <v>11.83</v>
      </c>
      <c r="H1998" s="126" t="s">
        <v>145</v>
      </c>
      <c r="I1998" s="127" t="s">
        <v>301</v>
      </c>
      <c r="J1998" s="126">
        <v>16.5</v>
      </c>
      <c r="K1998" s="126">
        <v>29.92</v>
      </c>
      <c r="L1998" s="129">
        <f>INT(base[[#This Row],[Data de liquidação]])</f>
        <v>46153</v>
      </c>
      <c r="M1998" s="126">
        <f>base[[#This Row],[L/P Bruto]]-base[[#This Row],[L/P Líquido]]</f>
        <v>0.53235000000000099</v>
      </c>
      <c r="N1998" s="126">
        <f>base[[#This Row],[L/P Líquido]]/base[[#This Row],[Stake/Responsabilidade]]</f>
        <v>0.37759525401069516</v>
      </c>
      <c r="O1998" s="132">
        <f>IF(base[[#This Row],[L/P Líquido]]&gt;0,1,0)</f>
        <v>1</v>
      </c>
      <c r="P1998" s="132" t="s">
        <v>2065</v>
      </c>
      <c r="Q1998" s="132" t="str">
        <f>LEFT(base[[#This Row],[Evento / Mercado]],FIND("vs",base[[#This Row],[Evento / Mercado]])-2)</f>
        <v>IK Sirius</v>
      </c>
      <c r="R19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1998" s="132" t="str">
        <f>LEFT(base[[#This Row],[Evento / Mercado]],FIND("/",base[[#This Row],[Evento / Mercado]])-2)</f>
        <v>IK Sirius vs Örgryte IS</v>
      </c>
      <c r="T1998" s="8">
        <v>11.83</v>
      </c>
      <c r="U1998" s="9">
        <f>T1998*0.955</f>
        <v>11.297649999999999</v>
      </c>
    </row>
    <row r="1999" spans="2:21" ht="15" customHeight="1">
      <c r="B1999" s="128" t="s">
        <v>1950</v>
      </c>
      <c r="C1999" s="128" t="s">
        <v>2982</v>
      </c>
      <c r="D1999" s="129">
        <v>46153.66138888889</v>
      </c>
      <c r="E1999" s="130">
        <v>1.6330499999999999</v>
      </c>
      <c r="F1999" s="136">
        <v>4.4999999999999998E-2</v>
      </c>
      <c r="G1999" s="126">
        <f t="shared" si="32"/>
        <v>1.71</v>
      </c>
      <c r="H1999" s="126" t="s">
        <v>1339</v>
      </c>
      <c r="I1999" s="127" t="s">
        <v>1390</v>
      </c>
      <c r="J1999" s="126">
        <v>18.5</v>
      </c>
      <c r="K1999" s="126">
        <v>183.37</v>
      </c>
      <c r="L1999" s="129">
        <f>INT(base[[#This Row],[Data de liquidação]])</f>
        <v>46153</v>
      </c>
      <c r="M1999" s="126">
        <f>base[[#This Row],[L/P Bruto]]-base[[#This Row],[L/P Líquido]]</f>
        <v>7.6950000000000074E-2</v>
      </c>
      <c r="N1999" s="126">
        <f>base[[#This Row],[L/P Líquido]]/base[[#This Row],[Stake/Responsabilidade]]</f>
        <v>8.9057643016851162E-3</v>
      </c>
      <c r="O1999" s="132">
        <f>IF(base[[#This Row],[L/P Líquido]]&gt;0,1,0)</f>
        <v>1</v>
      </c>
      <c r="P1999" s="132"/>
      <c r="Q1999" s="132" t="str">
        <f>LEFT(base[[#This Row],[Evento / Mercado]],FIND("vs",base[[#This Row],[Evento / Mercado]])-2)</f>
        <v>IK Sirius</v>
      </c>
      <c r="R19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1999" s="132" t="str">
        <f>LEFT(base[[#This Row],[Evento / Mercado]],FIND("/",base[[#This Row],[Evento / Mercado]])-2)</f>
        <v>IK Sirius vs Örgryte IS</v>
      </c>
      <c r="T1999" s="8">
        <v>1.71</v>
      </c>
      <c r="U1999" s="9">
        <f>T1999*0.955</f>
        <v>1.6330499999999999</v>
      </c>
    </row>
    <row r="2000" spans="2:21" ht="15" customHeight="1">
      <c r="B2000" s="128" t="s">
        <v>1949</v>
      </c>
      <c r="C2000" s="128" t="s">
        <v>2982</v>
      </c>
      <c r="D2000" s="129">
        <v>46153.666747685187</v>
      </c>
      <c r="E2000" s="130">
        <v>23.88</v>
      </c>
      <c r="F2000" s="136">
        <v>4.4999999999999998E-2</v>
      </c>
      <c r="G2000" s="126">
        <f t="shared" si="32"/>
        <v>25.005235602094242</v>
      </c>
      <c r="H2000" s="126" t="s">
        <v>1784</v>
      </c>
      <c r="I2000" s="127" t="s">
        <v>266</v>
      </c>
      <c r="J2000" s="126">
        <v>1.5</v>
      </c>
      <c r="K2000" s="126">
        <v>50</v>
      </c>
      <c r="L2000" s="129">
        <f>INT(base[[#This Row],[Data de liquidação]])</f>
        <v>46153</v>
      </c>
      <c r="M2000" s="126">
        <f>base[[#This Row],[L/P Bruto]]-base[[#This Row],[L/P Líquido]]</f>
        <v>1.1252356020942429</v>
      </c>
      <c r="N2000" s="126">
        <f>base[[#This Row],[L/P Líquido]]/base[[#This Row],[Stake/Responsabilidade]]</f>
        <v>0.47759999999999997</v>
      </c>
      <c r="O2000" s="132">
        <f>IF(base[[#This Row],[L/P Líquido]]&gt;0,1,0)</f>
        <v>1</v>
      </c>
      <c r="P2000" s="132"/>
      <c r="Q2000" s="132" t="str">
        <f>LEFT(base[[#This Row],[Evento / Mercado]],FIND("vs",base[[#This Row],[Evento / Mercado]])-2)</f>
        <v>FC Vaduz</v>
      </c>
      <c r="R20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Aarau</v>
      </c>
      <c r="S2000" s="132" t="str">
        <f>LEFT(base[[#This Row],[Evento / Mercado]],FIND("/",base[[#This Row],[Evento / Mercado]])-2)</f>
        <v>FC Vaduz vs FC Aarau</v>
      </c>
    </row>
    <row r="2001" spans="2:21" ht="15" customHeight="1">
      <c r="B2001" s="128" t="s">
        <v>1948</v>
      </c>
      <c r="C2001" s="128" t="s">
        <v>2982</v>
      </c>
      <c r="D2001" s="129">
        <v>46153.669120370374</v>
      </c>
      <c r="E2001" s="130">
        <v>2.0699999999999998</v>
      </c>
      <c r="F2001" s="136">
        <v>4.4999999999999998E-2</v>
      </c>
      <c r="G2001" s="126">
        <f t="shared" si="32"/>
        <v>2.1675392670157065</v>
      </c>
      <c r="H2001" s="126" t="s">
        <v>1339</v>
      </c>
      <c r="I2001" s="127" t="s">
        <v>1388</v>
      </c>
      <c r="J2001" s="126">
        <v>24</v>
      </c>
      <c r="K2001" s="126">
        <v>49.91</v>
      </c>
      <c r="L2001" s="129">
        <f>INT(base[[#This Row],[Data de liquidação]])</f>
        <v>46153</v>
      </c>
      <c r="M2001" s="126">
        <f>base[[#This Row],[L/P Bruto]]-base[[#This Row],[L/P Líquido]]</f>
        <v>9.7539267015706699E-2</v>
      </c>
      <c r="N2001" s="126">
        <f>base[[#This Row],[L/P Líquido]]/base[[#This Row],[Stake/Responsabilidade]]</f>
        <v>4.1474654377880185E-2</v>
      </c>
      <c r="O2001" s="132">
        <f>IF(base[[#This Row],[L/P Líquido]]&gt;0,1,0)</f>
        <v>1</v>
      </c>
      <c r="P2001" s="132"/>
      <c r="Q2001" s="132" t="str">
        <f>LEFT(base[[#This Row],[Evento / Mercado]],FIND("vs",base[[#This Row],[Evento / Mercado]])-2)</f>
        <v>Randers FC</v>
      </c>
      <c r="R20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Odense BK</v>
      </c>
      <c r="S2001" s="132" t="str">
        <f>LEFT(base[[#This Row],[Evento / Mercado]],FIND("/",base[[#This Row],[Evento / Mercado]])-2)</f>
        <v>Randers FC vs Odense BK</v>
      </c>
    </row>
    <row r="2002" spans="2:21" ht="15" customHeight="1">
      <c r="B2002" s="128" t="s">
        <v>1947</v>
      </c>
      <c r="C2002" s="128" t="s">
        <v>2982</v>
      </c>
      <c r="D2002" s="129">
        <v>46153.67701388889</v>
      </c>
      <c r="E2002" s="130">
        <v>-2.17</v>
      </c>
      <c r="F2002" s="136">
        <v>4.4999999999999998E-2</v>
      </c>
      <c r="G2002" s="126">
        <f t="shared" si="32"/>
        <v>-2.17</v>
      </c>
      <c r="H2002" s="126" t="s">
        <v>1339</v>
      </c>
      <c r="I2002" s="127" t="s">
        <v>1236</v>
      </c>
      <c r="J2002" s="126">
        <v>7.4</v>
      </c>
      <c r="K2002" s="126">
        <v>4</v>
      </c>
      <c r="L2002" s="129">
        <f>INT(base[[#This Row],[Data de liquidação]])</f>
        <v>46153</v>
      </c>
      <c r="M2002" s="126">
        <f>base[[#This Row],[L/P Bruto]]-base[[#This Row],[L/P Líquido]]</f>
        <v>0</v>
      </c>
      <c r="N2002" s="126">
        <f>base[[#This Row],[L/P Líquido]]/base[[#This Row],[Stake/Responsabilidade]]</f>
        <v>-0.54249999999999998</v>
      </c>
      <c r="O2002" s="132">
        <f>IF(base[[#This Row],[L/P Líquido]]&gt;0,1,0)</f>
        <v>0</v>
      </c>
      <c r="P2002" s="132"/>
      <c r="Q2002" s="132" t="str">
        <f>LEFT(base[[#This Row],[Evento / Mercado]],FIND("vs",base[[#This Row],[Evento / Mercado]])-2)</f>
        <v>Al-Taawoun Buraidah</v>
      </c>
      <c r="R20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Ahli Jeddah</v>
      </c>
      <c r="S2002" s="132" t="str">
        <f>LEFT(base[[#This Row],[Evento / Mercado]],FIND("/",base[[#This Row],[Evento / Mercado]])-2)</f>
        <v>Al-Taawoun Buraidah vs Al Ahli Jeddah</v>
      </c>
    </row>
    <row r="2003" spans="2:21" ht="15" customHeight="1">
      <c r="B2003" s="128" t="s">
        <v>1946</v>
      </c>
      <c r="C2003" s="128" t="s">
        <v>2982</v>
      </c>
      <c r="D2003" s="129">
        <v>46153.706400462965</v>
      </c>
      <c r="E2003" s="130">
        <v>28.77</v>
      </c>
      <c r="F2003" s="136">
        <v>4.4999999999999998E-2</v>
      </c>
      <c r="G2003" s="126">
        <f t="shared" si="32"/>
        <v>30.125654450261781</v>
      </c>
      <c r="H2003" s="126" t="s">
        <v>1784</v>
      </c>
      <c r="I2003" s="127" t="s">
        <v>266</v>
      </c>
      <c r="J2003" s="126">
        <v>1.6</v>
      </c>
      <c r="K2003" s="126">
        <v>50</v>
      </c>
      <c r="L2003" s="129">
        <f>INT(base[[#This Row],[Data de liquidação]])</f>
        <v>46153</v>
      </c>
      <c r="M2003" s="126">
        <f>base[[#This Row],[L/P Bruto]]-base[[#This Row],[L/P Líquido]]</f>
        <v>1.3556544502617811</v>
      </c>
      <c r="N2003" s="126">
        <f>base[[#This Row],[L/P Líquido]]/base[[#This Row],[Stake/Responsabilidade]]</f>
        <v>0.57540000000000002</v>
      </c>
      <c r="O2003" s="132">
        <f>IF(base[[#This Row],[L/P Líquido]]&gt;0,1,0)</f>
        <v>1</v>
      </c>
      <c r="P2003" s="132"/>
      <c r="Q2003" s="132" t="str">
        <f>LEFT(base[[#This Row],[Evento / Mercado]],FIND("vs",base[[#This Row],[Evento / Mercado]])-2)</f>
        <v>FC Yverdon-Sport</v>
      </c>
      <c r="R20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Rapperswil Jona</v>
      </c>
      <c r="S2003" s="132" t="str">
        <f>LEFT(base[[#This Row],[Evento / Mercado]],FIND("/",base[[#This Row],[Evento / Mercado]])-2)</f>
        <v>FC Yverdon-Sport vs FC Rapperswil Jona</v>
      </c>
    </row>
    <row r="2004" spans="2:21" ht="15" customHeight="1">
      <c r="B2004" s="128" t="s">
        <v>1945</v>
      </c>
      <c r="C2004" s="128" t="s">
        <v>2982</v>
      </c>
      <c r="D2004" s="129">
        <v>46153.712407407409</v>
      </c>
      <c r="E2004" s="130">
        <v>-2</v>
      </c>
      <c r="F2004" s="136">
        <v>4.4999999999999998E-2</v>
      </c>
      <c r="G2004" s="126">
        <f t="shared" si="32"/>
        <v>-2</v>
      </c>
      <c r="H2004" s="126" t="s">
        <v>1339</v>
      </c>
      <c r="I2004" s="127" t="s">
        <v>1448</v>
      </c>
      <c r="J2004" s="126">
        <v>1.63</v>
      </c>
      <c r="K2004" s="126">
        <v>2</v>
      </c>
      <c r="L2004" s="129">
        <f>INT(base[[#This Row],[Data de liquidação]])</f>
        <v>46153</v>
      </c>
      <c r="M2004" s="126">
        <f>base[[#This Row],[L/P Bruto]]-base[[#This Row],[L/P Líquido]]</f>
        <v>0</v>
      </c>
      <c r="N2004" s="126">
        <f>base[[#This Row],[L/P Líquido]]/base[[#This Row],[Stake/Responsabilidade]]</f>
        <v>-1</v>
      </c>
      <c r="O2004" s="132">
        <f>IF(base[[#This Row],[L/P Líquido]]&gt;0,1,0)</f>
        <v>0</v>
      </c>
      <c r="P2004" s="132"/>
      <c r="Q2004" s="132" t="str">
        <f>LEFT(base[[#This Row],[Evento / Mercado]],FIND("vs",base[[#This Row],[Evento / Mercado]])-2)</f>
        <v>Benfica</v>
      </c>
      <c r="R20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Braga</v>
      </c>
      <c r="S2004" s="132" t="str">
        <f>LEFT(base[[#This Row],[Evento / Mercado]],FIND("/",base[[#This Row],[Evento / Mercado]])-2)</f>
        <v>Benfica vs Sporting de Braga</v>
      </c>
    </row>
    <row r="2005" spans="2:21" ht="15" customHeight="1">
      <c r="B2005" s="128" t="s">
        <v>1944</v>
      </c>
      <c r="C2005" s="128" t="s">
        <v>2982</v>
      </c>
      <c r="D2005" s="129">
        <v>46153.713726851849</v>
      </c>
      <c r="E2005" s="130">
        <v>1.91</v>
      </c>
      <c r="F2005" s="136">
        <v>4.4999999999999998E-2</v>
      </c>
      <c r="G2005" s="126">
        <f t="shared" si="32"/>
        <v>2</v>
      </c>
      <c r="H2005" s="126" t="s">
        <v>1339</v>
      </c>
      <c r="I2005" s="127" t="s">
        <v>1963</v>
      </c>
      <c r="J2005" s="126">
        <v>1.04</v>
      </c>
      <c r="K2005" s="126">
        <v>50</v>
      </c>
      <c r="L2005" s="129">
        <f>INT(base[[#This Row],[Data de liquidação]])</f>
        <v>46153</v>
      </c>
      <c r="M2005" s="126">
        <f>base[[#This Row],[L/P Bruto]]-base[[#This Row],[L/P Líquido]]</f>
        <v>9.000000000000008E-2</v>
      </c>
      <c r="N2005" s="126">
        <f>base[[#This Row],[L/P Líquido]]/base[[#This Row],[Stake/Responsabilidade]]</f>
        <v>3.8199999999999998E-2</v>
      </c>
      <c r="O2005" s="132">
        <f>IF(base[[#This Row],[L/P Líquido]]&gt;0,1,0)</f>
        <v>1</v>
      </c>
      <c r="P2005" s="132"/>
      <c r="Q2005" s="132" t="str">
        <f>LEFT(base[[#This Row],[Evento / Mercado]],FIND("vs",base[[#This Row],[Evento / Mercado]])-2)</f>
        <v>FC Yverdon-Sport</v>
      </c>
      <c r="R20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Rapperswil Jona</v>
      </c>
      <c r="S2005" s="132" t="str">
        <f>LEFT(base[[#This Row],[Evento / Mercado]],FIND("/",base[[#This Row],[Evento / Mercado]])-2)</f>
        <v>FC Yverdon-Sport vs FC Rapperswil Jona</v>
      </c>
    </row>
    <row r="2006" spans="2:21" ht="15" customHeight="1">
      <c r="B2006" s="128" t="s">
        <v>1943</v>
      </c>
      <c r="C2006" s="128" t="s">
        <v>2982</v>
      </c>
      <c r="D2006" s="129">
        <v>46153.713958333334</v>
      </c>
      <c r="E2006" s="130">
        <v>3.82</v>
      </c>
      <c r="F2006" s="136">
        <v>4.4999999999999998E-2</v>
      </c>
      <c r="G2006" s="126">
        <f t="shared" si="32"/>
        <v>4</v>
      </c>
      <c r="H2006" s="126" t="s">
        <v>1339</v>
      </c>
      <c r="I2006" s="127" t="s">
        <v>1963</v>
      </c>
      <c r="J2006" s="126">
        <v>1.08</v>
      </c>
      <c r="K2006" s="126">
        <v>50</v>
      </c>
      <c r="L2006" s="129">
        <f>INT(base[[#This Row],[Data de liquidação]])</f>
        <v>46153</v>
      </c>
      <c r="M2006" s="126">
        <f>base[[#This Row],[L/P Bruto]]-base[[#This Row],[L/P Líquido]]</f>
        <v>0.18000000000000016</v>
      </c>
      <c r="N2006" s="126">
        <f>base[[#This Row],[L/P Líquido]]/base[[#This Row],[Stake/Responsabilidade]]</f>
        <v>7.6399999999999996E-2</v>
      </c>
      <c r="O2006" s="132">
        <f>IF(base[[#This Row],[L/P Líquido]]&gt;0,1,0)</f>
        <v>1</v>
      </c>
      <c r="P2006" s="132"/>
      <c r="Q2006" s="132" t="str">
        <f>LEFT(base[[#This Row],[Evento / Mercado]],FIND("vs",base[[#This Row],[Evento / Mercado]])-2)</f>
        <v>Neuchâtel Xamax</v>
      </c>
      <c r="R20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Etoile-Carouge FC</v>
      </c>
      <c r="S2006" s="132" t="str">
        <f>LEFT(base[[#This Row],[Evento / Mercado]],FIND("/",base[[#This Row],[Evento / Mercado]])-2)</f>
        <v>Neuchâtel Xamax vs Etoile-Carouge FC</v>
      </c>
      <c r="T2006" s="8">
        <v>4</v>
      </c>
      <c r="U2006" s="9">
        <f>T2006*0.955</f>
        <v>3.82</v>
      </c>
    </row>
    <row r="2007" spans="2:21" ht="15" customHeight="1">
      <c r="B2007" s="128" t="s">
        <v>1943</v>
      </c>
      <c r="C2007" s="128" t="s">
        <v>2982</v>
      </c>
      <c r="D2007" s="129">
        <v>46153.713958333334</v>
      </c>
      <c r="E2007" s="130">
        <v>19.892649999999996</v>
      </c>
      <c r="F2007" s="136">
        <v>4.4999999999999998E-2</v>
      </c>
      <c r="G2007" s="126">
        <f t="shared" si="32"/>
        <v>20.83</v>
      </c>
      <c r="H2007" s="126" t="s">
        <v>1784</v>
      </c>
      <c r="I2007" s="127" t="s">
        <v>1785</v>
      </c>
      <c r="J2007" s="126">
        <v>3.4</v>
      </c>
      <c r="K2007" s="126">
        <v>49.99</v>
      </c>
      <c r="L2007" s="129">
        <f>INT(base[[#This Row],[Data de liquidação]])</f>
        <v>46153</v>
      </c>
      <c r="M2007" s="126">
        <f>base[[#This Row],[L/P Bruto]]-base[[#This Row],[L/P Líquido]]</f>
        <v>0.93735000000000213</v>
      </c>
      <c r="N2007" s="126">
        <f>base[[#This Row],[L/P Líquido]]/base[[#This Row],[Stake/Responsabilidade]]</f>
        <v>0.39793258651730334</v>
      </c>
      <c r="O2007" s="132">
        <f>IF(base[[#This Row],[L/P Líquido]]&gt;0,1,0)</f>
        <v>1</v>
      </c>
      <c r="P2007" s="132"/>
      <c r="Q2007" s="132" t="str">
        <f>LEFT(base[[#This Row],[Evento / Mercado]],FIND("vs",base[[#This Row],[Evento / Mercado]])-2)</f>
        <v>Neuchâtel Xamax</v>
      </c>
      <c r="R20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Etoile-Carouge FC</v>
      </c>
      <c r="S2007" s="132" t="str">
        <f>LEFT(base[[#This Row],[Evento / Mercado]],FIND("/",base[[#This Row],[Evento / Mercado]])-2)</f>
        <v>Neuchâtel Xamax vs Etoile-Carouge FC</v>
      </c>
      <c r="T2007" s="8">
        <v>20.83</v>
      </c>
      <c r="U2007" s="9">
        <f>T2007*0.955</f>
        <v>19.892649999999996</v>
      </c>
    </row>
    <row r="2008" spans="2:21" ht="15" customHeight="1">
      <c r="B2008" s="128" t="s">
        <v>1942</v>
      </c>
      <c r="C2008" s="128" t="s">
        <v>2982</v>
      </c>
      <c r="D2008" s="129">
        <v>46153.716493055559</v>
      </c>
      <c r="E2008" s="130">
        <v>1.77</v>
      </c>
      <c r="F2008" s="136">
        <v>4.4999999999999998E-2</v>
      </c>
      <c r="G2008" s="126">
        <f t="shared" si="32"/>
        <v>1.8534031413612566</v>
      </c>
      <c r="H2008" s="126" t="s">
        <v>1339</v>
      </c>
      <c r="I2008" s="127" t="s">
        <v>1388</v>
      </c>
      <c r="J2008" s="126">
        <v>28</v>
      </c>
      <c r="K2008" s="126">
        <v>49.95</v>
      </c>
      <c r="L2008" s="129">
        <f>INT(base[[#This Row],[Data de liquidação]])</f>
        <v>46153</v>
      </c>
      <c r="M2008" s="126">
        <f>base[[#This Row],[L/P Bruto]]-base[[#This Row],[L/P Líquido]]</f>
        <v>8.3403141361256594E-2</v>
      </c>
      <c r="N2008" s="126">
        <f>base[[#This Row],[L/P Líquido]]/base[[#This Row],[Stake/Responsabilidade]]</f>
        <v>3.5435435435435432E-2</v>
      </c>
      <c r="O2008" s="132">
        <f>IF(base[[#This Row],[L/P Líquido]]&gt;0,1,0)</f>
        <v>1</v>
      </c>
      <c r="P2008" s="132"/>
      <c r="Q2008" s="132" t="str">
        <f>LEFT(base[[#This Row],[Evento / Mercado]],FIND("vs",base[[#This Row],[Evento / Mercado]])-2)</f>
        <v>FC Vaduz</v>
      </c>
      <c r="R20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Aarau</v>
      </c>
      <c r="S2008" s="132" t="str">
        <f>LEFT(base[[#This Row],[Evento / Mercado]],FIND("/",base[[#This Row],[Evento / Mercado]])-2)</f>
        <v>FC Vaduz vs FC Aarau</v>
      </c>
    </row>
    <row r="2009" spans="2:21" ht="15" customHeight="1">
      <c r="B2009" s="128" t="s">
        <v>1941</v>
      </c>
      <c r="C2009" s="128" t="s">
        <v>2982</v>
      </c>
      <c r="D2009" s="129">
        <v>46153.732928240737</v>
      </c>
      <c r="E2009" s="130">
        <v>85.66</v>
      </c>
      <c r="F2009" s="136">
        <v>4.4999999999999998E-2</v>
      </c>
      <c r="G2009" s="126">
        <f t="shared" si="32"/>
        <v>89.696335078534034</v>
      </c>
      <c r="H2009" s="126" t="s">
        <v>231</v>
      </c>
      <c r="I2009" s="127" t="s">
        <v>266</v>
      </c>
      <c r="J2009" s="126">
        <v>1.78</v>
      </c>
      <c r="K2009" s="126">
        <v>115</v>
      </c>
      <c r="L2009" s="129">
        <f>INT(base[[#This Row],[Data de liquidação]])</f>
        <v>46153</v>
      </c>
      <c r="M2009" s="126">
        <f>base[[#This Row],[L/P Bruto]]-base[[#This Row],[L/P Líquido]]</f>
        <v>4.0363350785340373</v>
      </c>
      <c r="N2009" s="126">
        <f>base[[#This Row],[L/P Líquido]]/base[[#This Row],[Stake/Responsabilidade]]</f>
        <v>0.74486956521739123</v>
      </c>
      <c r="O2009" s="132">
        <f>IF(base[[#This Row],[L/P Líquido]]&gt;0,1,0)</f>
        <v>1</v>
      </c>
      <c r="P2009" s="132"/>
      <c r="Q2009" s="132" t="str">
        <f>LEFT(base[[#This Row],[Evento / Mercado]],FIND("vs",base[[#This Row],[Evento / Mercado]])-2)</f>
        <v>Tottenham Hotspur</v>
      </c>
      <c r="R20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2009" s="132" t="str">
        <f>LEFT(base[[#This Row],[Evento / Mercado]],FIND("/",base[[#This Row],[Evento / Mercado]])-2)</f>
        <v>Tottenham Hotspur vs Leeds United</v>
      </c>
    </row>
    <row r="2010" spans="2:21" ht="15" customHeight="1">
      <c r="B2010" s="128" t="s">
        <v>1940</v>
      </c>
      <c r="C2010" s="128" t="s">
        <v>2982</v>
      </c>
      <c r="D2010" s="129">
        <v>46153.740474537037</v>
      </c>
      <c r="E2010" s="130">
        <v>2.56</v>
      </c>
      <c r="F2010" s="136">
        <v>4.4999999999999998E-2</v>
      </c>
      <c r="G2010" s="126">
        <f t="shared" si="32"/>
        <v>2.6806282722513091</v>
      </c>
      <c r="H2010" s="126" t="s">
        <v>1339</v>
      </c>
      <c r="I2010" s="127" t="s">
        <v>1431</v>
      </c>
      <c r="J2010" s="126">
        <v>2.34</v>
      </c>
      <c r="K2010" s="126">
        <v>2</v>
      </c>
      <c r="L2010" s="129">
        <f>INT(base[[#This Row],[Data de liquidação]])</f>
        <v>46153</v>
      </c>
      <c r="M2010" s="126">
        <f>base[[#This Row],[L/P Bruto]]-base[[#This Row],[L/P Líquido]]</f>
        <v>0.12062827225130901</v>
      </c>
      <c r="N2010" s="126">
        <f>base[[#This Row],[L/P Líquido]]/base[[#This Row],[Stake/Responsabilidade]]</f>
        <v>1.28</v>
      </c>
      <c r="O2010" s="132">
        <f>IF(base[[#This Row],[L/P Líquido]]&gt;0,1,0)</f>
        <v>1</v>
      </c>
      <c r="P2010" s="132"/>
      <c r="Q2010" s="132" t="str">
        <f>LEFT(base[[#This Row],[Evento / Mercado]],FIND("vs",base[[#This Row],[Evento / Mercado]])-2)</f>
        <v>Rayo Vallecano</v>
      </c>
      <c r="R20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Girona</v>
      </c>
      <c r="S2010" s="132" t="str">
        <f>LEFT(base[[#This Row],[Evento / Mercado]],FIND("/",base[[#This Row],[Evento / Mercado]])-2)</f>
        <v>Rayo Vallecano vs Girona</v>
      </c>
    </row>
    <row r="2011" spans="2:21" ht="15" customHeight="1">
      <c r="B2011" s="128" t="s">
        <v>1939</v>
      </c>
      <c r="C2011" s="128" t="s">
        <v>2982</v>
      </c>
      <c r="D2011" s="129">
        <v>46153.756504629629</v>
      </c>
      <c r="E2011" s="130">
        <v>72.25</v>
      </c>
      <c r="F2011" s="136">
        <v>4.4999999999999998E-2</v>
      </c>
      <c r="G2011" s="126">
        <f t="shared" si="32"/>
        <v>75.654450261780113</v>
      </c>
      <c r="H2011" s="126" t="s">
        <v>231</v>
      </c>
      <c r="I2011" s="127" t="s">
        <v>232</v>
      </c>
      <c r="J2011" s="126">
        <v>1.66</v>
      </c>
      <c r="K2011" s="126">
        <v>115</v>
      </c>
      <c r="L2011" s="129">
        <f>INT(base[[#This Row],[Data de liquidação]])</f>
        <v>46153</v>
      </c>
      <c r="M2011" s="126">
        <f>base[[#This Row],[L/P Bruto]]-base[[#This Row],[L/P Líquido]]</f>
        <v>3.4044502617801129</v>
      </c>
      <c r="N2011" s="126">
        <f>base[[#This Row],[L/P Líquido]]/base[[#This Row],[Stake/Responsabilidade]]</f>
        <v>0.62826086956521743</v>
      </c>
      <c r="O2011" s="132">
        <f>IF(base[[#This Row],[L/P Líquido]]&gt;0,1,0)</f>
        <v>1</v>
      </c>
      <c r="P2011" s="132"/>
      <c r="Q2011" s="132" t="str">
        <f>LEFT(base[[#This Row],[Evento / Mercado]],FIND("vs",base[[#This Row],[Evento / Mercado]])-2)</f>
        <v>Benfica</v>
      </c>
      <c r="R20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Braga</v>
      </c>
      <c r="S2011" s="132" t="str">
        <f>LEFT(base[[#This Row],[Evento / Mercado]],FIND("/",base[[#This Row],[Evento / Mercado]])-2)</f>
        <v>Benfica vs Sporting de Braga</v>
      </c>
    </row>
    <row r="2012" spans="2:21" ht="15" customHeight="1">
      <c r="B2012" s="128" t="s">
        <v>1938</v>
      </c>
      <c r="C2012" s="128" t="s">
        <v>2982</v>
      </c>
      <c r="D2012" s="129">
        <v>46153.760127314818</v>
      </c>
      <c r="E2012" s="130">
        <v>1.91</v>
      </c>
      <c r="F2012" s="136">
        <v>4.4999999999999998E-2</v>
      </c>
      <c r="G2012" s="126">
        <f t="shared" si="32"/>
        <v>2</v>
      </c>
      <c r="H2012" s="126" t="s">
        <v>1339</v>
      </c>
      <c r="I2012" s="127" t="s">
        <v>1963</v>
      </c>
      <c r="J2012" s="126">
        <v>1.04</v>
      </c>
      <c r="K2012" s="126">
        <v>50</v>
      </c>
      <c r="L2012" s="129">
        <f>INT(base[[#This Row],[Data de liquidação]])</f>
        <v>46153</v>
      </c>
      <c r="M2012" s="126">
        <f>base[[#This Row],[L/P Bruto]]-base[[#This Row],[L/P Líquido]]</f>
        <v>9.000000000000008E-2</v>
      </c>
      <c r="N2012" s="126">
        <f>base[[#This Row],[L/P Líquido]]/base[[#This Row],[Stake/Responsabilidade]]</f>
        <v>3.8199999999999998E-2</v>
      </c>
      <c r="O2012" s="132">
        <f>IF(base[[#This Row],[L/P Líquido]]&gt;0,1,0)</f>
        <v>1</v>
      </c>
      <c r="P2012" s="132"/>
      <c r="Q2012" s="132" t="str">
        <f>LEFT(base[[#This Row],[Evento / Mercado]],FIND("vs",base[[#This Row],[Evento / Mercado]])-2)</f>
        <v>Tondela</v>
      </c>
      <c r="R20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Moreirense FC</v>
      </c>
      <c r="S2012" s="132" t="str">
        <f>LEFT(base[[#This Row],[Evento / Mercado]],FIND("/",base[[#This Row],[Evento / Mercado]])-2)</f>
        <v>Tondela vs Moreirense FC</v>
      </c>
    </row>
    <row r="2013" spans="2:21" ht="15" customHeight="1">
      <c r="B2013" s="128" t="s">
        <v>1937</v>
      </c>
      <c r="C2013" s="128" t="s">
        <v>2982</v>
      </c>
      <c r="D2013" s="129">
        <v>46153.760972222219</v>
      </c>
      <c r="E2013" s="130">
        <v>3.08</v>
      </c>
      <c r="F2013" s="136">
        <v>4.4999999999999998E-2</v>
      </c>
      <c r="G2013" s="126">
        <f t="shared" si="32"/>
        <v>3.2251308900523563</v>
      </c>
      <c r="H2013" s="126" t="s">
        <v>1339</v>
      </c>
      <c r="I2013" s="127" t="s">
        <v>1388</v>
      </c>
      <c r="J2013" s="126">
        <v>16.5</v>
      </c>
      <c r="K2013" s="126">
        <v>50.07</v>
      </c>
      <c r="L2013" s="129">
        <f>INT(base[[#This Row],[Data de liquidação]])</f>
        <v>46153</v>
      </c>
      <c r="M2013" s="126">
        <f>base[[#This Row],[L/P Bruto]]-base[[#This Row],[L/P Líquido]]</f>
        <v>0.14513089005235624</v>
      </c>
      <c r="N2013" s="126">
        <f>base[[#This Row],[L/P Líquido]]/base[[#This Row],[Stake/Responsabilidade]]</f>
        <v>6.1513880567205914E-2</v>
      </c>
      <c r="O2013" s="132">
        <f>IF(base[[#This Row],[L/P Líquido]]&gt;0,1,0)</f>
        <v>1</v>
      </c>
      <c r="P2013" s="132"/>
      <c r="Q2013" s="132" t="str">
        <f>LEFT(base[[#This Row],[Evento / Mercado]],FIND("vs",base[[#This Row],[Evento / Mercado]])-2)</f>
        <v>Gil Vicente</v>
      </c>
      <c r="R20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Futebol Clube de Arouca</v>
      </c>
      <c r="S2013" s="132" t="str">
        <f>LEFT(base[[#This Row],[Evento / Mercado]],FIND("/",base[[#This Row],[Evento / Mercado]])-2)</f>
        <v>Gil Vicente vs Futebol Clube de Arouca</v>
      </c>
    </row>
    <row r="2014" spans="2:21" ht="15" customHeight="1">
      <c r="B2014" s="128" t="s">
        <v>1936</v>
      </c>
      <c r="C2014" s="128" t="s">
        <v>2982</v>
      </c>
      <c r="D2014" s="129">
        <v>46153.761481481481</v>
      </c>
      <c r="E2014" s="130">
        <v>2.58</v>
      </c>
      <c r="F2014" s="136">
        <v>4.4999999999999998E-2</v>
      </c>
      <c r="G2014" s="126">
        <f t="shared" si="32"/>
        <v>2.7015706806282727</v>
      </c>
      <c r="H2014" s="126" t="s">
        <v>1339</v>
      </c>
      <c r="I2014" s="127" t="s">
        <v>1430</v>
      </c>
      <c r="J2014" s="126">
        <v>20</v>
      </c>
      <c r="K2014" s="126">
        <v>51.3</v>
      </c>
      <c r="L2014" s="129">
        <f>INT(base[[#This Row],[Data de liquidação]])</f>
        <v>46153</v>
      </c>
      <c r="M2014" s="126">
        <f>base[[#This Row],[L/P Bruto]]-base[[#This Row],[L/P Líquido]]</f>
        <v>0.12157068062827259</v>
      </c>
      <c r="N2014" s="126">
        <f>base[[#This Row],[L/P Líquido]]/base[[#This Row],[Stake/Responsabilidade]]</f>
        <v>5.0292397660818715E-2</v>
      </c>
      <c r="O2014" s="132">
        <f>IF(base[[#This Row],[L/P Líquido]]&gt;0,1,0)</f>
        <v>1</v>
      </c>
      <c r="P2014" s="132"/>
      <c r="Q2014" s="132" t="str">
        <f>LEFT(base[[#This Row],[Evento / Mercado]],FIND("vs",base[[#This Row],[Evento / Mercado]])-2)</f>
        <v>Santa Clara</v>
      </c>
      <c r="R20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Nacional da Madeira</v>
      </c>
      <c r="S2014" s="132" t="str">
        <f>LEFT(base[[#This Row],[Evento / Mercado]],FIND("/",base[[#This Row],[Evento / Mercado]])-2)</f>
        <v>Santa Clara vs Nacional da Madeira</v>
      </c>
    </row>
    <row r="2015" spans="2:21" ht="15" customHeight="1">
      <c r="B2015" s="128" t="s">
        <v>1935</v>
      </c>
      <c r="C2015" s="128" t="s">
        <v>2982</v>
      </c>
      <c r="D2015" s="129">
        <v>46153.763356481482</v>
      </c>
      <c r="E2015" s="130">
        <v>2.87</v>
      </c>
      <c r="F2015" s="136">
        <v>4.4999999999999998E-2</v>
      </c>
      <c r="G2015" s="126">
        <f t="shared" si="32"/>
        <v>3.005235602094241</v>
      </c>
      <c r="H2015" s="126" t="s">
        <v>1339</v>
      </c>
      <c r="I2015" s="127" t="s">
        <v>1390</v>
      </c>
      <c r="J2015" s="126">
        <v>11</v>
      </c>
      <c r="K2015" s="126">
        <v>30</v>
      </c>
      <c r="L2015" s="129">
        <f>INT(base[[#This Row],[Data de liquidação]])</f>
        <v>46153</v>
      </c>
      <c r="M2015" s="126">
        <f>base[[#This Row],[L/P Bruto]]-base[[#This Row],[L/P Líquido]]</f>
        <v>0.1352356020942409</v>
      </c>
      <c r="N2015" s="126">
        <f>base[[#This Row],[L/P Líquido]]/base[[#This Row],[Stake/Responsabilidade]]</f>
        <v>9.5666666666666664E-2</v>
      </c>
      <c r="O2015" s="132">
        <f>IF(base[[#This Row],[L/P Líquido]]&gt;0,1,0)</f>
        <v>1</v>
      </c>
      <c r="P2015" s="132"/>
      <c r="Q2015" s="132" t="str">
        <f>LEFT(base[[#This Row],[Evento / Mercado]],FIND("vs",base[[#This Row],[Evento / Mercado]])-2)</f>
        <v>Benfica</v>
      </c>
      <c r="R20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Braga</v>
      </c>
      <c r="S2015" s="132" t="str">
        <f>LEFT(base[[#This Row],[Evento / Mercado]],FIND("/",base[[#This Row],[Evento / Mercado]])-2)</f>
        <v>Benfica vs Sporting de Braga</v>
      </c>
    </row>
    <row r="2016" spans="2:21" ht="15" customHeight="1">
      <c r="B2016" s="128" t="s">
        <v>1934</v>
      </c>
      <c r="C2016" s="128" t="s">
        <v>2982</v>
      </c>
      <c r="D2016" s="129">
        <v>46153.93109953704</v>
      </c>
      <c r="E2016" s="130">
        <v>0.99</v>
      </c>
      <c r="F2016" s="136">
        <v>4.4999999999999998E-2</v>
      </c>
      <c r="G2016" s="126">
        <f t="shared" si="32"/>
        <v>1.036649214659686</v>
      </c>
      <c r="H2016" s="126" t="s">
        <v>1339</v>
      </c>
      <c r="I2016" s="127" t="s">
        <v>1933</v>
      </c>
      <c r="J2016" s="126">
        <v>1.52</v>
      </c>
      <c r="K2016" s="126">
        <v>2</v>
      </c>
      <c r="L2016" s="129">
        <f>INT(base[[#This Row],[Data de liquidação]])</f>
        <v>46153</v>
      </c>
      <c r="M2016" s="126">
        <f>base[[#This Row],[L/P Bruto]]-base[[#This Row],[L/P Líquido]]</f>
        <v>4.6649214659685967E-2</v>
      </c>
      <c r="N2016" s="126">
        <f>base[[#This Row],[L/P Líquido]]/base[[#This Row],[Stake/Responsabilidade]]</f>
        <v>0.495</v>
      </c>
      <c r="O2016" s="132">
        <f>IF(base[[#This Row],[L/P Líquido]]&gt;0,1,0)</f>
        <v>1</v>
      </c>
      <c r="P2016" s="132"/>
      <c r="Q2016" s="132" t="str">
        <f>LEFT(base[[#This Row],[Evento / Mercado]],FIND("vs",base[[#This Row],[Evento / Mercado]])-2)</f>
        <v>Mushuc Runa</v>
      </c>
      <c r="R20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LDU Quito</v>
      </c>
      <c r="S2016" s="132" t="str">
        <f>LEFT(base[[#This Row],[Evento / Mercado]],FIND("/",base[[#This Row],[Evento / Mercado]])-2)</f>
        <v>Mushuc Runa vs LDU Quito</v>
      </c>
    </row>
    <row r="2017" spans="2:21" ht="15" customHeight="1">
      <c r="B2017" s="128" t="s">
        <v>1992</v>
      </c>
      <c r="C2017" s="128" t="s">
        <v>2982</v>
      </c>
      <c r="D2017" s="129">
        <v>46154.492083333331</v>
      </c>
      <c r="E2017" s="130">
        <v>-2</v>
      </c>
      <c r="F2017" s="136">
        <v>4.4999999999999998E-2</v>
      </c>
      <c r="G2017" s="126">
        <f t="shared" si="32"/>
        <v>-2</v>
      </c>
      <c r="H2017" s="126" t="s">
        <v>1339</v>
      </c>
      <c r="I2017" s="127" t="s">
        <v>1448</v>
      </c>
      <c r="J2017" s="126">
        <v>1.83</v>
      </c>
      <c r="K2017" s="126">
        <v>2</v>
      </c>
      <c r="L2017" s="129">
        <f>INT(base[[#This Row],[Data de liquidação]])</f>
        <v>46154</v>
      </c>
      <c r="M2017" s="126">
        <f>base[[#This Row],[L/P Bruto]]-base[[#This Row],[L/P Líquido]]</f>
        <v>0</v>
      </c>
      <c r="N2017" s="126">
        <f>base[[#This Row],[L/P Líquido]]/base[[#This Row],[Stake/Responsabilidade]]</f>
        <v>-1</v>
      </c>
      <c r="O2017" s="132">
        <f>IF(base[[#This Row],[L/P Líquido]]&gt;0,1,0)</f>
        <v>0</v>
      </c>
      <c r="P2017" s="132"/>
      <c r="Q2017" s="132" t="str">
        <f>LEFT(base[[#This Row],[Evento / Mercado]],FIND("vs",base[[#This Row],[Evento / Mercado]])-2)</f>
        <v>Mohun Bagan Super Giants</v>
      </c>
      <c r="R20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 Kashi</v>
      </c>
      <c r="S2017" s="132" t="str">
        <f>LEFT(base[[#This Row],[Evento / Mercado]],FIND("/",base[[#This Row],[Evento / Mercado]])-2)</f>
        <v>Mohun Bagan Super Giants vs Inter Kashi</v>
      </c>
    </row>
    <row r="2018" spans="2:21" ht="15" customHeight="1">
      <c r="B2018" s="128" t="s">
        <v>1991</v>
      </c>
      <c r="C2018" s="128" t="s">
        <v>2982</v>
      </c>
      <c r="D2018" s="129">
        <v>46154.587268518517</v>
      </c>
      <c r="E2018" s="130">
        <v>18.62</v>
      </c>
      <c r="F2018" s="136">
        <v>4.4999999999999998E-2</v>
      </c>
      <c r="G2018" s="126">
        <f t="shared" si="32"/>
        <v>19.497382198952881</v>
      </c>
      <c r="H2018" s="126" t="s">
        <v>1784</v>
      </c>
      <c r="I2018" s="127" t="s">
        <v>1448</v>
      </c>
      <c r="J2018" s="126">
        <v>1.39</v>
      </c>
      <c r="K2018" s="126">
        <v>50</v>
      </c>
      <c r="L2018" s="129">
        <f>INT(base[[#This Row],[Data de liquidação]])</f>
        <v>46154</v>
      </c>
      <c r="M2018" s="126">
        <f>base[[#This Row],[L/P Bruto]]-base[[#This Row],[L/P Líquido]]</f>
        <v>0.87738219895287983</v>
      </c>
      <c r="N2018" s="126">
        <f>base[[#This Row],[L/P Líquido]]/base[[#This Row],[Stake/Responsabilidade]]</f>
        <v>0.37240000000000001</v>
      </c>
      <c r="O2018" s="132">
        <f>IF(base[[#This Row],[L/P Líquido]]&gt;0,1,0)</f>
        <v>1</v>
      </c>
      <c r="P2018" s="132"/>
      <c r="Q2018" s="132" t="str">
        <f>LEFT(base[[#This Row],[Evento / Mercado]],FIND("vs",base[[#This Row],[Evento / Mercado]])-2)</f>
        <v>Celta de Vigo</v>
      </c>
      <c r="R20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2018" s="132" t="str">
        <f>LEFT(base[[#This Row],[Evento / Mercado]],FIND("/",base[[#This Row],[Evento / Mercado]])-2)</f>
        <v>Celta de Vigo vs Levante UD</v>
      </c>
    </row>
    <row r="2019" spans="2:21" ht="15" customHeight="1">
      <c r="B2019" s="128" t="s">
        <v>1990</v>
      </c>
      <c r="C2019" s="128" t="s">
        <v>2982</v>
      </c>
      <c r="D2019" s="129">
        <v>46154.600775462961</v>
      </c>
      <c r="E2019" s="130">
        <v>1.71</v>
      </c>
      <c r="F2019" s="136">
        <v>4.4999999999999998E-2</v>
      </c>
      <c r="G2019" s="126">
        <f t="shared" si="32"/>
        <v>1.7905759162303665</v>
      </c>
      <c r="H2019" s="126" t="s">
        <v>1339</v>
      </c>
      <c r="I2019" s="127" t="s">
        <v>1388</v>
      </c>
      <c r="J2019" s="126">
        <v>29</v>
      </c>
      <c r="K2019" s="126">
        <v>50.12</v>
      </c>
      <c r="L2019" s="129">
        <f>INT(base[[#This Row],[Data de liquidação]])</f>
        <v>46154</v>
      </c>
      <c r="M2019" s="126">
        <f>base[[#This Row],[L/P Bruto]]-base[[#This Row],[L/P Líquido]]</f>
        <v>8.0575916230366529E-2</v>
      </c>
      <c r="N2019" s="126">
        <f>base[[#This Row],[L/P Líquido]]/base[[#This Row],[Stake/Responsabilidade]]</f>
        <v>3.4118116520351155E-2</v>
      </c>
      <c r="O2019" s="132">
        <f>IF(base[[#This Row],[L/P Líquido]]&gt;0,1,0)</f>
        <v>1</v>
      </c>
      <c r="P2019" s="132"/>
      <c r="Q2019" s="132" t="str">
        <f>LEFT(base[[#This Row],[Evento / Mercado]],FIND("vs",base[[#This Row],[Evento / Mercado]])-2)</f>
        <v>FK Mladá Boleslav</v>
      </c>
      <c r="R20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Dukla Praha</v>
      </c>
      <c r="S2019" s="132" t="str">
        <f>LEFT(base[[#This Row],[Evento / Mercado]],FIND("/",base[[#This Row],[Evento / Mercado]])-2)</f>
        <v>FK Mladá Boleslav vs FK Dukla Praha</v>
      </c>
    </row>
    <row r="2020" spans="2:21" ht="15" customHeight="1">
      <c r="B2020" s="128" t="s">
        <v>1989</v>
      </c>
      <c r="C2020" s="128" t="s">
        <v>2982</v>
      </c>
      <c r="D2020" s="129">
        <v>46154.63385416667</v>
      </c>
      <c r="E2020" s="130">
        <v>15.92</v>
      </c>
      <c r="F2020" s="136">
        <v>4.4999999999999998E-2</v>
      </c>
      <c r="G2020" s="126">
        <f t="shared" si="32"/>
        <v>16.670157068062828</v>
      </c>
      <c r="H2020" s="126" t="s">
        <v>1784</v>
      </c>
      <c r="I2020" s="127" t="s">
        <v>1448</v>
      </c>
      <c r="J2020" s="126">
        <v>1.33</v>
      </c>
      <c r="K2020" s="126">
        <v>50</v>
      </c>
      <c r="L2020" s="129">
        <f>INT(base[[#This Row],[Data de liquidação]])</f>
        <v>46154</v>
      </c>
      <c r="M2020" s="126">
        <f>base[[#This Row],[L/P Bruto]]-base[[#This Row],[L/P Líquido]]</f>
        <v>0.750157068062828</v>
      </c>
      <c r="N2020" s="126">
        <f>base[[#This Row],[L/P Líquido]]/base[[#This Row],[Stake/Responsabilidade]]</f>
        <v>0.31840000000000002</v>
      </c>
      <c r="O2020" s="132">
        <f>IF(base[[#This Row],[L/P Líquido]]&gt;0,1,0)</f>
        <v>1</v>
      </c>
      <c r="P2020" s="132"/>
      <c r="Q2020" s="132" t="str">
        <f>LEFT(base[[#This Row],[Evento / Mercado]],FIND("vs",base[[#This Row],[Evento / Mercado]])-2)</f>
        <v>Real Betis</v>
      </c>
      <c r="R20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2020" s="132" t="str">
        <f>LEFT(base[[#This Row],[Evento / Mercado]],FIND("/",base[[#This Row],[Evento / Mercado]])-2)</f>
        <v>Real Betis vs Elche CF</v>
      </c>
    </row>
    <row r="2021" spans="2:21" ht="15" customHeight="1">
      <c r="B2021" s="128" t="s">
        <v>1988</v>
      </c>
      <c r="C2021" s="128" t="s">
        <v>2982</v>
      </c>
      <c r="D2021" s="129">
        <v>46154.63685185185</v>
      </c>
      <c r="E2021" s="130">
        <v>-2</v>
      </c>
      <c r="F2021" s="136">
        <v>4.4999999999999998E-2</v>
      </c>
      <c r="G2021" s="126">
        <f t="shared" si="32"/>
        <v>-2</v>
      </c>
      <c r="H2021" s="126" t="s">
        <v>1339</v>
      </c>
      <c r="I2021" s="127" t="s">
        <v>1993</v>
      </c>
      <c r="J2021" s="126">
        <v>1.1100000000000001</v>
      </c>
      <c r="K2021" s="126">
        <v>2</v>
      </c>
      <c r="L2021" s="129">
        <f>INT(base[[#This Row],[Data de liquidação]])</f>
        <v>46154</v>
      </c>
      <c r="M2021" s="126">
        <f>base[[#This Row],[L/P Bruto]]-base[[#This Row],[L/P Líquido]]</f>
        <v>0</v>
      </c>
      <c r="N2021" s="126">
        <f>base[[#This Row],[L/P Líquido]]/base[[#This Row],[Stake/Responsabilidade]]</f>
        <v>-1</v>
      </c>
      <c r="O2021" s="132">
        <f>IF(base[[#This Row],[L/P Líquido]]&gt;0,1,0)</f>
        <v>0</v>
      </c>
      <c r="P2021" s="132"/>
      <c r="Q2021" s="132" t="str">
        <f>LEFT(base[[#This Row],[Evento / Mercado]],FIND("vs",base[[#This Row],[Evento / Mercado]])-2)</f>
        <v>Al-Kholood Club</v>
      </c>
      <c r="R20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Al-Akhdoud</v>
      </c>
      <c r="S2021" s="132" t="str">
        <f>LEFT(base[[#This Row],[Evento / Mercado]],FIND("/",base[[#This Row],[Evento / Mercado]])-2)</f>
        <v>Al-Kholood Club vs Al-Akhdoud</v>
      </c>
    </row>
    <row r="2022" spans="2:21" ht="15" customHeight="1">
      <c r="B2022" s="128" t="s">
        <v>1987</v>
      </c>
      <c r="C2022" s="128" t="s">
        <v>2982</v>
      </c>
      <c r="D2022" s="129">
        <v>46154.656747685185</v>
      </c>
      <c r="E2022" s="130">
        <v>81.93</v>
      </c>
      <c r="F2022" s="136">
        <v>4.4999999999999998E-2</v>
      </c>
      <c r="G2022" s="126">
        <f t="shared" si="32"/>
        <v>85.790575916230381</v>
      </c>
      <c r="H2022" s="126" t="s">
        <v>231</v>
      </c>
      <c r="I2022" s="127" t="s">
        <v>266</v>
      </c>
      <c r="J2022" s="126">
        <v>1.75</v>
      </c>
      <c r="K2022" s="126">
        <v>115</v>
      </c>
      <c r="L2022" s="129">
        <f>INT(base[[#This Row],[Data de liquidação]])</f>
        <v>46154</v>
      </c>
      <c r="M2022" s="126">
        <f>base[[#This Row],[L/P Bruto]]-base[[#This Row],[L/P Líquido]]</f>
        <v>3.8605759162303741</v>
      </c>
      <c r="N2022" s="126">
        <f>base[[#This Row],[L/P Líquido]]/base[[#This Row],[Stake/Responsabilidade]]</f>
        <v>0.71243478260869575</v>
      </c>
      <c r="O2022" s="132">
        <f>IF(base[[#This Row],[L/P Líquido]]&gt;0,1,0)</f>
        <v>1</v>
      </c>
      <c r="P2022" s="132"/>
      <c r="Q2022" s="132" t="str">
        <f>LEFT(base[[#This Row],[Evento / Mercado]],FIND("vs",base[[#This Row],[Evento / Mercado]])-2)</f>
        <v>Real Betis</v>
      </c>
      <c r="R20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2022" s="132" t="str">
        <f>LEFT(base[[#This Row],[Evento / Mercado]],FIND("/",base[[#This Row],[Evento / Mercado]])-2)</f>
        <v>Real Betis vs Elche CF</v>
      </c>
    </row>
    <row r="2023" spans="2:21" ht="15" customHeight="1">
      <c r="B2023" s="128" t="s">
        <v>1986</v>
      </c>
      <c r="C2023" s="128" t="s">
        <v>2982</v>
      </c>
      <c r="D2023" s="129">
        <v>46154.661851851852</v>
      </c>
      <c r="E2023" s="130">
        <v>1.85</v>
      </c>
      <c r="F2023" s="136">
        <v>4.4999999999999998E-2</v>
      </c>
      <c r="G2023" s="126">
        <f t="shared" si="32"/>
        <v>1.9371727748691101</v>
      </c>
      <c r="H2023" s="126" t="s">
        <v>1339</v>
      </c>
      <c r="I2023" s="127" t="s">
        <v>1390</v>
      </c>
      <c r="J2023" s="126">
        <v>17</v>
      </c>
      <c r="K2023" s="126">
        <v>31.04</v>
      </c>
      <c r="L2023" s="129">
        <f>INT(base[[#This Row],[Data de liquidação]])</f>
        <v>46154</v>
      </c>
      <c r="M2023" s="126">
        <f>base[[#This Row],[L/P Bruto]]-base[[#This Row],[L/P Líquido]]</f>
        <v>8.7172774869110015E-2</v>
      </c>
      <c r="N2023" s="126">
        <f>base[[#This Row],[L/P Líquido]]/base[[#This Row],[Stake/Responsabilidade]]</f>
        <v>5.9600515463917529E-2</v>
      </c>
      <c r="O2023" s="132">
        <f>IF(base[[#This Row],[L/P Líquido]]&gt;0,1,0)</f>
        <v>1</v>
      </c>
      <c r="P2023" s="132"/>
      <c r="Q2023" s="132" t="str">
        <f>LEFT(base[[#This Row],[Evento / Mercado]],FIND("vs",base[[#This Row],[Evento / Mercado]])-2)</f>
        <v>Hapoel Tel Aviv</v>
      </c>
      <c r="R20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Hapoel Petah Tikva</v>
      </c>
      <c r="S2023" s="132" t="str">
        <f>LEFT(base[[#This Row],[Evento / Mercado]],FIND("/",base[[#This Row],[Evento / Mercado]])-2)</f>
        <v>Hapoel Tel Aviv vs Hapoel Petah Tikva</v>
      </c>
    </row>
    <row r="2024" spans="2:21" ht="15" customHeight="1">
      <c r="B2024" s="128" t="s">
        <v>1985</v>
      </c>
      <c r="C2024" s="128" t="s">
        <v>2982</v>
      </c>
      <c r="D2024" s="129">
        <v>46154.670949074076</v>
      </c>
      <c r="E2024" s="130">
        <v>18.149999999999999</v>
      </c>
      <c r="F2024" s="136">
        <v>4.4999999999999998E-2</v>
      </c>
      <c r="G2024" s="126">
        <f t="shared" si="32"/>
        <v>19.005235602094242</v>
      </c>
      <c r="H2024" s="126" t="s">
        <v>1784</v>
      </c>
      <c r="I2024" s="127" t="s">
        <v>1448</v>
      </c>
      <c r="J2024" s="126">
        <v>1.38</v>
      </c>
      <c r="K2024" s="126">
        <v>50</v>
      </c>
      <c r="L2024" s="129">
        <f>INT(base[[#This Row],[Data de liquidação]])</f>
        <v>46154</v>
      </c>
      <c r="M2024" s="126">
        <f>base[[#This Row],[L/P Bruto]]-base[[#This Row],[L/P Líquido]]</f>
        <v>0.85523560209424332</v>
      </c>
      <c r="N2024" s="126">
        <f>base[[#This Row],[L/P Líquido]]/base[[#This Row],[Stake/Responsabilidade]]</f>
        <v>0.36299999999999999</v>
      </c>
      <c r="O2024" s="132">
        <f>IF(base[[#This Row],[L/P Líquido]]&gt;0,1,0)</f>
        <v>1</v>
      </c>
      <c r="P2024" s="132"/>
      <c r="Q2024" s="132" t="str">
        <f>LEFT(base[[#This Row],[Evento / Mercado]],FIND("vs",base[[#This Row],[Evento / Mercado]])-2)</f>
        <v>Southampton</v>
      </c>
      <c r="R20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Middlesbrough</v>
      </c>
      <c r="S2024" s="132" t="str">
        <f>LEFT(base[[#This Row],[Evento / Mercado]],FIND("/",base[[#This Row],[Evento / Mercado]])-2)</f>
        <v>Southampton vs Middlesbrough</v>
      </c>
    </row>
    <row r="2025" spans="2:21" ht="15" customHeight="1">
      <c r="B2025" s="128" t="s">
        <v>1984</v>
      </c>
      <c r="C2025" s="128" t="s">
        <v>2982</v>
      </c>
      <c r="D2025" s="129">
        <v>46154.679120370369</v>
      </c>
      <c r="E2025" s="130">
        <v>-50</v>
      </c>
      <c r="F2025" s="136">
        <v>4.4999999999999998E-2</v>
      </c>
      <c r="G2025" s="126">
        <f t="shared" si="32"/>
        <v>-50</v>
      </c>
      <c r="H2025" s="126" t="s">
        <v>1784</v>
      </c>
      <c r="I2025" s="127" t="s">
        <v>1448</v>
      </c>
      <c r="J2025" s="126">
        <v>1.3</v>
      </c>
      <c r="K2025" s="126">
        <v>50</v>
      </c>
      <c r="L2025" s="129">
        <f>INT(base[[#This Row],[Data de liquidação]])</f>
        <v>46154</v>
      </c>
      <c r="M2025" s="126">
        <f>base[[#This Row],[L/P Bruto]]-base[[#This Row],[L/P Líquido]]</f>
        <v>0</v>
      </c>
      <c r="N2025" s="126">
        <f>base[[#This Row],[L/P Líquido]]/base[[#This Row],[Stake/Responsabilidade]]</f>
        <v>-1</v>
      </c>
      <c r="O2025" s="132">
        <f>IF(base[[#This Row],[L/P Líquido]]&gt;0,1,0)</f>
        <v>0</v>
      </c>
      <c r="P2025" s="132"/>
      <c r="Q2025" s="132" t="str">
        <f>LEFT(base[[#This Row],[Evento / Mercado]],FIND("vs",base[[#This Row],[Evento / Mercado]])-2)</f>
        <v>Servette FC</v>
      </c>
      <c r="R20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Lausanne-Sport</v>
      </c>
      <c r="S2025" s="132" t="str">
        <f>LEFT(base[[#This Row],[Evento / Mercado]],FIND("/",base[[#This Row],[Evento / Mercado]])-2)</f>
        <v>Servette FC vs FC Lausanne-Sport</v>
      </c>
    </row>
    <row r="2026" spans="2:21" ht="15" customHeight="1">
      <c r="B2026" s="128" t="s">
        <v>1983</v>
      </c>
      <c r="C2026" s="128" t="s">
        <v>2982</v>
      </c>
      <c r="D2026" s="129">
        <v>46154.690081018518</v>
      </c>
      <c r="E2026" s="130">
        <v>-5</v>
      </c>
      <c r="F2026" s="136">
        <v>4.4999999999999998E-2</v>
      </c>
      <c r="G2026" s="126">
        <f t="shared" si="32"/>
        <v>-5</v>
      </c>
      <c r="H2026" s="126" t="s">
        <v>1339</v>
      </c>
      <c r="I2026" s="127" t="s">
        <v>1338</v>
      </c>
      <c r="J2026" s="126">
        <v>2.2599999999999998</v>
      </c>
      <c r="K2026" s="126">
        <v>5</v>
      </c>
      <c r="L2026" s="129">
        <f>INT(base[[#This Row],[Data de liquidação]])</f>
        <v>46154</v>
      </c>
      <c r="M2026" s="126">
        <f>base[[#This Row],[L/P Bruto]]-base[[#This Row],[L/P Líquido]]</f>
        <v>0</v>
      </c>
      <c r="N2026" s="126">
        <f>base[[#This Row],[L/P Líquido]]/base[[#This Row],[Stake/Responsabilidade]]</f>
        <v>-1</v>
      </c>
      <c r="O2026" s="132">
        <f>IF(base[[#This Row],[L/P Líquido]]&gt;0,1,0)</f>
        <v>0</v>
      </c>
      <c r="P2026" s="132"/>
      <c r="Q2026" s="132" t="str">
        <f>LEFT(base[[#This Row],[Evento / Mercado]],FIND("vs",base[[#This Row],[Evento / Mercado]])-2)</f>
        <v>Real Betis</v>
      </c>
      <c r="R20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2026" s="132" t="str">
        <f>LEFT(base[[#This Row],[Evento / Mercado]],FIND("/",base[[#This Row],[Evento / Mercado]])-2)</f>
        <v>Real Betis vs Elche CF</v>
      </c>
    </row>
    <row r="2027" spans="2:21" ht="15" customHeight="1">
      <c r="B2027" s="128" t="s">
        <v>1982</v>
      </c>
      <c r="C2027" s="128" t="s">
        <v>2982</v>
      </c>
      <c r="D2027" s="129">
        <v>46154.699479166666</v>
      </c>
      <c r="E2027" s="130">
        <v>77.98</v>
      </c>
      <c r="F2027" s="136">
        <v>4.4999999999999998E-2</v>
      </c>
      <c r="G2027" s="126">
        <f t="shared" si="32"/>
        <v>81.654450261780113</v>
      </c>
      <c r="H2027" s="126" t="s">
        <v>231</v>
      </c>
      <c r="I2027" s="127" t="s">
        <v>266</v>
      </c>
      <c r="J2027" s="126">
        <v>1.71</v>
      </c>
      <c r="K2027" s="126">
        <v>115</v>
      </c>
      <c r="L2027" s="129">
        <f>INT(base[[#This Row],[Data de liquidação]])</f>
        <v>46154</v>
      </c>
      <c r="M2027" s="126">
        <f>base[[#This Row],[L/P Bruto]]-base[[#This Row],[L/P Líquido]]</f>
        <v>3.6744502617801089</v>
      </c>
      <c r="N2027" s="126">
        <f>base[[#This Row],[L/P Líquido]]/base[[#This Row],[Stake/Responsabilidade]]</f>
        <v>0.67808695652173911</v>
      </c>
      <c r="O2027" s="132">
        <f>IF(base[[#This Row],[L/P Líquido]]&gt;0,1,0)</f>
        <v>1</v>
      </c>
      <c r="P2027" s="132"/>
      <c r="Q2027" s="132" t="str">
        <f>LEFT(base[[#This Row],[Evento / Mercado]],FIND("vs",base[[#This Row],[Evento / Mercado]])-2)</f>
        <v>Southampton</v>
      </c>
      <c r="R20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Middlesbrough</v>
      </c>
      <c r="S2027" s="132" t="str">
        <f>LEFT(base[[#This Row],[Evento / Mercado]],FIND("/",base[[#This Row],[Evento / Mercado]])-2)</f>
        <v>Southampton vs Middlesbrough</v>
      </c>
    </row>
    <row r="2028" spans="2:21" ht="15" customHeight="1">
      <c r="B2028" s="128" t="s">
        <v>1981</v>
      </c>
      <c r="C2028" s="128" t="s">
        <v>2982</v>
      </c>
      <c r="D2028" s="129">
        <v>46154.710381944446</v>
      </c>
      <c r="E2028" s="130">
        <v>26.262499999999999</v>
      </c>
      <c r="F2028" s="136">
        <v>4.4999999999999998E-2</v>
      </c>
      <c r="G2028" s="126">
        <f t="shared" si="32"/>
        <v>27.5</v>
      </c>
      <c r="H2028" s="126" t="s">
        <v>74</v>
      </c>
      <c r="I2028" s="127" t="s">
        <v>476</v>
      </c>
      <c r="J2028" s="126">
        <v>21</v>
      </c>
      <c r="K2028" s="126">
        <v>550</v>
      </c>
      <c r="L2028" s="129">
        <f>INT(base[[#This Row],[Data de liquidação]])</f>
        <v>46154</v>
      </c>
      <c r="M2028" s="126">
        <f>base[[#This Row],[L/P Bruto]]-base[[#This Row],[L/P Líquido]]</f>
        <v>1.2375000000000007</v>
      </c>
      <c r="N2028" s="126">
        <f>base[[#This Row],[L/P Líquido]]/base[[#This Row],[Stake/Responsabilidade]]</f>
        <v>4.7750000000000001E-2</v>
      </c>
      <c r="O2028" s="132">
        <f>IF(base[[#This Row],[L/P Líquido]]&gt;0,1,0)</f>
        <v>1</v>
      </c>
      <c r="P2028" s="132" t="s">
        <v>973</v>
      </c>
      <c r="Q2028" s="132" t="str">
        <f>LEFT(base[[#This Row],[Evento / Mercado]],FIND("vs",base[[#This Row],[Evento / Mercado]])-2)</f>
        <v>Al-Nassr Riyadh</v>
      </c>
      <c r="R20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2028" s="132" t="str">
        <f>LEFT(base[[#This Row],[Evento / Mercado]],FIND("/",base[[#This Row],[Evento / Mercado]])-2)</f>
        <v>Al-Nassr Riyadh vs Al-Hilal Riyadh</v>
      </c>
      <c r="T2028" s="8">
        <v>27.5</v>
      </c>
      <c r="U2028" s="9">
        <f>T2028*0.955</f>
        <v>26.262499999999999</v>
      </c>
    </row>
    <row r="2029" spans="2:21" ht="15" customHeight="1">
      <c r="B2029" s="128" t="s">
        <v>1981</v>
      </c>
      <c r="C2029" s="128" t="s">
        <v>2982</v>
      </c>
      <c r="D2029" s="129">
        <v>46154.710381944446</v>
      </c>
      <c r="E2029" s="130">
        <v>1.9863999999999999</v>
      </c>
      <c r="F2029" s="136">
        <v>4.4999999999999998E-2</v>
      </c>
      <c r="G2029" s="126">
        <f t="shared" si="32"/>
        <v>2.08</v>
      </c>
      <c r="H2029" s="126" t="s">
        <v>1339</v>
      </c>
      <c r="I2029" s="127" t="s">
        <v>1388</v>
      </c>
      <c r="J2029" s="126">
        <v>25</v>
      </c>
      <c r="K2029" s="126">
        <v>49.92</v>
      </c>
      <c r="L2029" s="129">
        <f>INT(base[[#This Row],[Data de liquidação]])</f>
        <v>46154</v>
      </c>
      <c r="M2029" s="126">
        <f>base[[#This Row],[L/P Bruto]]-base[[#This Row],[L/P Líquido]]</f>
        <v>9.3600000000000128E-2</v>
      </c>
      <c r="N2029" s="126">
        <f>base[[#This Row],[L/P Líquido]]/base[[#This Row],[Stake/Responsabilidade]]</f>
        <v>3.9791666666666663E-2</v>
      </c>
      <c r="O2029" s="132">
        <f>IF(base[[#This Row],[L/P Líquido]]&gt;0,1,0)</f>
        <v>1</v>
      </c>
      <c r="P2029" s="132"/>
      <c r="Q2029" s="132" t="str">
        <f>LEFT(base[[#This Row],[Evento / Mercado]],FIND("vs",base[[#This Row],[Evento / Mercado]])-2)</f>
        <v>Al-Nassr Riyadh</v>
      </c>
      <c r="R20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2029" s="132" t="str">
        <f>LEFT(base[[#This Row],[Evento / Mercado]],FIND("/",base[[#This Row],[Evento / Mercado]])-2)</f>
        <v>Al-Nassr Riyadh vs Al-Hilal Riyadh</v>
      </c>
      <c r="T2029" s="8">
        <v>2.08</v>
      </c>
      <c r="U2029" s="9">
        <f>T2029*0.955</f>
        <v>1.9863999999999999</v>
      </c>
    </row>
    <row r="2030" spans="2:21" ht="15" customHeight="1">
      <c r="B2030" s="128" t="s">
        <v>1980</v>
      </c>
      <c r="C2030" s="128" t="s">
        <v>2982</v>
      </c>
      <c r="D2030" s="129">
        <v>46154.710555555554</v>
      </c>
      <c r="E2030" s="130">
        <v>3.18</v>
      </c>
      <c r="F2030" s="136">
        <v>4.4999999999999998E-2</v>
      </c>
      <c r="G2030" s="126">
        <f t="shared" si="32"/>
        <v>3.329842931937173</v>
      </c>
      <c r="H2030" s="126" t="s">
        <v>1339</v>
      </c>
      <c r="I2030" s="127" t="s">
        <v>1430</v>
      </c>
      <c r="J2030" s="126">
        <v>16</v>
      </c>
      <c r="K2030" s="126">
        <v>49.95</v>
      </c>
      <c r="L2030" s="129">
        <f>INT(base[[#This Row],[Data de liquidação]])</f>
        <v>46154</v>
      </c>
      <c r="M2030" s="126">
        <f>base[[#This Row],[L/P Bruto]]-base[[#This Row],[L/P Líquido]]</f>
        <v>0.1498429319371728</v>
      </c>
      <c r="N2030" s="126">
        <f>base[[#This Row],[L/P Líquido]]/base[[#This Row],[Stake/Responsabilidade]]</f>
        <v>6.3663663663663661E-2</v>
      </c>
      <c r="O2030" s="132">
        <f>IF(base[[#This Row],[L/P Líquido]]&gt;0,1,0)</f>
        <v>1</v>
      </c>
      <c r="P2030" s="132"/>
      <c r="Q2030" s="132" t="str">
        <f>LEFT(base[[#This Row],[Evento / Mercado]],FIND("vs",base[[#This Row],[Evento / Mercado]])-2)</f>
        <v>Al-Nassr Riyadh</v>
      </c>
      <c r="R20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2030" s="132" t="str">
        <f>LEFT(base[[#This Row],[Evento / Mercado]],FIND("/",base[[#This Row],[Evento / Mercado]])-2)</f>
        <v>Al-Nassr Riyadh vs Al-Hilal Riyadh</v>
      </c>
    </row>
    <row r="2031" spans="2:21" ht="15" customHeight="1">
      <c r="B2031" s="128" t="s">
        <v>1979</v>
      </c>
      <c r="C2031" s="128" t="s">
        <v>2982</v>
      </c>
      <c r="D2031" s="129">
        <v>46154.710648148146</v>
      </c>
      <c r="E2031" s="130">
        <v>12.79</v>
      </c>
      <c r="F2031" s="136">
        <v>4.4999999999999998E-2</v>
      </c>
      <c r="G2031" s="126">
        <f t="shared" si="32"/>
        <v>13.392670157068062</v>
      </c>
      <c r="H2031" s="126" t="s">
        <v>211</v>
      </c>
      <c r="I2031" s="127" t="s">
        <v>1480</v>
      </c>
      <c r="J2031" s="126">
        <v>1.89</v>
      </c>
      <c r="K2031" s="126">
        <v>15</v>
      </c>
      <c r="L2031" s="129">
        <f>INT(base[[#This Row],[Data de liquidação]])</f>
        <v>46154</v>
      </c>
      <c r="M2031" s="126">
        <f>base[[#This Row],[L/P Bruto]]-base[[#This Row],[L/P Líquido]]</f>
        <v>0.60267015706806326</v>
      </c>
      <c r="N2031" s="126">
        <f>base[[#This Row],[L/P Líquido]]/base[[#This Row],[Stake/Responsabilidade]]</f>
        <v>0.85266666666666657</v>
      </c>
      <c r="O2031" s="132">
        <f>IF(base[[#This Row],[L/P Líquido]]&gt;0,1,0)</f>
        <v>1</v>
      </c>
      <c r="P2031" s="132"/>
      <c r="Q2031" s="132" t="str">
        <f>LEFT(base[[#This Row],[Evento / Mercado]],FIND("vs",base[[#This Row],[Evento / Mercado]])-2)</f>
        <v>Al-Nassr Riyadh</v>
      </c>
      <c r="R20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2031" s="132" t="str">
        <f>LEFT(base[[#This Row],[Evento / Mercado]],FIND("/",base[[#This Row],[Evento / Mercado]])-2)</f>
        <v>Al-Nassr Riyadh vs Al-Hilal Riyadh</v>
      </c>
    </row>
    <row r="2032" spans="2:21" ht="15" customHeight="1">
      <c r="B2032" s="128" t="s">
        <v>1978</v>
      </c>
      <c r="C2032" s="128" t="s">
        <v>2982</v>
      </c>
      <c r="D2032" s="129">
        <v>46154.710844907408</v>
      </c>
      <c r="E2032" s="130">
        <v>94.92</v>
      </c>
      <c r="F2032" s="136">
        <v>4.4999999999999998E-2</v>
      </c>
      <c r="G2032" s="126">
        <f t="shared" si="32"/>
        <v>99.392670157068068</v>
      </c>
      <c r="H2032" s="126" t="s">
        <v>145</v>
      </c>
      <c r="I2032" s="127" t="s">
        <v>301</v>
      </c>
      <c r="J2032" s="126">
        <v>5.8</v>
      </c>
      <c r="K2032" s="126">
        <v>495.02</v>
      </c>
      <c r="L2032" s="129">
        <f>INT(base[[#This Row],[Data de liquidação]])</f>
        <v>46154</v>
      </c>
      <c r="M2032" s="126">
        <f>base[[#This Row],[L/P Bruto]]-base[[#This Row],[L/P Líquido]]</f>
        <v>4.472670157068066</v>
      </c>
      <c r="N2032" s="126">
        <f>base[[#This Row],[L/P Líquido]]/base[[#This Row],[Stake/Responsabilidade]]</f>
        <v>0.19174982828976608</v>
      </c>
      <c r="O2032" s="132">
        <f>IF(base[[#This Row],[L/P Líquido]]&gt;0,1,0)</f>
        <v>1</v>
      </c>
      <c r="P2032" s="132" t="s">
        <v>964</v>
      </c>
      <c r="Q2032" s="132" t="str">
        <f>LEFT(base[[#This Row],[Evento / Mercado]],FIND("vs",base[[#This Row],[Evento / Mercado]])-2)</f>
        <v>Real Betis</v>
      </c>
      <c r="R20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2032" s="132" t="str">
        <f>LEFT(base[[#This Row],[Evento / Mercado]],FIND("/",base[[#This Row],[Evento / Mercado]])-2)</f>
        <v>Real Betis vs Elche CF</v>
      </c>
    </row>
    <row r="2033" spans="2:21" ht="15" customHeight="1">
      <c r="B2033" s="128" t="s">
        <v>1977</v>
      </c>
      <c r="C2033" s="128" t="s">
        <v>2982</v>
      </c>
      <c r="D2033" s="129">
        <v>46154.723483796297</v>
      </c>
      <c r="E2033" s="130">
        <v>2.8076999999999996</v>
      </c>
      <c r="F2033" s="136">
        <v>4.4999999999999998E-2</v>
      </c>
      <c r="G2033" s="126">
        <f t="shared" si="32"/>
        <v>2.94</v>
      </c>
      <c r="H2033" s="126" t="s">
        <v>1339</v>
      </c>
      <c r="I2033" s="127" t="s">
        <v>1388</v>
      </c>
      <c r="J2033" s="126">
        <v>19.5</v>
      </c>
      <c r="K2033" s="126">
        <v>54.39</v>
      </c>
      <c r="L2033" s="129">
        <f>INT(base[[#This Row],[Data de liquidação]])</f>
        <v>46154</v>
      </c>
      <c r="M2033" s="126">
        <f>base[[#This Row],[L/P Bruto]]-base[[#This Row],[L/P Líquido]]</f>
        <v>0.13230000000000031</v>
      </c>
      <c r="N2033" s="126">
        <f>base[[#This Row],[L/P Líquido]]/base[[#This Row],[Stake/Responsabilidade]]</f>
        <v>5.1621621621621615E-2</v>
      </c>
      <c r="O2033" s="132">
        <f>IF(base[[#This Row],[L/P Líquido]]&gt;0,1,0)</f>
        <v>1</v>
      </c>
      <c r="P2033" s="132"/>
      <c r="Q2033" s="132" t="str">
        <f>LEFT(base[[#This Row],[Evento / Mercado]],FIND("vs",base[[#This Row],[Evento / Mercado]])-2)</f>
        <v>Servette FC</v>
      </c>
      <c r="R20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Lausanne-Sport</v>
      </c>
      <c r="S2033" s="132" t="str">
        <f>LEFT(base[[#This Row],[Evento / Mercado]],FIND("/",base[[#This Row],[Evento / Mercado]])-2)</f>
        <v>Servette FC vs FC Lausanne-Sport</v>
      </c>
      <c r="T2033" s="8">
        <v>2.94</v>
      </c>
      <c r="U2033" s="9">
        <f>T2033*0.955</f>
        <v>2.8076999999999996</v>
      </c>
    </row>
    <row r="2034" spans="2:21" ht="15" customHeight="1">
      <c r="B2034" s="128" t="s">
        <v>1977</v>
      </c>
      <c r="C2034" s="128" t="s">
        <v>2982</v>
      </c>
      <c r="D2034" s="129">
        <v>46154.723483796297</v>
      </c>
      <c r="E2034" s="130">
        <v>26.262499999999999</v>
      </c>
      <c r="F2034" s="136">
        <v>4.4999999999999998E-2</v>
      </c>
      <c r="G2034" s="126">
        <f t="shared" si="32"/>
        <v>27.5</v>
      </c>
      <c r="H2034" s="126" t="s">
        <v>74</v>
      </c>
      <c r="I2034" s="127" t="s">
        <v>476</v>
      </c>
      <c r="J2034" s="126">
        <v>27.5</v>
      </c>
      <c r="K2034" s="126">
        <v>550</v>
      </c>
      <c r="L2034" s="129">
        <f>INT(base[[#This Row],[Data de liquidação]])</f>
        <v>46154</v>
      </c>
      <c r="M2034" s="126">
        <f>base[[#This Row],[L/P Bruto]]-base[[#This Row],[L/P Líquido]]</f>
        <v>1.2375000000000007</v>
      </c>
      <c r="N2034" s="126">
        <f>base[[#This Row],[L/P Líquido]]/base[[#This Row],[Stake/Responsabilidade]]</f>
        <v>4.7750000000000001E-2</v>
      </c>
      <c r="O2034" s="132">
        <f>IF(base[[#This Row],[L/P Líquido]]&gt;0,1,0)</f>
        <v>1</v>
      </c>
      <c r="P2034" s="132" t="s">
        <v>2472</v>
      </c>
      <c r="Q2034" s="132" t="str">
        <f>LEFT(base[[#This Row],[Evento / Mercado]],FIND("vs",base[[#This Row],[Evento / Mercado]])-2)</f>
        <v>Servette FC</v>
      </c>
      <c r="R20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Lausanne-Sport</v>
      </c>
      <c r="S2034" s="132" t="str">
        <f>LEFT(base[[#This Row],[Evento / Mercado]],FIND("/",base[[#This Row],[Evento / Mercado]])-2)</f>
        <v>Servette FC vs FC Lausanne-Sport</v>
      </c>
      <c r="T2034" s="8">
        <v>27.5</v>
      </c>
      <c r="U2034" s="9">
        <f>T2034*0.955</f>
        <v>26.262499999999999</v>
      </c>
    </row>
    <row r="2035" spans="2:21" ht="15" customHeight="1">
      <c r="B2035" s="128" t="s">
        <v>1976</v>
      </c>
      <c r="C2035" s="128" t="s">
        <v>2982</v>
      </c>
      <c r="D2035" s="129">
        <v>46154.723738425928</v>
      </c>
      <c r="E2035" s="130">
        <v>14.93</v>
      </c>
      <c r="F2035" s="136">
        <v>4.4999999999999998E-2</v>
      </c>
      <c r="G2035" s="126">
        <f t="shared" si="32"/>
        <v>15.633507853403142</v>
      </c>
      <c r="H2035" s="126" t="s">
        <v>1784</v>
      </c>
      <c r="I2035" s="127" t="s">
        <v>1785</v>
      </c>
      <c r="J2035" s="126">
        <v>4.2</v>
      </c>
      <c r="K2035" s="126">
        <v>50.02</v>
      </c>
      <c r="L2035" s="129">
        <f>INT(base[[#This Row],[Data de liquidação]])</f>
        <v>46154</v>
      </c>
      <c r="M2035" s="126">
        <f>base[[#This Row],[L/P Bruto]]-base[[#This Row],[L/P Líquido]]</f>
        <v>0.70350785340314204</v>
      </c>
      <c r="N2035" s="126">
        <f>base[[#This Row],[L/P Líquido]]/base[[#This Row],[Stake/Responsabilidade]]</f>
        <v>0.29848060775689722</v>
      </c>
      <c r="O2035" s="132">
        <f>IF(base[[#This Row],[L/P Líquido]]&gt;0,1,0)</f>
        <v>1</v>
      </c>
      <c r="P2035" s="132"/>
      <c r="Q2035" s="132" t="str">
        <f>LEFT(base[[#This Row],[Evento / Mercado]],FIND("vs",base[[#This Row],[Evento / Mercado]])-2)</f>
        <v>Servette FC</v>
      </c>
      <c r="R20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Lausanne-Sport</v>
      </c>
      <c r="S2035" s="132" t="str">
        <f>LEFT(base[[#This Row],[Evento / Mercado]],FIND("/",base[[#This Row],[Evento / Mercado]])-2)</f>
        <v>Servette FC vs FC Lausanne-Sport</v>
      </c>
    </row>
    <row r="2036" spans="2:21" ht="15" customHeight="1">
      <c r="B2036" s="128" t="s">
        <v>1975</v>
      </c>
      <c r="C2036" s="128" t="s">
        <v>2982</v>
      </c>
      <c r="D2036" s="129">
        <v>46154.724062499998</v>
      </c>
      <c r="E2036" s="130">
        <v>8.23</v>
      </c>
      <c r="F2036" s="136">
        <v>4.4999999999999998E-2</v>
      </c>
      <c r="G2036" s="126">
        <f t="shared" si="32"/>
        <v>8.6178010471204196</v>
      </c>
      <c r="H2036" s="126" t="s">
        <v>1784</v>
      </c>
      <c r="I2036" s="127" t="s">
        <v>1785</v>
      </c>
      <c r="J2036" s="126">
        <v>6.8</v>
      </c>
      <c r="K2036" s="126">
        <v>50</v>
      </c>
      <c r="L2036" s="129">
        <f>INT(base[[#This Row],[Data de liquidação]])</f>
        <v>46154</v>
      </c>
      <c r="M2036" s="126">
        <f>base[[#This Row],[L/P Bruto]]-base[[#This Row],[L/P Líquido]]</f>
        <v>0.38780104712041918</v>
      </c>
      <c r="N2036" s="126">
        <f>base[[#This Row],[L/P Líquido]]/base[[#This Row],[Stake/Responsabilidade]]</f>
        <v>0.1646</v>
      </c>
      <c r="O2036" s="132">
        <f>IF(base[[#This Row],[L/P Líquido]]&gt;0,1,0)</f>
        <v>1</v>
      </c>
      <c r="P2036" s="132"/>
      <c r="Q2036" s="132" t="str">
        <f>LEFT(base[[#This Row],[Evento / Mercado]],FIND("vs",base[[#This Row],[Evento / Mercado]])-2)</f>
        <v>FC Luzern</v>
      </c>
      <c r="R20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Zürich</v>
      </c>
      <c r="S2036" s="132" t="str">
        <f>LEFT(base[[#This Row],[Evento / Mercado]],FIND("/",base[[#This Row],[Evento / Mercado]])-2)</f>
        <v>FC Luzern vs FC Zürich</v>
      </c>
    </row>
    <row r="2037" spans="2:21" ht="15" customHeight="1">
      <c r="B2037" s="128" t="s">
        <v>1974</v>
      </c>
      <c r="C2037" s="128" t="s">
        <v>2982</v>
      </c>
      <c r="D2037" s="129">
        <v>46154.724259259259</v>
      </c>
      <c r="E2037" s="130">
        <v>2.17</v>
      </c>
      <c r="F2037" s="136">
        <v>4.4999999999999998E-2</v>
      </c>
      <c r="G2037" s="126">
        <f t="shared" si="32"/>
        <v>2.2722513089005236</v>
      </c>
      <c r="H2037" s="126" t="s">
        <v>1339</v>
      </c>
      <c r="I2037" s="127" t="s">
        <v>1388</v>
      </c>
      <c r="J2037" s="126">
        <v>23</v>
      </c>
      <c r="K2037" s="126">
        <v>49.94</v>
      </c>
      <c r="L2037" s="129">
        <f>INT(base[[#This Row],[Data de liquidação]])</f>
        <v>46154</v>
      </c>
      <c r="M2037" s="126">
        <f>base[[#This Row],[L/P Bruto]]-base[[#This Row],[L/P Líquido]]</f>
        <v>0.1022513089005237</v>
      </c>
      <c r="N2037" s="126">
        <f>base[[#This Row],[L/P Líquido]]/base[[#This Row],[Stake/Responsabilidade]]</f>
        <v>4.3452142571085303E-2</v>
      </c>
      <c r="O2037" s="132">
        <f>IF(base[[#This Row],[L/P Líquido]]&gt;0,1,0)</f>
        <v>1</v>
      </c>
      <c r="P2037" s="132"/>
      <c r="Q2037" s="132" t="str">
        <f>LEFT(base[[#This Row],[Evento / Mercado]],FIND("vs",base[[#This Row],[Evento / Mercado]])-2)</f>
        <v>Grasshopper Club Zürich</v>
      </c>
      <c r="R20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Winterthur</v>
      </c>
      <c r="S2037" s="132" t="str">
        <f>LEFT(base[[#This Row],[Evento / Mercado]],FIND("/",base[[#This Row],[Evento / Mercado]])-2)</f>
        <v>Grasshopper Club Zürich vs FC Winterthur</v>
      </c>
    </row>
    <row r="2038" spans="2:21" ht="15" customHeight="1">
      <c r="B2038" s="128" t="s">
        <v>1973</v>
      </c>
      <c r="C2038" s="128" t="s">
        <v>2982</v>
      </c>
      <c r="D2038" s="129">
        <v>46154.747812499998</v>
      </c>
      <c r="E2038" s="130">
        <v>-2</v>
      </c>
      <c r="F2038" s="136">
        <v>4.4999999999999998E-2</v>
      </c>
      <c r="G2038" s="126">
        <f t="shared" si="32"/>
        <v>-2</v>
      </c>
      <c r="H2038" s="126" t="s">
        <v>1339</v>
      </c>
      <c r="I2038" s="127" t="s">
        <v>1933</v>
      </c>
      <c r="J2038" s="126">
        <v>1.58</v>
      </c>
      <c r="K2038" s="126">
        <v>2</v>
      </c>
      <c r="L2038" s="129">
        <f>INT(base[[#This Row],[Data de liquidação]])</f>
        <v>46154</v>
      </c>
      <c r="M2038" s="126">
        <f>base[[#This Row],[L/P Bruto]]-base[[#This Row],[L/P Líquido]]</f>
        <v>0</v>
      </c>
      <c r="N2038" s="126">
        <f>base[[#This Row],[L/P Líquido]]/base[[#This Row],[Stake/Responsabilidade]]</f>
        <v>-1</v>
      </c>
      <c r="O2038" s="132">
        <f>IF(base[[#This Row],[L/P Líquido]]&gt;0,1,0)</f>
        <v>0</v>
      </c>
      <c r="P2038" s="132"/>
      <c r="Q2038" s="132" t="str">
        <f>LEFT(base[[#This Row],[Evento / Mercado]],FIND("vs",base[[#This Row],[Evento / Mercado]])-2)</f>
        <v>JS Saoura</v>
      </c>
      <c r="R20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 Belouizdad</v>
      </c>
      <c r="S2038" s="132" t="str">
        <f>LEFT(base[[#This Row],[Evento / Mercado]],FIND("/",base[[#This Row],[Evento / Mercado]])-2)</f>
        <v>JS Saoura vs CR Belouizdad</v>
      </c>
    </row>
    <row r="2039" spans="2:21" ht="15" customHeight="1">
      <c r="B2039" s="128" t="s">
        <v>1972</v>
      </c>
      <c r="C2039" s="128" t="s">
        <v>2982</v>
      </c>
      <c r="D2039" s="129">
        <v>46154.749525462961</v>
      </c>
      <c r="E2039" s="130">
        <v>2.27</v>
      </c>
      <c r="F2039" s="136">
        <v>4.4999999999999998E-2</v>
      </c>
      <c r="G2039" s="126">
        <f t="shared" si="32"/>
        <v>2.3769633507853403</v>
      </c>
      <c r="H2039" s="126" t="s">
        <v>1339</v>
      </c>
      <c r="I2039" s="127" t="s">
        <v>1388</v>
      </c>
      <c r="J2039" s="126">
        <v>22</v>
      </c>
      <c r="K2039" s="126">
        <v>49.98</v>
      </c>
      <c r="L2039" s="129">
        <f>INT(base[[#This Row],[Data de liquidação]])</f>
        <v>46154</v>
      </c>
      <c r="M2039" s="126">
        <f>base[[#This Row],[L/P Bruto]]-base[[#This Row],[L/P Líquido]]</f>
        <v>0.10696335078534025</v>
      </c>
      <c r="N2039" s="126">
        <f>base[[#This Row],[L/P Líquido]]/base[[#This Row],[Stake/Responsabilidade]]</f>
        <v>4.5418167266906763E-2</v>
      </c>
      <c r="O2039" s="132">
        <f>IF(base[[#This Row],[L/P Líquido]]&gt;0,1,0)</f>
        <v>1</v>
      </c>
      <c r="P2039" s="132"/>
      <c r="Q2039" s="132" t="str">
        <f>LEFT(base[[#This Row],[Evento / Mercado]],FIND("vs",base[[#This Row],[Evento / Mercado]])-2)</f>
        <v>San Antonio</v>
      </c>
      <c r="R20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Vinto</v>
      </c>
      <c r="S2039" s="132" t="str">
        <f>LEFT(base[[#This Row],[Evento / Mercado]],FIND("/",base[[#This Row],[Evento / Mercado]])-2)</f>
        <v>San Antonio vs Universitario de Vinto</v>
      </c>
    </row>
    <row r="2040" spans="2:21" ht="15" customHeight="1">
      <c r="B2040" s="128" t="s">
        <v>1971</v>
      </c>
      <c r="C2040" s="128" t="s">
        <v>2982</v>
      </c>
      <c r="D2040" s="129">
        <v>46154.755740740744</v>
      </c>
      <c r="E2040" s="130">
        <v>-2</v>
      </c>
      <c r="F2040" s="136">
        <v>4.4999999999999998E-2</v>
      </c>
      <c r="G2040" s="126">
        <f t="shared" si="32"/>
        <v>-2</v>
      </c>
      <c r="H2040" s="126" t="s">
        <v>1339</v>
      </c>
      <c r="I2040" s="127" t="s">
        <v>1994</v>
      </c>
      <c r="J2040" s="126">
        <v>3.95</v>
      </c>
      <c r="K2040" s="126">
        <v>2</v>
      </c>
      <c r="L2040" s="129">
        <f>INT(base[[#This Row],[Data de liquidação]])</f>
        <v>46154</v>
      </c>
      <c r="M2040" s="126">
        <f>base[[#This Row],[L/P Bruto]]-base[[#This Row],[L/P Líquido]]</f>
        <v>0</v>
      </c>
      <c r="N2040" s="126">
        <f>base[[#This Row],[L/P Líquido]]/base[[#This Row],[Stake/Responsabilidade]]</f>
        <v>-1</v>
      </c>
      <c r="O2040" s="132">
        <f>IF(base[[#This Row],[L/P Líquido]]&gt;0,1,0)</f>
        <v>0</v>
      </c>
      <c r="P2040" s="132"/>
      <c r="Q2040" s="132" t="str">
        <f>LEFT(base[[#This Row],[Evento / Mercado]],FIND("vs",base[[#This Row],[Evento / Mercado]])-2)</f>
        <v>Osasuna</v>
      </c>
      <c r="R20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2040" s="132" t="str">
        <f>LEFT(base[[#This Row],[Evento / Mercado]],FIND("/",base[[#This Row],[Evento / Mercado]])-2)</f>
        <v>Osasuna vs Atlético de Madrid</v>
      </c>
    </row>
    <row r="2041" spans="2:21" ht="15" customHeight="1">
      <c r="B2041" s="128" t="s">
        <v>1970</v>
      </c>
      <c r="C2041" s="128" t="s">
        <v>2982</v>
      </c>
      <c r="D2041" s="129">
        <v>46154.839733796296</v>
      </c>
      <c r="E2041" s="130">
        <v>3.82</v>
      </c>
      <c r="F2041" s="136">
        <v>4.4999999999999998E-2</v>
      </c>
      <c r="G2041" s="126">
        <f t="shared" si="32"/>
        <v>4</v>
      </c>
      <c r="H2041" s="126" t="s">
        <v>1339</v>
      </c>
      <c r="I2041" s="127" t="s">
        <v>1236</v>
      </c>
      <c r="J2041" s="126">
        <v>7.6</v>
      </c>
      <c r="K2041" s="126">
        <v>4</v>
      </c>
      <c r="L2041" s="129">
        <f>INT(base[[#This Row],[Data de liquidação]])</f>
        <v>46154</v>
      </c>
      <c r="M2041" s="126">
        <f>base[[#This Row],[L/P Bruto]]-base[[#This Row],[L/P Líquido]]</f>
        <v>0.18000000000000016</v>
      </c>
      <c r="N2041" s="126">
        <f>base[[#This Row],[L/P Líquido]]/base[[#This Row],[Stake/Responsabilidade]]</f>
        <v>0.95499999999999996</v>
      </c>
      <c r="O2041" s="132">
        <f>IF(base[[#This Row],[L/P Líquido]]&gt;0,1,0)</f>
        <v>1</v>
      </c>
      <c r="P2041" s="132"/>
      <c r="Q2041" s="132" t="str">
        <f>LEFT(base[[#This Row],[Evento / Mercado]],FIND("vs",base[[#This Row],[Evento / Mercado]])-2)</f>
        <v>SC Internacional</v>
      </c>
      <c r="R20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2041" s="132" t="str">
        <f>LEFT(base[[#This Row],[Evento / Mercado]],FIND("/",base[[#This Row],[Evento / Mercado]])-2)</f>
        <v>SC Internacional vs Athletic Club MG</v>
      </c>
    </row>
    <row r="2042" spans="2:21" ht="15" customHeight="1">
      <c r="B2042" s="128" t="s">
        <v>1969</v>
      </c>
      <c r="C2042" s="128" t="s">
        <v>2982</v>
      </c>
      <c r="D2042" s="129">
        <v>46154.901967592596</v>
      </c>
      <c r="E2042" s="130">
        <v>3.82</v>
      </c>
      <c r="F2042" s="136">
        <v>4.4999999999999998E-2</v>
      </c>
      <c r="G2042" s="126">
        <f t="shared" si="32"/>
        <v>4</v>
      </c>
      <c r="H2042" s="126" t="s">
        <v>1339</v>
      </c>
      <c r="I2042" s="127" t="s">
        <v>1236</v>
      </c>
      <c r="J2042" s="126">
        <v>12.5</v>
      </c>
      <c r="K2042" s="126">
        <v>4</v>
      </c>
      <c r="L2042" s="129">
        <f>INT(base[[#This Row],[Data de liquidação]])</f>
        <v>46154</v>
      </c>
      <c r="M2042" s="126">
        <f>base[[#This Row],[L/P Bruto]]-base[[#This Row],[L/P Líquido]]</f>
        <v>0.18000000000000016</v>
      </c>
      <c r="N2042" s="126">
        <f>base[[#This Row],[L/P Líquido]]/base[[#This Row],[Stake/Responsabilidade]]</f>
        <v>0.95499999999999996</v>
      </c>
      <c r="O2042" s="132">
        <f>IF(base[[#This Row],[L/P Líquido]]&gt;0,1,0)</f>
        <v>1</v>
      </c>
      <c r="P2042" s="132"/>
      <c r="Q2042" s="132" t="str">
        <f>LEFT(base[[#This Row],[Evento / Mercado]],FIND("vs",base[[#This Row],[Evento / Mercado]])-2)</f>
        <v>Club Aurora</v>
      </c>
      <c r="R20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CDT Real Oruro</v>
      </c>
      <c r="S2042" s="132" t="str">
        <f>LEFT(base[[#This Row],[Evento / Mercado]],FIND("/",base[[#This Row],[Evento / Mercado]])-2)</f>
        <v>Club Aurora vs CDT Real Oruro</v>
      </c>
    </row>
    <row r="2043" spans="2:21" ht="15" customHeight="1">
      <c r="B2043" s="128" t="s">
        <v>1968</v>
      </c>
      <c r="C2043" s="128" t="s">
        <v>2982</v>
      </c>
      <c r="D2043" s="129">
        <v>46154.953634259262</v>
      </c>
      <c r="E2043" s="130">
        <v>3.53</v>
      </c>
      <c r="F2043" s="136">
        <v>4.4999999999999998E-2</v>
      </c>
      <c r="G2043" s="126">
        <f t="shared" si="32"/>
        <v>3.6963350785340312</v>
      </c>
      <c r="H2043" s="126" t="s">
        <v>1339</v>
      </c>
      <c r="I2043" s="127" t="s">
        <v>1388</v>
      </c>
      <c r="J2043" s="126">
        <v>14.5</v>
      </c>
      <c r="K2043" s="126">
        <v>49.95</v>
      </c>
      <c r="L2043" s="129">
        <f>INT(base[[#This Row],[Data de liquidação]])</f>
        <v>46154</v>
      </c>
      <c r="M2043" s="126">
        <f>base[[#This Row],[L/P Bruto]]-base[[#This Row],[L/P Líquido]]</f>
        <v>0.1663350785340314</v>
      </c>
      <c r="N2043" s="126">
        <f>base[[#This Row],[L/P Líquido]]/base[[#This Row],[Stake/Responsabilidade]]</f>
        <v>7.0670670670670663E-2</v>
      </c>
      <c r="O2043" s="132">
        <f>IF(base[[#This Row],[L/P Líquido]]&gt;0,1,0)</f>
        <v>1</v>
      </c>
      <c r="P2043" s="132"/>
      <c r="Q2043" s="132" t="str">
        <f>LEFT(base[[#This Row],[Evento / Mercado]],FIND("vs",base[[#This Row],[Evento / Mercado]])-2)</f>
        <v>Club Aurora</v>
      </c>
      <c r="R20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CDT Real Oruro</v>
      </c>
      <c r="S2043" s="132" t="str">
        <f>LEFT(base[[#This Row],[Evento / Mercado]],FIND("/",base[[#This Row],[Evento / Mercado]])-2)</f>
        <v>Club Aurora vs CDT Real Oruro</v>
      </c>
    </row>
    <row r="2044" spans="2:21" ht="15" customHeight="1">
      <c r="B2044" s="128" t="s">
        <v>1967</v>
      </c>
      <c r="C2044" s="128" t="s">
        <v>2982</v>
      </c>
      <c r="D2044" s="129">
        <v>46154.979178240741</v>
      </c>
      <c r="E2044" s="130">
        <v>-2.0499999999999998</v>
      </c>
      <c r="F2044" s="136">
        <v>4.4999999999999998E-2</v>
      </c>
      <c r="G2044" s="126">
        <f t="shared" si="32"/>
        <v>-2.0499999999999998</v>
      </c>
      <c r="H2044" s="126" t="s">
        <v>1339</v>
      </c>
      <c r="I2044" s="127" t="s">
        <v>1236</v>
      </c>
      <c r="J2044" s="126">
        <v>6.2</v>
      </c>
      <c r="K2044" s="126">
        <v>4</v>
      </c>
      <c r="L2044" s="129">
        <f>INT(base[[#This Row],[Data de liquidação]])</f>
        <v>46154</v>
      </c>
      <c r="M2044" s="126">
        <f>base[[#This Row],[L/P Bruto]]-base[[#This Row],[L/P Líquido]]</f>
        <v>0</v>
      </c>
      <c r="N2044" s="126">
        <f>base[[#This Row],[L/P Líquido]]/base[[#This Row],[Stake/Responsabilidade]]</f>
        <v>-0.51249999999999996</v>
      </c>
      <c r="O2044" s="132">
        <f>IF(base[[#This Row],[L/P Líquido]]&gt;0,1,0)</f>
        <v>0</v>
      </c>
      <c r="P2044" s="132"/>
      <c r="Q2044" s="132" t="str">
        <f>LEFT(base[[#This Row],[Evento / Mercado]],FIND("vs",base[[#This Row],[Evento / Mercado]])-2)</f>
        <v>Cruzeiro</v>
      </c>
      <c r="R20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Goiás EC</v>
      </c>
      <c r="S2044" s="132" t="str">
        <f>LEFT(base[[#This Row],[Evento / Mercado]],FIND("/",base[[#This Row],[Evento / Mercado]])-2)</f>
        <v>Cruzeiro vs Goiás EC</v>
      </c>
    </row>
    <row r="2045" spans="2:21" ht="15" customHeight="1">
      <c r="B2045" s="128" t="s">
        <v>2054</v>
      </c>
      <c r="C2045" s="128" t="s">
        <v>2982</v>
      </c>
      <c r="D2045" s="129">
        <v>46155.374189814815</v>
      </c>
      <c r="E2045" s="130">
        <v>2.39</v>
      </c>
      <c r="F2045" s="136">
        <v>4.4999999999999998E-2</v>
      </c>
      <c r="G2045" s="126">
        <f t="shared" si="32"/>
        <v>2.5026178010471205</v>
      </c>
      <c r="H2045" s="126" t="s">
        <v>1339</v>
      </c>
      <c r="I2045" s="127" t="s">
        <v>1389</v>
      </c>
      <c r="J2045" s="126">
        <v>1.5</v>
      </c>
      <c r="K2045" s="126">
        <v>5</v>
      </c>
      <c r="L2045" s="129">
        <f>INT(base[[#This Row],[Data de liquidação]])</f>
        <v>46155</v>
      </c>
      <c r="M2045" s="126">
        <f>base[[#This Row],[L/P Bruto]]-base[[#This Row],[L/P Líquido]]</f>
        <v>0.11261780104712038</v>
      </c>
      <c r="N2045" s="126">
        <f>base[[#This Row],[L/P Líquido]]/base[[#This Row],[Stake/Responsabilidade]]</f>
        <v>0.47800000000000004</v>
      </c>
      <c r="O2045" s="132">
        <f>IF(base[[#This Row],[L/P Líquido]]&gt;0,1,0)</f>
        <v>1</v>
      </c>
      <c r="P2045" s="132"/>
      <c r="Q2045" s="132" t="str">
        <f>LEFT(base[[#This Row],[Evento / Mercado]],FIND("vs",base[[#This Row],[Evento / Mercado]])-2)</f>
        <v>Vissel Kobe</v>
      </c>
      <c r="R20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Kyoto Sanga</v>
      </c>
      <c r="S2045" s="132" t="str">
        <f>LEFT(base[[#This Row],[Evento / Mercado]],FIND("/",base[[#This Row],[Evento / Mercado]])-2)</f>
        <v>Vissel Kobe vs Kyoto Sanga</v>
      </c>
    </row>
    <row r="2046" spans="2:21" ht="15" customHeight="1">
      <c r="B2046" s="128" t="s">
        <v>2053</v>
      </c>
      <c r="C2046" s="128" t="s">
        <v>2982</v>
      </c>
      <c r="D2046" s="129">
        <v>46155.527037037034</v>
      </c>
      <c r="E2046" s="130">
        <v>14.04</v>
      </c>
      <c r="F2046" s="136">
        <v>4.4999999999999998E-2</v>
      </c>
      <c r="G2046" s="126">
        <f t="shared" si="32"/>
        <v>14.701570680628272</v>
      </c>
      <c r="H2046" s="126" t="s">
        <v>1784</v>
      </c>
      <c r="I2046" s="127" t="s">
        <v>1448</v>
      </c>
      <c r="J2046" s="126">
        <v>1.29</v>
      </c>
      <c r="K2046" s="126">
        <v>50</v>
      </c>
      <c r="L2046" s="129">
        <f>INT(base[[#This Row],[Data de liquidação]])</f>
        <v>46155</v>
      </c>
      <c r="M2046" s="126">
        <f>base[[#This Row],[L/P Bruto]]-base[[#This Row],[L/P Líquido]]</f>
        <v>0.66157068062827307</v>
      </c>
      <c r="N2046" s="126">
        <f>base[[#This Row],[L/P Líquido]]/base[[#This Row],[Stake/Responsabilidade]]</f>
        <v>0.28079999999999999</v>
      </c>
      <c r="O2046" s="132">
        <f>IF(base[[#This Row],[L/P Líquido]]&gt;0,1,0)</f>
        <v>1</v>
      </c>
      <c r="P2046" s="132"/>
      <c r="Q2046" s="132" t="str">
        <f>LEFT(base[[#This Row],[Evento / Mercado]],FIND("vs",base[[#This Row],[Evento / Mercado]])-2)</f>
        <v>Al-Raed Buraidah</v>
      </c>
      <c r="R20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Abha</v>
      </c>
      <c r="S2046" s="132" t="str">
        <f>LEFT(base[[#This Row],[Evento / Mercado]],FIND("/",base[[#This Row],[Evento / Mercado]])-2)</f>
        <v>Al-Raed Buraidah vs Abha</v>
      </c>
    </row>
    <row r="2047" spans="2:21" ht="15" customHeight="1">
      <c r="B2047" s="128" t="s">
        <v>2055</v>
      </c>
      <c r="C2047" s="128" t="s">
        <v>2982</v>
      </c>
      <c r="D2047" s="129">
        <v>46155.54482638889</v>
      </c>
      <c r="E2047" s="130">
        <v>-50</v>
      </c>
      <c r="F2047" s="136">
        <v>4.4999999999999998E-2</v>
      </c>
      <c r="G2047" s="126">
        <f t="shared" si="32"/>
        <v>-50</v>
      </c>
      <c r="H2047" s="126" t="s">
        <v>1784</v>
      </c>
      <c r="I2047" s="127" t="s">
        <v>1785</v>
      </c>
      <c r="J2047" s="126">
        <v>1.19</v>
      </c>
      <c r="K2047" s="126">
        <v>50</v>
      </c>
      <c r="L2047" s="129">
        <f>INT(base[[#This Row],[Data de liquidação]])</f>
        <v>46155</v>
      </c>
      <c r="M2047" s="126">
        <f>base[[#This Row],[L/P Bruto]]-base[[#This Row],[L/P Líquido]]</f>
        <v>0</v>
      </c>
      <c r="N2047" s="126">
        <f>base[[#This Row],[L/P Líquido]]/base[[#This Row],[Stake/Responsabilidade]]</f>
        <v>-1</v>
      </c>
      <c r="O2047" s="132">
        <f>IF(base[[#This Row],[L/P Líquido]]&gt;0,1,0)</f>
        <v>0</v>
      </c>
      <c r="P2047" s="132"/>
      <c r="Q2047" s="132" t="str">
        <f>LEFT(base[[#This Row],[Evento / Mercado]],FIND("vs",base[[#This Row],[Evento / Mercado]])-2)</f>
        <v>Akademisk Boldklub</v>
      </c>
      <c r="R20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Roskilde FC</v>
      </c>
      <c r="S2047" s="132" t="e">
        <f>LEFT(base[[#This Row],[Evento / Mercado]],FIND("/",base[[#This Row],[Evento / Mercado]])-2)</f>
        <v>#VALUE!</v>
      </c>
    </row>
    <row r="2048" spans="2:21" ht="15" customHeight="1">
      <c r="B2048" s="128" t="s">
        <v>2052</v>
      </c>
      <c r="C2048" s="128" t="s">
        <v>2982</v>
      </c>
      <c r="D2048" s="129">
        <v>46155.575775462959</v>
      </c>
      <c r="E2048" s="130">
        <v>15.4</v>
      </c>
      <c r="F2048" s="136">
        <v>4.4999999999999998E-2</v>
      </c>
      <c r="G2048" s="126">
        <f t="shared" si="32"/>
        <v>16.125654450261781</v>
      </c>
      <c r="H2048" s="126" t="s">
        <v>1784</v>
      </c>
      <c r="I2048" s="127" t="s">
        <v>1448</v>
      </c>
      <c r="J2048" s="126">
        <v>1.32</v>
      </c>
      <c r="K2048" s="126">
        <v>50</v>
      </c>
      <c r="L2048" s="129">
        <f>INT(base[[#This Row],[Data de liquidação]])</f>
        <v>46155</v>
      </c>
      <c r="M2048" s="126">
        <f>base[[#This Row],[L/P Bruto]]-base[[#This Row],[L/P Líquido]]</f>
        <v>0.72565445026178033</v>
      </c>
      <c r="N2048" s="126">
        <f>base[[#This Row],[L/P Líquido]]/base[[#This Row],[Stake/Responsabilidade]]</f>
        <v>0.308</v>
      </c>
      <c r="O2048" s="132">
        <f>IF(base[[#This Row],[L/P Líquido]]&gt;0,1,0)</f>
        <v>1</v>
      </c>
      <c r="P2048" s="132"/>
      <c r="Q2048" s="132" t="str">
        <f>LEFT(base[[#This Row],[Evento / Mercado]],FIND("vs",base[[#This Row],[Evento / Mercado]])-2)</f>
        <v>Al-Kuwait</v>
      </c>
      <c r="R20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Svay Rieng F.C.</v>
      </c>
      <c r="S2048" s="132" t="str">
        <f>LEFT(base[[#This Row],[Evento / Mercado]],FIND("/",base[[#This Row],[Evento / Mercado]])-2)</f>
        <v>Al-Kuwait vs Svay Rieng F.C.</v>
      </c>
    </row>
    <row r="2049" spans="2:19" ht="15" customHeight="1">
      <c r="B2049" s="128" t="s">
        <v>2051</v>
      </c>
      <c r="C2049" s="128" t="s">
        <v>2982</v>
      </c>
      <c r="D2049" s="129">
        <v>46155.589178240742</v>
      </c>
      <c r="E2049" s="130">
        <v>-29.99</v>
      </c>
      <c r="F2049" s="136">
        <v>4.4999999999999998E-2</v>
      </c>
      <c r="G2049" s="126">
        <f t="shared" si="32"/>
        <v>-29.99</v>
      </c>
      <c r="H2049" s="126" t="s">
        <v>1339</v>
      </c>
      <c r="I2049" s="127" t="s">
        <v>1390</v>
      </c>
      <c r="J2049" s="126">
        <v>9.4</v>
      </c>
      <c r="K2049" s="126">
        <v>29.99</v>
      </c>
      <c r="L2049" s="129">
        <f>INT(base[[#This Row],[Data de liquidação]])</f>
        <v>46155</v>
      </c>
      <c r="M2049" s="126">
        <f>base[[#This Row],[L/P Bruto]]-base[[#This Row],[L/P Líquido]]</f>
        <v>0</v>
      </c>
      <c r="N2049" s="126">
        <f>base[[#This Row],[L/P Líquido]]/base[[#This Row],[Stake/Responsabilidade]]</f>
        <v>-1</v>
      </c>
      <c r="O2049" s="132">
        <f>IF(base[[#This Row],[L/P Líquido]]&gt;0,1,0)</f>
        <v>0</v>
      </c>
      <c r="P2049" s="132"/>
      <c r="Q2049" s="132" t="str">
        <f>LEFT(base[[#This Row],[Evento / Mercado]],FIND("vs",base[[#This Row],[Evento / Mercado]])-2)</f>
        <v>Al-Tai FC</v>
      </c>
      <c r="R20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Jeddah Club</v>
      </c>
      <c r="S2049" s="132" t="str">
        <f>LEFT(base[[#This Row],[Evento / Mercado]],FIND("/",base[[#This Row],[Evento / Mercado]])-2)</f>
        <v>Al-Tai FC vs Jeddah Club</v>
      </c>
    </row>
    <row r="2050" spans="2:19" ht="15" customHeight="1">
      <c r="B2050" s="128" t="s">
        <v>2050</v>
      </c>
      <c r="C2050" s="128" t="s">
        <v>2982</v>
      </c>
      <c r="D2050" s="129">
        <v>46155.594074074077</v>
      </c>
      <c r="E2050" s="130">
        <v>19.100000000000001</v>
      </c>
      <c r="F2050" s="136">
        <v>4.4999999999999998E-2</v>
      </c>
      <c r="G2050" s="126">
        <f t="shared" si="32"/>
        <v>20.000000000000004</v>
      </c>
      <c r="H2050" s="126" t="s">
        <v>1784</v>
      </c>
      <c r="I2050" s="127" t="s">
        <v>1448</v>
      </c>
      <c r="J2050" s="126">
        <v>1.4</v>
      </c>
      <c r="K2050" s="126">
        <v>50</v>
      </c>
      <c r="L2050" s="129">
        <f>INT(base[[#This Row],[Data de liquidação]])</f>
        <v>46155</v>
      </c>
      <c r="M2050" s="126">
        <f>base[[#This Row],[L/P Bruto]]-base[[#This Row],[L/P Líquido]]</f>
        <v>0.90000000000000213</v>
      </c>
      <c r="N2050" s="126">
        <f>base[[#This Row],[L/P Líquido]]/base[[#This Row],[Stake/Responsabilidade]]</f>
        <v>0.38200000000000001</v>
      </c>
      <c r="O2050" s="132">
        <f>IF(base[[#This Row],[L/P Líquido]]&gt;0,1,0)</f>
        <v>1</v>
      </c>
      <c r="P2050" s="132"/>
      <c r="Q2050" s="132" t="str">
        <f>LEFT(base[[#This Row],[Evento / Mercado]],FIND("vs",base[[#This Row],[Evento / Mercado]])-2)</f>
        <v>Villarreal</v>
      </c>
      <c r="R20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</v>
      </c>
      <c r="S2050" s="132" t="str">
        <f>LEFT(base[[#This Row],[Evento / Mercado]],FIND("/",base[[#This Row],[Evento / Mercado]])-2)</f>
        <v>Villarreal vs Sevilla</v>
      </c>
    </row>
    <row r="2051" spans="2:19" ht="15" customHeight="1">
      <c r="B2051" s="128" t="s">
        <v>2049</v>
      </c>
      <c r="C2051" s="128" t="s">
        <v>2982</v>
      </c>
      <c r="D2051" s="129">
        <v>46155.595277777778</v>
      </c>
      <c r="E2051" s="130">
        <v>17.36</v>
      </c>
      <c r="F2051" s="136">
        <v>4.4999999999999998E-2</v>
      </c>
      <c r="G2051" s="126">
        <f t="shared" ref="G2051:G2114" si="33">IF(E2051&gt;0,E2051/(1-F2051),E2051)</f>
        <v>18.178010471204189</v>
      </c>
      <c r="H2051" s="126" t="s">
        <v>1784</v>
      </c>
      <c r="I2051" s="127" t="s">
        <v>1448</v>
      </c>
      <c r="J2051" s="126">
        <v>1.36</v>
      </c>
      <c r="K2051" s="126">
        <v>50</v>
      </c>
      <c r="L2051" s="129">
        <f>INT(base[[#This Row],[Data de liquidação]])</f>
        <v>46155</v>
      </c>
      <c r="M2051" s="126">
        <f>base[[#This Row],[L/P Bruto]]-base[[#This Row],[L/P Líquido]]</f>
        <v>0.81801047120418957</v>
      </c>
      <c r="N2051" s="126">
        <f>base[[#This Row],[L/P Líquido]]/base[[#This Row],[Stake/Responsabilidade]]</f>
        <v>0.34720000000000001</v>
      </c>
      <c r="O2051" s="132">
        <f>IF(base[[#This Row],[L/P Líquido]]&gt;0,1,0)</f>
        <v>1</v>
      </c>
      <c r="P2051" s="132"/>
      <c r="Q2051" s="132" t="str">
        <f>LEFT(base[[#This Row],[Evento / Mercado]],FIND("vs",base[[#This Row],[Evento / Mercado]])-2)</f>
        <v>Helsingborgs IF</v>
      </c>
      <c r="R20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Oddevold</v>
      </c>
      <c r="S2051" s="132" t="str">
        <f>LEFT(base[[#This Row],[Evento / Mercado]],FIND("/",base[[#This Row],[Evento / Mercado]])-2)</f>
        <v>Helsingborgs IF vs IK Oddevold</v>
      </c>
    </row>
    <row r="2052" spans="2:19" ht="15" customHeight="1">
      <c r="B2052" s="128" t="s">
        <v>2048</v>
      </c>
      <c r="C2052" s="128" t="s">
        <v>2982</v>
      </c>
      <c r="D2052" s="129">
        <v>46155.597974537035</v>
      </c>
      <c r="E2052" s="130">
        <v>-5</v>
      </c>
      <c r="F2052" s="136">
        <v>4.4999999999999998E-2</v>
      </c>
      <c r="G2052" s="126">
        <f t="shared" si="33"/>
        <v>-5</v>
      </c>
      <c r="H2052" s="126" t="s">
        <v>1339</v>
      </c>
      <c r="I2052" s="127" t="s">
        <v>1338</v>
      </c>
      <c r="J2052" s="126">
        <v>2.2000000000000002</v>
      </c>
      <c r="K2052" s="126">
        <v>5</v>
      </c>
      <c r="L2052" s="129">
        <f>INT(base[[#This Row],[Data de liquidação]])</f>
        <v>46155</v>
      </c>
      <c r="M2052" s="126">
        <f>base[[#This Row],[L/P Bruto]]-base[[#This Row],[L/P Líquido]]</f>
        <v>0</v>
      </c>
      <c r="N2052" s="126">
        <f>base[[#This Row],[L/P Líquido]]/base[[#This Row],[Stake/Responsabilidade]]</f>
        <v>-1</v>
      </c>
      <c r="O2052" s="132">
        <f>IF(base[[#This Row],[L/P Líquido]]&gt;0,1,0)</f>
        <v>0</v>
      </c>
      <c r="P2052" s="132"/>
      <c r="Q2052" s="132" t="str">
        <f>LEFT(base[[#This Row],[Evento / Mercado]],FIND("vs",base[[#This Row],[Evento / Mercado]])-2)</f>
        <v>Stade Brestois 29</v>
      </c>
      <c r="R20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Strasbourg</v>
      </c>
      <c r="S2052" s="132" t="str">
        <f>LEFT(base[[#This Row],[Evento / Mercado]],FIND("/",base[[#This Row],[Evento / Mercado]])-2)</f>
        <v>Stade Brestois 29 vs RC Strasbourg</v>
      </c>
    </row>
    <row r="2053" spans="2:19" ht="15" customHeight="1">
      <c r="B2053" s="128" t="s">
        <v>2047</v>
      </c>
      <c r="C2053" s="128" t="s">
        <v>2982</v>
      </c>
      <c r="D2053" s="129">
        <v>46155.609432870369</v>
      </c>
      <c r="E2053" s="130">
        <v>98.84</v>
      </c>
      <c r="F2053" s="136">
        <v>4.4999999999999998E-2</v>
      </c>
      <c r="G2053" s="126">
        <f t="shared" si="33"/>
        <v>103.49738219895289</v>
      </c>
      <c r="H2053" s="126" t="s">
        <v>231</v>
      </c>
      <c r="I2053" s="127" t="s">
        <v>232</v>
      </c>
      <c r="J2053" s="126">
        <v>1.9</v>
      </c>
      <c r="K2053" s="126">
        <v>115</v>
      </c>
      <c r="L2053" s="129">
        <f>INT(base[[#This Row],[Data de liquidação]])</f>
        <v>46155</v>
      </c>
      <c r="M2053" s="126">
        <f>base[[#This Row],[L/P Bruto]]-base[[#This Row],[L/P Líquido]]</f>
        <v>4.6573821989528881</v>
      </c>
      <c r="N2053" s="126">
        <f>base[[#This Row],[L/P Líquido]]/base[[#This Row],[Stake/Responsabilidade]]</f>
        <v>0.85947826086956525</v>
      </c>
      <c r="O2053" s="132">
        <f>IF(base[[#This Row],[L/P Líquido]]&gt;0,1,0)</f>
        <v>1</v>
      </c>
      <c r="P2053" s="132"/>
      <c r="Q2053" s="132" t="str">
        <f>LEFT(base[[#This Row],[Evento / Mercado]],FIND("vs",base[[#This Row],[Evento / Mercado]])-2)</f>
        <v>Villarreal</v>
      </c>
      <c r="R20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</v>
      </c>
      <c r="S2053" s="132" t="str">
        <f>LEFT(base[[#This Row],[Evento / Mercado]],FIND("/",base[[#This Row],[Evento / Mercado]])-2)</f>
        <v>Villarreal vs Sevilla</v>
      </c>
    </row>
    <row r="2054" spans="2:19" ht="15" customHeight="1">
      <c r="B2054" s="128" t="s">
        <v>2056</v>
      </c>
      <c r="C2054" s="128" t="s">
        <v>2982</v>
      </c>
      <c r="D2054" s="129">
        <v>46155.610798611109</v>
      </c>
      <c r="E2054" s="130">
        <v>-50</v>
      </c>
      <c r="F2054" s="136">
        <v>4.4999999999999998E-2</v>
      </c>
      <c r="G2054" s="126">
        <f t="shared" si="33"/>
        <v>-50</v>
      </c>
      <c r="H2054" s="126" t="s">
        <v>1784</v>
      </c>
      <c r="I2054" s="127" t="s">
        <v>1787</v>
      </c>
      <c r="J2054" s="126">
        <v>1.5069999999999999</v>
      </c>
      <c r="K2054" s="126">
        <v>50</v>
      </c>
      <c r="L2054" s="129">
        <f>INT(base[[#This Row],[Data de liquidação]])</f>
        <v>46155</v>
      </c>
      <c r="M2054" s="126">
        <f>base[[#This Row],[L/P Bruto]]-base[[#This Row],[L/P Líquido]]</f>
        <v>0</v>
      </c>
      <c r="N2054" s="126">
        <f>base[[#This Row],[L/P Líquido]]/base[[#This Row],[Stake/Responsabilidade]]</f>
        <v>-1</v>
      </c>
      <c r="O2054" s="132">
        <f>IF(base[[#This Row],[L/P Líquido]]&gt;0,1,0)</f>
        <v>0</v>
      </c>
      <c r="P2054" s="132"/>
      <c r="Q2054" s="132" t="str">
        <f>LEFT(base[[#This Row],[Evento / Mercado]],FIND("vs",base[[#This Row],[Evento / Mercado]])-2)</f>
        <v>Crvena Zvezda</v>
      </c>
      <c r="R20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Vojvodina Novi Sad</v>
      </c>
      <c r="S2054" s="132" t="e">
        <f>LEFT(base[[#This Row],[Evento / Mercado]],FIND("/",base[[#This Row],[Evento / Mercado]])-2)</f>
        <v>#VALUE!</v>
      </c>
    </row>
    <row r="2055" spans="2:19" ht="15" customHeight="1">
      <c r="B2055" s="128" t="s">
        <v>2046</v>
      </c>
      <c r="C2055" s="128" t="s">
        <v>2982</v>
      </c>
      <c r="D2055" s="129">
        <v>46155.622627314813</v>
      </c>
      <c r="E2055" s="130">
        <v>8.5299999999999994</v>
      </c>
      <c r="F2055" s="136">
        <v>4.4999999999999998E-2</v>
      </c>
      <c r="G2055" s="126">
        <f t="shared" si="33"/>
        <v>8.9319371727748695</v>
      </c>
      <c r="H2055" s="126" t="s">
        <v>1784</v>
      </c>
      <c r="I2055" s="127" t="s">
        <v>1785</v>
      </c>
      <c r="J2055" s="126">
        <v>6.6</v>
      </c>
      <c r="K2055" s="126">
        <v>50.01</v>
      </c>
      <c r="L2055" s="129">
        <f>INT(base[[#This Row],[Data de liquidação]])</f>
        <v>46155</v>
      </c>
      <c r="M2055" s="126">
        <f>base[[#This Row],[L/P Bruto]]-base[[#This Row],[L/P Líquido]]</f>
        <v>0.40193717277487018</v>
      </c>
      <c r="N2055" s="126">
        <f>base[[#This Row],[L/P Líquido]]/base[[#This Row],[Stake/Responsabilidade]]</f>
        <v>0.17056588682263546</v>
      </c>
      <c r="O2055" s="132">
        <f>IF(base[[#This Row],[L/P Líquido]]&gt;0,1,0)</f>
        <v>1</v>
      </c>
      <c r="P2055" s="132"/>
      <c r="Q2055" s="132" t="str">
        <f>LEFT(base[[#This Row],[Evento / Mercado]],FIND("vs",base[[#This Row],[Evento / Mercado]])-2)</f>
        <v>Dinamo Zagreb</v>
      </c>
      <c r="R20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HNK Rijeka</v>
      </c>
      <c r="S2055" s="132" t="str">
        <f>LEFT(base[[#This Row],[Evento / Mercado]],FIND("/",base[[#This Row],[Evento / Mercado]])-2)</f>
        <v>Dinamo Zagreb vs HNK Rijeka</v>
      </c>
    </row>
    <row r="2056" spans="2:19" ht="15" customHeight="1">
      <c r="B2056" s="128" t="s">
        <v>2045</v>
      </c>
      <c r="C2056" s="128" t="s">
        <v>2982</v>
      </c>
      <c r="D2056" s="129">
        <v>46155.634027777778</v>
      </c>
      <c r="E2056" s="130">
        <v>-2</v>
      </c>
      <c r="F2056" s="136">
        <v>4.4999999999999998E-2</v>
      </c>
      <c r="G2056" s="126">
        <f t="shared" si="33"/>
        <v>-2</v>
      </c>
      <c r="H2056" s="126" t="s">
        <v>1339</v>
      </c>
      <c r="I2056" s="127" t="s">
        <v>1994</v>
      </c>
      <c r="J2056" s="126">
        <v>4.03</v>
      </c>
      <c r="K2056" s="126">
        <v>2</v>
      </c>
      <c r="L2056" s="129">
        <f>INT(base[[#This Row],[Data de liquidação]])</f>
        <v>46155</v>
      </c>
      <c r="M2056" s="126">
        <f>base[[#This Row],[L/P Bruto]]-base[[#This Row],[L/P Líquido]]</f>
        <v>0</v>
      </c>
      <c r="N2056" s="126">
        <f>base[[#This Row],[L/P Líquido]]/base[[#This Row],[Stake/Responsabilidade]]</f>
        <v>-1</v>
      </c>
      <c r="O2056" s="132">
        <f>IF(base[[#This Row],[L/P Líquido]]&gt;0,1,0)</f>
        <v>0</v>
      </c>
      <c r="P2056" s="132"/>
      <c r="Q2056" s="132" t="str">
        <f>LEFT(base[[#This Row],[Evento / Mercado]],FIND("vs",base[[#This Row],[Evento / Mercado]])-2)</f>
        <v>Helsingborgs IF</v>
      </c>
      <c r="R20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Oddevold</v>
      </c>
      <c r="S2056" s="132" t="str">
        <f>LEFT(base[[#This Row],[Evento / Mercado]],FIND("/",base[[#This Row],[Evento / Mercado]])-2)</f>
        <v>Helsingborgs IF vs IK Oddevold</v>
      </c>
    </row>
    <row r="2057" spans="2:19" ht="15" customHeight="1">
      <c r="B2057" s="128" t="s">
        <v>2044</v>
      </c>
      <c r="C2057" s="128" t="s">
        <v>2982</v>
      </c>
      <c r="D2057" s="129">
        <v>46155.650509259256</v>
      </c>
      <c r="E2057" s="130">
        <v>16.75</v>
      </c>
      <c r="F2057" s="136">
        <v>4.4999999999999998E-2</v>
      </c>
      <c r="G2057" s="126">
        <f t="shared" si="33"/>
        <v>17.539267015706805</v>
      </c>
      <c r="H2057" s="126" t="s">
        <v>1784</v>
      </c>
      <c r="I2057" s="127" t="s">
        <v>1448</v>
      </c>
      <c r="J2057" s="126">
        <v>1.35</v>
      </c>
      <c r="K2057" s="126">
        <v>50</v>
      </c>
      <c r="L2057" s="129">
        <f>INT(base[[#This Row],[Data de liquidação]])</f>
        <v>46155</v>
      </c>
      <c r="M2057" s="126">
        <f>base[[#This Row],[L/P Bruto]]-base[[#This Row],[L/P Líquido]]</f>
        <v>0.78926701570680535</v>
      </c>
      <c r="N2057" s="126">
        <f>base[[#This Row],[L/P Líquido]]/base[[#This Row],[Stake/Responsabilidade]]</f>
        <v>0.33500000000000002</v>
      </c>
      <c r="O2057" s="132">
        <f>IF(base[[#This Row],[L/P Líquido]]&gt;0,1,0)</f>
        <v>1</v>
      </c>
      <c r="P2057" s="132"/>
      <c r="Q2057" s="132" t="str">
        <f>LEFT(base[[#This Row],[Evento / Mercado]],FIND("vs",base[[#This Row],[Evento / Mercado]])-2)</f>
        <v>Almere City</v>
      </c>
      <c r="R20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Willem II</v>
      </c>
      <c r="S2057" s="132" t="str">
        <f>LEFT(base[[#This Row],[Evento / Mercado]],FIND("/",base[[#This Row],[Evento / Mercado]])-2)</f>
        <v>Almere City vs Willem II</v>
      </c>
    </row>
    <row r="2058" spans="2:19" ht="15" customHeight="1">
      <c r="B2058" s="128" t="s">
        <v>2043</v>
      </c>
      <c r="C2058" s="128" t="s">
        <v>2982</v>
      </c>
      <c r="D2058" s="129">
        <v>46155.663148148145</v>
      </c>
      <c r="E2058" s="130">
        <v>13.26</v>
      </c>
      <c r="F2058" s="136">
        <v>4.4999999999999998E-2</v>
      </c>
      <c r="G2058" s="126">
        <f t="shared" si="33"/>
        <v>13.884816753926701</v>
      </c>
      <c r="H2058" s="126" t="s">
        <v>1784</v>
      </c>
      <c r="I2058" s="127" t="s">
        <v>1785</v>
      </c>
      <c r="J2058" s="126">
        <v>4.5999999999999996</v>
      </c>
      <c r="K2058" s="126">
        <v>50</v>
      </c>
      <c r="L2058" s="129">
        <f>INT(base[[#This Row],[Data de liquidação]])</f>
        <v>46155</v>
      </c>
      <c r="M2058" s="126">
        <f>base[[#This Row],[L/P Bruto]]-base[[#This Row],[L/P Líquido]]</f>
        <v>0.62481675392670155</v>
      </c>
      <c r="N2058" s="126">
        <f>base[[#This Row],[L/P Líquido]]/base[[#This Row],[Stake/Responsabilidade]]</f>
        <v>0.26519999999999999</v>
      </c>
      <c r="O2058" s="132">
        <f>IF(base[[#This Row],[L/P Líquido]]&gt;0,1,0)</f>
        <v>1</v>
      </c>
      <c r="P2058" s="132"/>
      <c r="Q2058" s="132" t="str">
        <f>LEFT(base[[#This Row],[Evento / Mercado]],FIND("vs",base[[#This Row],[Evento / Mercado]])-2)</f>
        <v>Ironi Tiberias</v>
      </c>
      <c r="R20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Maccabi Bnei Raina</v>
      </c>
      <c r="S2058" s="132" t="str">
        <f>LEFT(base[[#This Row],[Evento / Mercado]],FIND("/",base[[#This Row],[Evento / Mercado]])-2)</f>
        <v>Ironi Tiberias vs Maccabi Bnei Raina</v>
      </c>
    </row>
    <row r="2059" spans="2:19" ht="15" customHeight="1">
      <c r="B2059" s="128" t="s">
        <v>2042</v>
      </c>
      <c r="C2059" s="128" t="s">
        <v>2982</v>
      </c>
      <c r="D2059" s="129">
        <v>46155.663310185184</v>
      </c>
      <c r="E2059" s="130">
        <v>20.32</v>
      </c>
      <c r="F2059" s="136">
        <v>4.4999999999999998E-2</v>
      </c>
      <c r="G2059" s="126">
        <f t="shared" si="33"/>
        <v>21.277486910994767</v>
      </c>
      <c r="H2059" s="126" t="s">
        <v>1784</v>
      </c>
      <c r="I2059" s="127" t="s">
        <v>1785</v>
      </c>
      <c r="J2059" s="126">
        <v>3.35</v>
      </c>
      <c r="K2059" s="126">
        <v>50.01</v>
      </c>
      <c r="L2059" s="129">
        <f>INT(base[[#This Row],[Data de liquidação]])</f>
        <v>46155</v>
      </c>
      <c r="M2059" s="126">
        <f>base[[#This Row],[L/P Bruto]]-base[[#This Row],[L/P Líquido]]</f>
        <v>0.95748691099476702</v>
      </c>
      <c r="N2059" s="126">
        <f>base[[#This Row],[L/P Líquido]]/base[[#This Row],[Stake/Responsabilidade]]</f>
        <v>0.40631873625274945</v>
      </c>
      <c r="O2059" s="132">
        <f>IF(base[[#This Row],[L/P Líquido]]&gt;0,1,0)</f>
        <v>1</v>
      </c>
      <c r="P2059" s="132"/>
      <c r="Q2059" s="132" t="str">
        <f>LEFT(base[[#This Row],[Evento / Mercado]],FIND("vs",base[[#This Row],[Evento / Mercado]])-2)</f>
        <v>Maccabi Netanya</v>
      </c>
      <c r="R20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Hapoel Haifa</v>
      </c>
      <c r="S2059" s="132" t="str">
        <f>LEFT(base[[#This Row],[Evento / Mercado]],FIND("/",base[[#This Row],[Evento / Mercado]])-2)</f>
        <v>Maccabi Netanya vs Hapoel Haifa</v>
      </c>
    </row>
    <row r="2060" spans="2:19" ht="15" customHeight="1">
      <c r="B2060" s="128" t="s">
        <v>2041</v>
      </c>
      <c r="C2060" s="128" t="s">
        <v>2982</v>
      </c>
      <c r="D2060" s="129">
        <v>46155.663321759261</v>
      </c>
      <c r="E2060" s="130">
        <v>-50.02</v>
      </c>
      <c r="F2060" s="136">
        <v>4.4999999999999998E-2</v>
      </c>
      <c r="G2060" s="126">
        <f t="shared" si="33"/>
        <v>-50.02</v>
      </c>
      <c r="H2060" s="126" t="s">
        <v>1784</v>
      </c>
      <c r="I2060" s="127" t="s">
        <v>1785</v>
      </c>
      <c r="J2060" s="126">
        <v>4.5</v>
      </c>
      <c r="K2060" s="126">
        <v>50.02</v>
      </c>
      <c r="L2060" s="129">
        <f>INT(base[[#This Row],[Data de liquidação]])</f>
        <v>46155</v>
      </c>
      <c r="M2060" s="126">
        <f>base[[#This Row],[L/P Bruto]]-base[[#This Row],[L/P Líquido]]</f>
        <v>0</v>
      </c>
      <c r="N2060" s="126">
        <f>base[[#This Row],[L/P Líquido]]/base[[#This Row],[Stake/Responsabilidade]]</f>
        <v>-1</v>
      </c>
      <c r="O2060" s="132">
        <f>IF(base[[#This Row],[L/P Líquido]]&gt;0,1,0)</f>
        <v>0</v>
      </c>
      <c r="P2060" s="132"/>
      <c r="Q2060" s="132" t="str">
        <f>LEFT(base[[#This Row],[Evento / Mercado]],FIND("vs",base[[#This Row],[Evento / Mercado]])-2)</f>
        <v>Villarreal</v>
      </c>
      <c r="R20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</v>
      </c>
      <c r="S2060" s="132" t="str">
        <f>LEFT(base[[#This Row],[Evento / Mercado]],FIND("/",base[[#This Row],[Evento / Mercado]])-2)</f>
        <v>Villarreal vs Sevilla</v>
      </c>
    </row>
    <row r="2061" spans="2:19" ht="15" customHeight="1">
      <c r="B2061" s="128" t="s">
        <v>2040</v>
      </c>
      <c r="C2061" s="128" t="s">
        <v>2982</v>
      </c>
      <c r="D2061" s="129">
        <v>46155.671319444446</v>
      </c>
      <c r="E2061" s="130">
        <v>55.39</v>
      </c>
      <c r="F2061" s="136">
        <v>4.4999999999999998E-2</v>
      </c>
      <c r="G2061" s="126">
        <f t="shared" si="33"/>
        <v>58</v>
      </c>
      <c r="H2061" s="126" t="s">
        <v>1784</v>
      </c>
      <c r="I2061" s="127" t="s">
        <v>266</v>
      </c>
      <c r="J2061" s="126">
        <v>2.16</v>
      </c>
      <c r="K2061" s="126">
        <v>50</v>
      </c>
      <c r="L2061" s="129">
        <f>INT(base[[#This Row],[Data de liquidação]])</f>
        <v>46155</v>
      </c>
      <c r="M2061" s="126">
        <f>base[[#This Row],[L/P Bruto]]-base[[#This Row],[L/P Líquido]]</f>
        <v>2.6099999999999994</v>
      </c>
      <c r="N2061" s="126">
        <f>base[[#This Row],[L/P Líquido]]/base[[#This Row],[Stake/Responsabilidade]]</f>
        <v>1.1078000000000001</v>
      </c>
      <c r="O2061" s="132">
        <f>IF(base[[#This Row],[L/P Líquido]]&gt;0,1,0)</f>
        <v>1</v>
      </c>
      <c r="P2061" s="132"/>
      <c r="Q2061" s="132" t="str">
        <f>LEFT(base[[#This Row],[Evento / Mercado]],FIND("vs",base[[#This Row],[Evento / Mercado]])-2)</f>
        <v>Gençlerbirligi SK</v>
      </c>
      <c r="R20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Trabzonspor</v>
      </c>
      <c r="S2061" s="132" t="str">
        <f>LEFT(base[[#This Row],[Evento / Mercado]],FIND("/",base[[#This Row],[Evento / Mercado]])-2)</f>
        <v>Gençlerbirligi SK vs Trabzonspor</v>
      </c>
    </row>
    <row r="2062" spans="2:19" ht="15" customHeight="1">
      <c r="B2062" s="128" t="s">
        <v>2039</v>
      </c>
      <c r="C2062" s="128" t="s">
        <v>2982</v>
      </c>
      <c r="D2062" s="129">
        <v>46155.678379629629</v>
      </c>
      <c r="E2062" s="130">
        <v>21.49</v>
      </c>
      <c r="F2062" s="136">
        <v>4.4999999999999998E-2</v>
      </c>
      <c r="G2062" s="126">
        <f t="shared" si="33"/>
        <v>22.502617801047119</v>
      </c>
      <c r="H2062" s="126" t="s">
        <v>1784</v>
      </c>
      <c r="I2062" s="127" t="s">
        <v>1448</v>
      </c>
      <c r="J2062" s="126">
        <v>1.45</v>
      </c>
      <c r="K2062" s="126">
        <v>50</v>
      </c>
      <c r="L2062" s="129">
        <f>INT(base[[#This Row],[Data de liquidação]])</f>
        <v>46155</v>
      </c>
      <c r="M2062" s="126">
        <f>base[[#This Row],[L/P Bruto]]-base[[#This Row],[L/P Líquido]]</f>
        <v>1.0126178010471207</v>
      </c>
      <c r="N2062" s="126">
        <f>base[[#This Row],[L/P Líquido]]/base[[#This Row],[Stake/Responsabilidade]]</f>
        <v>0.42979999999999996</v>
      </c>
      <c r="O2062" s="132">
        <f>IF(base[[#This Row],[L/P Líquido]]&gt;0,1,0)</f>
        <v>1</v>
      </c>
      <c r="P2062" s="132"/>
      <c r="Q2062" s="132" t="str">
        <f>LEFT(base[[#This Row],[Evento / Mercado]],FIND("vs",base[[#This Row],[Evento / Mercado]])-2)</f>
        <v>Lazio</v>
      </c>
      <c r="R20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Internazionale</v>
      </c>
      <c r="S2062" s="132" t="str">
        <f>LEFT(base[[#This Row],[Evento / Mercado]],FIND("/",base[[#This Row],[Evento / Mercado]])-2)</f>
        <v>Lazio vs Internazionale</v>
      </c>
    </row>
    <row r="2063" spans="2:19" ht="15" customHeight="1">
      <c r="B2063" s="128" t="s">
        <v>2038</v>
      </c>
      <c r="C2063" s="128" t="s">
        <v>2982</v>
      </c>
      <c r="D2063" s="129">
        <v>46155.679166666669</v>
      </c>
      <c r="E2063" s="130">
        <v>13.84</v>
      </c>
      <c r="F2063" s="136">
        <v>4.4999999999999998E-2</v>
      </c>
      <c r="G2063" s="126">
        <f t="shared" si="33"/>
        <v>14.492146596858639</v>
      </c>
      <c r="H2063" s="126" t="s">
        <v>1784</v>
      </c>
      <c r="I2063" s="127" t="s">
        <v>1448</v>
      </c>
      <c r="J2063" s="126">
        <v>1.29</v>
      </c>
      <c r="K2063" s="126">
        <v>49.96</v>
      </c>
      <c r="L2063" s="129">
        <f>INT(base[[#This Row],[Data de liquidação]])</f>
        <v>46155</v>
      </c>
      <c r="M2063" s="126">
        <f>base[[#This Row],[L/P Bruto]]-base[[#This Row],[L/P Líquido]]</f>
        <v>0.65214659685863907</v>
      </c>
      <c r="N2063" s="126">
        <f>base[[#This Row],[L/P Líquido]]/base[[#This Row],[Stake/Responsabilidade]]</f>
        <v>0.27702161729383507</v>
      </c>
      <c r="O2063" s="132">
        <f>IF(base[[#This Row],[L/P Líquido]]&gt;0,1,0)</f>
        <v>1</v>
      </c>
      <c r="P2063" s="132"/>
      <c r="Q2063" s="132" t="str">
        <f>LEFT(base[[#This Row],[Evento / Mercado]],FIND("vs",base[[#This Row],[Evento / Mercado]])-2)</f>
        <v>Motherwell</v>
      </c>
      <c r="R20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2063" s="132" t="str">
        <f>LEFT(base[[#This Row],[Evento / Mercado]],FIND("/",base[[#This Row],[Evento / Mercado]])-2)</f>
        <v>Motherwell vs Celtic</v>
      </c>
    </row>
    <row r="2064" spans="2:19" ht="15" customHeight="1">
      <c r="B2064" s="128" t="s">
        <v>2037</v>
      </c>
      <c r="C2064" s="128" t="s">
        <v>2982</v>
      </c>
      <c r="D2064" s="129">
        <v>46155.687314814815</v>
      </c>
      <c r="E2064" s="130">
        <v>12.91</v>
      </c>
      <c r="F2064" s="136">
        <v>4.4999999999999998E-2</v>
      </c>
      <c r="G2064" s="126">
        <f t="shared" si="33"/>
        <v>13.518324607329843</v>
      </c>
      <c r="H2064" s="126" t="s">
        <v>1784</v>
      </c>
      <c r="I2064" s="127" t="s">
        <v>1448</v>
      </c>
      <c r="J2064" s="126">
        <v>1.27</v>
      </c>
      <c r="K2064" s="126">
        <v>50</v>
      </c>
      <c r="L2064" s="129">
        <f>INT(base[[#This Row],[Data de liquidação]])</f>
        <v>46155</v>
      </c>
      <c r="M2064" s="126">
        <f>base[[#This Row],[L/P Bruto]]-base[[#This Row],[L/P Líquido]]</f>
        <v>0.60832460732984295</v>
      </c>
      <c r="N2064" s="126">
        <f>base[[#This Row],[L/P Líquido]]/base[[#This Row],[Stake/Responsabilidade]]</f>
        <v>0.25819999999999999</v>
      </c>
      <c r="O2064" s="132">
        <f>IF(base[[#This Row],[L/P Líquido]]&gt;0,1,0)</f>
        <v>1</v>
      </c>
      <c r="P2064" s="132"/>
      <c r="Q2064" s="132" t="str">
        <f>LEFT(base[[#This Row],[Evento / Mercado]],FIND("vs",base[[#This Row],[Evento / Mercado]])-2)</f>
        <v>RC Lens</v>
      </c>
      <c r="R20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2064" s="132" t="str">
        <f>LEFT(base[[#This Row],[Evento / Mercado]],FIND("/",base[[#This Row],[Evento / Mercado]])-2)</f>
        <v>RC Lens vs Paris Saint-Germain</v>
      </c>
    </row>
    <row r="2065" spans="2:19" ht="15" customHeight="1">
      <c r="B2065" s="128" t="s">
        <v>2036</v>
      </c>
      <c r="C2065" s="128" t="s">
        <v>2982</v>
      </c>
      <c r="D2065" s="129">
        <v>46155.687326388892</v>
      </c>
      <c r="E2065" s="130">
        <v>0.12</v>
      </c>
      <c r="F2065" s="136">
        <v>4.4999999999999998E-2</v>
      </c>
      <c r="G2065" s="126">
        <f t="shared" si="33"/>
        <v>0.1256544502617801</v>
      </c>
      <c r="H2065" s="126" t="s">
        <v>1339</v>
      </c>
      <c r="I2065" s="127" t="s">
        <v>1993</v>
      </c>
      <c r="J2065" s="126">
        <v>1.06</v>
      </c>
      <c r="K2065" s="126">
        <v>2</v>
      </c>
      <c r="L2065" s="129">
        <f>INT(base[[#This Row],[Data de liquidação]])</f>
        <v>46155</v>
      </c>
      <c r="M2065" s="126">
        <f>base[[#This Row],[L/P Bruto]]-base[[#This Row],[L/P Líquido]]</f>
        <v>5.6544502617801029E-3</v>
      </c>
      <c r="N2065" s="126">
        <f>base[[#This Row],[L/P Líquido]]/base[[#This Row],[Stake/Responsabilidade]]</f>
        <v>0.06</v>
      </c>
      <c r="O2065" s="132">
        <f>IF(base[[#This Row],[L/P Líquido]]&gt;0,1,0)</f>
        <v>1</v>
      </c>
      <c r="P2065" s="132"/>
      <c r="Q2065" s="132" t="str">
        <f>LEFT(base[[#This Row],[Evento / Mercado]],FIND("vs",base[[#This Row],[Evento / Mercado]])-2)</f>
        <v>RC Lens</v>
      </c>
      <c r="R20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2065" s="132" t="str">
        <f>LEFT(base[[#This Row],[Evento / Mercado]],FIND("/",base[[#This Row],[Evento / Mercado]])-2)</f>
        <v>RC Lens vs Paris Saint-Germain</v>
      </c>
    </row>
    <row r="2066" spans="2:19" ht="15" customHeight="1">
      <c r="B2066" s="128" t="s">
        <v>2035</v>
      </c>
      <c r="C2066" s="128" t="s">
        <v>2982</v>
      </c>
      <c r="D2066" s="129">
        <v>46155.68922453704</v>
      </c>
      <c r="E2066" s="130">
        <v>1.1200000000000001</v>
      </c>
      <c r="F2066" s="136">
        <v>4.4999999999999998E-2</v>
      </c>
      <c r="G2066" s="126">
        <f t="shared" si="33"/>
        <v>1.1727748691099478</v>
      </c>
      <c r="H2066" s="126" t="s">
        <v>1339</v>
      </c>
      <c r="I2066" s="127" t="s">
        <v>1448</v>
      </c>
      <c r="J2066" s="126">
        <v>1.59</v>
      </c>
      <c r="K2066" s="126">
        <v>2</v>
      </c>
      <c r="L2066" s="129">
        <f>INT(base[[#This Row],[Data de liquidação]])</f>
        <v>46155</v>
      </c>
      <c r="M2066" s="126">
        <f>base[[#This Row],[L/P Bruto]]-base[[#This Row],[L/P Líquido]]</f>
        <v>5.2774869109947664E-2</v>
      </c>
      <c r="N2066" s="126">
        <f>base[[#This Row],[L/P Líquido]]/base[[#This Row],[Stake/Responsabilidade]]</f>
        <v>0.56000000000000005</v>
      </c>
      <c r="O2066" s="132">
        <f>IF(base[[#This Row],[L/P Líquido]]&gt;0,1,0)</f>
        <v>1</v>
      </c>
      <c r="P2066" s="132"/>
      <c r="Q2066" s="132" t="str">
        <f>LEFT(base[[#This Row],[Evento / Mercado]],FIND("vs",base[[#This Row],[Evento / Mercado]])-2)</f>
        <v>Manchester City</v>
      </c>
      <c r="R20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2066" s="132" t="str">
        <f>LEFT(base[[#This Row],[Evento / Mercado]],FIND("/",base[[#This Row],[Evento / Mercado]])-2)</f>
        <v>Manchester City vs Crystal Palace</v>
      </c>
    </row>
    <row r="2067" spans="2:19" ht="15" customHeight="1">
      <c r="B2067" s="128" t="s">
        <v>2034</v>
      </c>
      <c r="C2067" s="128" t="s">
        <v>2982</v>
      </c>
      <c r="D2067" s="129">
        <v>46155.694976851853</v>
      </c>
      <c r="E2067" s="130">
        <v>3.82</v>
      </c>
      <c r="F2067" s="136">
        <v>4.4999999999999998E-2</v>
      </c>
      <c r="G2067" s="126">
        <f t="shared" si="33"/>
        <v>4</v>
      </c>
      <c r="H2067" s="126" t="s">
        <v>1339</v>
      </c>
      <c r="I2067" s="127" t="s">
        <v>1236</v>
      </c>
      <c r="J2067" s="126">
        <v>9.4</v>
      </c>
      <c r="K2067" s="126">
        <v>4</v>
      </c>
      <c r="L2067" s="129">
        <f>INT(base[[#This Row],[Data de liquidação]])</f>
        <v>46155</v>
      </c>
      <c r="M2067" s="126">
        <f>base[[#This Row],[L/P Bruto]]-base[[#This Row],[L/P Líquido]]</f>
        <v>0.18000000000000016</v>
      </c>
      <c r="N2067" s="126">
        <f>base[[#This Row],[L/P Líquido]]/base[[#This Row],[Stake/Responsabilidade]]</f>
        <v>0.95499999999999996</v>
      </c>
      <c r="O2067" s="132">
        <f>IF(base[[#This Row],[L/P Líquido]]&gt;0,1,0)</f>
        <v>1</v>
      </c>
      <c r="P2067" s="132"/>
      <c r="Q2067" s="132" t="str">
        <f>LEFT(base[[#This Row],[Evento / Mercado]],FIND("vs",base[[#This Row],[Evento / Mercado]])-2)</f>
        <v>Manchester City</v>
      </c>
      <c r="R20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2067" s="132" t="str">
        <f>LEFT(base[[#This Row],[Evento / Mercado]],FIND("/",base[[#This Row],[Evento / Mercado]])-2)</f>
        <v>Manchester City vs Crystal Palace</v>
      </c>
    </row>
    <row r="2068" spans="2:19" ht="15" customHeight="1">
      <c r="B2068" s="128" t="s">
        <v>2033</v>
      </c>
      <c r="C2068" s="128" t="s">
        <v>2982</v>
      </c>
      <c r="D2068" s="129">
        <v>46155.703842592593</v>
      </c>
      <c r="E2068" s="130">
        <v>-380.04</v>
      </c>
      <c r="F2068" s="136">
        <v>4.4999999999999998E-2</v>
      </c>
      <c r="G2068" s="126">
        <f t="shared" si="33"/>
        <v>-380.04</v>
      </c>
      <c r="H2068" s="126" t="s">
        <v>74</v>
      </c>
      <c r="I2068" s="127" t="s">
        <v>476</v>
      </c>
      <c r="J2068" s="126">
        <v>15.5</v>
      </c>
      <c r="K2068" s="126">
        <v>380.05</v>
      </c>
      <c r="L2068" s="129">
        <f>INT(base[[#This Row],[Data de liquidação]])</f>
        <v>46155</v>
      </c>
      <c r="M2068" s="126">
        <f>base[[#This Row],[L/P Bruto]]-base[[#This Row],[L/P Líquido]]</f>
        <v>0</v>
      </c>
      <c r="N2068" s="126">
        <f>base[[#This Row],[L/P Líquido]]/base[[#This Row],[Stake/Responsabilidade]]</f>
        <v>-0.99997368767267469</v>
      </c>
      <c r="O2068" s="132">
        <f>IF(base[[#This Row],[L/P Líquido]]&gt;0,1,0)</f>
        <v>0</v>
      </c>
      <c r="P2068" s="132" t="s">
        <v>960</v>
      </c>
      <c r="Q2068" s="132" t="str">
        <f>LEFT(base[[#This Row],[Evento / Mercado]],FIND("vs",base[[#This Row],[Evento / Mercado]])-2)</f>
        <v>Almere City</v>
      </c>
      <c r="R20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Willem II</v>
      </c>
      <c r="S2068" s="132" t="str">
        <f>LEFT(base[[#This Row],[Evento / Mercado]],FIND("/",base[[#This Row],[Evento / Mercado]])-2)</f>
        <v>Almere City vs Willem II</v>
      </c>
    </row>
    <row r="2069" spans="2:19" ht="15" customHeight="1">
      <c r="B2069" s="128" t="s">
        <v>2032</v>
      </c>
      <c r="C2069" s="128" t="s">
        <v>2982</v>
      </c>
      <c r="D2069" s="129">
        <v>46155.704918981479</v>
      </c>
      <c r="E2069" s="130">
        <v>7.02</v>
      </c>
      <c r="F2069" s="136">
        <v>4.4999999999999998E-2</v>
      </c>
      <c r="G2069" s="126">
        <f t="shared" si="33"/>
        <v>7.3507853403141361</v>
      </c>
      <c r="H2069" s="126" t="s">
        <v>1784</v>
      </c>
      <c r="I2069" s="127" t="s">
        <v>1785</v>
      </c>
      <c r="J2069" s="126">
        <v>7.8</v>
      </c>
      <c r="K2069" s="126">
        <v>49.98</v>
      </c>
      <c r="L2069" s="129">
        <f>INT(base[[#This Row],[Data de liquidação]])</f>
        <v>46155</v>
      </c>
      <c r="M2069" s="126">
        <f>base[[#This Row],[L/P Bruto]]-base[[#This Row],[L/P Líquido]]</f>
        <v>0.33078534031413653</v>
      </c>
      <c r="N2069" s="126">
        <f>base[[#This Row],[L/P Líquido]]/base[[#This Row],[Stake/Responsabilidade]]</f>
        <v>0.14045618247298919</v>
      </c>
      <c r="O2069" s="132">
        <f>IF(base[[#This Row],[L/P Líquido]]&gt;0,1,0)</f>
        <v>1</v>
      </c>
      <c r="P2069" s="132"/>
      <c r="Q2069" s="132" t="str">
        <f>LEFT(base[[#This Row],[Evento / Mercado]],FIND("vs",base[[#This Row],[Evento / Mercado]])-2)</f>
        <v>SK Slavia Praha</v>
      </c>
      <c r="R20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Jablonec</v>
      </c>
      <c r="S2069" s="132" t="str">
        <f>LEFT(base[[#This Row],[Evento / Mercado]],FIND("/",base[[#This Row],[Evento / Mercado]])-2)</f>
        <v>SK Slavia Praha vs FK Jablonec</v>
      </c>
    </row>
    <row r="2070" spans="2:19" ht="15" customHeight="1">
      <c r="B2070" s="128" t="s">
        <v>2031</v>
      </c>
      <c r="C2070" s="128" t="s">
        <v>2982</v>
      </c>
      <c r="D2070" s="129">
        <v>46155.718055555553</v>
      </c>
      <c r="E2070" s="130">
        <v>-2</v>
      </c>
      <c r="F2070" s="136">
        <v>4.4999999999999998E-2</v>
      </c>
      <c r="G2070" s="126">
        <f t="shared" si="33"/>
        <v>-2</v>
      </c>
      <c r="H2070" s="126" t="s">
        <v>1339</v>
      </c>
      <c r="I2070" s="127" t="s">
        <v>1994</v>
      </c>
      <c r="J2070" s="126">
        <v>4.2</v>
      </c>
      <c r="K2070" s="126">
        <v>2</v>
      </c>
      <c r="L2070" s="129">
        <f>INT(base[[#This Row],[Data de liquidação]])</f>
        <v>46155</v>
      </c>
      <c r="M2070" s="126">
        <f>base[[#This Row],[L/P Bruto]]-base[[#This Row],[L/P Líquido]]</f>
        <v>0</v>
      </c>
      <c r="N2070" s="126">
        <f>base[[#This Row],[L/P Líquido]]/base[[#This Row],[Stake/Responsabilidade]]</f>
        <v>-1</v>
      </c>
      <c r="O2070" s="132">
        <f>IF(base[[#This Row],[L/P Líquido]]&gt;0,1,0)</f>
        <v>0</v>
      </c>
      <c r="P2070" s="132"/>
      <c r="Q2070" s="132" t="str">
        <f>LEFT(base[[#This Row],[Evento / Mercado]],FIND("vs",base[[#This Row],[Evento / Mercado]])-2)</f>
        <v>Rakow Czestochowa</v>
      </c>
      <c r="R20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Jagiellonia Bialystok</v>
      </c>
      <c r="S2070" s="132" t="str">
        <f>LEFT(base[[#This Row],[Evento / Mercado]],FIND("/",base[[#This Row],[Evento / Mercado]])-2)</f>
        <v>Rakow Czestochowa vs Jagiellonia Bialystok</v>
      </c>
    </row>
    <row r="2071" spans="2:19" ht="15" customHeight="1">
      <c r="B2071" s="128" t="s">
        <v>2030</v>
      </c>
      <c r="C2071" s="128" t="s">
        <v>2982</v>
      </c>
      <c r="D2071" s="129">
        <v>46155.740289351852</v>
      </c>
      <c r="E2071" s="130">
        <v>77.34</v>
      </c>
      <c r="F2071" s="136">
        <v>4.4999999999999998E-2</v>
      </c>
      <c r="G2071" s="126">
        <f t="shared" si="33"/>
        <v>80.984293193717278</v>
      </c>
      <c r="H2071" s="126" t="s">
        <v>231</v>
      </c>
      <c r="I2071" s="127" t="s">
        <v>232</v>
      </c>
      <c r="J2071" s="126">
        <v>1.7</v>
      </c>
      <c r="K2071" s="126">
        <v>115</v>
      </c>
      <c r="L2071" s="129">
        <f>INT(base[[#This Row],[Data de liquidação]])</f>
        <v>46155</v>
      </c>
      <c r="M2071" s="126">
        <f>base[[#This Row],[L/P Bruto]]-base[[#This Row],[L/P Líquido]]</f>
        <v>3.6442931937172744</v>
      </c>
      <c r="N2071" s="126">
        <f>base[[#This Row],[L/P Líquido]]/base[[#This Row],[Stake/Responsabilidade]]</f>
        <v>0.67252173913043478</v>
      </c>
      <c r="O2071" s="132">
        <f>IF(base[[#This Row],[L/P Líquido]]&gt;0,1,0)</f>
        <v>1</v>
      </c>
      <c r="P2071" s="132"/>
      <c r="Q2071" s="132" t="str">
        <f>LEFT(base[[#This Row],[Evento / Mercado]],FIND("vs",base[[#This Row],[Evento / Mercado]])-2)</f>
        <v>Hearts</v>
      </c>
      <c r="R20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Falkirk</v>
      </c>
      <c r="S2071" s="132" t="str">
        <f>LEFT(base[[#This Row],[Evento / Mercado]],FIND("/",base[[#This Row],[Evento / Mercado]])-2)</f>
        <v>Hearts vs Falkirk</v>
      </c>
    </row>
    <row r="2072" spans="2:19" ht="15" customHeight="1">
      <c r="B2072" s="128" t="s">
        <v>2029</v>
      </c>
      <c r="C2072" s="128" t="s">
        <v>2982</v>
      </c>
      <c r="D2072" s="129">
        <v>46155.74527777778</v>
      </c>
      <c r="E2072" s="130">
        <v>-9.9</v>
      </c>
      <c r="F2072" s="136">
        <v>4.4999999999999998E-2</v>
      </c>
      <c r="G2072" s="126">
        <f t="shared" si="33"/>
        <v>-9.9</v>
      </c>
      <c r="H2072" s="126" t="s">
        <v>1339</v>
      </c>
      <c r="I2072" s="127" t="s">
        <v>1446</v>
      </c>
      <c r="J2072" s="126">
        <v>2.96</v>
      </c>
      <c r="K2072" s="126">
        <v>9.9</v>
      </c>
      <c r="L2072" s="129">
        <f>INT(base[[#This Row],[Data de liquidação]])</f>
        <v>46155</v>
      </c>
      <c r="M2072" s="126">
        <f>base[[#This Row],[L/P Bruto]]-base[[#This Row],[L/P Líquido]]</f>
        <v>0</v>
      </c>
      <c r="N2072" s="126">
        <f>base[[#This Row],[L/P Líquido]]/base[[#This Row],[Stake/Responsabilidade]]</f>
        <v>-1</v>
      </c>
      <c r="O2072" s="132">
        <f>IF(base[[#This Row],[L/P Líquido]]&gt;0,1,0)</f>
        <v>0</v>
      </c>
      <c r="P2072" s="132"/>
      <c r="Q2072" s="132" t="str">
        <f>LEFT(base[[#This Row],[Evento / Mercado]],FIND("vs",base[[#This Row],[Evento / Mercado]])-2)</f>
        <v>Rangers</v>
      </c>
      <c r="R20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Hibernian</v>
      </c>
      <c r="S2072" s="132" t="str">
        <f>LEFT(base[[#This Row],[Evento / Mercado]],FIND("/",base[[#This Row],[Evento / Mercado]])-2)</f>
        <v>Rangers vs Hibernian</v>
      </c>
    </row>
    <row r="2073" spans="2:19" ht="15" customHeight="1">
      <c r="B2073" s="128" t="s">
        <v>2028</v>
      </c>
      <c r="C2073" s="128" t="s">
        <v>2982</v>
      </c>
      <c r="D2073" s="129">
        <v>46155.745636574073</v>
      </c>
      <c r="E2073" s="130">
        <v>25.03</v>
      </c>
      <c r="F2073" s="136">
        <v>4.4999999999999998E-2</v>
      </c>
      <c r="G2073" s="126">
        <f t="shared" si="33"/>
        <v>26.209424083769637</v>
      </c>
      <c r="H2073" s="126" t="s">
        <v>145</v>
      </c>
      <c r="I2073" s="127" t="s">
        <v>301</v>
      </c>
      <c r="J2073" s="126">
        <v>15.5</v>
      </c>
      <c r="K2073" s="126">
        <v>380.05</v>
      </c>
      <c r="L2073" s="129">
        <f>INT(base[[#This Row],[Data de liquidação]])</f>
        <v>46155</v>
      </c>
      <c r="M2073" s="126">
        <f>base[[#This Row],[L/P Bruto]]-base[[#This Row],[L/P Líquido]]</f>
        <v>1.1794240837696357</v>
      </c>
      <c r="N2073" s="126">
        <f>base[[#This Row],[L/P Líquido]]/base[[#This Row],[Stake/Responsabilidade]]</f>
        <v>6.5859755295355871E-2</v>
      </c>
      <c r="O2073" s="132">
        <f>IF(base[[#This Row],[L/P Líquido]]&gt;0,1,0)</f>
        <v>1</v>
      </c>
      <c r="P2073" s="132" t="s">
        <v>963</v>
      </c>
      <c r="Q2073" s="132" t="str">
        <f>LEFT(base[[#This Row],[Evento / Mercado]],FIND("vs",base[[#This Row],[Evento / Mercado]])-2)</f>
        <v>Manchester City</v>
      </c>
      <c r="R20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2073" s="132" t="str">
        <f>LEFT(base[[#This Row],[Evento / Mercado]],FIND("/",base[[#This Row],[Evento / Mercado]])-2)</f>
        <v>Manchester City vs Crystal Palace</v>
      </c>
    </row>
    <row r="2074" spans="2:19" ht="15" customHeight="1">
      <c r="B2074" s="128" t="s">
        <v>2027</v>
      </c>
      <c r="C2074" s="128" t="s">
        <v>2982</v>
      </c>
      <c r="D2074" s="129">
        <v>46155.746655092589</v>
      </c>
      <c r="E2074" s="130">
        <f>-8.39+4</f>
        <v>-4.3900000000000006</v>
      </c>
      <c r="F2074" s="136">
        <v>4.4999999999999998E-2</v>
      </c>
      <c r="G2074" s="126">
        <f t="shared" si="33"/>
        <v>-4.3900000000000006</v>
      </c>
      <c r="H2074" s="126" t="s">
        <v>1339</v>
      </c>
      <c r="I2074" s="127" t="s">
        <v>1236</v>
      </c>
      <c r="J2074" s="126">
        <v>13</v>
      </c>
      <c r="K2074" s="126">
        <v>4</v>
      </c>
      <c r="L2074" s="129">
        <f>INT(base[[#This Row],[Data de liquidação]])</f>
        <v>46155</v>
      </c>
      <c r="M2074" s="126">
        <f>base[[#This Row],[L/P Bruto]]-base[[#This Row],[L/P Líquido]]</f>
        <v>0</v>
      </c>
      <c r="N2074" s="126">
        <f>base[[#This Row],[L/P Líquido]]/base[[#This Row],[Stake/Responsabilidade]]</f>
        <v>-1.0975000000000001</v>
      </c>
      <c r="O2074" s="132">
        <f>IF(base[[#This Row],[L/P Líquido]]&gt;0,1,0)</f>
        <v>0</v>
      </c>
      <c r="P2074" s="132"/>
      <c r="Q2074" s="132" t="str">
        <f>LEFT(base[[#This Row],[Evento / Mercado]],FIND("vs",base[[#This Row],[Evento / Mercado]])-2)</f>
        <v>RC Lens</v>
      </c>
      <c r="R20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2074" s="132" t="str">
        <f>LEFT(base[[#This Row],[Evento / Mercado]],FIND("/",base[[#This Row],[Evento / Mercado]])-2)</f>
        <v>RC Lens vs Paris Saint-Germain</v>
      </c>
    </row>
    <row r="2075" spans="2:19" ht="15" customHeight="1">
      <c r="B2075" s="128" t="s">
        <v>2027</v>
      </c>
      <c r="C2075" s="128" t="s">
        <v>2982</v>
      </c>
      <c r="D2075" s="129">
        <v>46155.746655092589</v>
      </c>
      <c r="E2075" s="130">
        <v>7.38</v>
      </c>
      <c r="F2075" s="136">
        <v>1.9E-2</v>
      </c>
      <c r="G2075" s="126">
        <f t="shared" si="33"/>
        <v>7.522935779816514</v>
      </c>
      <c r="H2075" s="126" t="s">
        <v>1339</v>
      </c>
      <c r="I2075" s="127" t="s">
        <v>1994</v>
      </c>
      <c r="J2075" s="126">
        <v>5.76</v>
      </c>
      <c r="K2075" s="126">
        <v>2</v>
      </c>
      <c r="L2075" s="129">
        <f>INT(base[[#This Row],[Data de liquidação]])</f>
        <v>46155</v>
      </c>
      <c r="M2075" s="126">
        <f>base[[#This Row],[L/P Bruto]]-base[[#This Row],[L/P Líquido]]</f>
        <v>0.14293577981651406</v>
      </c>
      <c r="N2075" s="126">
        <f>base[[#This Row],[L/P Líquido]]/base[[#This Row],[Stake/Responsabilidade]]</f>
        <v>3.69</v>
      </c>
      <c r="O2075" s="132">
        <f>IF(base[[#This Row],[L/P Líquido]]&gt;0,1,0)</f>
        <v>1</v>
      </c>
      <c r="P2075" s="132"/>
      <c r="Q2075" s="132" t="str">
        <f>LEFT(base[[#This Row],[Evento / Mercado]],FIND("vs",base[[#This Row],[Evento / Mercado]])-2)</f>
        <v>RC Lens</v>
      </c>
      <c r="R20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2075" s="132" t="str">
        <f>LEFT(base[[#This Row],[Evento / Mercado]],FIND("/",base[[#This Row],[Evento / Mercado]])-2)</f>
        <v>RC Lens vs Paris Saint-Germain</v>
      </c>
    </row>
    <row r="2076" spans="2:19" ht="15" customHeight="1">
      <c r="B2076" s="128" t="s">
        <v>2026</v>
      </c>
      <c r="C2076" s="128" t="s">
        <v>2982</v>
      </c>
      <c r="D2076" s="129">
        <v>46155.747835648152</v>
      </c>
      <c r="E2076" s="130">
        <v>69.790000000000006</v>
      </c>
      <c r="F2076" s="136">
        <v>4.4999999999999998E-2</v>
      </c>
      <c r="G2076" s="126">
        <f t="shared" si="33"/>
        <v>73.078534031413625</v>
      </c>
      <c r="H2076" s="126" t="s">
        <v>145</v>
      </c>
      <c r="I2076" s="127" t="s">
        <v>1056</v>
      </c>
      <c r="J2076" s="126">
        <v>6.2</v>
      </c>
      <c r="K2076" s="126">
        <v>380.02</v>
      </c>
      <c r="L2076" s="129">
        <f>INT(base[[#This Row],[Data de liquidação]])</f>
        <v>46155</v>
      </c>
      <c r="M2076" s="126">
        <f>base[[#This Row],[L/P Bruto]]-base[[#This Row],[L/P Líquido]]</f>
        <v>3.2885340314136187</v>
      </c>
      <c r="N2076" s="126">
        <f>base[[#This Row],[L/P Líquido]]/base[[#This Row],[Stake/Responsabilidade]]</f>
        <v>0.18364822904057684</v>
      </c>
      <c r="O2076" s="132">
        <f>IF(base[[#This Row],[L/P Líquido]]&gt;0,1,0)</f>
        <v>1</v>
      </c>
      <c r="P2076" s="132" t="s">
        <v>970</v>
      </c>
      <c r="Q2076" s="132" t="str">
        <f>LEFT(base[[#This Row],[Evento / Mercado]],FIND("vs",base[[#This Row],[Evento / Mercado]])-2)</f>
        <v>RC Lens</v>
      </c>
      <c r="R20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2076" s="132" t="str">
        <f>LEFT(base[[#This Row],[Evento / Mercado]],FIND("/",base[[#This Row],[Evento / Mercado]])-2)</f>
        <v>RC Lens vs Paris Saint-Germain</v>
      </c>
    </row>
    <row r="2077" spans="2:19" ht="15" customHeight="1">
      <c r="B2077" s="128" t="s">
        <v>2025</v>
      </c>
      <c r="C2077" s="128" t="s">
        <v>2982</v>
      </c>
      <c r="D2077" s="129">
        <v>46155.764918981484</v>
      </c>
      <c r="E2077" s="130">
        <v>2.72</v>
      </c>
      <c r="F2077" s="136">
        <v>4.4999999999999998E-2</v>
      </c>
      <c r="G2077" s="126">
        <f t="shared" si="33"/>
        <v>2.848167539267016</v>
      </c>
      <c r="H2077" s="126" t="s">
        <v>1339</v>
      </c>
      <c r="I2077" s="127" t="s">
        <v>1336</v>
      </c>
      <c r="J2077" s="126">
        <v>1.47</v>
      </c>
      <c r="K2077" s="126">
        <v>10</v>
      </c>
      <c r="L2077" s="129">
        <f>INT(base[[#This Row],[Data de liquidação]])</f>
        <v>46155</v>
      </c>
      <c r="M2077" s="126">
        <f>base[[#This Row],[L/P Bruto]]-base[[#This Row],[L/P Líquido]]</f>
        <v>0.12816753926701585</v>
      </c>
      <c r="N2077" s="126">
        <f>base[[#This Row],[L/P Líquido]]/base[[#This Row],[Stake/Responsabilidade]]</f>
        <v>0.27200000000000002</v>
      </c>
      <c r="O2077" s="132">
        <f>IF(base[[#This Row],[L/P Líquido]]&gt;0,1,0)</f>
        <v>1</v>
      </c>
      <c r="P2077" s="132"/>
      <c r="Q2077" s="132" t="str">
        <f>LEFT(base[[#This Row],[Evento / Mercado]],FIND("vs",base[[#This Row],[Evento / Mercado]])-2)</f>
        <v>Deportivo Alaves</v>
      </c>
      <c r="R20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2077" s="132" t="str">
        <f>LEFT(base[[#This Row],[Evento / Mercado]],FIND("/",base[[#This Row],[Evento / Mercado]])-2)</f>
        <v>Deportivo Alaves vs FC Barcelona</v>
      </c>
    </row>
    <row r="2078" spans="2:19" ht="15" customHeight="1">
      <c r="B2078" s="128" t="s">
        <v>2024</v>
      </c>
      <c r="C2078" s="128" t="s">
        <v>2982</v>
      </c>
      <c r="D2078" s="129">
        <v>46155.764930555553</v>
      </c>
      <c r="E2078" s="130">
        <v>6.34</v>
      </c>
      <c r="F2078" s="136">
        <v>4.4999999999999998E-2</v>
      </c>
      <c r="G2078" s="126">
        <f t="shared" si="33"/>
        <v>6.6387434554973828</v>
      </c>
      <c r="H2078" s="126" t="s">
        <v>1339</v>
      </c>
      <c r="I2078" s="127" t="s">
        <v>1338</v>
      </c>
      <c r="J2078" s="126">
        <v>2.33</v>
      </c>
      <c r="K2078" s="126">
        <v>5</v>
      </c>
      <c r="L2078" s="129">
        <f>INT(base[[#This Row],[Data de liquidação]])</f>
        <v>46155</v>
      </c>
      <c r="M2078" s="126">
        <f>base[[#This Row],[L/P Bruto]]-base[[#This Row],[L/P Líquido]]</f>
        <v>0.2987434554973829</v>
      </c>
      <c r="N2078" s="126">
        <f>base[[#This Row],[L/P Líquido]]/base[[#This Row],[Stake/Responsabilidade]]</f>
        <v>1.268</v>
      </c>
      <c r="O2078" s="132">
        <f>IF(base[[#This Row],[L/P Líquido]]&gt;0,1,0)</f>
        <v>1</v>
      </c>
      <c r="P2078" s="132"/>
      <c r="Q2078" s="132" t="str">
        <f>LEFT(base[[#This Row],[Evento / Mercado]],FIND("vs",base[[#This Row],[Evento / Mercado]])-2)</f>
        <v>Deportivo Alaves</v>
      </c>
      <c r="R20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2078" s="132" t="str">
        <f>LEFT(base[[#This Row],[Evento / Mercado]],FIND("/",base[[#This Row],[Evento / Mercado]])-2)</f>
        <v>Deportivo Alaves vs FC Barcelona</v>
      </c>
    </row>
    <row r="2079" spans="2:19" ht="15" customHeight="1">
      <c r="B2079" s="128" t="s">
        <v>2023</v>
      </c>
      <c r="C2079" s="128" t="s">
        <v>2982</v>
      </c>
      <c r="D2079" s="129">
        <v>46155.821747685186</v>
      </c>
      <c r="E2079" s="130">
        <v>3.82</v>
      </c>
      <c r="F2079" s="136">
        <v>4.4999999999999998E-2</v>
      </c>
      <c r="G2079" s="126">
        <f t="shared" si="33"/>
        <v>4</v>
      </c>
      <c r="H2079" s="126" t="s">
        <v>1339</v>
      </c>
      <c r="I2079" s="127" t="s">
        <v>1236</v>
      </c>
      <c r="J2079" s="126">
        <v>5.9</v>
      </c>
      <c r="K2079" s="126">
        <v>4</v>
      </c>
      <c r="L2079" s="129">
        <f>INT(base[[#This Row],[Data de liquidação]])</f>
        <v>46155</v>
      </c>
      <c r="M2079" s="126">
        <f>base[[#This Row],[L/P Bruto]]-base[[#This Row],[L/P Líquido]]</f>
        <v>0.18000000000000016</v>
      </c>
      <c r="N2079" s="126">
        <f>base[[#This Row],[L/P Líquido]]/base[[#This Row],[Stake/Responsabilidade]]</f>
        <v>0.95499999999999996</v>
      </c>
      <c r="O2079" s="132">
        <f>IF(base[[#This Row],[L/P Líquido]]&gt;0,1,0)</f>
        <v>1</v>
      </c>
      <c r="P2079" s="132"/>
      <c r="Q2079" s="132" t="str">
        <f>LEFT(base[[#This Row],[Evento / Mercado]],FIND("vs",base[[#This Row],[Evento / Mercado]])-2)</f>
        <v>Vasco da Gama</v>
      </c>
      <c r="R20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Paysandu PA</v>
      </c>
      <c r="S2079" s="132" t="str">
        <f>LEFT(base[[#This Row],[Evento / Mercado]],FIND("/",base[[#This Row],[Evento / Mercado]])-2)</f>
        <v>Vasco da Gama vs Paysandu PA</v>
      </c>
    </row>
    <row r="2080" spans="2:19" ht="15" customHeight="1">
      <c r="B2080" s="128" t="s">
        <v>2022</v>
      </c>
      <c r="C2080" s="128" t="s">
        <v>2982</v>
      </c>
      <c r="D2080" s="129">
        <v>46155.83861111111</v>
      </c>
      <c r="E2080" s="130">
        <v>3.82</v>
      </c>
      <c r="F2080" s="136">
        <v>4.4999999999999998E-2</v>
      </c>
      <c r="G2080" s="126">
        <f t="shared" si="33"/>
        <v>4</v>
      </c>
      <c r="H2080" s="126" t="s">
        <v>1339</v>
      </c>
      <c r="I2080" s="127" t="s">
        <v>1236</v>
      </c>
      <c r="J2080" s="126">
        <v>9.1999999999999993</v>
      </c>
      <c r="K2080" s="126">
        <v>4</v>
      </c>
      <c r="L2080" s="129">
        <f>INT(base[[#This Row],[Data de liquidação]])</f>
        <v>46155</v>
      </c>
      <c r="M2080" s="126">
        <f>base[[#This Row],[L/P Bruto]]-base[[#This Row],[L/P Líquido]]</f>
        <v>0.18000000000000016</v>
      </c>
      <c r="N2080" s="126">
        <f>base[[#This Row],[L/P Líquido]]/base[[#This Row],[Stake/Responsabilidade]]</f>
        <v>0.95499999999999996</v>
      </c>
      <c r="O2080" s="132">
        <f>IF(base[[#This Row],[L/P Líquido]]&gt;0,1,0)</f>
        <v>1</v>
      </c>
      <c r="P2080" s="132"/>
      <c r="Q2080" s="132" t="str">
        <f>LEFT(base[[#This Row],[Evento / Mercado]],FIND("vs",base[[#This Row],[Evento / Mercado]])-2)</f>
        <v>Club Independiente Petrolero</v>
      </c>
      <c r="R20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Blooming Santa Cruz</v>
      </c>
      <c r="S2080" s="132" t="str">
        <f>LEFT(base[[#This Row],[Evento / Mercado]],FIND("/",base[[#This Row],[Evento / Mercado]])-2)</f>
        <v>Club Independiente Petrolero vs Blooming Santa Cruz</v>
      </c>
    </row>
    <row r="2081" spans="2:19" ht="15" customHeight="1">
      <c r="B2081" s="128" t="s">
        <v>2021</v>
      </c>
      <c r="C2081" s="128" t="s">
        <v>2982</v>
      </c>
      <c r="D2081" s="129">
        <v>46155.868356481478</v>
      </c>
      <c r="E2081" s="130">
        <v>2.81</v>
      </c>
      <c r="F2081" s="136">
        <v>4.4999999999999998E-2</v>
      </c>
      <c r="G2081" s="126">
        <f t="shared" si="33"/>
        <v>2.9424083769633511</v>
      </c>
      <c r="H2081" s="126" t="s">
        <v>1339</v>
      </c>
      <c r="I2081" s="127" t="s">
        <v>1388</v>
      </c>
      <c r="J2081" s="126">
        <v>18</v>
      </c>
      <c r="K2081" s="126">
        <v>49.98</v>
      </c>
      <c r="L2081" s="129">
        <f>INT(base[[#This Row],[Data de liquidação]])</f>
        <v>46155</v>
      </c>
      <c r="M2081" s="126">
        <f>base[[#This Row],[L/P Bruto]]-base[[#This Row],[L/P Líquido]]</f>
        <v>0.13240837696335106</v>
      </c>
      <c r="N2081" s="126">
        <f>base[[#This Row],[L/P Líquido]]/base[[#This Row],[Stake/Responsabilidade]]</f>
        <v>5.6222488995598244E-2</v>
      </c>
      <c r="O2081" s="132">
        <f>IF(base[[#This Row],[L/P Líquido]]&gt;0,1,0)</f>
        <v>1</v>
      </c>
      <c r="P2081" s="132"/>
      <c r="Q2081" s="132" t="str">
        <f>LEFT(base[[#This Row],[Evento / Mercado]],FIND("vs",base[[#This Row],[Evento / Mercado]])-2)</f>
        <v>Club Independiente Petrolero</v>
      </c>
      <c r="R20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Blooming Santa Cruz</v>
      </c>
      <c r="S2081" s="132" t="str">
        <f>LEFT(base[[#This Row],[Evento / Mercado]],FIND("/",base[[#This Row],[Evento / Mercado]])-2)</f>
        <v>Club Independiente Petrolero vs Blooming Santa Cruz</v>
      </c>
    </row>
    <row r="2082" spans="2:19" ht="15" customHeight="1">
      <c r="B2082" s="128" t="s">
        <v>2020</v>
      </c>
      <c r="C2082" s="128" t="s">
        <v>2982</v>
      </c>
      <c r="D2082" s="129">
        <v>46155.890706018516</v>
      </c>
      <c r="E2082" s="130">
        <v>16.75</v>
      </c>
      <c r="F2082" s="136">
        <v>4.4999999999999998E-2</v>
      </c>
      <c r="G2082" s="126">
        <f t="shared" si="33"/>
        <v>17.539267015706805</v>
      </c>
      <c r="H2082" s="126" t="s">
        <v>1784</v>
      </c>
      <c r="I2082" s="127" t="s">
        <v>1448</v>
      </c>
      <c r="J2082" s="126">
        <v>1.35</v>
      </c>
      <c r="K2082" s="126">
        <v>50</v>
      </c>
      <c r="L2082" s="129">
        <f>INT(base[[#This Row],[Data de liquidação]])</f>
        <v>46155</v>
      </c>
      <c r="M2082" s="126">
        <f>base[[#This Row],[L/P Bruto]]-base[[#This Row],[L/P Líquido]]</f>
        <v>0.78926701570680535</v>
      </c>
      <c r="N2082" s="126">
        <f>base[[#This Row],[L/P Líquido]]/base[[#This Row],[Stake/Responsabilidade]]</f>
        <v>0.33500000000000002</v>
      </c>
      <c r="O2082" s="132">
        <f>IF(base[[#This Row],[L/P Líquido]]&gt;0,1,0)</f>
        <v>1</v>
      </c>
      <c r="P2082" s="132"/>
      <c r="Q2082" s="132" t="str">
        <f>LEFT(base[[#This Row],[Evento / Mercado]],FIND("vs",base[[#This Row],[Evento / Mercado]])-2)</f>
        <v>DC United</v>
      </c>
      <c r="R20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Chicago Fire</v>
      </c>
      <c r="S2082" s="132" t="str">
        <f>LEFT(base[[#This Row],[Evento / Mercado]],FIND("/",base[[#This Row],[Evento / Mercado]])-2)</f>
        <v>DC United vs Chicago Fire</v>
      </c>
    </row>
    <row r="2083" spans="2:19" ht="15" customHeight="1">
      <c r="B2083" s="128" t="s">
        <v>2019</v>
      </c>
      <c r="C2083" s="128" t="s">
        <v>2982</v>
      </c>
      <c r="D2083" s="129">
        <v>46155.910543981481</v>
      </c>
      <c r="E2083" s="130">
        <v>15.4</v>
      </c>
      <c r="F2083" s="136">
        <v>4.4999999999999998E-2</v>
      </c>
      <c r="G2083" s="126">
        <f t="shared" si="33"/>
        <v>16.125654450261781</v>
      </c>
      <c r="H2083" s="126" t="s">
        <v>1784</v>
      </c>
      <c r="I2083" s="127" t="s">
        <v>1448</v>
      </c>
      <c r="J2083" s="126">
        <v>1.32</v>
      </c>
      <c r="K2083" s="126">
        <v>50</v>
      </c>
      <c r="L2083" s="129">
        <f>INT(base[[#This Row],[Data de liquidação]])</f>
        <v>46155</v>
      </c>
      <c r="M2083" s="126">
        <f>base[[#This Row],[L/P Bruto]]-base[[#This Row],[L/P Líquido]]</f>
        <v>0.72565445026178033</v>
      </c>
      <c r="N2083" s="126">
        <f>base[[#This Row],[L/P Líquido]]/base[[#This Row],[Stake/Responsabilidade]]</f>
        <v>0.308</v>
      </c>
      <c r="O2083" s="132">
        <f>IF(base[[#This Row],[L/P Líquido]]&gt;0,1,0)</f>
        <v>1</v>
      </c>
      <c r="P2083" s="132"/>
      <c r="Q2083" s="132" t="str">
        <f>LEFT(base[[#This Row],[Evento / Mercado]],FIND("vs",base[[#This Row],[Evento / Mercado]])-2)</f>
        <v>FC Dallas</v>
      </c>
      <c r="R20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2083" s="132" t="str">
        <f>LEFT(base[[#This Row],[Evento / Mercado]],FIND("/",base[[#This Row],[Evento / Mercado]])-2)</f>
        <v>FC Dallas vs Vancouver Whitecaps</v>
      </c>
    </row>
    <row r="2084" spans="2:19" ht="15" customHeight="1">
      <c r="B2084" s="128" t="s">
        <v>2018</v>
      </c>
      <c r="C2084" s="128" t="s">
        <v>2982</v>
      </c>
      <c r="D2084" s="129">
        <v>46155.912951388891</v>
      </c>
      <c r="E2084" s="130">
        <v>20.53</v>
      </c>
      <c r="F2084" s="136">
        <v>4.4999999999999998E-2</v>
      </c>
      <c r="G2084" s="126">
        <f t="shared" si="33"/>
        <v>21.497382198952881</v>
      </c>
      <c r="H2084" s="126" t="s">
        <v>1784</v>
      </c>
      <c r="I2084" s="127" t="s">
        <v>1448</v>
      </c>
      <c r="J2084" s="126">
        <v>1.43</v>
      </c>
      <c r="K2084" s="126">
        <v>50</v>
      </c>
      <c r="L2084" s="129">
        <f>INT(base[[#This Row],[Data de liquidação]])</f>
        <v>46155</v>
      </c>
      <c r="M2084" s="126">
        <f>base[[#This Row],[L/P Bruto]]-base[[#This Row],[L/P Líquido]]</f>
        <v>0.96738219895287969</v>
      </c>
      <c r="N2084" s="126">
        <f>base[[#This Row],[L/P Líquido]]/base[[#This Row],[Stake/Responsabilidade]]</f>
        <v>0.41060000000000002</v>
      </c>
      <c r="O2084" s="132">
        <f>IF(base[[#This Row],[L/P Líquido]]&gt;0,1,0)</f>
        <v>1</v>
      </c>
      <c r="P2084" s="132"/>
      <c r="Q2084" s="132" t="str">
        <f>LEFT(base[[#This Row],[Evento / Mercado]],FIND("vs",base[[#This Row],[Evento / Mercado]])-2)</f>
        <v>Clube do Remo</v>
      </c>
      <c r="R20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2084" s="132" t="str">
        <f>LEFT(base[[#This Row],[Evento / Mercado]],FIND("/",base[[#This Row],[Evento / Mercado]])-2)</f>
        <v>Clube do Remo vs Esporte Clube Bahia</v>
      </c>
    </row>
    <row r="2085" spans="2:19" ht="15" customHeight="1">
      <c r="B2085" s="128" t="s">
        <v>2017</v>
      </c>
      <c r="C2085" s="128" t="s">
        <v>2982</v>
      </c>
      <c r="D2085" s="129">
        <v>46155.930474537039</v>
      </c>
      <c r="E2085" s="130">
        <v>1.64</v>
      </c>
      <c r="F2085" s="136">
        <v>4.4999999999999998E-2</v>
      </c>
      <c r="G2085" s="126">
        <f t="shared" si="33"/>
        <v>1.7172774869109948</v>
      </c>
      <c r="H2085" s="126" t="s">
        <v>1339</v>
      </c>
      <c r="I2085" s="127" t="s">
        <v>1388</v>
      </c>
      <c r="J2085" s="126">
        <v>30</v>
      </c>
      <c r="K2085" s="126">
        <v>49.98</v>
      </c>
      <c r="L2085" s="129">
        <f>INT(base[[#This Row],[Data de liquidação]])</f>
        <v>46155</v>
      </c>
      <c r="M2085" s="126">
        <f>base[[#This Row],[L/P Bruto]]-base[[#This Row],[L/P Líquido]]</f>
        <v>7.7277486910994897E-2</v>
      </c>
      <c r="N2085" s="126">
        <f>base[[#This Row],[L/P Líquido]]/base[[#This Row],[Stake/Responsabilidade]]</f>
        <v>3.2813125250100043E-2</v>
      </c>
      <c r="O2085" s="132">
        <f>IF(base[[#This Row],[L/P Líquido]]&gt;0,1,0)</f>
        <v>1</v>
      </c>
      <c r="P2085" s="132"/>
      <c r="Q2085" s="132" t="str">
        <f>LEFT(base[[#This Row],[Evento / Mercado]],FIND("vs",base[[#This Row],[Evento / Mercado]])-2)</f>
        <v>Charlotte FC</v>
      </c>
      <c r="R20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York City FC</v>
      </c>
      <c r="S2085" s="132" t="str">
        <f>LEFT(base[[#This Row],[Evento / Mercado]],FIND("/",base[[#This Row],[Evento / Mercado]])-2)</f>
        <v>Charlotte FC vs New York City FC</v>
      </c>
    </row>
    <row r="2086" spans="2:19" ht="15" customHeight="1">
      <c r="B2086" s="128" t="s">
        <v>2016</v>
      </c>
      <c r="C2086" s="128" t="s">
        <v>2982</v>
      </c>
      <c r="D2086" s="129">
        <v>46155.940844907411</v>
      </c>
      <c r="E2086" s="130">
        <v>-115</v>
      </c>
      <c r="F2086" s="136">
        <v>4.4999999999999998E-2</v>
      </c>
      <c r="G2086" s="126">
        <f t="shared" si="33"/>
        <v>-115</v>
      </c>
      <c r="H2086" s="126" t="s">
        <v>231</v>
      </c>
      <c r="I2086" s="127" t="s">
        <v>266</v>
      </c>
      <c r="J2086" s="126">
        <v>1.79</v>
      </c>
      <c r="K2086" s="126">
        <v>115</v>
      </c>
      <c r="L2086" s="129">
        <f>INT(base[[#This Row],[Data de liquidação]])</f>
        <v>46155</v>
      </c>
      <c r="M2086" s="126">
        <f>base[[#This Row],[L/P Bruto]]-base[[#This Row],[L/P Líquido]]</f>
        <v>0</v>
      </c>
      <c r="N2086" s="126">
        <f>base[[#This Row],[L/P Líquido]]/base[[#This Row],[Stake/Responsabilidade]]</f>
        <v>-1</v>
      </c>
      <c r="O2086" s="132">
        <f>IF(base[[#This Row],[L/P Líquido]]&gt;0,1,0)</f>
        <v>0</v>
      </c>
      <c r="P2086" s="132"/>
      <c r="Q2086" s="132" t="str">
        <f>LEFT(base[[#This Row],[Evento / Mercado]],FIND("vs",base[[#This Row],[Evento / Mercado]])-2)</f>
        <v>New England Revolution</v>
      </c>
      <c r="R20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Nashville Soccer Club</v>
      </c>
      <c r="S2086" s="132" t="str">
        <f>LEFT(base[[#This Row],[Evento / Mercado]],FIND("/",base[[#This Row],[Evento / Mercado]])-2)</f>
        <v>New England Revolution vs Nashville Soccer Club</v>
      </c>
    </row>
    <row r="2087" spans="2:19" ht="15" customHeight="1">
      <c r="B2087" s="128" t="s">
        <v>2015</v>
      </c>
      <c r="C2087" s="128" t="s">
        <v>2982</v>
      </c>
      <c r="D2087" s="129">
        <v>46155.942071759258</v>
      </c>
      <c r="E2087" s="130">
        <v>-1.57</v>
      </c>
      <c r="F2087" s="136">
        <v>4.4999999999999998E-2</v>
      </c>
      <c r="G2087" s="126">
        <f t="shared" si="33"/>
        <v>-1.57</v>
      </c>
      <c r="H2087" s="126" t="s">
        <v>1339</v>
      </c>
      <c r="I2087" s="127" t="s">
        <v>1236</v>
      </c>
      <c r="J2087" s="126">
        <v>6.4</v>
      </c>
      <c r="K2087" s="126">
        <v>4</v>
      </c>
      <c r="L2087" s="129">
        <f>INT(base[[#This Row],[Data de liquidação]])</f>
        <v>46155</v>
      </c>
      <c r="M2087" s="126">
        <f>base[[#This Row],[L/P Bruto]]-base[[#This Row],[L/P Líquido]]</f>
        <v>0</v>
      </c>
      <c r="N2087" s="126">
        <f>base[[#This Row],[L/P Líquido]]/base[[#This Row],[Stake/Responsabilidade]]</f>
        <v>-0.39250000000000002</v>
      </c>
      <c r="O2087" s="132">
        <f>IF(base[[#This Row],[L/P Líquido]]&gt;0,1,0)</f>
        <v>0</v>
      </c>
      <c r="P2087" s="132"/>
      <c r="Q2087" s="132" t="str">
        <f>LEFT(base[[#This Row],[Evento / Mercado]],FIND("vs",base[[#This Row],[Evento / Mercado]])-2)</f>
        <v>DC United</v>
      </c>
      <c r="R20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Chicago Fire</v>
      </c>
      <c r="S2087" s="132" t="str">
        <f>LEFT(base[[#This Row],[Evento / Mercado]],FIND("/",base[[#This Row],[Evento / Mercado]])-2)</f>
        <v>DC United vs Chicago Fire</v>
      </c>
    </row>
    <row r="2088" spans="2:19" ht="15" customHeight="1">
      <c r="B2088" s="128" t="s">
        <v>2014</v>
      </c>
      <c r="C2088" s="128" t="s">
        <v>2982</v>
      </c>
      <c r="D2088" s="129">
        <v>46155.947847222225</v>
      </c>
      <c r="E2088" s="130">
        <v>1.64</v>
      </c>
      <c r="F2088" s="136">
        <v>4.4999999999999998E-2</v>
      </c>
      <c r="G2088" s="126">
        <f t="shared" si="33"/>
        <v>1.7172774869109948</v>
      </c>
      <c r="H2088" s="126" t="s">
        <v>1339</v>
      </c>
      <c r="I2088" s="127" t="s">
        <v>1388</v>
      </c>
      <c r="J2088" s="126">
        <v>30</v>
      </c>
      <c r="K2088" s="126">
        <v>49.88</v>
      </c>
      <c r="L2088" s="129">
        <f>INT(base[[#This Row],[Data de liquidação]])</f>
        <v>46155</v>
      </c>
      <c r="M2088" s="126">
        <f>base[[#This Row],[L/P Bruto]]-base[[#This Row],[L/P Líquido]]</f>
        <v>7.7277486910994897E-2</v>
      </c>
      <c r="N2088" s="126">
        <f>base[[#This Row],[L/P Líquido]]/base[[#This Row],[Stake/Responsabilidade]]</f>
        <v>3.2878909382518043E-2</v>
      </c>
      <c r="O2088" s="132">
        <f>IF(base[[#This Row],[L/P Líquido]]&gt;0,1,0)</f>
        <v>1</v>
      </c>
      <c r="P2088" s="132"/>
      <c r="Q2088" s="132" t="str">
        <f>LEFT(base[[#This Row],[Evento / Mercado]],FIND("vs",base[[#This Row],[Evento / Mercado]])-2)</f>
        <v>FC Cincinnati</v>
      </c>
      <c r="R20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 Miami CF</v>
      </c>
      <c r="S2088" s="132" t="str">
        <f>LEFT(base[[#This Row],[Evento / Mercado]],FIND("/",base[[#This Row],[Evento / Mercado]])-2)</f>
        <v>FC Cincinnati vs Inter Miami CF</v>
      </c>
    </row>
    <row r="2089" spans="2:19" ht="15" customHeight="1">
      <c r="B2089" s="128" t="s">
        <v>2013</v>
      </c>
      <c r="C2089" s="128" t="s">
        <v>2982</v>
      </c>
      <c r="D2089" s="129">
        <v>46155.950497685182</v>
      </c>
      <c r="E2089" s="130">
        <v>12.91</v>
      </c>
      <c r="F2089" s="136">
        <v>4.4999999999999998E-2</v>
      </c>
      <c r="G2089" s="126">
        <f t="shared" si="33"/>
        <v>13.518324607329843</v>
      </c>
      <c r="H2089" s="126" t="s">
        <v>1784</v>
      </c>
      <c r="I2089" s="127" t="s">
        <v>1448</v>
      </c>
      <c r="J2089" s="126">
        <v>1.27</v>
      </c>
      <c r="K2089" s="126">
        <v>50</v>
      </c>
      <c r="L2089" s="129">
        <f>INT(base[[#This Row],[Data de liquidação]])</f>
        <v>46155</v>
      </c>
      <c r="M2089" s="126">
        <f>base[[#This Row],[L/P Bruto]]-base[[#This Row],[L/P Líquido]]</f>
        <v>0.60832460732984295</v>
      </c>
      <c r="N2089" s="126">
        <f>base[[#This Row],[L/P Líquido]]/base[[#This Row],[Stake/Responsabilidade]]</f>
        <v>0.25819999999999999</v>
      </c>
      <c r="O2089" s="132">
        <f>IF(base[[#This Row],[L/P Líquido]]&gt;0,1,0)</f>
        <v>1</v>
      </c>
      <c r="P2089" s="132"/>
      <c r="Q2089" s="132" t="str">
        <f>LEFT(base[[#This Row],[Evento / Mercado]],FIND("vs",base[[#This Row],[Evento / Mercado]])-2)</f>
        <v>San Diego FC</v>
      </c>
      <c r="R20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2089" s="132" t="str">
        <f>LEFT(base[[#This Row],[Evento / Mercado]],FIND("/",base[[#This Row],[Evento / Mercado]])-2)</f>
        <v>San Diego FC vs Austin FC</v>
      </c>
    </row>
    <row r="2090" spans="2:19" ht="15" customHeight="1">
      <c r="B2090" s="128" t="s">
        <v>2012</v>
      </c>
      <c r="C2090" s="128" t="s">
        <v>2982</v>
      </c>
      <c r="D2090" s="129">
        <v>46155.956724537034</v>
      </c>
      <c r="E2090" s="130">
        <v>2.73</v>
      </c>
      <c r="F2090" s="136">
        <v>4.4999999999999998E-2</v>
      </c>
      <c r="G2090" s="126">
        <f t="shared" si="33"/>
        <v>2.8586387434554976</v>
      </c>
      <c r="H2090" s="126" t="s">
        <v>1339</v>
      </c>
      <c r="I2090" s="127" t="s">
        <v>1390</v>
      </c>
      <c r="J2090" s="126">
        <v>11.5</v>
      </c>
      <c r="K2090" s="126">
        <v>30.03</v>
      </c>
      <c r="L2090" s="129">
        <f>INT(base[[#This Row],[Data de liquidação]])</f>
        <v>46155</v>
      </c>
      <c r="M2090" s="126">
        <f>base[[#This Row],[L/P Bruto]]-base[[#This Row],[L/P Líquido]]</f>
        <v>0.12863874345549764</v>
      </c>
      <c r="N2090" s="126">
        <f>base[[#This Row],[L/P Líquido]]/base[[#This Row],[Stake/Responsabilidade]]</f>
        <v>9.0909090909090912E-2</v>
      </c>
      <c r="O2090" s="132">
        <f>IF(base[[#This Row],[L/P Líquido]]&gt;0,1,0)</f>
        <v>1</v>
      </c>
      <c r="P2090" s="132"/>
      <c r="Q2090" s="132" t="str">
        <f>LEFT(base[[#This Row],[Evento / Mercado]],FIND("vs",base[[#This Row],[Evento / Mercado]])-2)</f>
        <v>Club Bolívar</v>
      </c>
      <c r="R20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Nacional Potosi</v>
      </c>
      <c r="S2090" s="132" t="str">
        <f>LEFT(base[[#This Row],[Evento / Mercado]],FIND("/",base[[#This Row],[Evento / Mercado]])-2)</f>
        <v>Club Bolívar vs Nacional Potosi</v>
      </c>
    </row>
    <row r="2091" spans="2:19" ht="15" customHeight="1">
      <c r="B2091" s="128" t="s">
        <v>2011</v>
      </c>
      <c r="C2091" s="128" t="s">
        <v>2982</v>
      </c>
      <c r="D2091" s="129">
        <v>46155.97451388889</v>
      </c>
      <c r="E2091" s="130">
        <v>72.88</v>
      </c>
      <c r="F2091" s="136">
        <v>4.4999999999999998E-2</v>
      </c>
      <c r="G2091" s="126">
        <f t="shared" si="33"/>
        <v>76.314136125654443</v>
      </c>
      <c r="H2091" s="126" t="s">
        <v>231</v>
      </c>
      <c r="I2091" s="127" t="s">
        <v>266</v>
      </c>
      <c r="J2091" s="126">
        <v>1.66</v>
      </c>
      <c r="K2091" s="126">
        <v>115</v>
      </c>
      <c r="L2091" s="129">
        <f>INT(base[[#This Row],[Data de liquidação]])</f>
        <v>46155</v>
      </c>
      <c r="M2091" s="126">
        <f>base[[#This Row],[L/P Bruto]]-base[[#This Row],[L/P Líquido]]</f>
        <v>3.4341361256544474</v>
      </c>
      <c r="N2091" s="126">
        <f>base[[#This Row],[L/P Líquido]]/base[[#This Row],[Stake/Responsabilidade]]</f>
        <v>0.63373913043478258</v>
      </c>
      <c r="O2091" s="132">
        <f>IF(base[[#This Row],[L/P Líquido]]&gt;0,1,0)</f>
        <v>1</v>
      </c>
      <c r="P2091" s="132"/>
      <c r="Q2091" s="132" t="str">
        <f>LEFT(base[[#This Row],[Evento / Mercado]],FIND("vs",base[[#This Row],[Evento / Mercado]])-2)</f>
        <v>Seattle Sounders</v>
      </c>
      <c r="R20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Jose Earthquakes</v>
      </c>
      <c r="S2091" s="132" t="str">
        <f>LEFT(base[[#This Row],[Evento / Mercado]],FIND("/",base[[#This Row],[Evento / Mercado]])-2)</f>
        <v>Seattle Sounders vs San Jose Earthquakes</v>
      </c>
    </row>
    <row r="2092" spans="2:19" ht="15" customHeight="1">
      <c r="B2092" s="128" t="s">
        <v>2010</v>
      </c>
      <c r="C2092" s="128" t="s">
        <v>2982</v>
      </c>
      <c r="D2092" s="129">
        <v>46155.97452546296</v>
      </c>
      <c r="E2092" s="130">
        <v>3.82</v>
      </c>
      <c r="F2092" s="136">
        <v>4.4999999999999998E-2</v>
      </c>
      <c r="G2092" s="126">
        <f t="shared" si="33"/>
        <v>4</v>
      </c>
      <c r="H2092" s="126" t="s">
        <v>1339</v>
      </c>
      <c r="I2092" s="127" t="s">
        <v>1236</v>
      </c>
      <c r="J2092" s="126">
        <v>11</v>
      </c>
      <c r="K2092" s="126">
        <v>4</v>
      </c>
      <c r="L2092" s="129">
        <f>INT(base[[#This Row],[Data de liquidação]])</f>
        <v>46155</v>
      </c>
      <c r="M2092" s="126">
        <f>base[[#This Row],[L/P Bruto]]-base[[#This Row],[L/P Líquido]]</f>
        <v>0.18000000000000016</v>
      </c>
      <c r="N2092" s="126">
        <f>base[[#This Row],[L/P Líquido]]/base[[#This Row],[Stake/Responsabilidade]]</f>
        <v>0.95499999999999996</v>
      </c>
      <c r="O2092" s="132">
        <f>IF(base[[#This Row],[L/P Líquido]]&gt;0,1,0)</f>
        <v>1</v>
      </c>
      <c r="P2092" s="132"/>
      <c r="Q2092" s="132" t="str">
        <f>LEFT(base[[#This Row],[Evento / Mercado]],FIND("vs",base[[#This Row],[Evento / Mercado]])-2)</f>
        <v>Seattle Sounders</v>
      </c>
      <c r="R20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Jose Earthquakes</v>
      </c>
      <c r="S2092" s="132" t="str">
        <f>LEFT(base[[#This Row],[Evento / Mercado]],FIND("/",base[[#This Row],[Evento / Mercado]])-2)</f>
        <v>Seattle Sounders vs San Jose Earthquakes</v>
      </c>
    </row>
    <row r="2093" spans="2:19" ht="15" customHeight="1">
      <c r="B2093" s="128" t="s">
        <v>2009</v>
      </c>
      <c r="C2093" s="128" t="s">
        <v>2982</v>
      </c>
      <c r="D2093" s="129">
        <v>46155.979664351849</v>
      </c>
      <c r="E2093" s="130">
        <v>-50</v>
      </c>
      <c r="F2093" s="136">
        <v>4.4999999999999998E-2</v>
      </c>
      <c r="G2093" s="126">
        <f t="shared" si="33"/>
        <v>-50</v>
      </c>
      <c r="H2093" s="126" t="s">
        <v>1784</v>
      </c>
      <c r="I2093" s="127" t="s">
        <v>1448</v>
      </c>
      <c r="J2093" s="126">
        <v>1.3</v>
      </c>
      <c r="K2093" s="126">
        <v>50</v>
      </c>
      <c r="L2093" s="129">
        <f>INT(base[[#This Row],[Data de liquidação]])</f>
        <v>46155</v>
      </c>
      <c r="M2093" s="126">
        <f>base[[#This Row],[L/P Bruto]]-base[[#This Row],[L/P Líquido]]</f>
        <v>0</v>
      </c>
      <c r="N2093" s="126">
        <f>base[[#This Row],[L/P Líquido]]/base[[#This Row],[Stake/Responsabilidade]]</f>
        <v>-1</v>
      </c>
      <c r="O2093" s="132">
        <f>IF(base[[#This Row],[L/P Líquido]]&gt;0,1,0)</f>
        <v>0</v>
      </c>
      <c r="P2093" s="132"/>
      <c r="Q2093" s="132" t="str">
        <f>LEFT(base[[#This Row],[Evento / Mercado]],FIND("vs",base[[#This Row],[Evento / Mercado]])-2)</f>
        <v>Real Salt Lake</v>
      </c>
      <c r="R20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Houston Dynamo</v>
      </c>
      <c r="S2093" s="132" t="str">
        <f>LEFT(base[[#This Row],[Evento / Mercado]],FIND("/",base[[#This Row],[Evento / Mercado]])-2)</f>
        <v>Real Salt Lake vs Houston Dynamo</v>
      </c>
    </row>
    <row r="2094" spans="2:19" ht="15" customHeight="1">
      <c r="B2094" s="128" t="s">
        <v>2008</v>
      </c>
      <c r="C2094" s="128" t="s">
        <v>2982</v>
      </c>
      <c r="D2094" s="129">
        <v>46155.982152777775</v>
      </c>
      <c r="E2094" s="130">
        <v>3.53</v>
      </c>
      <c r="F2094" s="136">
        <v>4.4999999999999998E-2</v>
      </c>
      <c r="G2094" s="126">
        <f t="shared" si="33"/>
        <v>3.6963350785340312</v>
      </c>
      <c r="H2094" s="126" t="s">
        <v>1339</v>
      </c>
      <c r="I2094" s="127" t="s">
        <v>1388</v>
      </c>
      <c r="J2094" s="126">
        <v>14.5</v>
      </c>
      <c r="K2094" s="126">
        <v>49.95</v>
      </c>
      <c r="L2094" s="129">
        <f>INT(base[[#This Row],[Data de liquidação]])</f>
        <v>46155</v>
      </c>
      <c r="M2094" s="126">
        <f>base[[#This Row],[L/P Bruto]]-base[[#This Row],[L/P Líquido]]</f>
        <v>0.1663350785340314</v>
      </c>
      <c r="N2094" s="126">
        <f>base[[#This Row],[L/P Líquido]]/base[[#This Row],[Stake/Responsabilidade]]</f>
        <v>7.0670670670670663E-2</v>
      </c>
      <c r="O2094" s="132">
        <f>IF(base[[#This Row],[L/P Líquido]]&gt;0,1,0)</f>
        <v>1</v>
      </c>
      <c r="P2094" s="132"/>
      <c r="Q2094" s="132" t="str">
        <f>LEFT(base[[#This Row],[Evento / Mercado]],FIND("vs",base[[#This Row],[Evento / Mercado]])-2)</f>
        <v>Minnesota United</v>
      </c>
      <c r="R20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Colorado Rapids</v>
      </c>
      <c r="S2094" s="132" t="str">
        <f>LEFT(base[[#This Row],[Evento / Mercado]],FIND("/",base[[#This Row],[Evento / Mercado]])-2)</f>
        <v>Minnesota United vs Colorado Rapids</v>
      </c>
    </row>
    <row r="2095" spans="2:19" ht="15" customHeight="1">
      <c r="B2095" s="128" t="s">
        <v>2007</v>
      </c>
      <c r="C2095" s="128" t="s">
        <v>2982</v>
      </c>
      <c r="D2095" s="129">
        <v>46155.982349537036</v>
      </c>
      <c r="E2095" s="130">
        <v>-2.72</v>
      </c>
      <c r="F2095" s="136">
        <v>4.4999999999999998E-2</v>
      </c>
      <c r="G2095" s="126">
        <f t="shared" si="33"/>
        <v>-2.72</v>
      </c>
      <c r="H2095" s="126" t="s">
        <v>1339</v>
      </c>
      <c r="I2095" s="127" t="s">
        <v>1236</v>
      </c>
      <c r="J2095" s="126">
        <v>8.6</v>
      </c>
      <c r="K2095" s="126">
        <v>4</v>
      </c>
      <c r="L2095" s="129">
        <f>INT(base[[#This Row],[Data de liquidação]])</f>
        <v>46155</v>
      </c>
      <c r="M2095" s="126">
        <f>base[[#This Row],[L/P Bruto]]-base[[#This Row],[L/P Líquido]]</f>
        <v>0</v>
      </c>
      <c r="N2095" s="126">
        <f>base[[#This Row],[L/P Líquido]]/base[[#This Row],[Stake/Responsabilidade]]</f>
        <v>-0.68</v>
      </c>
      <c r="O2095" s="132">
        <f>IF(base[[#This Row],[L/P Líquido]]&gt;0,1,0)</f>
        <v>0</v>
      </c>
      <c r="P2095" s="132"/>
      <c r="Q2095" s="132" t="str">
        <f>LEFT(base[[#This Row],[Evento / Mercado]],FIND("vs",base[[#This Row],[Evento / Mercado]])-2)</f>
        <v>Minnesota United</v>
      </c>
      <c r="R20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Colorado Rapids</v>
      </c>
      <c r="S2095" s="132" t="str">
        <f>LEFT(base[[#This Row],[Evento / Mercado]],FIND("/",base[[#This Row],[Evento / Mercado]])-2)</f>
        <v>Minnesota United vs Colorado Rapids</v>
      </c>
    </row>
    <row r="2096" spans="2:19" ht="15" customHeight="1">
      <c r="B2096" s="128" t="s">
        <v>2006</v>
      </c>
      <c r="C2096" s="128" t="s">
        <v>2982</v>
      </c>
      <c r="D2096" s="129">
        <v>46155.982557870368</v>
      </c>
      <c r="E2096" s="130">
        <v>4.3</v>
      </c>
      <c r="F2096" s="136">
        <v>4.4999999999999998E-2</v>
      </c>
      <c r="G2096" s="126">
        <f t="shared" si="33"/>
        <v>4.5026178010471201</v>
      </c>
      <c r="H2096" s="126" t="s">
        <v>1339</v>
      </c>
      <c r="I2096" s="127" t="s">
        <v>1963</v>
      </c>
      <c r="J2096" s="126">
        <v>1.0900000000000001</v>
      </c>
      <c r="K2096" s="126">
        <v>50</v>
      </c>
      <c r="L2096" s="129">
        <f>INT(base[[#This Row],[Data de liquidação]])</f>
        <v>46155</v>
      </c>
      <c r="M2096" s="126">
        <f>base[[#This Row],[L/P Bruto]]-base[[#This Row],[L/P Líquido]]</f>
        <v>0.20261780104712024</v>
      </c>
      <c r="N2096" s="126">
        <f>base[[#This Row],[L/P Líquido]]/base[[#This Row],[Stake/Responsabilidade]]</f>
        <v>8.5999999999999993E-2</v>
      </c>
      <c r="O2096" s="132">
        <f>IF(base[[#This Row],[L/P Líquido]]&gt;0,1,0)</f>
        <v>1</v>
      </c>
      <c r="P2096" s="132"/>
      <c r="Q2096" s="132" t="str">
        <f>LEFT(base[[#This Row],[Evento / Mercado]],FIND("vs",base[[#This Row],[Evento / Mercado]])-2)</f>
        <v>Saint Louis City SC</v>
      </c>
      <c r="R20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FC</v>
      </c>
      <c r="S2096" s="132" t="str">
        <f>LEFT(base[[#This Row],[Evento / Mercado]],FIND("/",base[[#This Row],[Evento / Mercado]])-2)</f>
        <v>Saint Louis City SC vs Los Angeles FC</v>
      </c>
    </row>
    <row r="2097" spans="2:19" ht="15" customHeight="1">
      <c r="B2097" s="128" t="s">
        <v>2005</v>
      </c>
      <c r="C2097" s="128" t="s">
        <v>2982</v>
      </c>
      <c r="D2097" s="129">
        <v>46156.023888888885</v>
      </c>
      <c r="E2097" s="130">
        <v>2.65</v>
      </c>
      <c r="F2097" s="136">
        <v>4.4999999999999998E-2</v>
      </c>
      <c r="G2097" s="126">
        <f t="shared" si="33"/>
        <v>2.7748691099476441</v>
      </c>
      <c r="H2097" s="126" t="s">
        <v>1339</v>
      </c>
      <c r="I2097" s="127" t="s">
        <v>1388</v>
      </c>
      <c r="J2097" s="126">
        <v>19</v>
      </c>
      <c r="K2097" s="126">
        <v>50.04</v>
      </c>
      <c r="L2097" s="129">
        <f>INT(base[[#This Row],[Data de liquidação]])</f>
        <v>46156</v>
      </c>
      <c r="M2097" s="126">
        <f>base[[#This Row],[L/P Bruto]]-base[[#This Row],[L/P Líquido]]</f>
        <v>0.12486910994764422</v>
      </c>
      <c r="N2097" s="126">
        <f>base[[#This Row],[L/P Líquido]]/base[[#This Row],[Stake/Responsabilidade]]</f>
        <v>5.2957633892885693E-2</v>
      </c>
      <c r="O2097" s="132">
        <f>IF(base[[#This Row],[L/P Líquido]]&gt;0,1,0)</f>
        <v>1</v>
      </c>
      <c r="P2097" s="132"/>
      <c r="Q2097" s="132" t="str">
        <f>LEFT(base[[#This Row],[Evento / Mercado]],FIND("vs",base[[#This Row],[Evento / Mercado]])-2)</f>
        <v>Real Salt Lake</v>
      </c>
      <c r="R20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Houston Dynamo</v>
      </c>
      <c r="S2097" s="132" t="str">
        <f>LEFT(base[[#This Row],[Evento / Mercado]],FIND("/",base[[#This Row],[Evento / Mercado]])-2)</f>
        <v>Real Salt Lake vs Houston Dynamo</v>
      </c>
    </row>
    <row r="2098" spans="2:19" ht="15" customHeight="1">
      <c r="B2098" s="128" t="s">
        <v>2004</v>
      </c>
      <c r="C2098" s="128" t="s">
        <v>2982</v>
      </c>
      <c r="D2098" s="129">
        <v>46156.024548611109</v>
      </c>
      <c r="E2098" s="130">
        <v>1.65</v>
      </c>
      <c r="F2098" s="136">
        <v>4.4999999999999998E-2</v>
      </c>
      <c r="G2098" s="126">
        <f t="shared" si="33"/>
        <v>1.7277486910994764</v>
      </c>
      <c r="H2098" s="126" t="s">
        <v>1339</v>
      </c>
      <c r="I2098" s="127" t="s">
        <v>1336</v>
      </c>
      <c r="J2098" s="126">
        <v>1.41</v>
      </c>
      <c r="K2098" s="126">
        <v>10</v>
      </c>
      <c r="L2098" s="129">
        <f>INT(base[[#This Row],[Data de liquidação]])</f>
        <v>46156</v>
      </c>
      <c r="M2098" s="126">
        <f>base[[#This Row],[L/P Bruto]]-base[[#This Row],[L/P Líquido]]</f>
        <v>7.7748691099476464E-2</v>
      </c>
      <c r="N2098" s="126">
        <f>base[[#This Row],[L/P Líquido]]/base[[#This Row],[Stake/Responsabilidade]]</f>
        <v>0.16499999999999998</v>
      </c>
      <c r="O2098" s="132">
        <f>IF(base[[#This Row],[L/P Líquido]]&gt;0,1,0)</f>
        <v>1</v>
      </c>
      <c r="P2098" s="132"/>
      <c r="Q2098" s="132" t="str">
        <f>LEFT(base[[#This Row],[Evento / Mercado]],FIND("vs",base[[#This Row],[Evento / Mercado]])-2)</f>
        <v>Real Salt Lake</v>
      </c>
      <c r="R20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Houston Dynamo</v>
      </c>
      <c r="S2098" s="132" t="str">
        <f>LEFT(base[[#This Row],[Evento / Mercado]],FIND("/",base[[#This Row],[Evento / Mercado]])-2)</f>
        <v>Real Salt Lake vs Houston Dynamo</v>
      </c>
    </row>
    <row r="2099" spans="2:19" ht="15" customHeight="1">
      <c r="B2099" s="128" t="s">
        <v>2003</v>
      </c>
      <c r="C2099" s="128" t="s">
        <v>2982</v>
      </c>
      <c r="D2099" s="129">
        <v>46156.024571759262</v>
      </c>
      <c r="E2099" s="130">
        <v>-50</v>
      </c>
      <c r="F2099" s="136">
        <v>4.4999999999999998E-2</v>
      </c>
      <c r="G2099" s="126">
        <f t="shared" si="33"/>
        <v>-50</v>
      </c>
      <c r="H2099" s="126" t="s">
        <v>1784</v>
      </c>
      <c r="I2099" s="127" t="s">
        <v>266</v>
      </c>
      <c r="J2099" s="126">
        <v>1.63</v>
      </c>
      <c r="K2099" s="126">
        <v>50</v>
      </c>
      <c r="L2099" s="129">
        <f>INT(base[[#This Row],[Data de liquidação]])</f>
        <v>46156</v>
      </c>
      <c r="M2099" s="126">
        <f>base[[#This Row],[L/P Bruto]]-base[[#This Row],[L/P Líquido]]</f>
        <v>0</v>
      </c>
      <c r="N2099" s="126">
        <f>base[[#This Row],[L/P Líquido]]/base[[#This Row],[Stake/Responsabilidade]]</f>
        <v>-1</v>
      </c>
      <c r="O2099" s="132">
        <f>IF(base[[#This Row],[L/P Líquido]]&gt;0,1,0)</f>
        <v>0</v>
      </c>
      <c r="P2099" s="132"/>
      <c r="Q2099" s="132" t="str">
        <f>LEFT(base[[#This Row],[Evento / Mercado]],FIND("vs",base[[#This Row],[Evento / Mercado]])-2)</f>
        <v>Real Salt Lake</v>
      </c>
      <c r="R20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Houston Dynamo</v>
      </c>
      <c r="S2099" s="132" t="str">
        <f>LEFT(base[[#This Row],[Evento / Mercado]],FIND("/",base[[#This Row],[Evento / Mercado]])-2)</f>
        <v>Real Salt Lake vs Houston Dynamo</v>
      </c>
    </row>
    <row r="2100" spans="2:19" ht="15" customHeight="1">
      <c r="B2100" s="128" t="s">
        <v>2002</v>
      </c>
      <c r="C2100" s="128" t="s">
        <v>2982</v>
      </c>
      <c r="D2100" s="129">
        <v>46156.024687500001</v>
      </c>
      <c r="E2100" s="130">
        <v>-50</v>
      </c>
      <c r="F2100" s="136">
        <v>4.4999999999999998E-2</v>
      </c>
      <c r="G2100" s="126">
        <f t="shared" si="33"/>
        <v>-50</v>
      </c>
      <c r="H2100" s="126" t="s">
        <v>1784</v>
      </c>
      <c r="I2100" s="127" t="s">
        <v>266</v>
      </c>
      <c r="J2100" s="126">
        <v>1.56</v>
      </c>
      <c r="K2100" s="126">
        <v>50</v>
      </c>
      <c r="L2100" s="129">
        <f>INT(base[[#This Row],[Data de liquidação]])</f>
        <v>46156</v>
      </c>
      <c r="M2100" s="126">
        <f>base[[#This Row],[L/P Bruto]]-base[[#This Row],[L/P Líquido]]</f>
        <v>0</v>
      </c>
      <c r="N2100" s="126">
        <f>base[[#This Row],[L/P Líquido]]/base[[#This Row],[Stake/Responsabilidade]]</f>
        <v>-1</v>
      </c>
      <c r="O2100" s="132">
        <f>IF(base[[#This Row],[L/P Líquido]]&gt;0,1,0)</f>
        <v>0</v>
      </c>
      <c r="P2100" s="132"/>
      <c r="Q2100" s="132" t="str">
        <f>LEFT(base[[#This Row],[Evento / Mercado]],FIND("vs",base[[#This Row],[Evento / Mercado]])-2)</f>
        <v>San Diego FC</v>
      </c>
      <c r="R21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2100" s="132" t="str">
        <f>LEFT(base[[#This Row],[Evento / Mercado]],FIND("/",base[[#This Row],[Evento / Mercado]])-2)</f>
        <v>San Diego FC vs Austin FC</v>
      </c>
    </row>
    <row r="2101" spans="2:19" ht="15" customHeight="1">
      <c r="B2101" s="128" t="s">
        <v>2085</v>
      </c>
      <c r="C2101" s="128" t="s">
        <v>2982</v>
      </c>
      <c r="D2101" s="129">
        <v>46156.382604166669</v>
      </c>
      <c r="E2101" s="130">
        <v>18.2</v>
      </c>
      <c r="F2101" s="131">
        <v>0</v>
      </c>
      <c r="G2101" s="126">
        <f t="shared" si="33"/>
        <v>18.2</v>
      </c>
      <c r="H2101" s="126" t="s">
        <v>1784</v>
      </c>
      <c r="I2101" s="127" t="s">
        <v>1448</v>
      </c>
      <c r="J2101" s="126">
        <v>1.3640000000000001</v>
      </c>
      <c r="K2101" s="126">
        <v>50</v>
      </c>
      <c r="L2101" s="129">
        <f>INT(base[[#This Row],[Data de liquidação]])</f>
        <v>46156</v>
      </c>
      <c r="M2101" s="126">
        <f>base[[#This Row],[L/P Bruto]]-base[[#This Row],[L/P Líquido]]</f>
        <v>0</v>
      </c>
      <c r="N2101" s="126">
        <f>base[[#This Row],[L/P Líquido]]/base[[#This Row],[Stake/Responsabilidade]]</f>
        <v>0.36399999999999999</v>
      </c>
      <c r="O2101" s="132">
        <f>IF(base[[#This Row],[L/P Líquido]]&gt;0,1,0)</f>
        <v>1</v>
      </c>
      <c r="P2101" s="132"/>
      <c r="Q2101" s="132" t="str">
        <f>LEFT(base[[#This Row],[Evento / Mercado]],FIND("vs",base[[#This Row],[Evento / Mercado]])-2)</f>
        <v>Gomel FC</v>
      </c>
      <c r="R21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Baranovichi FC</v>
      </c>
      <c r="S2101" s="132" t="e">
        <f>LEFT(base[[#This Row],[Evento / Mercado]],FIND("/",base[[#This Row],[Evento / Mercado]])-2)</f>
        <v>#VALUE!</v>
      </c>
    </row>
    <row r="2102" spans="2:19" ht="15" customHeight="1">
      <c r="B2102" s="128" t="s">
        <v>2085</v>
      </c>
      <c r="C2102" s="128" t="s">
        <v>2982</v>
      </c>
      <c r="D2102" s="129">
        <v>46156.383993055555</v>
      </c>
      <c r="E2102" s="130">
        <v>-50</v>
      </c>
      <c r="F2102" s="136">
        <v>4.4999999999999998E-2</v>
      </c>
      <c r="G2102" s="126">
        <f t="shared" si="33"/>
        <v>-50</v>
      </c>
      <c r="H2102" s="126" t="s">
        <v>1784</v>
      </c>
      <c r="I2102" s="127" t="s">
        <v>1787</v>
      </c>
      <c r="J2102" s="126">
        <v>1.4319999999999999</v>
      </c>
      <c r="K2102" s="126">
        <v>50</v>
      </c>
      <c r="L2102" s="129">
        <f>INT(base[[#This Row],[Data de liquidação]])</f>
        <v>46156</v>
      </c>
      <c r="M2102" s="126">
        <f>base[[#This Row],[L/P Bruto]]-base[[#This Row],[L/P Líquido]]</f>
        <v>0</v>
      </c>
      <c r="N2102" s="126">
        <f>base[[#This Row],[L/P Líquido]]/base[[#This Row],[Stake/Responsabilidade]]</f>
        <v>-1</v>
      </c>
      <c r="O2102" s="132">
        <f>IF(base[[#This Row],[L/P Líquido]]&gt;0,1,0)</f>
        <v>0</v>
      </c>
      <c r="P2102" s="132"/>
      <c r="Q2102" s="132" t="str">
        <f>LEFT(base[[#This Row],[Evento / Mercado]],FIND("vs",base[[#This Row],[Evento / Mercado]])-2)</f>
        <v>Gomel FC</v>
      </c>
      <c r="R21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Baranovichi FC</v>
      </c>
      <c r="S2102" s="132" t="e">
        <f>LEFT(base[[#This Row],[Evento / Mercado]],FIND("/",base[[#This Row],[Evento / Mercado]])-2)</f>
        <v>#VALUE!</v>
      </c>
    </row>
    <row r="2103" spans="2:19" ht="15" customHeight="1">
      <c r="B2103" s="128" t="s">
        <v>2081</v>
      </c>
      <c r="C2103" s="128" t="s">
        <v>2982</v>
      </c>
      <c r="D2103" s="129">
        <v>46156.554629629631</v>
      </c>
      <c r="E2103" s="130">
        <v>1.8</v>
      </c>
      <c r="F2103" s="136">
        <v>4.4999999999999998E-2</v>
      </c>
      <c r="G2103" s="126">
        <f t="shared" si="33"/>
        <v>1.8848167539267018</v>
      </c>
      <c r="H2103" s="126" t="s">
        <v>1339</v>
      </c>
      <c r="I2103" s="127" t="s">
        <v>1336</v>
      </c>
      <c r="J2103" s="126">
        <v>1.45</v>
      </c>
      <c r="K2103" s="126">
        <v>10</v>
      </c>
      <c r="L2103" s="129">
        <f>INT(base[[#This Row],[Data de liquidação]])</f>
        <v>46156</v>
      </c>
      <c r="M2103" s="126">
        <f>base[[#This Row],[L/P Bruto]]-base[[#This Row],[L/P Líquido]]</f>
        <v>8.4816753926701738E-2</v>
      </c>
      <c r="N2103" s="126">
        <f>base[[#This Row],[L/P Líquido]]/base[[#This Row],[Stake/Responsabilidade]]</f>
        <v>0.18</v>
      </c>
      <c r="O2103" s="132">
        <f>IF(base[[#This Row],[L/P Líquido]]&gt;0,1,0)</f>
        <v>1</v>
      </c>
      <c r="P2103" s="132"/>
      <c r="Q2103" s="132" t="str">
        <f>LEFT(base[[#This Row],[Evento / Mercado]],FIND("vs",base[[#This Row],[Evento / Mercado]])-2)</f>
        <v>FC Basel</v>
      </c>
      <c r="R21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Gallen</v>
      </c>
      <c r="S2103" s="132" t="str">
        <f>LEFT(base[[#This Row],[Evento / Mercado]],FIND("/",base[[#This Row],[Evento / Mercado]])-2)</f>
        <v>FC Basel vs FC St. Gallen</v>
      </c>
    </row>
    <row r="2104" spans="2:19" ht="15" customHeight="1">
      <c r="B2104" s="128" t="s">
        <v>2080</v>
      </c>
      <c r="C2104" s="128" t="s">
        <v>2982</v>
      </c>
      <c r="D2104" s="129">
        <v>46156.555868055555</v>
      </c>
      <c r="E2104" s="130">
        <v>1.64</v>
      </c>
      <c r="F2104" s="136">
        <v>4.4999999999999998E-2</v>
      </c>
      <c r="G2104" s="126">
        <f t="shared" si="33"/>
        <v>1.7172774869109948</v>
      </c>
      <c r="H2104" s="126" t="s">
        <v>1339</v>
      </c>
      <c r="I2104" s="127" t="s">
        <v>1388</v>
      </c>
      <c r="J2104" s="126">
        <v>30</v>
      </c>
      <c r="K2104" s="126">
        <v>49.88</v>
      </c>
      <c r="L2104" s="129">
        <f>INT(base[[#This Row],[Data de liquidação]])</f>
        <v>46156</v>
      </c>
      <c r="M2104" s="126">
        <f>base[[#This Row],[L/P Bruto]]-base[[#This Row],[L/P Líquido]]</f>
        <v>7.7277486910994897E-2</v>
      </c>
      <c r="N2104" s="126">
        <f>base[[#This Row],[L/P Líquido]]/base[[#This Row],[Stake/Responsabilidade]]</f>
        <v>3.2878909382518043E-2</v>
      </c>
      <c r="O2104" s="132">
        <f>IF(base[[#This Row],[L/P Líquido]]&gt;0,1,0)</f>
        <v>1</v>
      </c>
      <c r="P2104" s="132"/>
      <c r="Q2104" s="132" t="str">
        <f>LEFT(base[[#This Row],[Evento / Mercado]],FIND("vs",base[[#This Row],[Evento / Mercado]])-2)</f>
        <v>FC Sion</v>
      </c>
      <c r="R21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Lugano</v>
      </c>
      <c r="S2104" s="132" t="str">
        <f>LEFT(base[[#This Row],[Evento / Mercado]],FIND("/",base[[#This Row],[Evento / Mercado]])-2)</f>
        <v>FC Sion vs FC Lugano</v>
      </c>
    </row>
    <row r="2105" spans="2:19" ht="15" customHeight="1">
      <c r="B2105" s="128" t="s">
        <v>2079</v>
      </c>
      <c r="C2105" s="128" t="s">
        <v>2982</v>
      </c>
      <c r="D2105" s="129">
        <v>46156.556006944447</v>
      </c>
      <c r="E2105" s="130">
        <v>17.36</v>
      </c>
      <c r="F2105" s="136">
        <v>4.4999999999999998E-2</v>
      </c>
      <c r="G2105" s="126">
        <f t="shared" si="33"/>
        <v>18.178010471204189</v>
      </c>
      <c r="H2105" s="126" t="s">
        <v>1784</v>
      </c>
      <c r="I2105" s="127" t="s">
        <v>1785</v>
      </c>
      <c r="J2105" s="126">
        <v>3.75</v>
      </c>
      <c r="K2105" s="126">
        <v>50</v>
      </c>
      <c r="L2105" s="129">
        <f>INT(base[[#This Row],[Data de liquidação]])</f>
        <v>46156</v>
      </c>
      <c r="M2105" s="126">
        <f>base[[#This Row],[L/P Bruto]]-base[[#This Row],[L/P Líquido]]</f>
        <v>0.81801047120418957</v>
      </c>
      <c r="N2105" s="126">
        <f>base[[#This Row],[L/P Líquido]]/base[[#This Row],[Stake/Responsabilidade]]</f>
        <v>0.34720000000000001</v>
      </c>
      <c r="O2105" s="132">
        <f>IF(base[[#This Row],[L/P Líquido]]&gt;0,1,0)</f>
        <v>1</v>
      </c>
      <c r="P2105" s="132"/>
      <c r="Q2105" s="132" t="str">
        <f>LEFT(base[[#This Row],[Evento / Mercado]],FIND("vs",base[[#This Row],[Evento / Mercado]])-2)</f>
        <v>FC Sion</v>
      </c>
      <c r="R21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Lugano</v>
      </c>
      <c r="S2105" s="132" t="str">
        <f>LEFT(base[[#This Row],[Evento / Mercado]],FIND("/",base[[#This Row],[Evento / Mercado]])-2)</f>
        <v>FC Sion vs FC Lugano</v>
      </c>
    </row>
    <row r="2106" spans="2:19" ht="15" customHeight="1">
      <c r="B2106" s="128" t="s">
        <v>29</v>
      </c>
      <c r="C2106" s="128" t="s">
        <v>2982</v>
      </c>
      <c r="D2106" s="129">
        <v>46156.55809027778</v>
      </c>
      <c r="E2106" s="130">
        <v>3.29</v>
      </c>
      <c r="F2106" s="136">
        <v>4.4999999999999998E-2</v>
      </c>
      <c r="G2106" s="126">
        <f t="shared" si="33"/>
        <v>3.4450261780104712</v>
      </c>
      <c r="H2106" s="126" t="s">
        <v>1339</v>
      </c>
      <c r="I2106" s="127" t="s">
        <v>1388</v>
      </c>
      <c r="J2106" s="126">
        <v>15.5</v>
      </c>
      <c r="K2106" s="126">
        <v>50.03</v>
      </c>
      <c r="L2106" s="129">
        <f>INT(base[[#This Row],[Data de liquidação]])</f>
        <v>46156</v>
      </c>
      <c r="M2106" s="126">
        <f>base[[#This Row],[L/P Bruto]]-base[[#This Row],[L/P Líquido]]</f>
        <v>0.15502617801047114</v>
      </c>
      <c r="N2106" s="126">
        <f>base[[#This Row],[L/P Líquido]]/base[[#This Row],[Stake/Responsabilidade]]</f>
        <v>6.5760543673795718E-2</v>
      </c>
      <c r="O2106" s="132">
        <f>IF(base[[#This Row],[L/P Líquido]]&gt;0,1,0)</f>
        <v>1</v>
      </c>
      <c r="P2106" s="132"/>
      <c r="Q2106" s="132" t="str">
        <f>LEFT(base[[#This Row],[Evento / Mercado]],FIND("vs",base[[#This Row],[Evento / Mercado]])-2)</f>
        <v>FC Basel</v>
      </c>
      <c r="R21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Gallen</v>
      </c>
      <c r="S2106" s="132" t="str">
        <f>LEFT(base[[#This Row],[Evento / Mercado]],FIND("/",base[[#This Row],[Evento / Mercado]])-2)</f>
        <v>FC Basel vs FC St. Gallen</v>
      </c>
    </row>
    <row r="2107" spans="2:19" ht="15" customHeight="1">
      <c r="B2107" s="128" t="s">
        <v>2078</v>
      </c>
      <c r="C2107" s="128" t="s">
        <v>2982</v>
      </c>
      <c r="D2107" s="129">
        <v>46156.577453703707</v>
      </c>
      <c r="E2107" s="130">
        <v>51.85</v>
      </c>
      <c r="F2107" s="136">
        <v>4.4999999999999998E-2</v>
      </c>
      <c r="G2107" s="126">
        <f t="shared" si="33"/>
        <v>54.293193717277489</v>
      </c>
      <c r="H2107" s="126" t="s">
        <v>145</v>
      </c>
      <c r="I2107" s="127" t="s">
        <v>301</v>
      </c>
      <c r="J2107" s="126">
        <v>8</v>
      </c>
      <c r="K2107" s="126">
        <v>380.03</v>
      </c>
      <c r="L2107" s="129">
        <f>INT(base[[#This Row],[Data de liquidação]])</f>
        <v>46156</v>
      </c>
      <c r="M2107" s="126">
        <f>base[[#This Row],[L/P Bruto]]-base[[#This Row],[L/P Líquido]]</f>
        <v>2.443193717277488</v>
      </c>
      <c r="N2107" s="126">
        <f>base[[#This Row],[L/P Líquido]]/base[[#This Row],[Stake/Responsabilidade]]</f>
        <v>0.13643659711075443</v>
      </c>
      <c r="O2107" s="132">
        <f>IF(base[[#This Row],[L/P Líquido]]&gt;0,1,0)</f>
        <v>1</v>
      </c>
      <c r="P2107" s="132" t="s">
        <v>2473</v>
      </c>
      <c r="Q2107" s="132" t="str">
        <f>LEFT(base[[#This Row],[Evento / Mercado]],FIND("vs",base[[#This Row],[Evento / Mercado]])-2)</f>
        <v>SKN St. Pölten</v>
      </c>
      <c r="R21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Hertha Wels</v>
      </c>
      <c r="S2107" s="132" t="str">
        <f>LEFT(base[[#This Row],[Evento / Mercado]],FIND("/",base[[#This Row],[Evento / Mercado]])-2)</f>
        <v>SKN St. Pölten vs FC Hertha Wels</v>
      </c>
    </row>
    <row r="2108" spans="2:19" ht="15" customHeight="1">
      <c r="B2108" s="128" t="s">
        <v>2077</v>
      </c>
      <c r="C2108" s="128" t="s">
        <v>2982</v>
      </c>
      <c r="D2108" s="129">
        <v>46156.584710648145</v>
      </c>
      <c r="E2108" s="130">
        <v>-50</v>
      </c>
      <c r="F2108" s="136">
        <v>4.4999999999999998E-2</v>
      </c>
      <c r="G2108" s="126">
        <f t="shared" si="33"/>
        <v>-50</v>
      </c>
      <c r="H2108" s="126" t="s">
        <v>1784</v>
      </c>
      <c r="I2108" s="127" t="s">
        <v>266</v>
      </c>
      <c r="J2108" s="126">
        <v>2.76</v>
      </c>
      <c r="K2108" s="126">
        <v>50</v>
      </c>
      <c r="L2108" s="129">
        <f>INT(base[[#This Row],[Data de liquidação]])</f>
        <v>46156</v>
      </c>
      <c r="M2108" s="126">
        <f>base[[#This Row],[L/P Bruto]]-base[[#This Row],[L/P Líquido]]</f>
        <v>0</v>
      </c>
      <c r="N2108" s="126">
        <f>base[[#This Row],[L/P Líquido]]/base[[#This Row],[Stake/Responsabilidade]]</f>
        <v>-1</v>
      </c>
      <c r="O2108" s="132">
        <f>IF(base[[#This Row],[L/P Líquido]]&gt;0,1,0)</f>
        <v>0</v>
      </c>
      <c r="P2108" s="132"/>
      <c r="Q2108" s="132" t="str">
        <f>LEFT(base[[#This Row],[Evento / Mercado]],FIND("vs",base[[#This Row],[Evento / Mercado]])-2)</f>
        <v>FC København</v>
      </c>
      <c r="R21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Midtjylland</v>
      </c>
      <c r="S2108" s="132" t="str">
        <f>LEFT(base[[#This Row],[Evento / Mercado]],FIND("/",base[[#This Row],[Evento / Mercado]])-2)</f>
        <v>FC København vs FC Midtjylland</v>
      </c>
    </row>
    <row r="2109" spans="2:19" ht="15" customHeight="1">
      <c r="B2109" s="128" t="s">
        <v>2076</v>
      </c>
      <c r="C2109" s="128" t="s">
        <v>2982</v>
      </c>
      <c r="D2109" s="129">
        <v>46156.616886574076</v>
      </c>
      <c r="E2109" s="130">
        <v>6.49</v>
      </c>
      <c r="F2109" s="136">
        <v>4.4999999999999998E-2</v>
      </c>
      <c r="G2109" s="126">
        <f t="shared" si="33"/>
        <v>6.7958115183246077</v>
      </c>
      <c r="H2109" s="126" t="s">
        <v>1339</v>
      </c>
      <c r="I2109" s="127" t="s">
        <v>1338</v>
      </c>
      <c r="J2109" s="126">
        <v>2.36</v>
      </c>
      <c r="K2109" s="126">
        <v>5</v>
      </c>
      <c r="L2109" s="129">
        <f>INT(base[[#This Row],[Data de liquidação]])</f>
        <v>46156</v>
      </c>
      <c r="M2109" s="126">
        <f>base[[#This Row],[L/P Bruto]]-base[[#This Row],[L/P Líquido]]</f>
        <v>0.30581151832460751</v>
      </c>
      <c r="N2109" s="126">
        <f>base[[#This Row],[L/P Líquido]]/base[[#This Row],[Stake/Responsabilidade]]</f>
        <v>1.298</v>
      </c>
      <c r="O2109" s="132">
        <f>IF(base[[#This Row],[L/P Líquido]]&gt;0,1,0)</f>
        <v>1</v>
      </c>
      <c r="P2109" s="132"/>
      <c r="Q2109" s="132" t="str">
        <f>LEFT(base[[#This Row],[Evento / Mercado]],FIND("vs",base[[#This Row],[Evento / Mercado]])-2)</f>
        <v>Al-Fateh Al-Hasa</v>
      </c>
      <c r="R21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Najma Club</v>
      </c>
      <c r="S2109" s="132" t="str">
        <f>LEFT(base[[#This Row],[Evento / Mercado]],FIND("/",base[[#This Row],[Evento / Mercado]])-2)</f>
        <v>Al-Fateh Al-Hasa vs Al Najma Club</v>
      </c>
    </row>
    <row r="2110" spans="2:19" ht="15" customHeight="1">
      <c r="B2110" s="128" t="s">
        <v>2075</v>
      </c>
      <c r="C2110" s="128" t="s">
        <v>2982</v>
      </c>
      <c r="D2110" s="129">
        <v>46156.616909722223</v>
      </c>
      <c r="E2110" s="130">
        <v>1.43</v>
      </c>
      <c r="F2110" s="136">
        <v>4.4999999999999998E-2</v>
      </c>
      <c r="G2110" s="126">
        <f t="shared" si="33"/>
        <v>1.4973821989528795</v>
      </c>
      <c r="H2110" s="126" t="s">
        <v>1339</v>
      </c>
      <c r="I2110" s="127" t="s">
        <v>1963</v>
      </c>
      <c r="J2110" s="126">
        <v>1.03</v>
      </c>
      <c r="K2110" s="126">
        <v>50</v>
      </c>
      <c r="L2110" s="129">
        <f>INT(base[[#This Row],[Data de liquidação]])</f>
        <v>46156</v>
      </c>
      <c r="M2110" s="126">
        <f>base[[#This Row],[L/P Bruto]]-base[[#This Row],[L/P Líquido]]</f>
        <v>6.7382198952879557E-2</v>
      </c>
      <c r="N2110" s="126">
        <f>base[[#This Row],[L/P Líquido]]/base[[#This Row],[Stake/Responsabilidade]]</f>
        <v>2.86E-2</v>
      </c>
      <c r="O2110" s="132">
        <f>IF(base[[#This Row],[L/P Líquido]]&gt;0,1,0)</f>
        <v>1</v>
      </c>
      <c r="P2110" s="132"/>
      <c r="Q2110" s="132" t="str">
        <f>LEFT(base[[#This Row],[Evento / Mercado]],FIND("vs",base[[#This Row],[Evento / Mercado]])-2)</f>
        <v>Al-Fateh Al-Hasa</v>
      </c>
      <c r="R21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Najma Club</v>
      </c>
      <c r="S2110" s="132" t="str">
        <f>LEFT(base[[#This Row],[Evento / Mercado]],FIND("/",base[[#This Row],[Evento / Mercado]])-2)</f>
        <v>Al-Fateh Al-Hasa vs Al Najma Club</v>
      </c>
    </row>
    <row r="2111" spans="2:19" ht="15" customHeight="1">
      <c r="B2111" s="128" t="s">
        <v>2073</v>
      </c>
      <c r="C2111" s="128" t="s">
        <v>2982</v>
      </c>
      <c r="D2111" s="129">
        <v>46156.646006944444</v>
      </c>
      <c r="E2111" s="130">
        <v>17.190000000000001</v>
      </c>
      <c r="F2111" s="136">
        <v>4.4999999999999998E-2</v>
      </c>
      <c r="G2111" s="126">
        <f t="shared" si="33"/>
        <v>18.000000000000004</v>
      </c>
      <c r="H2111" s="126" t="s">
        <v>1784</v>
      </c>
      <c r="I2111" s="127" t="s">
        <v>1448</v>
      </c>
      <c r="J2111" s="126">
        <v>1.36</v>
      </c>
      <c r="K2111" s="126">
        <v>50</v>
      </c>
      <c r="L2111" s="129">
        <f>INT(base[[#This Row],[Data de liquidação]])</f>
        <v>46156</v>
      </c>
      <c r="M2111" s="126">
        <f>base[[#This Row],[L/P Bruto]]-base[[#This Row],[L/P Líquido]]</f>
        <v>0.81000000000000227</v>
      </c>
      <c r="N2111" s="126">
        <f>base[[#This Row],[L/P Líquido]]/base[[#This Row],[Stake/Responsabilidade]]</f>
        <v>0.34380000000000005</v>
      </c>
      <c r="O2111" s="132">
        <f>IF(base[[#This Row],[L/P Líquido]]&gt;0,1,0)</f>
        <v>1</v>
      </c>
      <c r="P2111" s="132"/>
      <c r="Q2111" s="132" t="str">
        <f>LEFT(base[[#This Row],[Evento / Mercado]],FIND("vs",base[[#This Row],[Evento / Mercado]])-2)</f>
        <v>Girona</v>
      </c>
      <c r="R21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2111" s="132" t="str">
        <f>LEFT(base[[#This Row],[Evento / Mercado]],FIND("/",base[[#This Row],[Evento / Mercado]])-2)</f>
        <v>Girona vs Real Sociedad</v>
      </c>
    </row>
    <row r="2112" spans="2:19" ht="15" customHeight="1">
      <c r="B2112" s="128" t="s">
        <v>2074</v>
      </c>
      <c r="C2112" s="128" t="s">
        <v>2982</v>
      </c>
      <c r="D2112" s="129">
        <v>46156.646006944444</v>
      </c>
      <c r="E2112" s="130">
        <v>0.15</v>
      </c>
      <c r="F2112" s="136">
        <v>4.4999999999999998E-2</v>
      </c>
      <c r="G2112" s="126">
        <f t="shared" si="33"/>
        <v>0.15706806282722513</v>
      </c>
      <c r="H2112" s="126" t="s">
        <v>1339</v>
      </c>
      <c r="I2112" s="127" t="s">
        <v>1993</v>
      </c>
      <c r="J2112" s="126">
        <v>1.08</v>
      </c>
      <c r="K2112" s="126">
        <v>2</v>
      </c>
      <c r="L2112" s="129">
        <f>INT(base[[#This Row],[Data de liquidação]])</f>
        <v>46156</v>
      </c>
      <c r="M2112" s="126">
        <f>base[[#This Row],[L/P Bruto]]-base[[#This Row],[L/P Líquido]]</f>
        <v>7.0680628272251356E-3</v>
      </c>
      <c r="N2112" s="126">
        <f>base[[#This Row],[L/P Líquido]]/base[[#This Row],[Stake/Responsabilidade]]</f>
        <v>7.4999999999999997E-2</v>
      </c>
      <c r="O2112" s="132">
        <f>IF(base[[#This Row],[L/P Líquido]]&gt;0,1,0)</f>
        <v>1</v>
      </c>
      <c r="P2112" s="132"/>
      <c r="Q2112" s="132" t="str">
        <f>LEFT(base[[#This Row],[Evento / Mercado]],FIND("vs",base[[#This Row],[Evento / Mercado]])-2)</f>
        <v>Girona</v>
      </c>
      <c r="R21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2112" s="132" t="str">
        <f>LEFT(base[[#This Row],[Evento / Mercado]],FIND("/",base[[#This Row],[Evento / Mercado]])-2)</f>
        <v>Girona vs Real Sociedad</v>
      </c>
    </row>
    <row r="2113" spans="2:22" ht="15" customHeight="1">
      <c r="B2113" s="128" t="s">
        <v>2072</v>
      </c>
      <c r="C2113" s="128" t="s">
        <v>2982</v>
      </c>
      <c r="D2113" s="129">
        <v>46156.686053240737</v>
      </c>
      <c r="E2113" s="130">
        <v>-2.4700000000000002</v>
      </c>
      <c r="F2113" s="136">
        <v>4.4999999999999998E-2</v>
      </c>
      <c r="G2113" s="126">
        <f t="shared" si="33"/>
        <v>-2.4700000000000002</v>
      </c>
      <c r="H2113" s="126" t="s">
        <v>1339</v>
      </c>
      <c r="I2113" s="127" t="s">
        <v>1236</v>
      </c>
      <c r="J2113" s="126">
        <v>11</v>
      </c>
      <c r="K2113" s="126">
        <v>4</v>
      </c>
      <c r="L2113" s="129">
        <f>INT(base[[#This Row],[Data de liquidação]])</f>
        <v>46156</v>
      </c>
      <c r="M2113" s="126">
        <f>base[[#This Row],[L/P Bruto]]-base[[#This Row],[L/P Líquido]]</f>
        <v>0</v>
      </c>
      <c r="N2113" s="126">
        <f>base[[#This Row],[L/P Líquido]]/base[[#This Row],[Stake/Responsabilidade]]</f>
        <v>-0.61750000000000005</v>
      </c>
      <c r="O2113" s="132">
        <f>IF(base[[#This Row],[L/P Líquido]]&gt;0,1,0)</f>
        <v>0</v>
      </c>
      <c r="P2113" s="132"/>
      <c r="Q2113" s="132" t="str">
        <f>LEFT(base[[#This Row],[Evento / Mercado]],FIND("vs",base[[#This Row],[Evento / Mercado]])-2)</f>
        <v>Girona</v>
      </c>
      <c r="R21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2113" s="132" t="str">
        <f>LEFT(base[[#This Row],[Evento / Mercado]],FIND("/",base[[#This Row],[Evento / Mercado]])-2)</f>
        <v>Girona vs Real Sociedad</v>
      </c>
    </row>
    <row r="2114" spans="2:22" ht="15" customHeight="1">
      <c r="B2114" s="128" t="s">
        <v>2072</v>
      </c>
      <c r="C2114" s="128" t="s">
        <v>2982</v>
      </c>
      <c r="D2114" s="129">
        <v>46156.686053240737</v>
      </c>
      <c r="E2114" s="130">
        <v>-2</v>
      </c>
      <c r="F2114" s="136">
        <v>4.4999999999999998E-2</v>
      </c>
      <c r="G2114" s="126">
        <f t="shared" si="33"/>
        <v>-2</v>
      </c>
      <c r="H2114" s="126" t="s">
        <v>1339</v>
      </c>
      <c r="I2114" s="127" t="s">
        <v>1994</v>
      </c>
      <c r="J2114" s="126">
        <v>5.8</v>
      </c>
      <c r="K2114" s="126">
        <v>2</v>
      </c>
      <c r="L2114" s="129">
        <f>INT(base[[#This Row],[Data de liquidação]])</f>
        <v>46156</v>
      </c>
      <c r="M2114" s="126">
        <f>base[[#This Row],[L/P Bruto]]-base[[#This Row],[L/P Líquido]]</f>
        <v>0</v>
      </c>
      <c r="N2114" s="126">
        <f>base[[#This Row],[L/P Líquido]]/base[[#This Row],[Stake/Responsabilidade]]</f>
        <v>-1</v>
      </c>
      <c r="O2114" s="132">
        <f>IF(base[[#This Row],[L/P Líquido]]&gt;0,1,0)</f>
        <v>0</v>
      </c>
      <c r="P2114" s="132"/>
      <c r="Q2114" s="132" t="str">
        <f>LEFT(base[[#This Row],[Evento / Mercado]],FIND("vs",base[[#This Row],[Evento / Mercado]])-2)</f>
        <v>Girona</v>
      </c>
      <c r="R21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2114" s="132" t="str">
        <f>LEFT(base[[#This Row],[Evento / Mercado]],FIND("/",base[[#This Row],[Evento / Mercado]])-2)</f>
        <v>Girona vs Real Sociedad</v>
      </c>
    </row>
    <row r="2115" spans="2:22" ht="15" customHeight="1">
      <c r="B2115" s="128" t="s">
        <v>2071</v>
      </c>
      <c r="C2115" s="128" t="s">
        <v>2982</v>
      </c>
      <c r="D2115" s="129">
        <v>46156.706284722219</v>
      </c>
      <c r="E2115" s="130">
        <v>-2</v>
      </c>
      <c r="F2115" s="136">
        <v>4.4999999999999998E-2</v>
      </c>
      <c r="G2115" s="126">
        <f t="shared" ref="G2115:G2178" si="34">IF(E2115&gt;0,E2115/(1-F2115),E2115)</f>
        <v>-2</v>
      </c>
      <c r="H2115" s="126" t="s">
        <v>1339</v>
      </c>
      <c r="I2115" s="127" t="s">
        <v>1429</v>
      </c>
      <c r="J2115" s="126">
        <v>2</v>
      </c>
      <c r="K2115" s="126">
        <v>2</v>
      </c>
      <c r="L2115" s="129">
        <f>INT(base[[#This Row],[Data de liquidação]])</f>
        <v>46156</v>
      </c>
      <c r="M2115" s="126">
        <f>base[[#This Row],[L/P Bruto]]-base[[#This Row],[L/P Líquido]]</f>
        <v>0</v>
      </c>
      <c r="N2115" s="126">
        <f>base[[#This Row],[L/P Líquido]]/base[[#This Row],[Stake/Responsabilidade]]</f>
        <v>-1</v>
      </c>
      <c r="O2115" s="132">
        <f>IF(base[[#This Row],[L/P Líquido]]&gt;0,1,0)</f>
        <v>0</v>
      </c>
      <c r="P2115" s="132"/>
      <c r="Q2115" s="132" t="str">
        <f>LEFT(base[[#This Row],[Evento / Mercado]],FIND("vs",base[[#This Row],[Evento / Mercado]])-2)</f>
        <v>Girona</v>
      </c>
      <c r="R21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2115" s="132" t="str">
        <f>LEFT(base[[#This Row],[Evento / Mercado]],FIND("/",base[[#This Row],[Evento / Mercado]])-2)</f>
        <v>Girona vs Real Sociedad</v>
      </c>
    </row>
    <row r="2116" spans="2:22" ht="15" customHeight="1">
      <c r="B2116" s="128" t="s">
        <v>2070</v>
      </c>
      <c r="C2116" s="128" t="s">
        <v>2982</v>
      </c>
      <c r="D2116" s="129">
        <v>46156.707685185182</v>
      </c>
      <c r="E2116" s="130">
        <v>1.51</v>
      </c>
      <c r="F2116" s="136">
        <v>4.4999999999999998E-2</v>
      </c>
      <c r="G2116" s="126">
        <f t="shared" si="34"/>
        <v>1.581151832460733</v>
      </c>
      <c r="H2116" s="126" t="s">
        <v>1339</v>
      </c>
      <c r="I2116" s="127" t="s">
        <v>1390</v>
      </c>
      <c r="J2116" s="126">
        <v>21</v>
      </c>
      <c r="K2116" s="126">
        <v>31.6</v>
      </c>
      <c r="L2116" s="129">
        <f>INT(base[[#This Row],[Data de liquidação]])</f>
        <v>46156</v>
      </c>
      <c r="M2116" s="126">
        <f>base[[#This Row],[L/P Bruto]]-base[[#This Row],[L/P Líquido]]</f>
        <v>7.1151832460732978E-2</v>
      </c>
      <c r="N2116" s="126">
        <f>base[[#This Row],[L/P Líquido]]/base[[#This Row],[Stake/Responsabilidade]]</f>
        <v>4.7784810126582276E-2</v>
      </c>
      <c r="O2116" s="132">
        <f>IF(base[[#This Row],[L/P Líquido]]&gt;0,1,0)</f>
        <v>1</v>
      </c>
      <c r="P2116" s="132"/>
      <c r="Q2116" s="132" t="str">
        <f>LEFT(base[[#This Row],[Evento / Mercado]],FIND("vs",base[[#This Row],[Evento / Mercado]])-2)</f>
        <v>Al-Qadisiyah</v>
      </c>
      <c r="R21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Hazm</v>
      </c>
      <c r="S2116" s="132" t="str">
        <f>LEFT(base[[#This Row],[Evento / Mercado]],FIND("/",base[[#This Row],[Evento / Mercado]])-2)</f>
        <v>Al-Qadisiyah vs Al Hazm</v>
      </c>
      <c r="U2116" s="9"/>
    </row>
    <row r="2117" spans="2:22" ht="15" customHeight="1">
      <c r="B2117" s="128" t="s">
        <v>2069</v>
      </c>
      <c r="C2117" s="128" t="s">
        <v>2982</v>
      </c>
      <c r="D2117" s="129">
        <v>46156.72074074074</v>
      </c>
      <c r="E2117" s="130">
        <v>1.6425999999999998</v>
      </c>
      <c r="F2117" s="136">
        <v>4.4999999999999998E-2</v>
      </c>
      <c r="G2117" s="126">
        <f t="shared" si="34"/>
        <v>1.72</v>
      </c>
      <c r="H2117" s="126" t="s">
        <v>1339</v>
      </c>
      <c r="I2117" s="127" t="s">
        <v>1448</v>
      </c>
      <c r="J2117" s="126">
        <v>1.86</v>
      </c>
      <c r="K2117" s="126">
        <v>2</v>
      </c>
      <c r="L2117" s="129">
        <f>INT(base[[#This Row],[Data de liquidação]])</f>
        <v>46156</v>
      </c>
      <c r="M2117" s="126">
        <f>base[[#This Row],[L/P Bruto]]-base[[#This Row],[L/P Líquido]]</f>
        <v>7.7400000000000135E-2</v>
      </c>
      <c r="N2117" s="126">
        <f>base[[#This Row],[L/P Líquido]]/base[[#This Row],[Stake/Responsabilidade]]</f>
        <v>0.82129999999999992</v>
      </c>
      <c r="O2117" s="132">
        <f>IF(base[[#This Row],[L/P Líquido]]&gt;0,1,0)</f>
        <v>1</v>
      </c>
      <c r="P2117" s="132"/>
      <c r="Q2117" s="132" t="str">
        <f>LEFT(base[[#This Row],[Evento / Mercado]],FIND("vs",base[[#This Row],[Evento / Mercado]])-2)</f>
        <v>Real Madrid</v>
      </c>
      <c r="R21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Oviedo</v>
      </c>
      <c r="S2117" s="132" t="str">
        <f>LEFT(base[[#This Row],[Evento / Mercado]],FIND("/",base[[#This Row],[Evento / Mercado]])-2)</f>
        <v>Real Madrid vs Real Oviedo</v>
      </c>
      <c r="T2117" s="8">
        <v>1.72</v>
      </c>
      <c r="U2117" s="9">
        <f>T2117*0.955</f>
        <v>1.6425999999999998</v>
      </c>
    </row>
    <row r="2118" spans="2:22" ht="15" customHeight="1">
      <c r="B2118" s="128" t="s">
        <v>2069</v>
      </c>
      <c r="C2118" s="128" t="s">
        <v>2982</v>
      </c>
      <c r="D2118" s="129">
        <v>46156.72074074074</v>
      </c>
      <c r="E2118" s="130">
        <v>12.5678</v>
      </c>
      <c r="F2118" s="136">
        <v>4.4999999999999998E-2</v>
      </c>
      <c r="G2118" s="126">
        <f t="shared" si="34"/>
        <v>13.16</v>
      </c>
      <c r="H2118" s="126" t="s">
        <v>1784</v>
      </c>
      <c r="I2118" s="127" t="s">
        <v>1448</v>
      </c>
      <c r="J2118" s="126">
        <v>1.26</v>
      </c>
      <c r="K2118" s="126">
        <v>50</v>
      </c>
      <c r="L2118" s="129">
        <f>INT(base[[#This Row],[Data de liquidação]])</f>
        <v>46156</v>
      </c>
      <c r="M2118" s="126">
        <f>base[[#This Row],[L/P Bruto]]-base[[#This Row],[L/P Líquido]]</f>
        <v>0.59220000000000006</v>
      </c>
      <c r="N2118" s="126">
        <f>base[[#This Row],[L/P Líquido]]/base[[#This Row],[Stake/Responsabilidade]]</f>
        <v>0.25135600000000002</v>
      </c>
      <c r="O2118" s="132">
        <f>IF(base[[#This Row],[L/P Líquido]]&gt;0,1,0)</f>
        <v>1</v>
      </c>
      <c r="P2118" s="132"/>
      <c r="Q2118" s="132" t="str">
        <f>LEFT(base[[#This Row],[Evento / Mercado]],FIND("vs",base[[#This Row],[Evento / Mercado]])-2)</f>
        <v>Real Madrid</v>
      </c>
      <c r="R21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Oviedo</v>
      </c>
      <c r="S2118" s="132" t="str">
        <f>LEFT(base[[#This Row],[Evento / Mercado]],FIND("/",base[[#This Row],[Evento / Mercado]])-2)</f>
        <v>Real Madrid vs Real Oviedo</v>
      </c>
      <c r="T2118" s="8">
        <v>13.16</v>
      </c>
      <c r="U2118" s="9">
        <f>T2118*0.955</f>
        <v>12.5678</v>
      </c>
    </row>
    <row r="2119" spans="2:22" ht="15" customHeight="1">
      <c r="B2119" s="128" t="s">
        <v>2068</v>
      </c>
      <c r="C2119" s="128" t="s">
        <v>2982</v>
      </c>
      <c r="D2119" s="129">
        <v>46156.765011574076</v>
      </c>
      <c r="E2119" s="130">
        <v>12.8925</v>
      </c>
      <c r="F2119" s="136">
        <v>4.4999999999999998E-2</v>
      </c>
      <c r="G2119" s="126">
        <f t="shared" si="34"/>
        <v>13.5</v>
      </c>
      <c r="H2119" s="126" t="s">
        <v>1784</v>
      </c>
      <c r="I2119" s="127" t="s">
        <v>1787</v>
      </c>
      <c r="J2119" s="126">
        <v>1.27</v>
      </c>
      <c r="K2119" s="126">
        <v>50</v>
      </c>
      <c r="L2119" s="129">
        <f>INT(base[[#This Row],[Data de liquidação]])</f>
        <v>46156</v>
      </c>
      <c r="M2119" s="126">
        <f>base[[#This Row],[L/P Bruto]]-base[[#This Row],[L/P Líquido]]</f>
        <v>0.60749999999999993</v>
      </c>
      <c r="N2119" s="126">
        <f>base[[#This Row],[L/P Líquido]]/base[[#This Row],[Stake/Responsabilidade]]</f>
        <v>0.25785000000000002</v>
      </c>
      <c r="O2119" s="132">
        <f>IF(base[[#This Row],[L/P Líquido]]&gt;0,1,0)</f>
        <v>1</v>
      </c>
      <c r="P2119" s="132"/>
      <c r="Q2119" s="132" t="str">
        <f>LEFT(base[[#This Row],[Evento / Mercado]],FIND("vs",base[[#This Row],[Evento / Mercado]])-2)</f>
        <v>Real Madrid</v>
      </c>
      <c r="R21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Oviedo</v>
      </c>
      <c r="S2119" s="132" t="str">
        <f>LEFT(base[[#This Row],[Evento / Mercado]],FIND("/",base[[#This Row],[Evento / Mercado]])-2)</f>
        <v>Real Madrid vs Real Oviedo</v>
      </c>
    </row>
    <row r="2120" spans="2:22" ht="15" customHeight="1">
      <c r="B2120" s="128" t="s">
        <v>2068</v>
      </c>
      <c r="C2120" s="128" t="s">
        <v>2982</v>
      </c>
      <c r="D2120" s="129">
        <v>46156.765011574076</v>
      </c>
      <c r="E2120" s="130">
        <v>2.2919999999999998</v>
      </c>
      <c r="F2120" s="136">
        <v>4.4999999999999998E-2</v>
      </c>
      <c r="G2120" s="126">
        <f t="shared" si="34"/>
        <v>2.4</v>
      </c>
      <c r="H2120" s="126" t="s">
        <v>1339</v>
      </c>
      <c r="I2120" s="127" t="s">
        <v>1390</v>
      </c>
      <c r="J2120" s="126">
        <v>13.5</v>
      </c>
      <c r="K2120" s="126">
        <v>30</v>
      </c>
      <c r="L2120" s="129">
        <f>INT(base[[#This Row],[Data de liquidação]])</f>
        <v>46156</v>
      </c>
      <c r="M2120" s="126">
        <f>base[[#This Row],[L/P Bruto]]-base[[#This Row],[L/P Líquido]]</f>
        <v>0.1080000000000001</v>
      </c>
      <c r="N2120" s="126">
        <f>base[[#This Row],[L/P Líquido]]/base[[#This Row],[Stake/Responsabilidade]]</f>
        <v>7.6399999999999996E-2</v>
      </c>
      <c r="O2120" s="132">
        <f>IF(base[[#This Row],[L/P Líquido]]&gt;0,1,0)</f>
        <v>1</v>
      </c>
      <c r="P2120" s="132"/>
      <c r="Q2120" s="132" t="str">
        <f>LEFT(base[[#This Row],[Evento / Mercado]],FIND("vs",base[[#This Row],[Evento / Mercado]])-2)</f>
        <v>Real Madrid</v>
      </c>
      <c r="R21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Oviedo</v>
      </c>
      <c r="S2120" s="132" t="str">
        <f>LEFT(base[[#This Row],[Evento / Mercado]],FIND("/",base[[#This Row],[Evento / Mercado]])-2)</f>
        <v>Real Madrid vs Real Oviedo</v>
      </c>
    </row>
    <row r="2121" spans="2:22" ht="15" customHeight="1">
      <c r="B2121" s="128" t="s">
        <v>2067</v>
      </c>
      <c r="C2121" s="128" t="s">
        <v>2982</v>
      </c>
      <c r="D2121" s="129">
        <v>46156.787673611114</v>
      </c>
      <c r="E2121" s="130">
        <v>11.94</v>
      </c>
      <c r="F2121" s="136">
        <v>4.4999999999999998E-2</v>
      </c>
      <c r="G2121" s="126">
        <f t="shared" si="34"/>
        <v>12.502617801047121</v>
      </c>
      <c r="H2121" s="126" t="s">
        <v>1784</v>
      </c>
      <c r="I2121" s="127" t="s">
        <v>1785</v>
      </c>
      <c r="J2121" s="126">
        <v>5</v>
      </c>
      <c r="K2121" s="126">
        <v>50</v>
      </c>
      <c r="L2121" s="129">
        <f>INT(base[[#This Row],[Data de liquidação]])</f>
        <v>46156</v>
      </c>
      <c r="M2121" s="126">
        <f>base[[#This Row],[L/P Bruto]]-base[[#This Row],[L/P Líquido]]</f>
        <v>0.56261780104712145</v>
      </c>
      <c r="N2121" s="126">
        <f>base[[#This Row],[L/P Líquido]]/base[[#This Row],[Stake/Responsabilidade]]</f>
        <v>0.23879999999999998</v>
      </c>
      <c r="O2121" s="132">
        <f>IF(base[[#This Row],[L/P Líquido]]&gt;0,1,0)</f>
        <v>1</v>
      </c>
      <c r="P2121" s="132"/>
      <c r="Q2121" s="132" t="str">
        <f>LEFT(base[[#This Row],[Evento / Mercado]],FIND("vs",base[[#This Row],[Evento / Mercado]])-2)</f>
        <v>Club Libertad Asunción</v>
      </c>
      <c r="R21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2 de Mayo</v>
      </c>
      <c r="S2121" s="132" t="str">
        <f>LEFT(base[[#This Row],[Evento / Mercado]],FIND("/",base[[#This Row],[Evento / Mercado]])-2)</f>
        <v>Club Libertad Asunción vs Club 2 de Mayo</v>
      </c>
    </row>
    <row r="2122" spans="2:22" ht="15" customHeight="1">
      <c r="B2122" s="128" t="s">
        <v>2066</v>
      </c>
      <c r="C2122" s="128" t="s">
        <v>2982</v>
      </c>
      <c r="D2122" s="129">
        <v>46156.947881944441</v>
      </c>
      <c r="E2122" s="130">
        <v>18.62</v>
      </c>
      <c r="F2122" s="136">
        <v>4.4999999999999998E-2</v>
      </c>
      <c r="G2122" s="126">
        <f t="shared" si="34"/>
        <v>19.497382198952881</v>
      </c>
      <c r="H2122" s="126" t="s">
        <v>1784</v>
      </c>
      <c r="I2122" s="127" t="s">
        <v>1448</v>
      </c>
      <c r="J2122" s="126">
        <v>1.39</v>
      </c>
      <c r="K2122" s="126">
        <v>50</v>
      </c>
      <c r="L2122" s="129">
        <f>INT(base[[#This Row],[Data de liquidação]])</f>
        <v>46156</v>
      </c>
      <c r="M2122" s="126">
        <f>base[[#This Row],[L/P Bruto]]-base[[#This Row],[L/P Líquido]]</f>
        <v>0.87738219895287983</v>
      </c>
      <c r="N2122" s="126">
        <f>base[[#This Row],[L/P Líquido]]/base[[#This Row],[Stake/Responsabilidade]]</f>
        <v>0.37240000000000001</v>
      </c>
      <c r="O2122" s="132">
        <f>IF(base[[#This Row],[L/P Líquido]]&gt;0,1,0)</f>
        <v>1</v>
      </c>
      <c r="P2122" s="132"/>
      <c r="Q2122" s="132" t="str">
        <f>LEFT(base[[#This Row],[Evento / Mercado]],FIND("vs",base[[#This Row],[Evento / Mercado]])-2)</f>
        <v>Pachuca</v>
      </c>
      <c r="R21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Pumas UNAM</v>
      </c>
      <c r="S2122" s="132" t="str">
        <f>LEFT(base[[#This Row],[Evento / Mercado]],FIND("/",base[[#This Row],[Evento / Mercado]])-2)</f>
        <v>Pachuca vs Pumas UNAM</v>
      </c>
      <c r="V2122" s="9"/>
    </row>
    <row r="2123" spans="2:22" ht="15" customHeight="1">
      <c r="B2123" s="128" t="s">
        <v>2107</v>
      </c>
      <c r="C2123" s="128" t="s">
        <v>2982</v>
      </c>
      <c r="D2123" s="129">
        <v>46157.005856481483</v>
      </c>
      <c r="E2123" s="130">
        <v>1.29</v>
      </c>
      <c r="F2123" s="136">
        <v>4.4999999999999998E-2</v>
      </c>
      <c r="G2123" s="126">
        <f t="shared" si="34"/>
        <v>1.3507853403141363</v>
      </c>
      <c r="H2123" s="126" t="s">
        <v>1339</v>
      </c>
      <c r="I2123" s="127" t="s">
        <v>1430</v>
      </c>
      <c r="J2123" s="126">
        <v>38</v>
      </c>
      <c r="K2123" s="126">
        <v>49.95</v>
      </c>
      <c r="L2123" s="129">
        <f>INT(base[[#This Row],[Data de liquidação]])</f>
        <v>46157</v>
      </c>
      <c r="M2123" s="126">
        <f>base[[#This Row],[L/P Bruto]]-base[[#This Row],[L/P Líquido]]</f>
        <v>6.0785340314136294E-2</v>
      </c>
      <c r="N2123" s="126">
        <f>base[[#This Row],[L/P Líquido]]/base[[#This Row],[Stake/Responsabilidade]]</f>
        <v>2.5825825825825825E-2</v>
      </c>
      <c r="O2123" s="132">
        <f>IF(base[[#This Row],[L/P Líquido]]&gt;0,1,0)</f>
        <v>1</v>
      </c>
      <c r="P2123" s="132"/>
      <c r="Q2123" s="132" t="str">
        <f>LEFT(base[[#This Row],[Evento / Mercado]],FIND("vs",base[[#This Row],[Evento / Mercado]])-2)</f>
        <v>Pachuca</v>
      </c>
      <c r="R21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Pumas UNAM</v>
      </c>
      <c r="S2123" s="132" t="str">
        <f>LEFT(base[[#This Row],[Evento / Mercado]],FIND("/",base[[#This Row],[Evento / Mercado]])-2)</f>
        <v>Pachuca vs Pumas UNAM</v>
      </c>
      <c r="V2123" s="9"/>
    </row>
    <row r="2124" spans="2:22" ht="15" customHeight="1">
      <c r="B2124" s="128" t="s">
        <v>2106</v>
      </c>
      <c r="C2124" s="128" t="s">
        <v>2982</v>
      </c>
      <c r="D2124" s="129">
        <v>46157.330601851849</v>
      </c>
      <c r="E2124" s="130">
        <v>7.7</v>
      </c>
      <c r="F2124" s="136">
        <v>4.4999999999999998E-2</v>
      </c>
      <c r="G2124" s="126">
        <f t="shared" si="34"/>
        <v>8.0628272251308903</v>
      </c>
      <c r="H2124" s="126" t="s">
        <v>1339</v>
      </c>
      <c r="I2124" s="127" t="s">
        <v>1446</v>
      </c>
      <c r="J2124" s="126">
        <v>2.2400000000000002</v>
      </c>
      <c r="K2124" s="126">
        <v>9.99</v>
      </c>
      <c r="L2124" s="129">
        <f>INT(base[[#This Row],[Data de liquidação]])</f>
        <v>46157</v>
      </c>
      <c r="M2124" s="126">
        <f>base[[#This Row],[L/P Bruto]]-base[[#This Row],[L/P Líquido]]</f>
        <v>0.36282722513089016</v>
      </c>
      <c r="N2124" s="126">
        <f>base[[#This Row],[L/P Líquido]]/base[[#This Row],[Stake/Responsabilidade]]</f>
        <v>0.77077077077077072</v>
      </c>
      <c r="O2124" s="132">
        <f>IF(base[[#This Row],[L/P Líquido]]&gt;0,1,0)</f>
        <v>1</v>
      </c>
      <c r="P2124" s="132"/>
      <c r="Q2124" s="132" t="str">
        <f>LEFT(base[[#This Row],[Evento / Mercado]],FIND("vs",base[[#This Row],[Evento / Mercado]])-2)</f>
        <v>Pulau Pinang</v>
      </c>
      <c r="R21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DPMM FC</v>
      </c>
      <c r="S2124" s="132" t="str">
        <f>LEFT(base[[#This Row],[Evento / Mercado]],FIND("/",base[[#This Row],[Evento / Mercado]])-2)</f>
        <v>Pulau Pinang vs DPMM FC</v>
      </c>
      <c r="V2124" s="9"/>
    </row>
    <row r="2125" spans="2:22" ht="15" customHeight="1">
      <c r="B2125" s="128" t="s">
        <v>2105</v>
      </c>
      <c r="C2125" s="128" t="s">
        <v>2982</v>
      </c>
      <c r="D2125" s="129">
        <v>46157.439942129633</v>
      </c>
      <c r="E2125" s="130">
        <v>3.41</v>
      </c>
      <c r="F2125" s="136">
        <v>4.4999999999999998E-2</v>
      </c>
      <c r="G2125" s="126">
        <f t="shared" si="34"/>
        <v>3.5706806282722514</v>
      </c>
      <c r="H2125" s="126" t="s">
        <v>1339</v>
      </c>
      <c r="I2125" s="127" t="s">
        <v>1388</v>
      </c>
      <c r="J2125" s="126">
        <v>15</v>
      </c>
      <c r="K2125" s="126">
        <v>49.98</v>
      </c>
      <c r="L2125" s="129">
        <f>INT(base[[#This Row],[Data de liquidação]])</f>
        <v>46157</v>
      </c>
      <c r="M2125" s="126">
        <f>base[[#This Row],[L/P Bruto]]-base[[#This Row],[L/P Líquido]]</f>
        <v>0.16068062827225127</v>
      </c>
      <c r="N2125" s="126">
        <f>base[[#This Row],[L/P Líquido]]/base[[#This Row],[Stake/Responsabilidade]]</f>
        <v>6.8227290916366548E-2</v>
      </c>
      <c r="O2125" s="132">
        <f>IF(base[[#This Row],[L/P Líquido]]&gt;0,1,0)</f>
        <v>1</v>
      </c>
      <c r="P2125" s="132"/>
      <c r="Q2125" s="132" t="str">
        <f>LEFT(base[[#This Row],[Evento / Mercado]],FIND("vs",base[[#This Row],[Evento / Mercado]])-2)</f>
        <v>Shanghai Port</v>
      </c>
      <c r="R21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2125" s="132" t="str">
        <f>LEFT(base[[#This Row],[Evento / Mercado]],FIND("/",base[[#This Row],[Evento / Mercado]])-2)</f>
        <v>Shanghai Port vs Zhejiang Professional</v>
      </c>
      <c r="V2125" s="9"/>
    </row>
    <row r="2126" spans="2:22" ht="15" customHeight="1">
      <c r="B2126" s="128" t="s">
        <v>2104</v>
      </c>
      <c r="C2126" s="128" t="s">
        <v>2982</v>
      </c>
      <c r="D2126" s="129">
        <v>46157.440092592595</v>
      </c>
      <c r="E2126" s="130">
        <v>16.46</v>
      </c>
      <c r="F2126" s="136">
        <v>4.4999999999999998E-2</v>
      </c>
      <c r="G2126" s="126">
        <f t="shared" si="34"/>
        <v>17.235602094240839</v>
      </c>
      <c r="H2126" s="126" t="s">
        <v>1784</v>
      </c>
      <c r="I2126" s="127" t="s">
        <v>1785</v>
      </c>
      <c r="J2126" s="126">
        <v>3.9</v>
      </c>
      <c r="K2126" s="126">
        <v>50</v>
      </c>
      <c r="L2126" s="129">
        <f>INT(base[[#This Row],[Data de liquidação]])</f>
        <v>46157</v>
      </c>
      <c r="M2126" s="126">
        <f>base[[#This Row],[L/P Bruto]]-base[[#This Row],[L/P Líquido]]</f>
        <v>0.77560209424083837</v>
      </c>
      <c r="N2126" s="126">
        <f>base[[#This Row],[L/P Líquido]]/base[[#This Row],[Stake/Responsabilidade]]</f>
        <v>0.32919999999999999</v>
      </c>
      <c r="O2126" s="132">
        <f>IF(base[[#This Row],[L/P Líquido]]&gt;0,1,0)</f>
        <v>1</v>
      </c>
      <c r="P2126" s="132"/>
      <c r="Q2126" s="132" t="str">
        <f>LEFT(base[[#This Row],[Evento / Mercado]],FIND("vs",base[[#This Row],[Evento / Mercado]])-2)</f>
        <v>Shanghai Port</v>
      </c>
      <c r="R21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2126" s="132" t="str">
        <f>LEFT(base[[#This Row],[Evento / Mercado]],FIND("/",base[[#This Row],[Evento / Mercado]])-2)</f>
        <v>Shanghai Port vs Zhejiang Professional</v>
      </c>
      <c r="V2126" s="9"/>
    </row>
    <row r="2127" spans="2:22" ht="15" customHeight="1">
      <c r="B2127" s="128" t="s">
        <v>2103</v>
      </c>
      <c r="C2127" s="128" t="s">
        <v>2982</v>
      </c>
      <c r="D2127" s="129">
        <v>46157.50172453704</v>
      </c>
      <c r="E2127" s="130">
        <v>3.82</v>
      </c>
      <c r="F2127" s="136">
        <v>4.4999999999999998E-2</v>
      </c>
      <c r="G2127" s="126">
        <f t="shared" si="34"/>
        <v>4</v>
      </c>
      <c r="H2127" s="126" t="s">
        <v>1339</v>
      </c>
      <c r="I2127" s="127" t="s">
        <v>1236</v>
      </c>
      <c r="J2127" s="126">
        <v>9.33</v>
      </c>
      <c r="K2127" s="126">
        <v>4</v>
      </c>
      <c r="L2127" s="129">
        <f>INT(base[[#This Row],[Data de liquidação]])</f>
        <v>46157</v>
      </c>
      <c r="M2127" s="126">
        <f>base[[#This Row],[L/P Bruto]]-base[[#This Row],[L/P Líquido]]</f>
        <v>0.18000000000000016</v>
      </c>
      <c r="N2127" s="126">
        <f>base[[#This Row],[L/P Líquido]]/base[[#This Row],[Stake/Responsabilidade]]</f>
        <v>0.95499999999999996</v>
      </c>
      <c r="O2127" s="132">
        <f>IF(base[[#This Row],[L/P Líquido]]&gt;0,1,0)</f>
        <v>1</v>
      </c>
      <c r="P2127" s="132"/>
      <c r="Q2127" s="132" t="str">
        <f>LEFT(base[[#This Row],[Evento / Mercado]],FIND("vs",base[[#This Row],[Evento / Mercado]])-2)</f>
        <v>Al-Sharjah</v>
      </c>
      <c r="R21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Khor Fakkan</v>
      </c>
      <c r="S2127" s="132" t="str">
        <f>LEFT(base[[#This Row],[Evento / Mercado]],FIND("/",base[[#This Row],[Evento / Mercado]])-2)</f>
        <v>Al-Sharjah vs Khor Fakkan</v>
      </c>
      <c r="V2127" s="9"/>
    </row>
    <row r="2128" spans="2:22" ht="15" customHeight="1">
      <c r="B2128" s="128" t="s">
        <v>2102</v>
      </c>
      <c r="C2128" s="128" t="s">
        <v>2982</v>
      </c>
      <c r="D2128" s="129">
        <v>46157.563831018517</v>
      </c>
      <c r="E2128" s="130">
        <v>21.97</v>
      </c>
      <c r="F2128" s="136">
        <v>4.4999999999999998E-2</v>
      </c>
      <c r="G2128" s="126">
        <f t="shared" si="34"/>
        <v>23.005235602094242</v>
      </c>
      <c r="H2128" s="126" t="s">
        <v>1784</v>
      </c>
      <c r="I2128" s="127" t="s">
        <v>1448</v>
      </c>
      <c r="J2128" s="126">
        <v>1.46</v>
      </c>
      <c r="K2128" s="126">
        <v>50</v>
      </c>
      <c r="L2128" s="129">
        <f>INT(base[[#This Row],[Data de liquidação]])</f>
        <v>46157</v>
      </c>
      <c r="M2128" s="126">
        <f>base[[#This Row],[L/P Bruto]]-base[[#This Row],[L/P Líquido]]</f>
        <v>1.035235602094243</v>
      </c>
      <c r="N2128" s="126">
        <f>base[[#This Row],[L/P Líquido]]/base[[#This Row],[Stake/Responsabilidade]]</f>
        <v>0.43939999999999996</v>
      </c>
      <c r="O2128" s="132">
        <f>IF(base[[#This Row],[L/P Líquido]]&gt;0,1,0)</f>
        <v>1</v>
      </c>
      <c r="P2128" s="132"/>
      <c r="Q2128" s="132" t="str">
        <f>LEFT(base[[#This Row],[Evento / Mercado]],FIND("vs",base[[#This Row],[Evento / Mercado]])-2)</f>
        <v>Dhamk</v>
      </c>
      <c r="R21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Al-Fayha FC</v>
      </c>
      <c r="S2128" s="132" t="str">
        <f>LEFT(base[[#This Row],[Evento / Mercado]],FIND("/",base[[#This Row],[Evento / Mercado]])-2)</f>
        <v>Dhamk vs Al-Fayha FC</v>
      </c>
      <c r="V2128" s="9"/>
    </row>
    <row r="2129" spans="2:22" ht="15" customHeight="1">
      <c r="B2129" s="128" t="s">
        <v>2101</v>
      </c>
      <c r="C2129" s="128" t="s">
        <v>2982</v>
      </c>
      <c r="D2129" s="129">
        <v>46157.657604166663</v>
      </c>
      <c r="E2129" s="130">
        <v>-50</v>
      </c>
      <c r="F2129" s="136">
        <v>4.4999999999999998E-2</v>
      </c>
      <c r="G2129" s="126">
        <f t="shared" si="34"/>
        <v>-50</v>
      </c>
      <c r="H2129" s="126" t="s">
        <v>1784</v>
      </c>
      <c r="I2129" s="127" t="s">
        <v>1448</v>
      </c>
      <c r="J2129" s="126">
        <v>1.31</v>
      </c>
      <c r="K2129" s="126">
        <v>50</v>
      </c>
      <c r="L2129" s="129">
        <f>INT(base[[#This Row],[Data de liquidação]])</f>
        <v>46157</v>
      </c>
      <c r="M2129" s="126">
        <f>base[[#This Row],[L/P Bruto]]-base[[#This Row],[L/P Líquido]]</f>
        <v>0</v>
      </c>
      <c r="N2129" s="126">
        <f>base[[#This Row],[L/P Líquido]]/base[[#This Row],[Stake/Responsabilidade]]</f>
        <v>-1</v>
      </c>
      <c r="O2129" s="132">
        <f>IF(base[[#This Row],[L/P Líquido]]&gt;0,1,0)</f>
        <v>0</v>
      </c>
      <c r="P2129" s="132"/>
      <c r="Q2129" s="132" t="str">
        <f>LEFT(base[[#This Row],[Evento / Mercado]],FIND("vs",base[[#This Row],[Evento / Mercado]])-2)</f>
        <v>Al-Taawoun Buraidah</v>
      </c>
      <c r="R21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Al-Riyadh</v>
      </c>
      <c r="S2129" s="132" t="str">
        <f>LEFT(base[[#This Row],[Evento / Mercado]],FIND("/",base[[#This Row],[Evento / Mercado]])-2)</f>
        <v>Al-Taawoun Buraidah vs Al-Riyadh</v>
      </c>
      <c r="V2129" s="9"/>
    </row>
    <row r="2130" spans="2:22" ht="15" customHeight="1">
      <c r="B2130" s="128" t="s">
        <v>2100</v>
      </c>
      <c r="C2130" s="128" t="s">
        <v>2982</v>
      </c>
      <c r="D2130" s="129">
        <v>46157.667858796296</v>
      </c>
      <c r="E2130" s="130">
        <v>9.19</v>
      </c>
      <c r="F2130" s="136">
        <v>4.4999999999999998E-2</v>
      </c>
      <c r="G2130" s="126">
        <f t="shared" si="34"/>
        <v>9.6230366492146597</v>
      </c>
      <c r="H2130" s="126" t="s">
        <v>1784</v>
      </c>
      <c r="I2130" s="127" t="s">
        <v>1785</v>
      </c>
      <c r="J2130" s="126">
        <v>6.2</v>
      </c>
      <c r="K2130" s="126">
        <v>50</v>
      </c>
      <c r="L2130" s="129">
        <f>INT(base[[#This Row],[Data de liquidação]])</f>
        <v>46157</v>
      </c>
      <c r="M2130" s="126">
        <f>base[[#This Row],[L/P Bruto]]-base[[#This Row],[L/P Líquido]]</f>
        <v>0.43303664921466023</v>
      </c>
      <c r="N2130" s="126">
        <f>base[[#This Row],[L/P Líquido]]/base[[#This Row],[Stake/Responsabilidade]]</f>
        <v>0.18379999999999999</v>
      </c>
      <c r="O2130" s="132">
        <f>IF(base[[#This Row],[L/P Líquido]]&gt;0,1,0)</f>
        <v>1</v>
      </c>
      <c r="P2130" s="132"/>
      <c r="Q2130" s="132" t="str">
        <f>LEFT(base[[#This Row],[Evento / Mercado]],FIND("vs",base[[#This Row],[Evento / Mercado]])-2)</f>
        <v>Çorum Belediyespor</v>
      </c>
      <c r="R21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Bodrum Belediyesi Bodrumspor</v>
      </c>
      <c r="S2130" s="132" t="str">
        <f>LEFT(base[[#This Row],[Evento / Mercado]],FIND("/",base[[#This Row],[Evento / Mercado]])-2)</f>
        <v>Çorum Belediyespor vs Bodrum Belediyesi Bodrumspor</v>
      </c>
      <c r="V2130" s="9"/>
    </row>
    <row r="2131" spans="2:22" ht="15" customHeight="1">
      <c r="B2131" s="128" t="s">
        <v>2099</v>
      </c>
      <c r="C2131" s="128" t="s">
        <v>2982</v>
      </c>
      <c r="D2131" s="129">
        <v>46157.682129629633</v>
      </c>
      <c r="E2131" s="130">
        <v>-2</v>
      </c>
      <c r="F2131" s="136">
        <v>4.4999999999999998E-2</v>
      </c>
      <c r="G2131" s="126">
        <f t="shared" si="34"/>
        <v>-2</v>
      </c>
      <c r="H2131" s="126" t="s">
        <v>1339</v>
      </c>
      <c r="I2131" s="127" t="s">
        <v>1448</v>
      </c>
      <c r="J2131" s="126">
        <v>1.64</v>
      </c>
      <c r="K2131" s="126">
        <v>2</v>
      </c>
      <c r="L2131" s="129">
        <f>INT(base[[#This Row],[Data de liquidação]])</f>
        <v>46157</v>
      </c>
      <c r="M2131" s="126">
        <f>base[[#This Row],[L/P Bruto]]-base[[#This Row],[L/P Líquido]]</f>
        <v>0</v>
      </c>
      <c r="N2131" s="126">
        <f>base[[#This Row],[L/P Líquido]]/base[[#This Row],[Stake/Responsabilidade]]</f>
        <v>-1</v>
      </c>
      <c r="O2131" s="132">
        <f>IF(base[[#This Row],[L/P Líquido]]&gt;0,1,0)</f>
        <v>0</v>
      </c>
      <c r="P2131" s="132"/>
      <c r="Q2131" s="132" t="str">
        <f>LEFT(base[[#This Row],[Evento / Mercado]],FIND("vs",base[[#This Row],[Evento / Mercado]])-2)</f>
        <v>CD Castellon</v>
      </c>
      <c r="R21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Cádiz</v>
      </c>
      <c r="S2131" s="132" t="str">
        <f>LEFT(base[[#This Row],[Evento / Mercado]],FIND("/",base[[#This Row],[Evento / Mercado]])-2)</f>
        <v>CD Castellon vs Cádiz</v>
      </c>
      <c r="V2131" s="9"/>
    </row>
    <row r="2132" spans="2:22" ht="15" customHeight="1">
      <c r="B2132" s="128" t="s">
        <v>2098</v>
      </c>
      <c r="C2132" s="128" t="s">
        <v>2982</v>
      </c>
      <c r="D2132" s="129">
        <v>46157.689282407409</v>
      </c>
      <c r="E2132" s="130">
        <v>-50</v>
      </c>
      <c r="F2132" s="136">
        <v>4.4999999999999998E-2</v>
      </c>
      <c r="G2132" s="126">
        <f t="shared" si="34"/>
        <v>-50</v>
      </c>
      <c r="H2132" s="126" t="s">
        <v>1784</v>
      </c>
      <c r="I2132" s="127" t="s">
        <v>1448</v>
      </c>
      <c r="J2132" s="126">
        <v>1.48</v>
      </c>
      <c r="K2132" s="126">
        <v>50</v>
      </c>
      <c r="L2132" s="129">
        <f>INT(base[[#This Row],[Data de liquidação]])</f>
        <v>46157</v>
      </c>
      <c r="M2132" s="126">
        <f>base[[#This Row],[L/P Bruto]]-base[[#This Row],[L/P Líquido]]</f>
        <v>0</v>
      </c>
      <c r="N2132" s="126">
        <f>base[[#This Row],[L/P Líquido]]/base[[#This Row],[Stake/Responsabilidade]]</f>
        <v>-1</v>
      </c>
      <c r="O2132" s="132">
        <f>IF(base[[#This Row],[L/P Líquido]]&gt;0,1,0)</f>
        <v>0</v>
      </c>
      <c r="P2132" s="132"/>
      <c r="Q2132" s="132" t="str">
        <f>LEFT(base[[#This Row],[Evento / Mercado]],FIND("vs",base[[#This Row],[Evento / Mercado]])-2)</f>
        <v>St. Patrick's Athletic</v>
      </c>
      <c r="R21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Shelbourne FC</v>
      </c>
      <c r="S2132" s="132" t="str">
        <f>LEFT(base[[#This Row],[Evento / Mercado]],FIND("/",base[[#This Row],[Evento / Mercado]])-2)</f>
        <v>St. Patrick's Athletic vs Shelbourne FC</v>
      </c>
      <c r="V2132" s="9"/>
    </row>
    <row r="2133" spans="2:22" ht="15" customHeight="1">
      <c r="B2133" s="128" t="s">
        <v>2097</v>
      </c>
      <c r="C2133" s="128" t="s">
        <v>2982</v>
      </c>
      <c r="D2133" s="129">
        <v>46157.69085648148</v>
      </c>
      <c r="E2133" s="130">
        <v>-50</v>
      </c>
      <c r="F2133" s="136">
        <v>4.4999999999999998E-2</v>
      </c>
      <c r="G2133" s="126">
        <f t="shared" si="34"/>
        <v>-50</v>
      </c>
      <c r="H2133" s="126" t="s">
        <v>1784</v>
      </c>
      <c r="I2133" s="127" t="s">
        <v>1448</v>
      </c>
      <c r="J2133" s="126">
        <v>1.4</v>
      </c>
      <c r="K2133" s="126">
        <v>50</v>
      </c>
      <c r="L2133" s="129">
        <f>INT(base[[#This Row],[Data de liquidação]])</f>
        <v>46157</v>
      </c>
      <c r="M2133" s="126">
        <f>base[[#This Row],[L/P Bruto]]-base[[#This Row],[L/P Líquido]]</f>
        <v>0</v>
      </c>
      <c r="N2133" s="126">
        <f>base[[#This Row],[L/P Líquido]]/base[[#This Row],[Stake/Responsabilidade]]</f>
        <v>-1</v>
      </c>
      <c r="O2133" s="132">
        <f>IF(base[[#This Row],[L/P Líquido]]&gt;0,1,0)</f>
        <v>0</v>
      </c>
      <c r="P2133" s="132"/>
      <c r="Q2133" s="132" t="str">
        <f>LEFT(base[[#This Row],[Evento / Mercado]],FIND("vs",base[[#This Row],[Evento / Mercado]])-2)</f>
        <v>Bohemian FC</v>
      </c>
      <c r="R21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2133" s="132" t="str">
        <f>LEFT(base[[#This Row],[Evento / Mercado]],FIND("/",base[[#This Row],[Evento / Mercado]])-2)</f>
        <v>Bohemian FC vs Drogheda United</v>
      </c>
      <c r="V2133" s="9"/>
    </row>
    <row r="2134" spans="2:22" ht="15" customHeight="1">
      <c r="B2134" s="128" t="s">
        <v>2096</v>
      </c>
      <c r="C2134" s="128" t="s">
        <v>2982</v>
      </c>
      <c r="D2134" s="129">
        <v>46157.702835648146</v>
      </c>
      <c r="E2134" s="130">
        <v>3.18</v>
      </c>
      <c r="F2134" s="136">
        <v>4.4999999999999998E-2</v>
      </c>
      <c r="G2134" s="126">
        <f t="shared" si="34"/>
        <v>3.329842931937173</v>
      </c>
      <c r="H2134" s="126" t="s">
        <v>1339</v>
      </c>
      <c r="I2134" s="127" t="s">
        <v>1388</v>
      </c>
      <c r="J2134" s="126">
        <v>16</v>
      </c>
      <c r="K2134" s="126">
        <v>49.95</v>
      </c>
      <c r="L2134" s="129">
        <f>INT(base[[#This Row],[Data de liquidação]])</f>
        <v>46157</v>
      </c>
      <c r="M2134" s="126">
        <f>base[[#This Row],[L/P Bruto]]-base[[#This Row],[L/P Líquido]]</f>
        <v>0.1498429319371728</v>
      </c>
      <c r="N2134" s="126">
        <f>base[[#This Row],[L/P Líquido]]/base[[#This Row],[Stake/Responsabilidade]]</f>
        <v>6.3663663663663661E-2</v>
      </c>
      <c r="O2134" s="132">
        <f>IF(base[[#This Row],[L/P Líquido]]&gt;0,1,0)</f>
        <v>1</v>
      </c>
      <c r="P2134" s="132"/>
      <c r="Q2134" s="132" t="str">
        <f>LEFT(base[[#This Row],[Evento / Mercado]],FIND("vs",base[[#This Row],[Evento / Mercado]])-2)</f>
        <v>Puskas Akademia FC</v>
      </c>
      <c r="R21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MTK Budapest</v>
      </c>
      <c r="S2134" s="132" t="str">
        <f>LEFT(base[[#This Row],[Evento / Mercado]],FIND("/",base[[#This Row],[Evento / Mercado]])-2)</f>
        <v>Puskas Akademia FC vs MTK Budapest</v>
      </c>
      <c r="V2134" s="9"/>
    </row>
    <row r="2135" spans="2:22" ht="15" customHeight="1">
      <c r="B2135" s="128" t="s">
        <v>2095</v>
      </c>
      <c r="C2135" s="128" t="s">
        <v>2982</v>
      </c>
      <c r="D2135" s="129">
        <v>46157.708703703705</v>
      </c>
      <c r="E2135" s="130">
        <v>1.94</v>
      </c>
      <c r="F2135" s="136">
        <v>4.4999999999999998E-2</v>
      </c>
      <c r="G2135" s="126">
        <f t="shared" si="34"/>
        <v>2.0314136125654452</v>
      </c>
      <c r="H2135" s="126" t="s">
        <v>1339</v>
      </c>
      <c r="I2135" s="127" t="s">
        <v>1336</v>
      </c>
      <c r="J2135" s="126">
        <v>1.48</v>
      </c>
      <c r="K2135" s="126">
        <v>10</v>
      </c>
      <c r="L2135" s="129">
        <f>INT(base[[#This Row],[Data de liquidação]])</f>
        <v>46157</v>
      </c>
      <c r="M2135" s="126">
        <f>base[[#This Row],[L/P Bruto]]-base[[#This Row],[L/P Líquido]]</f>
        <v>9.1413612565445224E-2</v>
      </c>
      <c r="N2135" s="126">
        <f>base[[#This Row],[L/P Líquido]]/base[[#This Row],[Stake/Responsabilidade]]</f>
        <v>0.19400000000000001</v>
      </c>
      <c r="O2135" s="132">
        <f>IF(base[[#This Row],[L/P Líquido]]&gt;0,1,0)</f>
        <v>1</v>
      </c>
      <c r="P2135" s="132"/>
      <c r="Q2135" s="132" t="str">
        <f>LEFT(base[[#This Row],[Evento / Mercado]],FIND("vs",base[[#This Row],[Evento / Mercado]])-2)</f>
        <v>Etoile-Carouge FC</v>
      </c>
      <c r="R21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Bellinzona</v>
      </c>
      <c r="S2135" s="132" t="str">
        <f>LEFT(base[[#This Row],[Evento / Mercado]],FIND("/",base[[#This Row],[Evento / Mercado]])-2)</f>
        <v>Etoile-Carouge FC vs AC Bellinzona</v>
      </c>
      <c r="V2135" s="9"/>
    </row>
    <row r="2136" spans="2:22" ht="15" customHeight="1">
      <c r="B2136" s="128" t="s">
        <v>2094</v>
      </c>
      <c r="C2136" s="128" t="s">
        <v>2982</v>
      </c>
      <c r="D2136" s="129">
        <v>46157.710706018515</v>
      </c>
      <c r="E2136" s="130">
        <v>47.27</v>
      </c>
      <c r="F2136" s="136">
        <v>4.4999999999999998E-2</v>
      </c>
      <c r="G2136" s="126">
        <f t="shared" si="34"/>
        <v>49.497382198952884</v>
      </c>
      <c r="H2136" s="126" t="s">
        <v>1784</v>
      </c>
      <c r="I2136" s="127" t="s">
        <v>1787</v>
      </c>
      <c r="J2136" s="126">
        <v>1.99</v>
      </c>
      <c r="K2136" s="126">
        <v>50</v>
      </c>
      <c r="L2136" s="129">
        <f>INT(base[[#This Row],[Data de liquidação]])</f>
        <v>46157</v>
      </c>
      <c r="M2136" s="126">
        <f>base[[#This Row],[L/P Bruto]]-base[[#This Row],[L/P Líquido]]</f>
        <v>2.2273821989528813</v>
      </c>
      <c r="N2136" s="126">
        <f>base[[#This Row],[L/P Líquido]]/base[[#This Row],[Stake/Responsabilidade]]</f>
        <v>0.94540000000000002</v>
      </c>
      <c r="O2136" s="132">
        <f>IF(base[[#This Row],[L/P Líquido]]&gt;0,1,0)</f>
        <v>1</v>
      </c>
      <c r="P2136" s="132"/>
      <c r="Q2136" s="132" t="str">
        <f>LEFT(base[[#This Row],[Evento / Mercado]],FIND("vs",base[[#This Row],[Evento / Mercado]])-2)</f>
        <v>FC Rapperswil Jona</v>
      </c>
      <c r="R21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Nyonnais</v>
      </c>
      <c r="S2136" s="132" t="str">
        <f>LEFT(base[[#This Row],[Evento / Mercado]],FIND("/",base[[#This Row],[Evento / Mercado]])-2)</f>
        <v>FC Rapperswil Jona vs Stade Nyonnais</v>
      </c>
      <c r="V2136" s="9"/>
    </row>
    <row r="2137" spans="2:22" ht="15" customHeight="1">
      <c r="B2137" s="128" t="s">
        <v>2093</v>
      </c>
      <c r="C2137" s="128" t="s">
        <v>2982</v>
      </c>
      <c r="D2137" s="129">
        <v>46157.711111111108</v>
      </c>
      <c r="E2137" s="130">
        <v>6.72</v>
      </c>
      <c r="F2137" s="136">
        <v>4.4999999999999998E-2</v>
      </c>
      <c r="G2137" s="126">
        <f t="shared" si="34"/>
        <v>7.0366492146596862</v>
      </c>
      <c r="H2137" s="126" t="s">
        <v>1339</v>
      </c>
      <c r="I2137" s="127" t="s">
        <v>1446</v>
      </c>
      <c r="J2137" s="126">
        <v>2.38</v>
      </c>
      <c r="K2137" s="126">
        <v>9.7200000000000006</v>
      </c>
      <c r="L2137" s="129">
        <f>INT(base[[#This Row],[Data de liquidação]])</f>
        <v>46157</v>
      </c>
      <c r="M2137" s="126">
        <f>base[[#This Row],[L/P Bruto]]-base[[#This Row],[L/P Líquido]]</f>
        <v>0.31664921465968643</v>
      </c>
      <c r="N2137" s="126">
        <f>base[[#This Row],[L/P Líquido]]/base[[#This Row],[Stake/Responsabilidade]]</f>
        <v>0.69135802469135799</v>
      </c>
      <c r="O2137" s="132">
        <f>IF(base[[#This Row],[L/P Líquido]]&gt;0,1,0)</f>
        <v>1</v>
      </c>
      <c r="P2137" s="132"/>
      <c r="Q2137" s="132" t="str">
        <f>LEFT(base[[#This Row],[Evento / Mercado]],FIND("vs",base[[#This Row],[Evento / Mercado]])-2)</f>
        <v>Etoile-Carouge FC</v>
      </c>
      <c r="R21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Bellinzona</v>
      </c>
      <c r="S2137" s="132" t="str">
        <f>LEFT(base[[#This Row],[Evento / Mercado]],FIND("/",base[[#This Row],[Evento / Mercado]])-2)</f>
        <v>Etoile-Carouge FC vs AC Bellinzona</v>
      </c>
      <c r="V2137" s="9"/>
    </row>
    <row r="2138" spans="2:22" ht="15" customHeight="1">
      <c r="B2138" s="128" t="s">
        <v>2092</v>
      </c>
      <c r="C2138" s="128" t="s">
        <v>2982</v>
      </c>
      <c r="D2138" s="129">
        <v>46157.731562499997</v>
      </c>
      <c r="E2138" s="130">
        <v>31.553199999999997</v>
      </c>
      <c r="F2138" s="136">
        <v>4.4999999999999998E-2</v>
      </c>
      <c r="G2138" s="126">
        <f t="shared" si="34"/>
        <v>33.04</v>
      </c>
      <c r="H2138" s="126" t="s">
        <v>145</v>
      </c>
      <c r="I2138" s="127" t="s">
        <v>301</v>
      </c>
      <c r="J2138" s="126">
        <v>12.5</v>
      </c>
      <c r="K2138" s="126">
        <v>379.96</v>
      </c>
      <c r="L2138" s="129">
        <f>INT(base[[#This Row],[Data de liquidação]])</f>
        <v>46157</v>
      </c>
      <c r="M2138" s="126">
        <f>base[[#This Row],[L/P Bruto]]-base[[#This Row],[L/P Líquido]]</f>
        <v>1.4868000000000023</v>
      </c>
      <c r="N2138" s="126">
        <f>base[[#This Row],[L/P Líquido]]/base[[#This Row],[Stake/Responsabilidade]]</f>
        <v>8.3043478260869566E-2</v>
      </c>
      <c r="O2138" s="132">
        <f>IF(base[[#This Row],[L/P Líquido]]&gt;0,1,0)</f>
        <v>1</v>
      </c>
      <c r="P2138" s="132" t="s">
        <v>977</v>
      </c>
      <c r="Q2138" s="132" t="str">
        <f>LEFT(base[[#This Row],[Evento / Mercado]],FIND("vs",base[[#This Row],[Evento / Mercado]])-2)</f>
        <v>CD Castellon</v>
      </c>
      <c r="R21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Cádiz</v>
      </c>
      <c r="S2138" s="132" t="str">
        <f>LEFT(base[[#This Row],[Evento / Mercado]],FIND("/",base[[#This Row],[Evento / Mercado]])-2)</f>
        <v>CD Castellon vs Cádiz</v>
      </c>
      <c r="T2138" s="8">
        <v>33.04</v>
      </c>
      <c r="U2138" s="9">
        <f>T2138*0.955</f>
        <v>31.553199999999997</v>
      </c>
      <c r="V2138" s="9"/>
    </row>
    <row r="2139" spans="2:22" ht="15" customHeight="1">
      <c r="B2139" s="128" t="s">
        <v>2092</v>
      </c>
      <c r="C2139" s="128" t="s">
        <v>2982</v>
      </c>
      <c r="D2139" s="129">
        <v>46157.731562499997</v>
      </c>
      <c r="E2139" s="130">
        <v>1.91</v>
      </c>
      <c r="F2139" s="136">
        <v>4.4999999999999998E-2</v>
      </c>
      <c r="G2139" s="126">
        <f t="shared" si="34"/>
        <v>2</v>
      </c>
      <c r="H2139" s="126" t="s">
        <v>1339</v>
      </c>
      <c r="I2139" s="127" t="s">
        <v>1390</v>
      </c>
      <c r="J2139" s="126">
        <v>16.36</v>
      </c>
      <c r="K2139" s="126">
        <v>30.71</v>
      </c>
      <c r="L2139" s="129">
        <f>INT(base[[#This Row],[Data de liquidação]])</f>
        <v>46157</v>
      </c>
      <c r="M2139" s="126">
        <f>base[[#This Row],[L/P Bruto]]-base[[#This Row],[L/P Líquido]]</f>
        <v>9.000000000000008E-2</v>
      </c>
      <c r="N2139" s="126">
        <f>base[[#This Row],[L/P Líquido]]/base[[#This Row],[Stake/Responsabilidade]]</f>
        <v>6.2194724845327252E-2</v>
      </c>
      <c r="O2139" s="132">
        <f>IF(base[[#This Row],[L/P Líquido]]&gt;0,1,0)</f>
        <v>1</v>
      </c>
      <c r="P2139" s="132"/>
      <c r="Q2139" s="132" t="str">
        <f>LEFT(base[[#This Row],[Evento / Mercado]],FIND("vs",base[[#This Row],[Evento / Mercado]])-2)</f>
        <v>CD Castellon</v>
      </c>
      <c r="R21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Cádiz</v>
      </c>
      <c r="S2139" s="132" t="str">
        <f>LEFT(base[[#This Row],[Evento / Mercado]],FIND("/",base[[#This Row],[Evento / Mercado]])-2)</f>
        <v>CD Castellon vs Cádiz</v>
      </c>
      <c r="T2139" s="8">
        <v>2</v>
      </c>
      <c r="U2139" s="9">
        <f>T2139*0.955</f>
        <v>1.91</v>
      </c>
      <c r="V2139" s="9"/>
    </row>
    <row r="2140" spans="2:22" ht="15" customHeight="1">
      <c r="B2140" s="128" t="s">
        <v>2091</v>
      </c>
      <c r="C2140" s="128" t="s">
        <v>2982</v>
      </c>
      <c r="D2140" s="129">
        <v>46157.748379629629</v>
      </c>
      <c r="E2140" s="130">
        <v>0.32</v>
      </c>
      <c r="F2140" s="136">
        <v>4.4999999999999998E-2</v>
      </c>
      <c r="G2140" s="126">
        <f t="shared" si="34"/>
        <v>0.33507853403141363</v>
      </c>
      <c r="H2140" s="126" t="s">
        <v>1339</v>
      </c>
      <c r="I2140" s="127" t="s">
        <v>1391</v>
      </c>
      <c r="J2140" s="126">
        <v>3.45</v>
      </c>
      <c r="K2140" s="126">
        <v>19.989999999999998</v>
      </c>
      <c r="L2140" s="129">
        <f>INT(base[[#This Row],[Data de liquidação]])</f>
        <v>46157</v>
      </c>
      <c r="M2140" s="126">
        <f>base[[#This Row],[L/P Bruto]]-base[[#This Row],[L/P Líquido]]</f>
        <v>1.5078534031413626E-2</v>
      </c>
      <c r="N2140" s="126">
        <f>base[[#This Row],[L/P Líquido]]/base[[#This Row],[Stake/Responsabilidade]]</f>
        <v>1.6008004002001003E-2</v>
      </c>
      <c r="O2140" s="132">
        <f>IF(base[[#This Row],[L/P Líquido]]&gt;0,1,0)</f>
        <v>1</v>
      </c>
      <c r="P2140" s="132"/>
      <c r="Q2140" s="132" t="str">
        <f>LEFT(base[[#This Row],[Evento / Mercado]],FIND("vs",base[[#This Row],[Evento / Mercado]])-2)</f>
        <v>Aston Villa</v>
      </c>
      <c r="R21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2140" s="132" t="str">
        <f>LEFT(base[[#This Row],[Evento / Mercado]],FIND("/",base[[#This Row],[Evento / Mercado]])-2)</f>
        <v>Aston Villa vs Liverpool</v>
      </c>
      <c r="V2140" s="9"/>
    </row>
    <row r="2141" spans="2:22" ht="15" customHeight="1">
      <c r="B2141" s="128" t="s">
        <v>2090</v>
      </c>
      <c r="C2141" s="128" t="s">
        <v>2982</v>
      </c>
      <c r="D2141" s="129">
        <v>46157.750231481485</v>
      </c>
      <c r="E2141" s="130">
        <v>-115</v>
      </c>
      <c r="F2141" s="136">
        <v>4.4999999999999998E-2</v>
      </c>
      <c r="G2141" s="126">
        <f t="shared" si="34"/>
        <v>-115</v>
      </c>
      <c r="H2141" s="126" t="s">
        <v>231</v>
      </c>
      <c r="I2141" s="127" t="s">
        <v>266</v>
      </c>
      <c r="J2141" s="126">
        <v>1.89</v>
      </c>
      <c r="K2141" s="126">
        <v>115</v>
      </c>
      <c r="L2141" s="129">
        <f>INT(base[[#This Row],[Data de liquidação]])</f>
        <v>46157</v>
      </c>
      <c r="M2141" s="126">
        <f>base[[#This Row],[L/P Bruto]]-base[[#This Row],[L/P Líquido]]</f>
        <v>0</v>
      </c>
      <c r="N2141" s="126">
        <f>base[[#This Row],[L/P Líquido]]/base[[#This Row],[Stake/Responsabilidade]]</f>
        <v>-1</v>
      </c>
      <c r="O2141" s="132">
        <f>IF(base[[#This Row],[L/P Líquido]]&gt;0,1,0)</f>
        <v>0</v>
      </c>
      <c r="P2141" s="132"/>
      <c r="Q2141" s="132" t="str">
        <f>LEFT(base[[#This Row],[Evento / Mercado]],FIND("vs",base[[#This Row],[Evento / Mercado]])-2)</f>
        <v>Notts County</v>
      </c>
      <c r="R21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Chesterfield</v>
      </c>
      <c r="S2141" s="132" t="str">
        <f>LEFT(base[[#This Row],[Evento / Mercado]],FIND("/",base[[#This Row],[Evento / Mercado]])-2)</f>
        <v>Notts County vs Chesterfield</v>
      </c>
      <c r="V2141" s="9"/>
    </row>
    <row r="2142" spans="2:22" ht="15" customHeight="1">
      <c r="B2142" s="128" t="s">
        <v>2089</v>
      </c>
      <c r="C2142" s="128" t="s">
        <v>2982</v>
      </c>
      <c r="D2142" s="129">
        <v>46157.898321759261</v>
      </c>
      <c r="E2142" s="130">
        <v>22.92</v>
      </c>
      <c r="F2142" s="136">
        <v>4.4999999999999998E-2</v>
      </c>
      <c r="G2142" s="126">
        <f t="shared" si="34"/>
        <v>24.000000000000004</v>
      </c>
      <c r="H2142" s="126" t="s">
        <v>1784</v>
      </c>
      <c r="I2142" s="127" t="s">
        <v>1448</v>
      </c>
      <c r="J2142" s="126">
        <v>1.48</v>
      </c>
      <c r="K2142" s="126">
        <v>50</v>
      </c>
      <c r="L2142" s="129">
        <f>INT(base[[#This Row],[Data de liquidação]])</f>
        <v>46157</v>
      </c>
      <c r="M2142" s="126">
        <f>base[[#This Row],[L/P Bruto]]-base[[#This Row],[L/P Líquido]]</f>
        <v>1.0800000000000018</v>
      </c>
      <c r="N2142" s="126">
        <f>base[[#This Row],[L/P Líquido]]/base[[#This Row],[Stake/Responsabilidade]]</f>
        <v>0.45840000000000003</v>
      </c>
      <c r="O2142" s="132">
        <f>IF(base[[#This Row],[L/P Líquido]]&gt;0,1,0)</f>
        <v>1</v>
      </c>
      <c r="P2142" s="132"/>
      <c r="Q2142" s="132" t="str">
        <f>LEFT(base[[#This Row],[Evento / Mercado]],FIND("vs",base[[#This Row],[Evento / Mercado]])-2)</f>
        <v>Coquimbo Unido</v>
      </c>
      <c r="R21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Audax Italiano</v>
      </c>
      <c r="S2142" s="132" t="str">
        <f>LEFT(base[[#This Row],[Evento / Mercado]],FIND("/",base[[#This Row],[Evento / Mercado]])-2)</f>
        <v>Coquimbo Unido vs Audax Italiano</v>
      </c>
      <c r="V2142" s="9"/>
    </row>
    <row r="2143" spans="2:22" ht="15" customHeight="1">
      <c r="B2143" s="128" t="s">
        <v>2088</v>
      </c>
      <c r="C2143" s="128" t="s">
        <v>2982</v>
      </c>
      <c r="D2143" s="129">
        <v>46157.909525462965</v>
      </c>
      <c r="E2143" s="130">
        <v>3.82</v>
      </c>
      <c r="F2143" s="136">
        <v>4.4999999999999998E-2</v>
      </c>
      <c r="G2143" s="126">
        <f t="shared" si="34"/>
        <v>4</v>
      </c>
      <c r="H2143" s="126" t="s">
        <v>1339</v>
      </c>
      <c r="I2143" s="127" t="s">
        <v>1236</v>
      </c>
      <c r="J2143" s="126">
        <v>6.4</v>
      </c>
      <c r="K2143" s="126">
        <v>4</v>
      </c>
      <c r="L2143" s="129">
        <f>INT(base[[#This Row],[Data de liquidação]])</f>
        <v>46157</v>
      </c>
      <c r="M2143" s="126">
        <f>base[[#This Row],[L/P Bruto]]-base[[#This Row],[L/P Líquido]]</f>
        <v>0.18000000000000016</v>
      </c>
      <c r="N2143" s="126">
        <f>base[[#This Row],[L/P Líquido]]/base[[#This Row],[Stake/Responsabilidade]]</f>
        <v>0.95499999999999996</v>
      </c>
      <c r="O2143" s="132">
        <f>IF(base[[#This Row],[L/P Líquido]]&gt;0,1,0)</f>
        <v>1</v>
      </c>
      <c r="P2143" s="132"/>
      <c r="Q2143" s="132" t="str">
        <f>LEFT(base[[#This Row],[Evento / Mercado]],FIND("vs",base[[#This Row],[Evento / Mercado]])-2)</f>
        <v>Coquimbo Unido</v>
      </c>
      <c r="R21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Audax Italiano</v>
      </c>
      <c r="S2143" s="132" t="str">
        <f>LEFT(base[[#This Row],[Evento / Mercado]],FIND("/",base[[#This Row],[Evento / Mercado]])-2)</f>
        <v>Coquimbo Unido vs Audax Italiano</v>
      </c>
      <c r="V2143" s="9"/>
    </row>
    <row r="2144" spans="2:22" ht="15" customHeight="1">
      <c r="B2144" s="128" t="s">
        <v>2087</v>
      </c>
      <c r="C2144" s="128" t="s">
        <v>2982</v>
      </c>
      <c r="D2144" s="129">
        <v>46157.95685185185</v>
      </c>
      <c r="E2144" s="130">
        <v>1.43</v>
      </c>
      <c r="F2144" s="136">
        <v>4.4999999999999998E-2</v>
      </c>
      <c r="G2144" s="126">
        <f t="shared" si="34"/>
        <v>1.4973821989528795</v>
      </c>
      <c r="H2144" s="126" t="s">
        <v>1339</v>
      </c>
      <c r="I2144" s="127" t="s">
        <v>1963</v>
      </c>
      <c r="J2144" s="126">
        <v>1.03</v>
      </c>
      <c r="K2144" s="126">
        <v>50</v>
      </c>
      <c r="L2144" s="129">
        <f>INT(base[[#This Row],[Data de liquidação]])</f>
        <v>46157</v>
      </c>
      <c r="M2144" s="126">
        <f>base[[#This Row],[L/P Bruto]]-base[[#This Row],[L/P Líquido]]</f>
        <v>6.7382198952879557E-2</v>
      </c>
      <c r="N2144" s="126">
        <f>base[[#This Row],[L/P Líquido]]/base[[#This Row],[Stake/Responsabilidade]]</f>
        <v>2.86E-2</v>
      </c>
      <c r="O2144" s="132">
        <f>IF(base[[#This Row],[L/P Líquido]]&gt;0,1,0)</f>
        <v>1</v>
      </c>
      <c r="P2144" s="132"/>
      <c r="Q2144" s="132" t="str">
        <f>LEFT(base[[#This Row],[Evento / Mercado]],FIND("vs",base[[#This Row],[Evento / Mercado]])-2)</f>
        <v>Coquimbo Unido</v>
      </c>
      <c r="R21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Audax Italiano</v>
      </c>
      <c r="S2144" s="132" t="str">
        <f>LEFT(base[[#This Row],[Evento / Mercado]],FIND("/",base[[#This Row],[Evento / Mercado]])-2)</f>
        <v>Coquimbo Unido vs Audax Italiano</v>
      </c>
      <c r="V2144" s="9"/>
    </row>
    <row r="2145" spans="2:23" ht="15" customHeight="1">
      <c r="B2145" s="128" t="s">
        <v>2086</v>
      </c>
      <c r="C2145" s="128" t="s">
        <v>2982</v>
      </c>
      <c r="D2145" s="129">
        <v>46157.997256944444</v>
      </c>
      <c r="E2145" s="130">
        <v>-9.82</v>
      </c>
      <c r="F2145" s="136">
        <v>4.4999999999999998E-2</v>
      </c>
      <c r="G2145" s="126">
        <f t="shared" si="34"/>
        <v>-9.82</v>
      </c>
      <c r="H2145" s="126" t="s">
        <v>1339</v>
      </c>
      <c r="I2145" s="127" t="s">
        <v>1446</v>
      </c>
      <c r="J2145" s="126">
        <v>1.54</v>
      </c>
      <c r="K2145" s="126">
        <v>9.82</v>
      </c>
      <c r="L2145" s="129">
        <f>INT(base[[#This Row],[Data de liquidação]])</f>
        <v>46157</v>
      </c>
      <c r="M2145" s="126">
        <f>base[[#This Row],[L/P Bruto]]-base[[#This Row],[L/P Líquido]]</f>
        <v>0</v>
      </c>
      <c r="N2145" s="126">
        <f>base[[#This Row],[L/P Líquido]]/base[[#This Row],[Stake/Responsabilidade]]</f>
        <v>-1</v>
      </c>
      <c r="O2145" s="132">
        <f>IF(base[[#This Row],[L/P Líquido]]&gt;0,1,0)</f>
        <v>0</v>
      </c>
      <c r="P2145" s="132"/>
      <c r="Q2145" s="132" t="str">
        <f>LEFT(base[[#This Row],[Evento / Mercado]],FIND("vs",base[[#This Row],[Evento / Mercado]])-2)</f>
        <v>Universitario de Deportes</v>
      </c>
      <c r="R21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Grau</v>
      </c>
      <c r="S2145" s="132" t="str">
        <f>LEFT(base[[#This Row],[Evento / Mercado]],FIND("/",base[[#This Row],[Evento / Mercado]])-2)</f>
        <v>Universitario de Deportes vs Atlético Grau</v>
      </c>
      <c r="V2145" s="9"/>
      <c r="W2145" s="9"/>
    </row>
    <row r="2146" spans="2:23" ht="15" customHeight="1">
      <c r="B2146" s="128" t="s">
        <v>2192</v>
      </c>
      <c r="C2146" s="128" t="s">
        <v>2982</v>
      </c>
      <c r="D2146" s="129">
        <v>46158.246041666665</v>
      </c>
      <c r="E2146" s="130">
        <v>-2</v>
      </c>
      <c r="F2146" s="136">
        <v>4.4999999999999998E-2</v>
      </c>
      <c r="G2146" s="126">
        <f t="shared" si="34"/>
        <v>-2</v>
      </c>
      <c r="H2146" s="126" t="s">
        <v>1339</v>
      </c>
      <c r="I2146" s="127" t="s">
        <v>1431</v>
      </c>
      <c r="J2146" s="126">
        <v>2.11</v>
      </c>
      <c r="K2146" s="126">
        <v>2</v>
      </c>
      <c r="L2146" s="129">
        <f>INT(base[[#This Row],[Data de liquidação]])</f>
        <v>46158</v>
      </c>
      <c r="M2146" s="126">
        <f>base[[#This Row],[L/P Bruto]]-base[[#This Row],[L/P Líquido]]</f>
        <v>0</v>
      </c>
      <c r="N2146" s="126">
        <f>base[[#This Row],[L/P Líquido]]/base[[#This Row],[Stake/Responsabilidade]]</f>
        <v>-1</v>
      </c>
      <c r="O2146" s="132">
        <f>IF(base[[#This Row],[L/P Líquido]]&gt;0,1,0)</f>
        <v>0</v>
      </c>
      <c r="P2146" s="132"/>
      <c r="Q2146" s="132" t="str">
        <f>LEFT(base[[#This Row],[Evento / Mercado]],FIND("vs",base[[#This Row],[Evento / Mercado]])-2)</f>
        <v>Urawa Red Diamonds</v>
      </c>
      <c r="R21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Tokyo</v>
      </c>
      <c r="S2146" s="132" t="str">
        <f>LEFT(base[[#This Row],[Evento / Mercado]],FIND("/",base[[#This Row],[Evento / Mercado]])-2)</f>
        <v>Urawa Red Diamonds vs FC Tokyo</v>
      </c>
    </row>
    <row r="2147" spans="2:23" ht="15" customHeight="1">
      <c r="B2147" s="128" t="s">
        <v>2191</v>
      </c>
      <c r="C2147" s="128" t="s">
        <v>2982</v>
      </c>
      <c r="D2147" s="129">
        <v>46158.382534722223</v>
      </c>
      <c r="E2147" s="130">
        <v>1.47</v>
      </c>
      <c r="F2147" s="136">
        <v>4.4999999999999998E-2</v>
      </c>
      <c r="G2147" s="126">
        <f t="shared" si="34"/>
        <v>1.5392670157068062</v>
      </c>
      <c r="H2147" s="126" t="s">
        <v>1339</v>
      </c>
      <c r="I2147" s="127" t="s">
        <v>1448</v>
      </c>
      <c r="J2147" s="126">
        <v>1.77</v>
      </c>
      <c r="K2147" s="126">
        <v>2</v>
      </c>
      <c r="L2147" s="129">
        <f>INT(base[[#This Row],[Data de liquidação]])</f>
        <v>46158</v>
      </c>
      <c r="M2147" s="126">
        <f>base[[#This Row],[L/P Bruto]]-base[[#This Row],[L/P Líquido]]</f>
        <v>6.9267015706806268E-2</v>
      </c>
      <c r="N2147" s="126">
        <f>base[[#This Row],[L/P Líquido]]/base[[#This Row],[Stake/Responsabilidade]]</f>
        <v>0.73499999999999999</v>
      </c>
      <c r="O2147" s="132">
        <f>IF(base[[#This Row],[L/P Líquido]]&gt;0,1,0)</f>
        <v>1</v>
      </c>
      <c r="P2147" s="132"/>
      <c r="Q2147" s="132" t="str">
        <f>LEFT(base[[#This Row],[Evento / Mercado]],FIND("vs",base[[#This Row],[Evento / Mercado]])-2)</f>
        <v>Shandong Taishan</v>
      </c>
      <c r="R21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2147" s="132" t="str">
        <f>LEFT(base[[#This Row],[Evento / Mercado]],FIND("/",base[[#This Row],[Evento / Mercado]])-2)</f>
        <v>Shandong Taishan vs Chongqing Tonglianglong</v>
      </c>
    </row>
    <row r="2148" spans="2:23" ht="15" customHeight="1">
      <c r="B2148" s="128" t="s">
        <v>2190</v>
      </c>
      <c r="C2148" s="128" t="s">
        <v>2982</v>
      </c>
      <c r="D2148" s="129">
        <v>46158.385810185187</v>
      </c>
      <c r="E2148" s="130">
        <v>12.42</v>
      </c>
      <c r="F2148" s="136">
        <v>4.4999999999999998E-2</v>
      </c>
      <c r="G2148" s="126">
        <f t="shared" si="34"/>
        <v>13.005235602094242</v>
      </c>
      <c r="H2148" s="126" t="s">
        <v>1784</v>
      </c>
      <c r="I2148" s="127" t="s">
        <v>1448</v>
      </c>
      <c r="J2148" s="126">
        <v>1.26</v>
      </c>
      <c r="K2148" s="126">
        <v>50</v>
      </c>
      <c r="L2148" s="129">
        <f>INT(base[[#This Row],[Data de liquidação]])</f>
        <v>46158</v>
      </c>
      <c r="M2148" s="126">
        <f>base[[#This Row],[L/P Bruto]]-base[[#This Row],[L/P Líquido]]</f>
        <v>0.58523560209424197</v>
      </c>
      <c r="N2148" s="126">
        <f>base[[#This Row],[L/P Líquido]]/base[[#This Row],[Stake/Responsabilidade]]</f>
        <v>0.24840000000000001</v>
      </c>
      <c r="O2148" s="132">
        <f>IF(base[[#This Row],[L/P Líquido]]&gt;0,1,0)</f>
        <v>1</v>
      </c>
      <c r="P2148" s="132"/>
      <c r="Q2148" s="132" t="str">
        <f>LEFT(base[[#This Row],[Evento / Mercado]],FIND("vs",base[[#This Row],[Evento / Mercado]])-2)</f>
        <v>Celtic</v>
      </c>
      <c r="R21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Hearts</v>
      </c>
      <c r="S2148" s="132" t="str">
        <f>LEFT(base[[#This Row],[Evento / Mercado]],FIND("/",base[[#This Row],[Evento / Mercado]])-2)</f>
        <v>Celtic vs Hearts</v>
      </c>
    </row>
    <row r="2149" spans="2:23" ht="15" customHeight="1">
      <c r="B2149" s="128" t="s">
        <v>2188</v>
      </c>
      <c r="C2149" s="128" t="s">
        <v>2982</v>
      </c>
      <c r="D2149" s="129">
        <v>46158.407951388886</v>
      </c>
      <c r="E2149" s="130">
        <v>1.72</v>
      </c>
      <c r="F2149" s="136">
        <v>4.4999999999999998E-2</v>
      </c>
      <c r="G2149" s="126">
        <f t="shared" si="34"/>
        <v>1.8010471204188483</v>
      </c>
      <c r="H2149" s="126" t="s">
        <v>1339</v>
      </c>
      <c r="I2149" s="127" t="s">
        <v>1336</v>
      </c>
      <c r="J2149" s="126">
        <v>2.3199999999999998</v>
      </c>
      <c r="K2149" s="126">
        <v>5</v>
      </c>
      <c r="L2149" s="129">
        <f>INT(base[[#This Row],[Data de liquidação]])</f>
        <v>46158</v>
      </c>
      <c r="M2149" s="126">
        <f>base[[#This Row],[L/P Bruto]]-base[[#This Row],[L/P Líquido]]</f>
        <v>8.1047120418848317E-2</v>
      </c>
      <c r="N2149" s="126">
        <f>base[[#This Row],[L/P Líquido]]/base[[#This Row],[Stake/Responsabilidade]]</f>
        <v>0.34399999999999997</v>
      </c>
      <c r="O2149" s="132">
        <f>IF(base[[#This Row],[L/P Líquido]]&gt;0,1,0)</f>
        <v>1</v>
      </c>
      <c r="P2149" s="132"/>
      <c r="Q2149" s="132" t="str">
        <f>LEFT(base[[#This Row],[Evento / Mercado]],FIND("vs",base[[#This Row],[Evento / Mercado]])-2)</f>
        <v>Newcastle United Jets</v>
      </c>
      <c r="R21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Sydney FC</v>
      </c>
      <c r="S2149" s="132" t="str">
        <f>LEFT(base[[#This Row],[Evento / Mercado]],FIND("/",base[[#This Row],[Evento / Mercado]])-2)</f>
        <v>Newcastle United Jets vs Sydney FC</v>
      </c>
    </row>
    <row r="2150" spans="2:23" ht="15" customHeight="1">
      <c r="B2150" s="128" t="s">
        <v>2189</v>
      </c>
      <c r="C2150" s="128" t="s">
        <v>2982</v>
      </c>
      <c r="D2150" s="129">
        <v>46158.407951388886</v>
      </c>
      <c r="E2150" s="130">
        <v>6.28</v>
      </c>
      <c r="F2150" s="136">
        <v>4.4999999999999998E-2</v>
      </c>
      <c r="G2150" s="126">
        <f t="shared" si="34"/>
        <v>6.5759162303664924</v>
      </c>
      <c r="H2150" s="126" t="s">
        <v>1339</v>
      </c>
      <c r="I2150" s="127" t="s">
        <v>1338</v>
      </c>
      <c r="J2150" s="126">
        <v>1.43</v>
      </c>
      <c r="K2150" s="126">
        <v>10</v>
      </c>
      <c r="L2150" s="129">
        <f>INT(base[[#This Row],[Data de liquidação]])</f>
        <v>46158</v>
      </c>
      <c r="M2150" s="126">
        <f>base[[#This Row],[L/P Bruto]]-base[[#This Row],[L/P Líquido]]</f>
        <v>0.29591623036649217</v>
      </c>
      <c r="N2150" s="126">
        <f>base[[#This Row],[L/P Líquido]]/base[[#This Row],[Stake/Responsabilidade]]</f>
        <v>0.628</v>
      </c>
      <c r="O2150" s="132">
        <f>IF(base[[#This Row],[L/P Líquido]]&gt;0,1,0)</f>
        <v>1</v>
      </c>
      <c r="P2150" s="132"/>
      <c r="Q2150" s="132" t="str">
        <f>LEFT(base[[#This Row],[Evento / Mercado]],FIND("vs",base[[#This Row],[Evento / Mercado]])-2)</f>
        <v>Newcastle United Jets</v>
      </c>
      <c r="R21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Sydney FC</v>
      </c>
      <c r="S2150" s="132" t="str">
        <f>LEFT(base[[#This Row],[Evento / Mercado]],FIND("/",base[[#This Row],[Evento / Mercado]])-2)</f>
        <v>Newcastle United Jets vs Sydney FC</v>
      </c>
    </row>
    <row r="2151" spans="2:23" ht="15" customHeight="1">
      <c r="B2151" s="128" t="s">
        <v>2187</v>
      </c>
      <c r="C2151" s="128" t="s">
        <v>2982</v>
      </c>
      <c r="D2151" s="129">
        <v>46158.431932870371</v>
      </c>
      <c r="E2151" s="130">
        <v>-2</v>
      </c>
      <c r="F2151" s="136">
        <v>4.4999999999999998E-2</v>
      </c>
      <c r="G2151" s="126">
        <f t="shared" si="34"/>
        <v>-2</v>
      </c>
      <c r="H2151" s="126" t="s">
        <v>1339</v>
      </c>
      <c r="I2151" s="127" t="s">
        <v>2193</v>
      </c>
      <c r="J2151" s="126">
        <v>1.62</v>
      </c>
      <c r="K2151" s="126">
        <v>2</v>
      </c>
      <c r="L2151" s="129">
        <f>INT(base[[#This Row],[Data de liquidação]])</f>
        <v>46158</v>
      </c>
      <c r="M2151" s="126">
        <f>base[[#This Row],[L/P Bruto]]-base[[#This Row],[L/P Líquido]]</f>
        <v>0</v>
      </c>
      <c r="N2151" s="126">
        <f>base[[#This Row],[L/P Líquido]]/base[[#This Row],[Stake/Responsabilidade]]</f>
        <v>-1</v>
      </c>
      <c r="O2151" s="132">
        <f>IF(base[[#This Row],[L/P Líquido]]&gt;0,1,0)</f>
        <v>0</v>
      </c>
      <c r="P2151" s="132"/>
      <c r="Q2151" s="132" t="str">
        <f>LEFT(base[[#This Row],[Evento / Mercado]],FIND("vs",base[[#This Row],[Evento / Mercado]])-2)</f>
        <v>SSV Jahn Regensburg</v>
      </c>
      <c r="R21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Energie Cottbus</v>
      </c>
      <c r="S2151" s="132" t="str">
        <f>LEFT(base[[#This Row],[Evento / Mercado]],FIND("/",base[[#This Row],[Evento / Mercado]])-2)</f>
        <v>SSV Jahn Regensburg vs Energie Cottbus</v>
      </c>
    </row>
    <row r="2152" spans="2:23" ht="15" customHeight="1">
      <c r="B2152" s="128" t="s">
        <v>2186</v>
      </c>
      <c r="C2152" s="128" t="s">
        <v>2982</v>
      </c>
      <c r="D2152" s="129">
        <v>46158.433749999997</v>
      </c>
      <c r="E2152" s="130">
        <v>3.5</v>
      </c>
      <c r="F2152" s="136">
        <v>4.4999999999999998E-2</v>
      </c>
      <c r="G2152" s="126">
        <f t="shared" si="34"/>
        <v>3.6649214659685865</v>
      </c>
      <c r="H2152" s="126" t="s">
        <v>1339</v>
      </c>
      <c r="I2152" s="127" t="s">
        <v>1390</v>
      </c>
      <c r="J2152" s="126">
        <v>9.1999999999999993</v>
      </c>
      <c r="K2152" s="126">
        <v>30.01</v>
      </c>
      <c r="L2152" s="129">
        <f>INT(base[[#This Row],[Data de liquidação]])</f>
        <v>46158</v>
      </c>
      <c r="M2152" s="126">
        <f>base[[#This Row],[L/P Bruto]]-base[[#This Row],[L/P Líquido]]</f>
        <v>0.16492146596858648</v>
      </c>
      <c r="N2152" s="126">
        <f>base[[#This Row],[L/P Líquido]]/base[[#This Row],[Stake/Responsabilidade]]</f>
        <v>0.11662779073642118</v>
      </c>
      <c r="O2152" s="132">
        <f>IF(base[[#This Row],[L/P Líquido]]&gt;0,1,0)</f>
        <v>1</v>
      </c>
      <c r="P2152" s="132"/>
      <c r="Q2152" s="132" t="str">
        <f>LEFT(base[[#This Row],[Evento / Mercado]],FIND("vs",base[[#This Row],[Evento / Mercado]])-2)</f>
        <v>Alemannia Aachen</v>
      </c>
      <c r="R21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2152" s="132" t="str">
        <f>LEFT(base[[#This Row],[Evento / Mercado]],FIND("/",base[[#This Row],[Evento / Mercado]])-2)</f>
        <v>Alemannia Aachen vs TSV Havelse</v>
      </c>
    </row>
    <row r="2153" spans="2:23" ht="15" customHeight="1">
      <c r="B2153" s="128" t="s">
        <v>2185</v>
      </c>
      <c r="C2153" s="128" t="s">
        <v>2982</v>
      </c>
      <c r="D2153" s="129">
        <v>46158.436666666668</v>
      </c>
      <c r="E2153" s="130">
        <v>1.43</v>
      </c>
      <c r="F2153" s="136">
        <v>4.4999999999999998E-2</v>
      </c>
      <c r="G2153" s="126">
        <f t="shared" si="34"/>
        <v>1.4973821989528795</v>
      </c>
      <c r="H2153" s="126" t="s">
        <v>1339</v>
      </c>
      <c r="I2153" s="127" t="s">
        <v>1963</v>
      </c>
      <c r="J2153" s="126">
        <v>1.03</v>
      </c>
      <c r="K2153" s="126">
        <v>50</v>
      </c>
      <c r="L2153" s="129">
        <f>INT(base[[#This Row],[Data de liquidação]])</f>
        <v>46158</v>
      </c>
      <c r="M2153" s="126">
        <f>base[[#This Row],[L/P Bruto]]-base[[#This Row],[L/P Líquido]]</f>
        <v>6.7382198952879557E-2</v>
      </c>
      <c r="N2153" s="126">
        <f>base[[#This Row],[L/P Líquido]]/base[[#This Row],[Stake/Responsabilidade]]</f>
        <v>2.86E-2</v>
      </c>
      <c r="O2153" s="132">
        <f>IF(base[[#This Row],[L/P Líquido]]&gt;0,1,0)</f>
        <v>1</v>
      </c>
      <c r="P2153" s="132"/>
      <c r="Q2153" s="132" t="str">
        <f>LEFT(base[[#This Row],[Evento / Mercado]],FIND("vs",base[[#This Row],[Evento / Mercado]])-2)</f>
        <v>Shandong Taishan</v>
      </c>
      <c r="R21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2153" s="132" t="str">
        <f>LEFT(base[[#This Row],[Evento / Mercado]],FIND("/",base[[#This Row],[Evento / Mercado]])-2)</f>
        <v>Shandong Taishan vs Chongqing Tonglianglong</v>
      </c>
    </row>
    <row r="2154" spans="2:23" ht="15" customHeight="1">
      <c r="B2154" s="128" t="s">
        <v>2184</v>
      </c>
      <c r="C2154" s="128" t="s">
        <v>2982</v>
      </c>
      <c r="D2154" s="129">
        <v>46158.455995370372</v>
      </c>
      <c r="E2154" s="130">
        <v>4.3499999999999996</v>
      </c>
      <c r="F2154" s="136">
        <v>4.4999999999999998E-2</v>
      </c>
      <c r="G2154" s="126">
        <f t="shared" si="34"/>
        <v>4.5549738219895284</v>
      </c>
      <c r="H2154" s="126" t="s">
        <v>1339</v>
      </c>
      <c r="I2154" s="127" t="s">
        <v>1388</v>
      </c>
      <c r="J2154" s="126">
        <v>12.49</v>
      </c>
      <c r="K2154" s="126">
        <v>52.3</v>
      </c>
      <c r="L2154" s="129">
        <f>INT(base[[#This Row],[Data de liquidação]])</f>
        <v>46158</v>
      </c>
      <c r="M2154" s="126">
        <f>base[[#This Row],[L/P Bruto]]-base[[#This Row],[L/P Líquido]]</f>
        <v>0.20497382198952874</v>
      </c>
      <c r="N2154" s="126">
        <f>base[[#This Row],[L/P Líquido]]/base[[#This Row],[Stake/Responsabilidade]]</f>
        <v>8.3173996175908219E-2</v>
      </c>
      <c r="O2154" s="132">
        <f>IF(base[[#This Row],[L/P Líquido]]&gt;0,1,0)</f>
        <v>1</v>
      </c>
      <c r="P2154" s="132"/>
      <c r="Q2154" s="132" t="str">
        <f>LEFT(base[[#This Row],[Evento / Mercado]],FIND("vs",base[[#This Row],[Evento / Mercado]])-2)</f>
        <v>Yunnan Yukun</v>
      </c>
      <c r="R21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Shenhua</v>
      </c>
      <c r="S2154" s="132" t="str">
        <f>LEFT(base[[#This Row],[Evento / Mercado]],FIND("/",base[[#This Row],[Evento / Mercado]])-2)</f>
        <v>Yunnan Yukun vs Shanghai Shenhua</v>
      </c>
    </row>
    <row r="2155" spans="2:23" ht="15" customHeight="1">
      <c r="B2155" s="128" t="s">
        <v>2183</v>
      </c>
      <c r="C2155" s="128" t="s">
        <v>2982</v>
      </c>
      <c r="D2155" s="129">
        <v>46158.456226851849</v>
      </c>
      <c r="E2155" s="130">
        <v>2.81</v>
      </c>
      <c r="F2155" s="136">
        <v>4.4999999999999998E-2</v>
      </c>
      <c r="G2155" s="126">
        <f t="shared" si="34"/>
        <v>2.9424083769633511</v>
      </c>
      <c r="H2155" s="126" t="s">
        <v>1339</v>
      </c>
      <c r="I2155" s="127" t="s">
        <v>1430</v>
      </c>
      <c r="J2155" s="126">
        <v>18</v>
      </c>
      <c r="K2155" s="126">
        <v>49.98</v>
      </c>
      <c r="L2155" s="129">
        <f>INT(base[[#This Row],[Data de liquidação]])</f>
        <v>46158</v>
      </c>
      <c r="M2155" s="126">
        <f>base[[#This Row],[L/P Bruto]]-base[[#This Row],[L/P Líquido]]</f>
        <v>0.13240837696335106</v>
      </c>
      <c r="N2155" s="126">
        <f>base[[#This Row],[L/P Líquido]]/base[[#This Row],[Stake/Responsabilidade]]</f>
        <v>5.6222488995598244E-2</v>
      </c>
      <c r="O2155" s="132">
        <f>IF(base[[#This Row],[L/P Líquido]]&gt;0,1,0)</f>
        <v>1</v>
      </c>
      <c r="P2155" s="132"/>
      <c r="Q2155" s="132" t="str">
        <f>LEFT(base[[#This Row],[Evento / Mercado]],FIND("vs",base[[#This Row],[Evento / Mercado]])-2)</f>
        <v>Yunnan Yukun</v>
      </c>
      <c r="R21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Shenhua</v>
      </c>
      <c r="S2155" s="132" t="str">
        <f>LEFT(base[[#This Row],[Evento / Mercado]],FIND("/",base[[#This Row],[Evento / Mercado]])-2)</f>
        <v>Yunnan Yukun vs Shanghai Shenhua</v>
      </c>
    </row>
    <row r="2156" spans="2:23" ht="15" customHeight="1">
      <c r="B2156" s="128" t="s">
        <v>2182</v>
      </c>
      <c r="C2156" s="128" t="s">
        <v>2982</v>
      </c>
      <c r="D2156" s="129">
        <v>46158.469988425924</v>
      </c>
      <c r="E2156" s="130">
        <v>11.65</v>
      </c>
      <c r="F2156" s="136">
        <v>4.4999999999999998E-2</v>
      </c>
      <c r="G2156" s="126">
        <f t="shared" si="34"/>
        <v>12.198952879581153</v>
      </c>
      <c r="H2156" s="126" t="s">
        <v>1784</v>
      </c>
      <c r="I2156" s="127" t="s">
        <v>1448</v>
      </c>
      <c r="J2156" s="126">
        <v>1.24</v>
      </c>
      <c r="K2156" s="126">
        <v>50</v>
      </c>
      <c r="L2156" s="129">
        <f>INT(base[[#This Row],[Data de liquidação]])</f>
        <v>46158</v>
      </c>
      <c r="M2156" s="126">
        <f>base[[#This Row],[L/P Bruto]]-base[[#This Row],[L/P Líquido]]</f>
        <v>0.54895287958115269</v>
      </c>
      <c r="N2156" s="126">
        <f>base[[#This Row],[L/P Líquido]]/base[[#This Row],[Stake/Responsabilidade]]</f>
        <v>0.23300000000000001</v>
      </c>
      <c r="O2156" s="132">
        <f>IF(base[[#This Row],[L/P Líquido]]&gt;0,1,0)</f>
        <v>1</v>
      </c>
      <c r="P2156" s="132"/>
      <c r="Q2156" s="132" t="str">
        <f>LEFT(base[[#This Row],[Evento / Mercado]],FIND("vs",base[[#This Row],[Evento / Mercado]])-2)</f>
        <v>Stabæk</v>
      </c>
      <c r="R21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Raufoss</v>
      </c>
      <c r="S2156" s="132" t="str">
        <f>LEFT(base[[#This Row],[Evento / Mercado]],FIND("/",base[[#This Row],[Evento / Mercado]])-2)</f>
        <v>Stabæk vs Raufoss</v>
      </c>
    </row>
    <row r="2157" spans="2:23" ht="15" customHeight="1">
      <c r="B2157" s="128" t="s">
        <v>2181</v>
      </c>
      <c r="C2157" s="128" t="s">
        <v>2982</v>
      </c>
      <c r="D2157" s="129">
        <v>46158.470995370371</v>
      </c>
      <c r="E2157" s="130">
        <v>-50</v>
      </c>
      <c r="F2157" s="136">
        <v>4.4999999999999998E-2</v>
      </c>
      <c r="G2157" s="126">
        <f t="shared" si="34"/>
        <v>-50</v>
      </c>
      <c r="H2157" s="126" t="s">
        <v>1784</v>
      </c>
      <c r="I2157" s="127" t="s">
        <v>1448</v>
      </c>
      <c r="J2157" s="126">
        <v>1.19</v>
      </c>
      <c r="K2157" s="126">
        <v>50</v>
      </c>
      <c r="L2157" s="129">
        <f>INT(base[[#This Row],[Data de liquidação]])</f>
        <v>46158</v>
      </c>
      <c r="M2157" s="126">
        <f>base[[#This Row],[L/P Bruto]]-base[[#This Row],[L/P Líquido]]</f>
        <v>0</v>
      </c>
      <c r="N2157" s="126">
        <f>base[[#This Row],[L/P Líquido]]/base[[#This Row],[Stake/Responsabilidade]]</f>
        <v>-1</v>
      </c>
      <c r="O2157" s="132">
        <f>IF(base[[#This Row],[L/P Líquido]]&gt;0,1,0)</f>
        <v>0</v>
      </c>
      <c r="P2157" s="132"/>
      <c r="Q2157" s="132" t="str">
        <f>LEFT(base[[#This Row],[Evento / Mercado]],FIND("vs",base[[#This Row],[Evento / Mercado]])-2)</f>
        <v>Bayer 04 Leverkusen</v>
      </c>
      <c r="R21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2157" s="132" t="str">
        <f>LEFT(base[[#This Row],[Evento / Mercado]],FIND("/",base[[#This Row],[Evento / Mercado]])-2)</f>
        <v>Bayer 04 Leverkusen vs Hamburger SV</v>
      </c>
    </row>
    <row r="2158" spans="2:23" ht="15" customHeight="1">
      <c r="B2158" s="128" t="s">
        <v>2180</v>
      </c>
      <c r="C2158" s="128" t="s">
        <v>2982</v>
      </c>
      <c r="D2158" s="129">
        <v>46158.4765625</v>
      </c>
      <c r="E2158" s="130">
        <v>3.82</v>
      </c>
      <c r="F2158" s="136">
        <v>4.4999999999999998E-2</v>
      </c>
      <c r="G2158" s="126">
        <f t="shared" si="34"/>
        <v>4</v>
      </c>
      <c r="H2158" s="126" t="s">
        <v>1339</v>
      </c>
      <c r="I2158" s="127" t="s">
        <v>1236</v>
      </c>
      <c r="J2158" s="126">
        <v>15</v>
      </c>
      <c r="K2158" s="126">
        <v>4</v>
      </c>
      <c r="L2158" s="129">
        <f>INT(base[[#This Row],[Data de liquidação]])</f>
        <v>46158</v>
      </c>
      <c r="M2158" s="126">
        <f>base[[#This Row],[L/P Bruto]]-base[[#This Row],[L/P Líquido]]</f>
        <v>0.18000000000000016</v>
      </c>
      <c r="N2158" s="126">
        <f>base[[#This Row],[L/P Líquido]]/base[[#This Row],[Stake/Responsabilidade]]</f>
        <v>0.95499999999999996</v>
      </c>
      <c r="O2158" s="132">
        <f>IF(base[[#This Row],[L/P Líquido]]&gt;0,1,0)</f>
        <v>1</v>
      </c>
      <c r="P2158" s="132"/>
      <c r="Q2158" s="132" t="str">
        <f>LEFT(base[[#This Row],[Evento / Mercado]],FIND("vs",base[[#This Row],[Evento / Mercado]])-2)</f>
        <v>Eintracht Frankfurt</v>
      </c>
      <c r="R21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2158" s="132" t="str">
        <f>LEFT(base[[#This Row],[Evento / Mercado]],FIND("/",base[[#This Row],[Evento / Mercado]])-2)</f>
        <v>Eintracht Frankfurt vs VfB Stuttgart</v>
      </c>
    </row>
    <row r="2159" spans="2:23" ht="15" customHeight="1">
      <c r="B2159" s="128" t="s">
        <v>2179</v>
      </c>
      <c r="C2159" s="128" t="s">
        <v>2982</v>
      </c>
      <c r="D2159" s="129">
        <v>46158.478078703702</v>
      </c>
      <c r="E2159" s="130">
        <v>0.95</v>
      </c>
      <c r="F2159" s="136">
        <v>4.4999999999999998E-2</v>
      </c>
      <c r="G2159" s="126">
        <f t="shared" si="34"/>
        <v>0.99476439790575921</v>
      </c>
      <c r="H2159" s="126" t="s">
        <v>1339</v>
      </c>
      <c r="I2159" s="127" t="s">
        <v>1933</v>
      </c>
      <c r="J2159" s="126">
        <v>1.5</v>
      </c>
      <c r="K2159" s="126">
        <v>2</v>
      </c>
      <c r="L2159" s="129">
        <f>INT(base[[#This Row],[Data de liquidação]])</f>
        <v>46158</v>
      </c>
      <c r="M2159" s="126">
        <f>base[[#This Row],[L/P Bruto]]-base[[#This Row],[L/P Líquido]]</f>
        <v>4.4764397905759257E-2</v>
      </c>
      <c r="N2159" s="126">
        <f>base[[#This Row],[L/P Líquido]]/base[[#This Row],[Stake/Responsabilidade]]</f>
        <v>0.47499999999999998</v>
      </c>
      <c r="O2159" s="132">
        <f>IF(base[[#This Row],[L/P Líquido]]&gt;0,1,0)</f>
        <v>1</v>
      </c>
      <c r="P2159" s="132"/>
      <c r="Q2159" s="132" t="str">
        <f>LEFT(base[[#This Row],[Evento / Mercado]],FIND("vs",base[[#This Row],[Evento / Mercado]])-2)</f>
        <v>AmaZulu</v>
      </c>
      <c r="R21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Kaizer Chiefs</v>
      </c>
      <c r="S2159" s="132" t="str">
        <f>LEFT(base[[#This Row],[Evento / Mercado]],FIND("/",base[[#This Row],[Evento / Mercado]])-2)</f>
        <v>AmaZulu vs Kaizer Chiefs</v>
      </c>
    </row>
    <row r="2160" spans="2:23" ht="15" customHeight="1">
      <c r="B2160" s="128" t="s">
        <v>2178</v>
      </c>
      <c r="C2160" s="128" t="s">
        <v>2982</v>
      </c>
      <c r="D2160" s="129">
        <v>46158.48542824074</v>
      </c>
      <c r="E2160" s="130">
        <v>-10</v>
      </c>
      <c r="F2160" s="136">
        <v>4.4999999999999998E-2</v>
      </c>
      <c r="G2160" s="126">
        <f t="shared" si="34"/>
        <v>-10</v>
      </c>
      <c r="H2160" s="126" t="s">
        <v>1339</v>
      </c>
      <c r="I2160" s="127" t="s">
        <v>1336</v>
      </c>
      <c r="J2160" s="126">
        <v>1.46</v>
      </c>
      <c r="K2160" s="126">
        <v>10</v>
      </c>
      <c r="L2160" s="129">
        <f>INT(base[[#This Row],[Data de liquidação]])</f>
        <v>46158</v>
      </c>
      <c r="M2160" s="126">
        <f>base[[#This Row],[L/P Bruto]]-base[[#This Row],[L/P Líquido]]</f>
        <v>0</v>
      </c>
      <c r="N2160" s="126">
        <f>base[[#This Row],[L/P Líquido]]/base[[#This Row],[Stake/Responsabilidade]]</f>
        <v>-1</v>
      </c>
      <c r="O2160" s="132">
        <f>IF(base[[#This Row],[L/P Líquido]]&gt;0,1,0)</f>
        <v>0</v>
      </c>
      <c r="P2160" s="132"/>
      <c r="Q2160" s="132" t="str">
        <f>LEFT(base[[#This Row],[Evento / Mercado]],FIND("vs",base[[#This Row],[Evento / Mercado]])-2)</f>
        <v>SC Freiburg</v>
      </c>
      <c r="R21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RB Leipzig</v>
      </c>
      <c r="S2160" s="132" t="str">
        <f>LEFT(base[[#This Row],[Evento / Mercado]],FIND("/",base[[#This Row],[Evento / Mercado]])-2)</f>
        <v>SC Freiburg vs RB Leipzig</v>
      </c>
    </row>
    <row r="2161" spans="2:19" ht="15" customHeight="1">
      <c r="B2161" s="128" t="s">
        <v>2177</v>
      </c>
      <c r="C2161" s="128" t="s">
        <v>2982</v>
      </c>
      <c r="D2161" s="129">
        <v>46158.489374999997</v>
      </c>
      <c r="E2161" s="130">
        <v>3.82</v>
      </c>
      <c r="F2161" s="136">
        <v>4.4999999999999998E-2</v>
      </c>
      <c r="G2161" s="126">
        <f t="shared" si="34"/>
        <v>4</v>
      </c>
      <c r="H2161" s="126" t="s">
        <v>1339</v>
      </c>
      <c r="I2161" s="127" t="s">
        <v>1236</v>
      </c>
      <c r="J2161" s="126">
        <v>5.3</v>
      </c>
      <c r="K2161" s="126">
        <v>4</v>
      </c>
      <c r="L2161" s="129">
        <f>INT(base[[#This Row],[Data de liquidação]])</f>
        <v>46158</v>
      </c>
      <c r="M2161" s="126">
        <f>base[[#This Row],[L/P Bruto]]-base[[#This Row],[L/P Líquido]]</f>
        <v>0.18000000000000016</v>
      </c>
      <c r="N2161" s="126">
        <f>base[[#This Row],[L/P Líquido]]/base[[#This Row],[Stake/Responsabilidade]]</f>
        <v>0.95499999999999996</v>
      </c>
      <c r="O2161" s="132">
        <f>IF(base[[#This Row],[L/P Líquido]]&gt;0,1,0)</f>
        <v>1</v>
      </c>
      <c r="P2161" s="132"/>
      <c r="Q2161" s="132" t="str">
        <f>LEFT(base[[#This Row],[Evento / Mercado]],FIND("vs",base[[#This Row],[Evento / Mercado]])-2)</f>
        <v>Fredrikstad</v>
      </c>
      <c r="R21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2161" s="132" t="str">
        <f>LEFT(base[[#This Row],[Evento / Mercado]],FIND("/",base[[#This Row],[Evento / Mercado]])-2)</f>
        <v>Fredrikstad vs Hamarkameratene</v>
      </c>
    </row>
    <row r="2162" spans="2:19" ht="15" customHeight="1">
      <c r="B2162" s="128" t="s">
        <v>2176</v>
      </c>
      <c r="C2162" s="128" t="s">
        <v>2982</v>
      </c>
      <c r="D2162" s="129">
        <v>46158.49015046296</v>
      </c>
      <c r="E2162" s="130">
        <v>-1.92</v>
      </c>
      <c r="F2162" s="136">
        <v>4.4999999999999998E-2</v>
      </c>
      <c r="G2162" s="126">
        <f t="shared" si="34"/>
        <v>-1.92</v>
      </c>
      <c r="H2162" s="126" t="s">
        <v>1339</v>
      </c>
      <c r="I2162" s="127" t="s">
        <v>1236</v>
      </c>
      <c r="J2162" s="126">
        <v>7.4</v>
      </c>
      <c r="K2162" s="126">
        <v>4</v>
      </c>
      <c r="L2162" s="129">
        <f>INT(base[[#This Row],[Data de liquidação]])</f>
        <v>46158</v>
      </c>
      <c r="M2162" s="126">
        <f>base[[#This Row],[L/P Bruto]]-base[[#This Row],[L/P Líquido]]</f>
        <v>0</v>
      </c>
      <c r="N2162" s="126">
        <f>base[[#This Row],[L/P Líquido]]/base[[#This Row],[Stake/Responsabilidade]]</f>
        <v>-0.48</v>
      </c>
      <c r="O2162" s="132">
        <f>IF(base[[#This Row],[L/P Líquido]]&gt;0,1,0)</f>
        <v>0</v>
      </c>
      <c r="P2162" s="132"/>
      <c r="Q2162" s="132" t="str">
        <f>LEFT(base[[#This Row],[Evento / Mercado]],FIND("vs",base[[#This Row],[Evento / Mercado]])-2)</f>
        <v>FC St. Pauli</v>
      </c>
      <c r="R21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2162" s="132" t="str">
        <f>LEFT(base[[#This Row],[Evento / Mercado]],FIND("/",base[[#This Row],[Evento / Mercado]])-2)</f>
        <v>FC St. Pauli vs VfL Wolfsburg</v>
      </c>
    </row>
    <row r="2163" spans="2:19" ht="15" customHeight="1">
      <c r="B2163" s="128" t="s">
        <v>2175</v>
      </c>
      <c r="C2163" s="128" t="s">
        <v>2982</v>
      </c>
      <c r="D2163" s="129">
        <v>46158.492210648146</v>
      </c>
      <c r="E2163" s="130">
        <v>0.15</v>
      </c>
      <c r="F2163" s="136">
        <v>4.4999999999999998E-2</v>
      </c>
      <c r="G2163" s="126">
        <f t="shared" si="34"/>
        <v>0.15706806282722513</v>
      </c>
      <c r="H2163" s="126" t="s">
        <v>1339</v>
      </c>
      <c r="I2163" s="127" t="s">
        <v>1993</v>
      </c>
      <c r="J2163" s="126">
        <v>1.08</v>
      </c>
      <c r="K2163" s="126">
        <v>2</v>
      </c>
      <c r="L2163" s="129">
        <f>INT(base[[#This Row],[Data de liquidação]])</f>
        <v>46158</v>
      </c>
      <c r="M2163" s="126">
        <f>base[[#This Row],[L/P Bruto]]-base[[#This Row],[L/P Líquido]]</f>
        <v>7.0680628272251356E-3</v>
      </c>
      <c r="N2163" s="126">
        <f>base[[#This Row],[L/P Líquido]]/base[[#This Row],[Stake/Responsabilidade]]</f>
        <v>7.4999999999999997E-2</v>
      </c>
      <c r="O2163" s="132">
        <f>IF(base[[#This Row],[L/P Líquido]]&gt;0,1,0)</f>
        <v>1</v>
      </c>
      <c r="P2163" s="132"/>
      <c r="Q2163" s="132" t="str">
        <f>LEFT(base[[#This Row],[Evento / Mercado]],FIND("vs",base[[#This Row],[Evento / Mercado]])-2)</f>
        <v>Werder Bremen</v>
      </c>
      <c r="R21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2163" s="132" t="str">
        <f>LEFT(base[[#This Row],[Evento / Mercado]],FIND("/",base[[#This Row],[Evento / Mercado]])-2)</f>
        <v>Werder Bremen vs Borussia Dortmund</v>
      </c>
    </row>
    <row r="2164" spans="2:19" ht="15" customHeight="1">
      <c r="B2164" s="128" t="s">
        <v>2174</v>
      </c>
      <c r="C2164" s="128" t="s">
        <v>2982</v>
      </c>
      <c r="D2164" s="129">
        <v>46158.507673611108</v>
      </c>
      <c r="E2164" s="130">
        <v>3.82</v>
      </c>
      <c r="F2164" s="136">
        <v>4.4999999999999998E-2</v>
      </c>
      <c r="G2164" s="126">
        <f t="shared" si="34"/>
        <v>4</v>
      </c>
      <c r="H2164" s="126" t="s">
        <v>1339</v>
      </c>
      <c r="I2164" s="127" t="s">
        <v>1236</v>
      </c>
      <c r="J2164" s="126">
        <v>7.2</v>
      </c>
      <c r="K2164" s="126">
        <v>4</v>
      </c>
      <c r="L2164" s="129">
        <f>INT(base[[#This Row],[Data de liquidação]])</f>
        <v>46158</v>
      </c>
      <c r="M2164" s="126">
        <f>base[[#This Row],[L/P Bruto]]-base[[#This Row],[L/P Líquido]]</f>
        <v>0.18000000000000016</v>
      </c>
      <c r="N2164" s="126">
        <f>base[[#This Row],[L/P Líquido]]/base[[#This Row],[Stake/Responsabilidade]]</f>
        <v>0.95499999999999996</v>
      </c>
      <c r="O2164" s="132">
        <f>IF(base[[#This Row],[L/P Líquido]]&gt;0,1,0)</f>
        <v>1</v>
      </c>
      <c r="P2164" s="132"/>
      <c r="Q2164" s="132" t="str">
        <f>LEFT(base[[#This Row],[Evento / Mercado]],FIND("vs",base[[#This Row],[Evento / Mercado]])-2)</f>
        <v>Lillestrøm SK</v>
      </c>
      <c r="R21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2164" s="132" t="str">
        <f>LEFT(base[[#This Row],[Evento / Mercado]],FIND("/",base[[#This Row],[Evento / Mercado]])-2)</f>
        <v>Lillestrøm SK vs Sandefjord Fotball</v>
      </c>
    </row>
    <row r="2165" spans="2:19" ht="15" customHeight="1">
      <c r="B2165" s="128" t="s">
        <v>2173</v>
      </c>
      <c r="C2165" s="128" t="s">
        <v>2982</v>
      </c>
      <c r="D2165" s="129">
        <v>46158.511400462965</v>
      </c>
      <c r="E2165" s="130">
        <v>3.82</v>
      </c>
      <c r="F2165" s="136">
        <v>4.4999999999999998E-2</v>
      </c>
      <c r="G2165" s="126">
        <f t="shared" si="34"/>
        <v>4</v>
      </c>
      <c r="H2165" s="126" t="s">
        <v>1339</v>
      </c>
      <c r="I2165" s="127" t="s">
        <v>1430</v>
      </c>
      <c r="J2165" s="126">
        <v>13.5</v>
      </c>
      <c r="K2165" s="126">
        <v>50</v>
      </c>
      <c r="L2165" s="129">
        <f>INT(base[[#This Row],[Data de liquidação]])</f>
        <v>46158</v>
      </c>
      <c r="M2165" s="126">
        <f>base[[#This Row],[L/P Bruto]]-base[[#This Row],[L/P Líquido]]</f>
        <v>0.18000000000000016</v>
      </c>
      <c r="N2165" s="126">
        <f>base[[#This Row],[L/P Líquido]]/base[[#This Row],[Stake/Responsabilidade]]</f>
        <v>7.6399999999999996E-2</v>
      </c>
      <c r="O2165" s="132">
        <f>IF(base[[#This Row],[L/P Líquido]]&gt;0,1,0)</f>
        <v>1</v>
      </c>
      <c r="P2165" s="132"/>
      <c r="Q2165" s="132" t="str">
        <f>LEFT(base[[#This Row],[Evento / Mercado]],FIND("vs",base[[#This Row],[Evento / Mercado]])-2)</f>
        <v>Halmstads BK</v>
      </c>
      <c r="R21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Elfsborg</v>
      </c>
      <c r="S2165" s="132" t="str">
        <f>LEFT(base[[#This Row],[Evento / Mercado]],FIND("/",base[[#This Row],[Evento / Mercado]])-2)</f>
        <v>Halmstads BK vs IF Elfsborg</v>
      </c>
    </row>
    <row r="2166" spans="2:19" ht="15" customHeight="1">
      <c r="B2166" s="128" t="s">
        <v>2172</v>
      </c>
      <c r="C2166" s="128" t="s">
        <v>2982</v>
      </c>
      <c r="D2166" s="129">
        <v>46158.512685185182</v>
      </c>
      <c r="E2166" s="130">
        <v>17.36</v>
      </c>
      <c r="F2166" s="136">
        <v>4.4999999999999998E-2</v>
      </c>
      <c r="G2166" s="126">
        <f t="shared" si="34"/>
        <v>18.178010471204189</v>
      </c>
      <c r="H2166" s="126" t="s">
        <v>1784</v>
      </c>
      <c r="I2166" s="127" t="s">
        <v>1448</v>
      </c>
      <c r="J2166" s="126">
        <v>1.36</v>
      </c>
      <c r="K2166" s="126">
        <v>50</v>
      </c>
      <c r="L2166" s="129">
        <f>INT(base[[#This Row],[Data de liquidação]])</f>
        <v>46158</v>
      </c>
      <c r="M2166" s="126">
        <f>base[[#This Row],[L/P Bruto]]-base[[#This Row],[L/P Líquido]]</f>
        <v>0.81801047120418957</v>
      </c>
      <c r="N2166" s="126">
        <f>base[[#This Row],[L/P Líquido]]/base[[#This Row],[Stake/Responsabilidade]]</f>
        <v>0.34720000000000001</v>
      </c>
      <c r="O2166" s="132">
        <f>IF(base[[#This Row],[L/P Líquido]]&gt;0,1,0)</f>
        <v>1</v>
      </c>
      <c r="P2166" s="132"/>
      <c r="Q2166" s="132" t="str">
        <f>LEFT(base[[#This Row],[Evento / Mercado]],FIND("vs",base[[#This Row],[Evento / Mercado]])-2)</f>
        <v>DAC Dunajská Streda</v>
      </c>
      <c r="R21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Spartak Trnava</v>
      </c>
      <c r="S2166" s="132" t="str">
        <f>LEFT(base[[#This Row],[Evento / Mercado]],FIND("/",base[[#This Row],[Evento / Mercado]])-2)</f>
        <v>DAC Dunajská Streda vs Spartak Trnava</v>
      </c>
    </row>
    <row r="2167" spans="2:19" ht="15" customHeight="1">
      <c r="B2167" s="128" t="s">
        <v>2194</v>
      </c>
      <c r="C2167" s="128" t="s">
        <v>2982</v>
      </c>
      <c r="D2167" s="129">
        <v>46158.515416666669</v>
      </c>
      <c r="E2167" s="130">
        <v>21.34</v>
      </c>
      <c r="F2167" s="136">
        <v>4.4999999999999998E-2</v>
      </c>
      <c r="G2167" s="126">
        <f t="shared" si="34"/>
        <v>22.345549738219898</v>
      </c>
      <c r="H2167" s="126" t="s">
        <v>122</v>
      </c>
      <c r="I2167" s="127" t="s">
        <v>541</v>
      </c>
      <c r="J2167" s="126">
        <v>18</v>
      </c>
      <c r="K2167" s="126">
        <v>379.98</v>
      </c>
      <c r="L2167" s="129">
        <f>INT(base[[#This Row],[Data de liquidação]])</f>
        <v>46158</v>
      </c>
      <c r="M2167" s="126">
        <f>base[[#This Row],[L/P Bruto]]-base[[#This Row],[L/P Líquido]]</f>
        <v>1.0055497382198979</v>
      </c>
      <c r="N2167" s="126">
        <f>base[[#This Row],[L/P Líquido]]/base[[#This Row],[Stake/Responsabilidade]]</f>
        <v>5.6160850571082686E-2</v>
      </c>
      <c r="O2167" s="132">
        <f>IF(base[[#This Row],[L/P Líquido]]&gt;0,1,0)</f>
        <v>1</v>
      </c>
      <c r="P2167" s="132" t="s">
        <v>962</v>
      </c>
      <c r="Q2167" s="132" t="str">
        <f>LEFT(base[[#This Row],[Evento / Mercado]],FIND("vs",base[[#This Row],[Evento / Mercado]])-2)</f>
        <v>Borussia Mönchengladbach</v>
      </c>
      <c r="R21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2167" s="132" t="e">
        <f>LEFT(base[[#This Row],[Evento / Mercado]],FIND("/",base[[#This Row],[Evento / Mercado]])-2)</f>
        <v>#VALUE!</v>
      </c>
    </row>
    <row r="2168" spans="2:19" ht="15" customHeight="1">
      <c r="B2168" s="128" t="s">
        <v>2171</v>
      </c>
      <c r="C2168" s="128" t="s">
        <v>2982</v>
      </c>
      <c r="D2168" s="129">
        <v>46158.515879629631</v>
      </c>
      <c r="E2168" s="130">
        <v>1.91</v>
      </c>
      <c r="F2168" s="136">
        <v>4.4999999999999998E-2</v>
      </c>
      <c r="G2168" s="126">
        <f t="shared" si="34"/>
        <v>2</v>
      </c>
      <c r="H2168" s="126" t="s">
        <v>1339</v>
      </c>
      <c r="I2168" s="127" t="s">
        <v>1963</v>
      </c>
      <c r="J2168" s="126">
        <v>1.04</v>
      </c>
      <c r="K2168" s="126">
        <v>50</v>
      </c>
      <c r="L2168" s="129">
        <f>INT(base[[#This Row],[Data de liquidação]])</f>
        <v>46158</v>
      </c>
      <c r="M2168" s="126">
        <f>base[[#This Row],[L/P Bruto]]-base[[#This Row],[L/P Líquido]]</f>
        <v>9.000000000000008E-2</v>
      </c>
      <c r="N2168" s="126">
        <f>base[[#This Row],[L/P Líquido]]/base[[#This Row],[Stake/Responsabilidade]]</f>
        <v>3.8199999999999998E-2</v>
      </c>
      <c r="O2168" s="132">
        <f>IF(base[[#This Row],[L/P Líquido]]&gt;0,1,0)</f>
        <v>1</v>
      </c>
      <c r="P2168" s="132"/>
      <c r="Q2168" s="132" t="str">
        <f>LEFT(base[[#This Row],[Evento / Mercado]],FIND("vs",base[[#This Row],[Evento / Mercado]])-2)</f>
        <v>Borussia Mönchengladbach</v>
      </c>
      <c r="R21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2168" s="132" t="str">
        <f>LEFT(base[[#This Row],[Evento / Mercado]],FIND("/",base[[#This Row],[Evento / Mercado]])-2)</f>
        <v>Borussia Mönchengladbach vs 1899 Hoffenheim</v>
      </c>
    </row>
    <row r="2169" spans="2:19" ht="15" customHeight="1">
      <c r="B2169" s="128" t="s">
        <v>2170</v>
      </c>
      <c r="C2169" s="128" t="s">
        <v>2982</v>
      </c>
      <c r="D2169" s="129">
        <v>46158.516388888886</v>
      </c>
      <c r="E2169" s="130">
        <v>-2</v>
      </c>
      <c r="F2169" s="136">
        <v>4.4999999999999998E-2</v>
      </c>
      <c r="G2169" s="126">
        <f t="shared" si="34"/>
        <v>-2</v>
      </c>
      <c r="H2169" s="126" t="s">
        <v>1339</v>
      </c>
      <c r="I2169" s="127" t="s">
        <v>1448</v>
      </c>
      <c r="J2169" s="126">
        <v>1.86</v>
      </c>
      <c r="K2169" s="126">
        <v>2</v>
      </c>
      <c r="L2169" s="129">
        <f>INT(base[[#This Row],[Data de liquidação]])</f>
        <v>46158</v>
      </c>
      <c r="M2169" s="126">
        <f>base[[#This Row],[L/P Bruto]]-base[[#This Row],[L/P Líquido]]</f>
        <v>0</v>
      </c>
      <c r="N2169" s="126">
        <f>base[[#This Row],[L/P Líquido]]/base[[#This Row],[Stake/Responsabilidade]]</f>
        <v>-1</v>
      </c>
      <c r="O2169" s="132">
        <f>IF(base[[#This Row],[L/P Líquido]]&gt;0,1,0)</f>
        <v>0</v>
      </c>
      <c r="P2169" s="132"/>
      <c r="Q2169" s="132" t="str">
        <f>LEFT(base[[#This Row],[Evento / Mercado]],FIND("vs",base[[#This Row],[Evento / Mercado]])-2)</f>
        <v>FC Porto</v>
      </c>
      <c r="R21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Santa Clara</v>
      </c>
      <c r="S2169" s="132" t="str">
        <f>LEFT(base[[#This Row],[Evento / Mercado]],FIND("/",base[[#This Row],[Evento / Mercado]])-2)</f>
        <v>FC Porto vs Santa Clara</v>
      </c>
    </row>
    <row r="2170" spans="2:19" ht="15" customHeight="1">
      <c r="B2170" s="128" t="s">
        <v>2169</v>
      </c>
      <c r="C2170" s="128" t="s">
        <v>2982</v>
      </c>
      <c r="D2170" s="129">
        <v>46158.516793981478</v>
      </c>
      <c r="E2170" s="130">
        <v>1.64</v>
      </c>
      <c r="F2170" s="136">
        <v>4.4999999999999998E-2</v>
      </c>
      <c r="G2170" s="126">
        <f t="shared" si="34"/>
        <v>1.7172774869109948</v>
      </c>
      <c r="H2170" s="126" t="s">
        <v>1339</v>
      </c>
      <c r="I2170" s="127" t="s">
        <v>1388</v>
      </c>
      <c r="J2170" s="126">
        <v>30</v>
      </c>
      <c r="K2170" s="126">
        <v>49.88</v>
      </c>
      <c r="L2170" s="129">
        <f>INT(base[[#This Row],[Data de liquidação]])</f>
        <v>46158</v>
      </c>
      <c r="M2170" s="126">
        <f>base[[#This Row],[L/P Bruto]]-base[[#This Row],[L/P Líquido]]</f>
        <v>7.7277486910994897E-2</v>
      </c>
      <c r="N2170" s="126">
        <f>base[[#This Row],[L/P Líquido]]/base[[#This Row],[Stake/Responsabilidade]]</f>
        <v>3.2878909382518043E-2</v>
      </c>
      <c r="O2170" s="132">
        <f>IF(base[[#This Row],[L/P Líquido]]&gt;0,1,0)</f>
        <v>1</v>
      </c>
      <c r="P2170" s="132"/>
      <c r="Q2170" s="132" t="str">
        <f>LEFT(base[[#This Row],[Evento / Mercado]],FIND("vs",base[[#This Row],[Evento / Mercado]])-2)</f>
        <v>Werder Bremen</v>
      </c>
      <c r="R21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2170" s="132" t="str">
        <f>LEFT(base[[#This Row],[Evento / Mercado]],FIND("/",base[[#This Row],[Evento / Mercado]])-2)</f>
        <v>Werder Bremen vs Borussia Dortmund</v>
      </c>
    </row>
    <row r="2171" spans="2:19" ht="15" customHeight="1">
      <c r="B2171" s="128" t="s">
        <v>2168</v>
      </c>
      <c r="C2171" s="128" t="s">
        <v>2982</v>
      </c>
      <c r="D2171" s="129">
        <v>46158.51734953704</v>
      </c>
      <c r="E2171" s="130">
        <v>1.7</v>
      </c>
      <c r="F2171" s="136">
        <v>4.4999999999999998E-2</v>
      </c>
      <c r="G2171" s="126">
        <f t="shared" si="34"/>
        <v>1.7801047120418849</v>
      </c>
      <c r="H2171" s="126" t="s">
        <v>1339</v>
      </c>
      <c r="I2171" s="127" t="s">
        <v>1336</v>
      </c>
      <c r="J2171" s="126">
        <v>1.43</v>
      </c>
      <c r="K2171" s="126">
        <v>10</v>
      </c>
      <c r="L2171" s="129">
        <f>INT(base[[#This Row],[Data de liquidação]])</f>
        <v>46158</v>
      </c>
      <c r="M2171" s="126">
        <f>base[[#This Row],[L/P Bruto]]-base[[#This Row],[L/P Líquido]]</f>
        <v>8.0104712041884962E-2</v>
      </c>
      <c r="N2171" s="126">
        <f>base[[#This Row],[L/P Líquido]]/base[[#This Row],[Stake/Responsabilidade]]</f>
        <v>0.16999999999999998</v>
      </c>
      <c r="O2171" s="132">
        <f>IF(base[[#This Row],[L/P Líquido]]&gt;0,1,0)</f>
        <v>1</v>
      </c>
      <c r="P2171" s="132"/>
      <c r="Q2171" s="132" t="str">
        <f>LEFT(base[[#This Row],[Evento / Mercado]],FIND("vs",base[[#This Row],[Evento / Mercado]])-2)</f>
        <v>Werder Bremen</v>
      </c>
      <c r="R21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2171" s="132" t="str">
        <f>LEFT(base[[#This Row],[Evento / Mercado]],FIND("/",base[[#This Row],[Evento / Mercado]])-2)</f>
        <v>Werder Bremen vs Borussia Dortmund</v>
      </c>
    </row>
    <row r="2172" spans="2:19" ht="15" customHeight="1">
      <c r="B2172" s="128" t="s">
        <v>2167</v>
      </c>
      <c r="C2172" s="128" t="s">
        <v>2982</v>
      </c>
      <c r="D2172" s="129">
        <v>46158.517650462964</v>
      </c>
      <c r="E2172" s="130">
        <v>0.72</v>
      </c>
      <c r="F2172" s="136">
        <v>4.4999999999999998E-2</v>
      </c>
      <c r="G2172" s="126">
        <f t="shared" si="34"/>
        <v>0.75392670157068065</v>
      </c>
      <c r="H2172" s="126" t="s">
        <v>1339</v>
      </c>
      <c r="I2172" s="127" t="s">
        <v>1391</v>
      </c>
      <c r="J2172" s="126">
        <v>3.4</v>
      </c>
      <c r="K2172" s="126">
        <v>19.989999999999998</v>
      </c>
      <c r="L2172" s="129">
        <f>INT(base[[#This Row],[Data de liquidação]])</f>
        <v>46158</v>
      </c>
      <c r="M2172" s="126">
        <f>base[[#This Row],[L/P Bruto]]-base[[#This Row],[L/P Líquido]]</f>
        <v>3.3926701570680673E-2</v>
      </c>
      <c r="N2172" s="126">
        <f>base[[#This Row],[L/P Líquido]]/base[[#This Row],[Stake/Responsabilidade]]</f>
        <v>3.6018009004502249E-2</v>
      </c>
      <c r="O2172" s="132">
        <f>IF(base[[#This Row],[L/P Líquido]]&gt;0,1,0)</f>
        <v>1</v>
      </c>
      <c r="P2172" s="132"/>
      <c r="Q2172" s="132" t="str">
        <f>LEFT(base[[#This Row],[Evento / Mercado]],FIND("vs",base[[#This Row],[Evento / Mercado]])-2)</f>
        <v>SC Freiburg</v>
      </c>
      <c r="R21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RB Leipzig</v>
      </c>
      <c r="S2172" s="132" t="str">
        <f>LEFT(base[[#This Row],[Evento / Mercado]],FIND("/",base[[#This Row],[Evento / Mercado]])-2)</f>
        <v>SC Freiburg vs RB Leipzig</v>
      </c>
    </row>
    <row r="2173" spans="2:19" ht="15" customHeight="1">
      <c r="B2173" s="128" t="s">
        <v>2166</v>
      </c>
      <c r="C2173" s="128" t="s">
        <v>2982</v>
      </c>
      <c r="D2173" s="129">
        <v>46158.518425925926</v>
      </c>
      <c r="E2173" s="130">
        <v>1.36</v>
      </c>
      <c r="F2173" s="136">
        <v>4.4999999999999998E-2</v>
      </c>
      <c r="G2173" s="126">
        <f t="shared" si="34"/>
        <v>1.424083769633508</v>
      </c>
      <c r="H2173" s="126" t="s">
        <v>1339</v>
      </c>
      <c r="I2173" s="127" t="s">
        <v>1391</v>
      </c>
      <c r="J2173" s="126">
        <v>3.4</v>
      </c>
      <c r="K2173" s="126">
        <v>19.989999999999998</v>
      </c>
      <c r="L2173" s="129">
        <f>INT(base[[#This Row],[Data de liquidação]])</f>
        <v>46158</v>
      </c>
      <c r="M2173" s="126">
        <f>base[[#This Row],[L/P Bruto]]-base[[#This Row],[L/P Líquido]]</f>
        <v>6.4083769633507925E-2</v>
      </c>
      <c r="N2173" s="126">
        <f>base[[#This Row],[L/P Líquido]]/base[[#This Row],[Stake/Responsabilidade]]</f>
        <v>6.8034017008504269E-2</v>
      </c>
      <c r="O2173" s="132">
        <f>IF(base[[#This Row],[L/P Líquido]]&gt;0,1,0)</f>
        <v>1</v>
      </c>
      <c r="P2173" s="132"/>
      <c r="Q2173" s="132" t="str">
        <f>LEFT(base[[#This Row],[Evento / Mercado]],FIND("vs",base[[#This Row],[Evento / Mercado]])-2)</f>
        <v>FC St. Pauli</v>
      </c>
      <c r="R21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2173" s="132" t="str">
        <f>LEFT(base[[#This Row],[Evento / Mercado]],FIND("/",base[[#This Row],[Evento / Mercado]])-2)</f>
        <v>FC St. Pauli vs VfL Wolfsburg</v>
      </c>
    </row>
    <row r="2174" spans="2:19" ht="15" customHeight="1">
      <c r="B2174" s="128" t="s">
        <v>2165</v>
      </c>
      <c r="C2174" s="128" t="s">
        <v>2982</v>
      </c>
      <c r="D2174" s="129">
        <v>46158.538310185184</v>
      </c>
      <c r="E2174" s="130">
        <v>1.43</v>
      </c>
      <c r="F2174" s="136">
        <v>4.4999999999999998E-2</v>
      </c>
      <c r="G2174" s="126">
        <f t="shared" si="34"/>
        <v>1.4973821989528795</v>
      </c>
      <c r="H2174" s="126" t="s">
        <v>1339</v>
      </c>
      <c r="I2174" s="127" t="s">
        <v>1963</v>
      </c>
      <c r="J2174" s="126">
        <v>1.03</v>
      </c>
      <c r="K2174" s="126">
        <v>50</v>
      </c>
      <c r="L2174" s="129">
        <f>INT(base[[#This Row],[Data de liquidação]])</f>
        <v>46158</v>
      </c>
      <c r="M2174" s="126">
        <f>base[[#This Row],[L/P Bruto]]-base[[#This Row],[L/P Líquido]]</f>
        <v>6.7382198952879557E-2</v>
      </c>
      <c r="N2174" s="126">
        <f>base[[#This Row],[L/P Líquido]]/base[[#This Row],[Stake/Responsabilidade]]</f>
        <v>2.86E-2</v>
      </c>
      <c r="O2174" s="132">
        <f>IF(base[[#This Row],[L/P Líquido]]&gt;0,1,0)</f>
        <v>1</v>
      </c>
      <c r="P2174" s="132"/>
      <c r="Q2174" s="132" t="str">
        <f>LEFT(base[[#This Row],[Evento / Mercado]],FIND("vs",base[[#This Row],[Evento / Mercado]])-2)</f>
        <v>Fredrikstad</v>
      </c>
      <c r="R21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2174" s="132" t="str">
        <f>LEFT(base[[#This Row],[Evento / Mercado]],FIND("/",base[[#This Row],[Evento / Mercado]])-2)</f>
        <v>Fredrikstad vs Hamarkameratene</v>
      </c>
    </row>
    <row r="2175" spans="2:19" ht="15" customHeight="1">
      <c r="B2175" s="128" t="s">
        <v>2164</v>
      </c>
      <c r="C2175" s="128" t="s">
        <v>2982</v>
      </c>
      <c r="D2175" s="129">
        <v>46158.538703703707</v>
      </c>
      <c r="E2175" s="130">
        <v>19.62</v>
      </c>
      <c r="F2175" s="136">
        <v>4.4999999999999998E-2</v>
      </c>
      <c r="G2175" s="126">
        <f t="shared" si="34"/>
        <v>20.544502617801047</v>
      </c>
      <c r="H2175" s="126" t="s">
        <v>122</v>
      </c>
      <c r="I2175" s="127" t="s">
        <v>542</v>
      </c>
      <c r="J2175" s="126">
        <v>19.5</v>
      </c>
      <c r="K2175" s="126">
        <v>379.99</v>
      </c>
      <c r="L2175" s="129">
        <f>INT(base[[#This Row],[Data de liquidação]])</f>
        <v>46158</v>
      </c>
      <c r="M2175" s="126">
        <f>base[[#This Row],[L/P Bruto]]-base[[#This Row],[L/P Líquido]]</f>
        <v>0.92450261780104626</v>
      </c>
      <c r="N2175" s="126">
        <f>base[[#This Row],[L/P Líquido]]/base[[#This Row],[Stake/Responsabilidade]]</f>
        <v>5.1632937708887078E-2</v>
      </c>
      <c r="O2175" s="132">
        <f>IF(base[[#This Row],[L/P Líquido]]&gt;0,1,0)</f>
        <v>1</v>
      </c>
      <c r="P2175" s="132" t="s">
        <v>963</v>
      </c>
      <c r="Q2175" s="132" t="str">
        <f>LEFT(base[[#This Row],[Evento / Mercado]],FIND("vs",base[[#This Row],[Evento / Mercado]])-2)</f>
        <v>Chelsea</v>
      </c>
      <c r="R21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2175" s="132" t="str">
        <f>LEFT(base[[#This Row],[Evento / Mercado]],FIND("/",base[[#This Row],[Evento / Mercado]])-2)</f>
        <v>Chelsea vs Manchester City</v>
      </c>
    </row>
    <row r="2176" spans="2:19" ht="15" customHeight="1">
      <c r="B2176" s="128" t="s">
        <v>2163</v>
      </c>
      <c r="C2176" s="128" t="s">
        <v>2982</v>
      </c>
      <c r="D2176" s="129">
        <v>46158.5393287037</v>
      </c>
      <c r="E2176" s="130">
        <v>2.0699999999999998</v>
      </c>
      <c r="F2176" s="136">
        <v>4.4999999999999998E-2</v>
      </c>
      <c r="G2176" s="126">
        <f t="shared" si="34"/>
        <v>2.1675392670157065</v>
      </c>
      <c r="H2176" s="126" t="s">
        <v>1339</v>
      </c>
      <c r="I2176" s="127" t="s">
        <v>1336</v>
      </c>
      <c r="J2176" s="126">
        <v>1.47</v>
      </c>
      <c r="K2176" s="126">
        <v>10</v>
      </c>
      <c r="L2176" s="129">
        <f>INT(base[[#This Row],[Data de liquidação]])</f>
        <v>46158</v>
      </c>
      <c r="M2176" s="126">
        <f>base[[#This Row],[L/P Bruto]]-base[[#This Row],[L/P Líquido]]</f>
        <v>9.7539267015706699E-2</v>
      </c>
      <c r="N2176" s="126">
        <f>base[[#This Row],[L/P Líquido]]/base[[#This Row],[Stake/Responsabilidade]]</f>
        <v>0.20699999999999999</v>
      </c>
      <c r="O2176" s="132">
        <f>IF(base[[#This Row],[L/P Líquido]]&gt;0,1,0)</f>
        <v>1</v>
      </c>
      <c r="P2176" s="132"/>
      <c r="Q2176" s="132" t="str">
        <f>LEFT(base[[#This Row],[Evento / Mercado]],FIND("vs",base[[#This Row],[Evento / Mercado]])-2)</f>
        <v>Molde</v>
      </c>
      <c r="R21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Kristiansund BK</v>
      </c>
      <c r="S2176" s="132" t="str">
        <f>LEFT(base[[#This Row],[Evento / Mercado]],FIND("/",base[[#This Row],[Evento / Mercado]])-2)</f>
        <v>Molde vs Kristiansund BK</v>
      </c>
    </row>
    <row r="2177" spans="2:21" ht="15" customHeight="1">
      <c r="B2177" s="128" t="s">
        <v>2162</v>
      </c>
      <c r="C2177" s="128" t="s">
        <v>2982</v>
      </c>
      <c r="D2177" s="129">
        <v>46158.540335648147</v>
      </c>
      <c r="E2177" s="130">
        <v>23.416599999999999</v>
      </c>
      <c r="F2177" s="136">
        <v>4.4999999999999998E-2</v>
      </c>
      <c r="G2177" s="126">
        <f t="shared" si="34"/>
        <v>24.52</v>
      </c>
      <c r="H2177" s="126" t="s">
        <v>145</v>
      </c>
      <c r="I2177" s="127" t="s">
        <v>301</v>
      </c>
      <c r="J2177" s="126">
        <v>16.5</v>
      </c>
      <c r="K2177" s="126">
        <v>380.06</v>
      </c>
      <c r="L2177" s="129">
        <f>INT(base[[#This Row],[Data de liquidação]])</f>
        <v>46158</v>
      </c>
      <c r="M2177" s="126">
        <f>base[[#This Row],[L/P Bruto]]-base[[#This Row],[L/P Líquido]]</f>
        <v>1.1034000000000006</v>
      </c>
      <c r="N2177" s="126">
        <f>base[[#This Row],[L/P Líquido]]/base[[#This Row],[Stake/Responsabilidade]]</f>
        <v>6.1612903225806447E-2</v>
      </c>
      <c r="O2177" s="132">
        <f>IF(base[[#This Row],[L/P Líquido]]&gt;0,1,0)</f>
        <v>1</v>
      </c>
      <c r="P2177" s="132" t="s">
        <v>1668</v>
      </c>
      <c r="Q2177" s="132" t="str">
        <f>LEFT(base[[#This Row],[Evento / Mercado]],FIND("vs",base[[#This Row],[Evento / Mercado]])-2)</f>
        <v>Viking FK</v>
      </c>
      <c r="R21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Start</v>
      </c>
      <c r="S2177" s="132" t="str">
        <f>LEFT(base[[#This Row],[Evento / Mercado]],FIND("/",base[[#This Row],[Evento / Mercado]])-2)</f>
        <v>Viking FK vs Start</v>
      </c>
      <c r="T2177" s="8">
        <v>24.52</v>
      </c>
      <c r="U2177" s="9">
        <f>T2177*0.955</f>
        <v>23.416599999999999</v>
      </c>
    </row>
    <row r="2178" spans="2:21" ht="15" customHeight="1">
      <c r="B2178" s="128" t="s">
        <v>2162</v>
      </c>
      <c r="C2178" s="128" t="s">
        <v>2982</v>
      </c>
      <c r="D2178" s="129">
        <v>46158.540335648147</v>
      </c>
      <c r="E2178" s="130">
        <v>11.9375</v>
      </c>
      <c r="F2178" s="136">
        <v>4.4999999999999998E-2</v>
      </c>
      <c r="G2178" s="126">
        <f t="shared" si="34"/>
        <v>12.5</v>
      </c>
      <c r="H2178" s="126" t="s">
        <v>1233</v>
      </c>
      <c r="I2178" s="127"/>
      <c r="J2178" s="126">
        <v>9</v>
      </c>
      <c r="K2178" s="126">
        <v>100</v>
      </c>
      <c r="L2178" s="129">
        <f>INT(base[[#This Row],[Data de liquidação]])</f>
        <v>46158</v>
      </c>
      <c r="M2178" s="126">
        <f>base[[#This Row],[L/P Bruto]]-base[[#This Row],[L/P Líquido]]</f>
        <v>0.5625</v>
      </c>
      <c r="N2178" s="126">
        <f>base[[#This Row],[L/P Líquido]]/base[[#This Row],[Stake/Responsabilidade]]</f>
        <v>0.119375</v>
      </c>
      <c r="O2178" s="132">
        <f>IF(base[[#This Row],[L/P Líquido]]&gt;0,1,0)</f>
        <v>1</v>
      </c>
      <c r="P2178" s="132"/>
      <c r="Q2178" s="132" t="str">
        <f>LEFT(base[[#This Row],[Evento / Mercado]],FIND("vs",base[[#This Row],[Evento / Mercado]])-2)</f>
        <v>Viking FK</v>
      </c>
      <c r="R21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Start</v>
      </c>
      <c r="S2178" s="132" t="str">
        <f>LEFT(base[[#This Row],[Evento / Mercado]],FIND("/",base[[#This Row],[Evento / Mercado]])-2)</f>
        <v>Viking FK vs Start</v>
      </c>
      <c r="T2178" s="8">
        <v>12.5</v>
      </c>
      <c r="U2178" s="9">
        <f>T2178*0.955</f>
        <v>11.9375</v>
      </c>
    </row>
    <row r="2179" spans="2:21" ht="15" customHeight="1">
      <c r="B2179" s="128" t="s">
        <v>2161</v>
      </c>
      <c r="C2179" s="128" t="s">
        <v>2982</v>
      </c>
      <c r="D2179" s="129">
        <v>46158.549490740741</v>
      </c>
      <c r="E2179" s="130">
        <v>3.82</v>
      </c>
      <c r="F2179" s="136">
        <v>4.4999999999999998E-2</v>
      </c>
      <c r="G2179" s="126">
        <f t="shared" ref="G2179:G2242" si="35">IF(E2179&gt;0,E2179/(1-F2179),E2179)</f>
        <v>4</v>
      </c>
      <c r="H2179" s="126" t="s">
        <v>1339</v>
      </c>
      <c r="I2179" s="127" t="s">
        <v>1963</v>
      </c>
      <c r="J2179" s="126">
        <v>1.08</v>
      </c>
      <c r="K2179" s="126">
        <v>50</v>
      </c>
      <c r="L2179" s="129">
        <f>INT(base[[#This Row],[Data de liquidação]])</f>
        <v>46158</v>
      </c>
      <c r="M2179" s="126">
        <f>base[[#This Row],[L/P Bruto]]-base[[#This Row],[L/P Líquido]]</f>
        <v>0.18000000000000016</v>
      </c>
      <c r="N2179" s="126">
        <f>base[[#This Row],[L/P Líquido]]/base[[#This Row],[Stake/Responsabilidade]]</f>
        <v>7.6399999999999996E-2</v>
      </c>
      <c r="O2179" s="132">
        <f>IF(base[[#This Row],[L/P Líquido]]&gt;0,1,0)</f>
        <v>1</v>
      </c>
      <c r="P2179" s="132"/>
      <c r="Q2179" s="132" t="str">
        <f>LEFT(base[[#This Row],[Evento / Mercado]],FIND("vs",base[[#This Row],[Evento / Mercado]])-2)</f>
        <v>Cultural Leonesa</v>
      </c>
      <c r="R21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SD Eibar</v>
      </c>
      <c r="S2179" s="132" t="str">
        <f>LEFT(base[[#This Row],[Evento / Mercado]],FIND("/",base[[#This Row],[Evento / Mercado]])-2)</f>
        <v>Cultural Leonesa vs SD Eibar</v>
      </c>
    </row>
    <row r="2180" spans="2:21" ht="15" customHeight="1">
      <c r="B2180" s="128" t="s">
        <v>2160</v>
      </c>
      <c r="C2180" s="128" t="s">
        <v>2982</v>
      </c>
      <c r="D2180" s="129">
        <v>46158.557083333333</v>
      </c>
      <c r="E2180" s="130">
        <v>11.46</v>
      </c>
      <c r="F2180" s="136">
        <v>4.4999999999999998E-2</v>
      </c>
      <c r="G2180" s="126">
        <f t="shared" si="35"/>
        <v>12.000000000000002</v>
      </c>
      <c r="H2180" s="126" t="s">
        <v>1784</v>
      </c>
      <c r="I2180" s="127" t="s">
        <v>1448</v>
      </c>
      <c r="J2180" s="126">
        <v>1.24</v>
      </c>
      <c r="K2180" s="126">
        <v>50</v>
      </c>
      <c r="L2180" s="129">
        <f>INT(base[[#This Row],[Data de liquidação]])</f>
        <v>46158</v>
      </c>
      <c r="M2180" s="126">
        <f>base[[#This Row],[L/P Bruto]]-base[[#This Row],[L/P Líquido]]</f>
        <v>0.54000000000000092</v>
      </c>
      <c r="N2180" s="126">
        <f>base[[#This Row],[L/P Líquido]]/base[[#This Row],[Stake/Responsabilidade]]</f>
        <v>0.22920000000000001</v>
      </c>
      <c r="O2180" s="132">
        <f>IF(base[[#This Row],[L/P Líquido]]&gt;0,1,0)</f>
        <v>1</v>
      </c>
      <c r="P2180" s="132"/>
      <c r="Q2180" s="132" t="str">
        <f>LEFT(base[[#This Row],[Evento / Mercado]],FIND("vs",base[[#This Row],[Evento / Mercado]])-2)</f>
        <v>Bodø/Glimt</v>
      </c>
      <c r="R2180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180" s="132" t="str">
        <f>LEFT(base[[#This Row],[Evento / Mercado]],FIND("/",base[[#This Row],[Evento / Mercado]])-2)</f>
        <v>Bod</v>
      </c>
    </row>
    <row r="2181" spans="2:21" ht="15" customHeight="1">
      <c r="B2181" s="128" t="s">
        <v>2159</v>
      </c>
      <c r="C2181" s="128" t="s">
        <v>2982</v>
      </c>
      <c r="D2181" s="129">
        <v>46158.575208333335</v>
      </c>
      <c r="E2181" s="130">
        <v>2.65</v>
      </c>
      <c r="F2181" s="136">
        <v>4.4999999999999998E-2</v>
      </c>
      <c r="G2181" s="126">
        <f t="shared" si="35"/>
        <v>2.7748691099476441</v>
      </c>
      <c r="H2181" s="126" t="s">
        <v>1339</v>
      </c>
      <c r="I2181" s="127" t="s">
        <v>1388</v>
      </c>
      <c r="J2181" s="126">
        <v>19</v>
      </c>
      <c r="K2181" s="126">
        <v>50.04</v>
      </c>
      <c r="L2181" s="129">
        <f>INT(base[[#This Row],[Data de liquidação]])</f>
        <v>46158</v>
      </c>
      <c r="M2181" s="126">
        <f>base[[#This Row],[L/P Bruto]]-base[[#This Row],[L/P Líquido]]</f>
        <v>0.12486910994764422</v>
      </c>
      <c r="N2181" s="126">
        <f>base[[#This Row],[L/P Líquido]]/base[[#This Row],[Stake/Responsabilidade]]</f>
        <v>5.2957633892885693E-2</v>
      </c>
      <c r="O2181" s="132">
        <f>IF(base[[#This Row],[L/P Líquido]]&gt;0,1,0)</f>
        <v>1</v>
      </c>
      <c r="P2181" s="132"/>
      <c r="Q2181" s="132" t="str">
        <f>LEFT(base[[#This Row],[Evento / Mercado]],FIND("vs",base[[#This Row],[Evento / Mercado]])-2)</f>
        <v>1.FC Slovácko</v>
      </c>
      <c r="R21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Mladá Boleslav</v>
      </c>
      <c r="S2181" s="132" t="str">
        <f>LEFT(base[[#This Row],[Evento / Mercado]],FIND("/",base[[#This Row],[Evento / Mercado]])-2)</f>
        <v>1.FC Slovácko vs FK Mladá Boleslav</v>
      </c>
    </row>
    <row r="2182" spans="2:21" ht="15" customHeight="1">
      <c r="B2182" s="128" t="s">
        <v>2158</v>
      </c>
      <c r="C2182" s="128" t="s">
        <v>2982</v>
      </c>
      <c r="D2182" s="129">
        <v>46158.575567129628</v>
      </c>
      <c r="E2182" s="130">
        <v>11.94</v>
      </c>
      <c r="F2182" s="136">
        <v>4.4999999999999998E-2</v>
      </c>
      <c r="G2182" s="126">
        <f t="shared" si="35"/>
        <v>12.502617801047121</v>
      </c>
      <c r="H2182" s="126" t="s">
        <v>1784</v>
      </c>
      <c r="I2182" s="127" t="s">
        <v>1785</v>
      </c>
      <c r="J2182" s="126">
        <v>5</v>
      </c>
      <c r="K2182" s="126">
        <v>50</v>
      </c>
      <c r="L2182" s="129">
        <f>INT(base[[#This Row],[Data de liquidação]])</f>
        <v>46158</v>
      </c>
      <c r="M2182" s="126">
        <f>base[[#This Row],[L/P Bruto]]-base[[#This Row],[L/P Líquido]]</f>
        <v>0.56261780104712145</v>
      </c>
      <c r="N2182" s="126">
        <f>base[[#This Row],[L/P Líquido]]/base[[#This Row],[Stake/Responsabilidade]]</f>
        <v>0.23879999999999998</v>
      </c>
      <c r="O2182" s="132">
        <f>IF(base[[#This Row],[L/P Líquido]]&gt;0,1,0)</f>
        <v>1</v>
      </c>
      <c r="P2182" s="132"/>
      <c r="Q2182" s="132" t="str">
        <f>LEFT(base[[#This Row],[Evento / Mercado]],FIND("vs",base[[#This Row],[Evento / Mercado]])-2)</f>
        <v>Ústí nad Labem</v>
      </c>
      <c r="R21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Slavia Praha B</v>
      </c>
      <c r="S2182" s="132" t="str">
        <f>LEFT(base[[#This Row],[Evento / Mercado]],FIND("/",base[[#This Row],[Evento / Mercado]])-2)</f>
        <v>Ústí nad Labem vs SK Slavia Praha B</v>
      </c>
    </row>
    <row r="2183" spans="2:21" ht="15" customHeight="1">
      <c r="B2183" s="128" t="s">
        <v>2157</v>
      </c>
      <c r="C2183" s="128" t="s">
        <v>2982</v>
      </c>
      <c r="D2183" s="129">
        <v>46158.577106481483</v>
      </c>
      <c r="E2183" s="130">
        <v>-50</v>
      </c>
      <c r="F2183" s="136">
        <v>4.4999999999999998E-2</v>
      </c>
      <c r="G2183" s="126">
        <f t="shared" si="35"/>
        <v>-50</v>
      </c>
      <c r="H2183" s="126" t="s">
        <v>1784</v>
      </c>
      <c r="I2183" s="127" t="s">
        <v>1787</v>
      </c>
      <c r="J2183" s="126">
        <v>1.65</v>
      </c>
      <c r="K2183" s="126">
        <v>50</v>
      </c>
      <c r="L2183" s="129">
        <f>INT(base[[#This Row],[Data de liquidação]])</f>
        <v>46158</v>
      </c>
      <c r="M2183" s="126">
        <f>base[[#This Row],[L/P Bruto]]-base[[#This Row],[L/P Líquido]]</f>
        <v>0</v>
      </c>
      <c r="N2183" s="126">
        <f>base[[#This Row],[L/P Líquido]]/base[[#This Row],[Stake/Responsabilidade]]</f>
        <v>-1</v>
      </c>
      <c r="O2183" s="132">
        <f>IF(base[[#This Row],[L/P Líquido]]&gt;0,1,0)</f>
        <v>0</v>
      </c>
      <c r="P2183" s="132"/>
      <c r="Q2183" s="132" t="str">
        <f>LEFT(base[[#This Row],[Evento / Mercado]],FIND("vs",base[[#This Row],[Evento / Mercado]])-2)</f>
        <v>MŠK Žilina</v>
      </c>
      <c r="R21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Železiarne Podbrezová</v>
      </c>
      <c r="S2183" s="132" t="str">
        <f>LEFT(base[[#This Row],[Evento / Mercado]],FIND("/",base[[#This Row],[Evento / Mercado]])-2)</f>
        <v>MŠK Žilina vs FK Železiarne Podbrezová</v>
      </c>
    </row>
    <row r="2184" spans="2:21" ht="15" customHeight="1">
      <c r="B2184" s="128" t="s">
        <v>2156</v>
      </c>
      <c r="C2184" s="128" t="s">
        <v>2982</v>
      </c>
      <c r="D2184" s="129">
        <v>46158.580381944441</v>
      </c>
      <c r="E2184" s="130">
        <v>2.0699999999999998</v>
      </c>
      <c r="F2184" s="136">
        <v>4.4999999999999998E-2</v>
      </c>
      <c r="G2184" s="126">
        <f t="shared" si="35"/>
        <v>2.1675392670157065</v>
      </c>
      <c r="H2184" s="126" t="s">
        <v>1339</v>
      </c>
      <c r="I2184" s="127" t="s">
        <v>1388</v>
      </c>
      <c r="J2184" s="126">
        <v>25</v>
      </c>
      <c r="K2184" s="126">
        <v>52.08</v>
      </c>
      <c r="L2184" s="129">
        <f>INT(base[[#This Row],[Data de liquidação]])</f>
        <v>46158</v>
      </c>
      <c r="M2184" s="126">
        <f>base[[#This Row],[L/P Bruto]]-base[[#This Row],[L/P Líquido]]</f>
        <v>9.7539267015706699E-2</v>
      </c>
      <c r="N2184" s="126">
        <f>base[[#This Row],[L/P Líquido]]/base[[#This Row],[Stake/Responsabilidade]]</f>
        <v>3.9746543778801845E-2</v>
      </c>
      <c r="O2184" s="132">
        <f>IF(base[[#This Row],[L/P Líquido]]&gt;0,1,0)</f>
        <v>1</v>
      </c>
      <c r="P2184" s="132"/>
      <c r="Q2184" s="132" t="str">
        <f>LEFT(base[[#This Row],[Evento / Mercado]],FIND("vs",base[[#This Row],[Evento / Mercado]])-2)</f>
        <v>SCR Altach</v>
      </c>
      <c r="R21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Guntamatic Ried</v>
      </c>
      <c r="S2184" s="132" t="str">
        <f>LEFT(base[[#This Row],[Evento / Mercado]],FIND("/",base[[#This Row],[Evento / Mercado]])-2)</f>
        <v>SCR Altach vs SV Guntamatic Ried</v>
      </c>
    </row>
    <row r="2185" spans="2:21" ht="15" customHeight="1">
      <c r="B2185" s="128" t="s">
        <v>2155</v>
      </c>
      <c r="C2185" s="128" t="s">
        <v>2982</v>
      </c>
      <c r="D2185" s="129">
        <v>46158.588530092595</v>
      </c>
      <c r="E2185" s="130">
        <v>1.57</v>
      </c>
      <c r="F2185" s="136">
        <v>4.4999999999999998E-2</v>
      </c>
      <c r="G2185" s="126">
        <f t="shared" si="35"/>
        <v>1.6439790575916231</v>
      </c>
      <c r="H2185" s="126" t="s">
        <v>1339</v>
      </c>
      <c r="I2185" s="127" t="s">
        <v>1448</v>
      </c>
      <c r="J2185" s="126">
        <v>1.82</v>
      </c>
      <c r="K2185" s="126">
        <v>2</v>
      </c>
      <c r="L2185" s="129">
        <f>INT(base[[#This Row],[Data de liquidação]])</f>
        <v>46158</v>
      </c>
      <c r="M2185" s="126">
        <f>base[[#This Row],[L/P Bruto]]-base[[#This Row],[L/P Líquido]]</f>
        <v>7.3979057591623043E-2</v>
      </c>
      <c r="N2185" s="126">
        <f>base[[#This Row],[L/P Líquido]]/base[[#This Row],[Stake/Responsabilidade]]</f>
        <v>0.78500000000000003</v>
      </c>
      <c r="O2185" s="132">
        <f>IF(base[[#This Row],[L/P Líquido]]&gt;0,1,0)</f>
        <v>1</v>
      </c>
      <c r="P2185" s="132"/>
      <c r="Q2185" s="132" t="str">
        <f>LEFT(base[[#This Row],[Evento / Mercado]],FIND("vs",base[[#This Row],[Evento / Mercado]])-2)</f>
        <v>Racing Santander</v>
      </c>
      <c r="R21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Valladolid</v>
      </c>
      <c r="S2185" s="132" t="str">
        <f>LEFT(base[[#This Row],[Evento / Mercado]],FIND("/",base[[#This Row],[Evento / Mercado]])-2)</f>
        <v>Racing Santander vs Real Valladolid</v>
      </c>
    </row>
    <row r="2186" spans="2:21" ht="15" customHeight="1">
      <c r="B2186" s="128" t="s">
        <v>2154</v>
      </c>
      <c r="C2186" s="128" t="s">
        <v>2982</v>
      </c>
      <c r="D2186" s="129">
        <v>46158.594641203701</v>
      </c>
      <c r="E2186" s="130">
        <v>3.82</v>
      </c>
      <c r="F2186" s="136">
        <v>4.4999999999999998E-2</v>
      </c>
      <c r="G2186" s="126">
        <f t="shared" si="35"/>
        <v>4</v>
      </c>
      <c r="H2186" s="126" t="s">
        <v>1339</v>
      </c>
      <c r="I2186" s="127" t="s">
        <v>1236</v>
      </c>
      <c r="J2186" s="126">
        <v>8</v>
      </c>
      <c r="K2186" s="126">
        <v>4</v>
      </c>
      <c r="L2186" s="129">
        <f>INT(base[[#This Row],[Data de liquidação]])</f>
        <v>46158</v>
      </c>
      <c r="M2186" s="126">
        <f>base[[#This Row],[L/P Bruto]]-base[[#This Row],[L/P Líquido]]</f>
        <v>0.18000000000000016</v>
      </c>
      <c r="N2186" s="126">
        <f>base[[#This Row],[L/P Líquido]]/base[[#This Row],[Stake/Responsabilidade]]</f>
        <v>0.95499999999999996</v>
      </c>
      <c r="O2186" s="132">
        <f>IF(base[[#This Row],[L/P Líquido]]&gt;0,1,0)</f>
        <v>1</v>
      </c>
      <c r="P2186" s="132"/>
      <c r="Q2186" s="132" t="str">
        <f>LEFT(base[[#This Row],[Evento / Mercado]],FIND("vs",base[[#This Row],[Evento / Mercado]])-2)</f>
        <v>Racing Santander</v>
      </c>
      <c r="R21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Valladolid</v>
      </c>
      <c r="S2186" s="132" t="str">
        <f>LEFT(base[[#This Row],[Evento / Mercado]],FIND("/",base[[#This Row],[Evento / Mercado]])-2)</f>
        <v>Racing Santander vs Real Valladolid</v>
      </c>
    </row>
    <row r="2187" spans="2:21" ht="15" customHeight="1">
      <c r="B2187" s="128" t="s">
        <v>2153</v>
      </c>
      <c r="C2187" s="128" t="s">
        <v>2982</v>
      </c>
      <c r="D2187" s="129">
        <v>46158.60083333333</v>
      </c>
      <c r="E2187" s="130">
        <v>-3.86</v>
      </c>
      <c r="F2187" s="136">
        <v>4.4999999999999998E-2</v>
      </c>
      <c r="G2187" s="126">
        <f t="shared" si="35"/>
        <v>-3.86</v>
      </c>
      <c r="H2187" s="126" t="s">
        <v>1339</v>
      </c>
      <c r="I2187" s="127" t="s">
        <v>1236</v>
      </c>
      <c r="J2187" s="126">
        <v>11</v>
      </c>
      <c r="K2187" s="126">
        <v>4</v>
      </c>
      <c r="L2187" s="129">
        <f>INT(base[[#This Row],[Data de liquidação]])</f>
        <v>46158</v>
      </c>
      <c r="M2187" s="126">
        <f>base[[#This Row],[L/P Bruto]]-base[[#This Row],[L/P Líquido]]</f>
        <v>0</v>
      </c>
      <c r="N2187" s="126">
        <f>base[[#This Row],[L/P Líquido]]/base[[#This Row],[Stake/Responsabilidade]]</f>
        <v>-0.96499999999999997</v>
      </c>
      <c r="O2187" s="132">
        <f>IF(base[[#This Row],[L/P Líquido]]&gt;0,1,0)</f>
        <v>0</v>
      </c>
      <c r="P2187" s="132"/>
      <c r="Q2187" s="132" t="str">
        <f>LEFT(base[[#This Row],[Evento / Mercado]],FIND("vs",base[[#This Row],[Evento / Mercado]])-2)</f>
        <v>Al-Hilal Riyadh</v>
      </c>
      <c r="R21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2187" s="132" t="str">
        <f>LEFT(base[[#This Row],[Evento / Mercado]],FIND("/",base[[#This Row],[Evento / Mercado]])-2)</f>
        <v>Al-Hilal Riyadh vs Neom SC</v>
      </c>
    </row>
    <row r="2188" spans="2:21" ht="15" customHeight="1">
      <c r="B2188" s="128" t="s">
        <v>2152</v>
      </c>
      <c r="C2188" s="128" t="s">
        <v>2982</v>
      </c>
      <c r="D2188" s="129">
        <v>46158.603252314817</v>
      </c>
      <c r="E2188" s="130">
        <v>-2.13</v>
      </c>
      <c r="F2188" s="136">
        <v>4.4999999999999998E-2</v>
      </c>
      <c r="G2188" s="126">
        <f t="shared" si="35"/>
        <v>-2.13</v>
      </c>
      <c r="H2188" s="126" t="s">
        <v>1339</v>
      </c>
      <c r="I2188" s="127" t="s">
        <v>1236</v>
      </c>
      <c r="J2188" s="126">
        <v>9.8000000000000007</v>
      </c>
      <c r="K2188" s="126">
        <v>4</v>
      </c>
      <c r="L2188" s="129">
        <f>INT(base[[#This Row],[Data de liquidação]])</f>
        <v>46158</v>
      </c>
      <c r="M2188" s="126">
        <f>base[[#This Row],[L/P Bruto]]-base[[#This Row],[L/P Líquido]]</f>
        <v>0</v>
      </c>
      <c r="N2188" s="126">
        <f>base[[#This Row],[L/P Líquido]]/base[[#This Row],[Stake/Responsabilidade]]</f>
        <v>-0.53249999999999997</v>
      </c>
      <c r="O2188" s="132">
        <f>IF(base[[#This Row],[L/P Líquido]]&gt;0,1,0)</f>
        <v>0</v>
      </c>
      <c r="P2188" s="132"/>
      <c r="Q2188" s="132" t="str">
        <f>LEFT(base[[#This Row],[Evento / Mercado]],FIND("vs",base[[#This Row],[Evento / Mercado]])-2)</f>
        <v>Bodø/Glimt</v>
      </c>
      <c r="R2188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188" s="132" t="str">
        <f>LEFT(base[[#This Row],[Evento / Mercado]],FIND("/",base[[#This Row],[Evento / Mercado]])-2)</f>
        <v>Bod</v>
      </c>
    </row>
    <row r="2189" spans="2:21" ht="15" customHeight="1">
      <c r="B2189" s="128" t="s">
        <v>2151</v>
      </c>
      <c r="C2189" s="128" t="s">
        <v>2982</v>
      </c>
      <c r="D2189" s="129">
        <v>46158.603865740741</v>
      </c>
      <c r="E2189" s="130">
        <v>3.58</v>
      </c>
      <c r="F2189" s="136">
        <v>4.4999999999999998E-2</v>
      </c>
      <c r="G2189" s="126">
        <f t="shared" si="35"/>
        <v>3.74869109947644</v>
      </c>
      <c r="H2189" s="126" t="s">
        <v>1339</v>
      </c>
      <c r="I2189" s="127" t="s">
        <v>1390</v>
      </c>
      <c r="J2189" s="126">
        <v>9</v>
      </c>
      <c r="K2189" s="126">
        <v>30</v>
      </c>
      <c r="L2189" s="129">
        <f>INT(base[[#This Row],[Data de liquidação]])</f>
        <v>46158</v>
      </c>
      <c r="M2189" s="126">
        <f>base[[#This Row],[L/P Bruto]]-base[[#This Row],[L/P Líquido]]</f>
        <v>0.1686910994764399</v>
      </c>
      <c r="N2189" s="126">
        <f>base[[#This Row],[L/P Líquido]]/base[[#This Row],[Stake/Responsabilidade]]</f>
        <v>0.11933333333333333</v>
      </c>
      <c r="O2189" s="132">
        <f>IF(base[[#This Row],[L/P Líquido]]&gt;0,1,0)</f>
        <v>1</v>
      </c>
      <c r="P2189" s="132"/>
      <c r="Q2189" s="132" t="str">
        <f>LEFT(base[[#This Row],[Evento / Mercado]],FIND("vs",base[[#This Row],[Evento / Mercado]])-2)</f>
        <v>Al-Jazira Club</v>
      </c>
      <c r="R21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Bani Yas FC</v>
      </c>
      <c r="S2189" s="132" t="str">
        <f>LEFT(base[[#This Row],[Evento / Mercado]],FIND("/",base[[#This Row],[Evento / Mercado]])-2)</f>
        <v>Al-Jazira Club vs Bani Yas FC</v>
      </c>
    </row>
    <row r="2190" spans="2:21" ht="15" customHeight="1">
      <c r="B2190" s="128" t="s">
        <v>2150</v>
      </c>
      <c r="C2190" s="128" t="s">
        <v>2982</v>
      </c>
      <c r="D2190" s="129">
        <v>46158.612175925926</v>
      </c>
      <c r="E2190" s="130">
        <v>1.6</v>
      </c>
      <c r="F2190" s="136">
        <v>4.4999999999999998E-2</v>
      </c>
      <c r="G2190" s="126">
        <f t="shared" si="35"/>
        <v>1.6753926701570683</v>
      </c>
      <c r="H2190" s="126" t="s">
        <v>1339</v>
      </c>
      <c r="I2190" s="127" t="s">
        <v>1336</v>
      </c>
      <c r="J2190" s="126">
        <v>1.39</v>
      </c>
      <c r="K2190" s="126">
        <v>10</v>
      </c>
      <c r="L2190" s="129">
        <f>INT(base[[#This Row],[Data de liquidação]])</f>
        <v>46158</v>
      </c>
      <c r="M2190" s="126">
        <f>base[[#This Row],[L/P Bruto]]-base[[#This Row],[L/P Líquido]]</f>
        <v>7.5392670157068187E-2</v>
      </c>
      <c r="N2190" s="126">
        <f>base[[#This Row],[L/P Líquido]]/base[[#This Row],[Stake/Responsabilidade]]</f>
        <v>0.16</v>
      </c>
      <c r="O2190" s="132">
        <f>IF(base[[#This Row],[L/P Líquido]]&gt;0,1,0)</f>
        <v>1</v>
      </c>
      <c r="P2190" s="132"/>
      <c r="Q2190" s="132" t="str">
        <f>LEFT(base[[#This Row],[Evento / Mercado]],FIND("vs",base[[#This Row],[Evento / Mercado]])-2)</f>
        <v>Bodø/Glimt</v>
      </c>
      <c r="R2190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190" s="132" t="str">
        <f>LEFT(base[[#This Row],[Evento / Mercado]],FIND("/",base[[#This Row],[Evento / Mercado]])-2)</f>
        <v>Bod</v>
      </c>
    </row>
    <row r="2191" spans="2:21" ht="15" customHeight="1">
      <c r="B2191" s="128" t="s">
        <v>2149</v>
      </c>
      <c r="C2191" s="128" t="s">
        <v>2982</v>
      </c>
      <c r="D2191" s="129">
        <v>46158.62027777778</v>
      </c>
      <c r="E2191" s="130">
        <v>14.05</v>
      </c>
      <c r="F2191" s="136">
        <v>4.4999999999999998E-2</v>
      </c>
      <c r="G2191" s="126">
        <f t="shared" si="35"/>
        <v>14.712041884816756</v>
      </c>
      <c r="H2191" s="126" t="s">
        <v>1784</v>
      </c>
      <c r="I2191" s="127" t="s">
        <v>1785</v>
      </c>
      <c r="J2191" s="126">
        <v>4.4000000000000004</v>
      </c>
      <c r="K2191" s="126">
        <v>50.01</v>
      </c>
      <c r="L2191" s="129">
        <f>INT(base[[#This Row],[Data de liquidação]])</f>
        <v>46158</v>
      </c>
      <c r="M2191" s="126">
        <f>base[[#This Row],[L/P Bruto]]-base[[#This Row],[L/P Líquido]]</f>
        <v>0.6620418848167553</v>
      </c>
      <c r="N2191" s="126">
        <f>base[[#This Row],[L/P Líquido]]/base[[#This Row],[Stake/Responsabilidade]]</f>
        <v>0.28094381123775247</v>
      </c>
      <c r="O2191" s="132">
        <f>IF(base[[#This Row],[L/P Líquido]]&gt;0,1,0)</f>
        <v>1</v>
      </c>
      <c r="P2191" s="132"/>
      <c r="Q2191" s="132" t="str">
        <f>LEFT(base[[#This Row],[Evento / Mercado]],FIND("vs",base[[#This Row],[Evento / Mercado]])-2)</f>
        <v>Zrinjski Mostar</v>
      </c>
      <c r="R21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Posušje</v>
      </c>
      <c r="S2191" s="132" t="str">
        <f>LEFT(base[[#This Row],[Evento / Mercado]],FIND("/",base[[#This Row],[Evento / Mercado]])-2)</f>
        <v>Zrinjski Mostar vs NK Posušje</v>
      </c>
    </row>
    <row r="2192" spans="2:21" ht="15" customHeight="1">
      <c r="B2192" s="128" t="s">
        <v>2148</v>
      </c>
      <c r="C2192" s="128" t="s">
        <v>2982</v>
      </c>
      <c r="D2192" s="129">
        <v>46158.621215277781</v>
      </c>
      <c r="E2192" s="130">
        <v>7.24</v>
      </c>
      <c r="F2192" s="136">
        <v>4.4999999999999998E-2</v>
      </c>
      <c r="G2192" s="126">
        <f t="shared" si="35"/>
        <v>7.5811518324607334</v>
      </c>
      <c r="H2192" s="126" t="s">
        <v>1784</v>
      </c>
      <c r="I2192" s="127" t="s">
        <v>1785</v>
      </c>
      <c r="J2192" s="126">
        <v>7.6</v>
      </c>
      <c r="K2192" s="126">
        <v>50.01</v>
      </c>
      <c r="L2192" s="129">
        <f>INT(base[[#This Row],[Data de liquidação]])</f>
        <v>46158</v>
      </c>
      <c r="M2192" s="126">
        <f>base[[#This Row],[L/P Bruto]]-base[[#This Row],[L/P Líquido]]</f>
        <v>0.34115183246073322</v>
      </c>
      <c r="N2192" s="126">
        <f>base[[#This Row],[L/P Líquido]]/base[[#This Row],[Stake/Responsabilidade]]</f>
        <v>0.14477104579084185</v>
      </c>
      <c r="O2192" s="132">
        <f>IF(base[[#This Row],[L/P Líquido]]&gt;0,1,0)</f>
        <v>1</v>
      </c>
      <c r="P2192" s="132"/>
      <c r="Q2192" s="132" t="str">
        <f>LEFT(base[[#This Row],[Evento / Mercado]],FIND("vs",base[[#This Row],[Evento / Mercado]])-2)</f>
        <v>Asteras Tripolis</v>
      </c>
      <c r="R21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Kifisia FC</v>
      </c>
      <c r="S2192" s="132" t="str">
        <f>LEFT(base[[#This Row],[Evento / Mercado]],FIND("/",base[[#This Row],[Evento / Mercado]])-2)</f>
        <v>Asteras Tripolis vs Kifisia FC</v>
      </c>
    </row>
    <row r="2193" spans="2:21" ht="15" customHeight="1">
      <c r="B2193" s="128" t="s">
        <v>2147</v>
      </c>
      <c r="C2193" s="128" t="s">
        <v>2982</v>
      </c>
      <c r="D2193" s="129">
        <v>46158.621423611112</v>
      </c>
      <c r="E2193" s="130">
        <v>9.9499999999999993</v>
      </c>
      <c r="F2193" s="136">
        <v>4.4999999999999998E-2</v>
      </c>
      <c r="G2193" s="126">
        <f t="shared" si="35"/>
        <v>10.418848167539267</v>
      </c>
      <c r="H2193" s="126" t="s">
        <v>1784</v>
      </c>
      <c r="I2193" s="127" t="s">
        <v>1785</v>
      </c>
      <c r="J2193" s="126">
        <v>5.8</v>
      </c>
      <c r="K2193" s="126">
        <v>50.02</v>
      </c>
      <c r="L2193" s="129">
        <f>INT(base[[#This Row],[Data de liquidação]])</f>
        <v>46158</v>
      </c>
      <c r="M2193" s="126">
        <f>base[[#This Row],[L/P Bruto]]-base[[#This Row],[L/P Líquido]]</f>
        <v>0.46884816753926728</v>
      </c>
      <c r="N2193" s="126">
        <f>base[[#This Row],[L/P Líquido]]/base[[#This Row],[Stake/Responsabilidade]]</f>
        <v>0.19892043182726907</v>
      </c>
      <c r="O2193" s="132">
        <f>IF(base[[#This Row],[L/P Líquido]]&gt;0,1,0)</f>
        <v>1</v>
      </c>
      <c r="P2193" s="132"/>
      <c r="Q2193" s="132" t="str">
        <f>LEFT(base[[#This Row],[Evento / Mercado]],FIND("vs",base[[#This Row],[Evento / Mercado]])-2)</f>
        <v>AC Oulu</v>
      </c>
      <c r="R21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TPS</v>
      </c>
      <c r="S2193" s="132" t="str">
        <f>LEFT(base[[#This Row],[Evento / Mercado]],FIND("/",base[[#This Row],[Evento / Mercado]])-2)</f>
        <v>AC Oulu vs TPS</v>
      </c>
    </row>
    <row r="2194" spans="2:21" ht="15" customHeight="1">
      <c r="B2194" s="128" t="s">
        <v>2146</v>
      </c>
      <c r="C2194" s="128" t="s">
        <v>2982</v>
      </c>
      <c r="D2194" s="129">
        <v>46158.63244212963</v>
      </c>
      <c r="E2194" s="130">
        <v>84.57</v>
      </c>
      <c r="F2194" s="136">
        <v>4.4999999999999998E-2</v>
      </c>
      <c r="G2194" s="126">
        <f t="shared" si="35"/>
        <v>88.55497382198952</v>
      </c>
      <c r="H2194" s="126" t="s">
        <v>231</v>
      </c>
      <c r="I2194" s="127" t="s">
        <v>232</v>
      </c>
      <c r="J2194" s="126">
        <v>1.77</v>
      </c>
      <c r="K2194" s="126">
        <v>115</v>
      </c>
      <c r="L2194" s="129">
        <f>INT(base[[#This Row],[Data de liquidação]])</f>
        <v>46158</v>
      </c>
      <c r="M2194" s="126">
        <f>base[[#This Row],[L/P Bruto]]-base[[#This Row],[L/P Líquido]]</f>
        <v>3.9849738219895272</v>
      </c>
      <c r="N2194" s="126">
        <f>base[[#This Row],[L/P Líquido]]/base[[#This Row],[Stake/Responsabilidade]]</f>
        <v>0.73539130434782607</v>
      </c>
      <c r="O2194" s="132">
        <f>IF(base[[#This Row],[L/P Líquido]]&gt;0,1,0)</f>
        <v>1</v>
      </c>
      <c r="P2194" s="132"/>
      <c r="Q2194" s="132" t="str">
        <f>LEFT(base[[#This Row],[Evento / Mercado]],FIND("vs",base[[#This Row],[Evento / Mercado]])-2)</f>
        <v>UD Almería</v>
      </c>
      <c r="R21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Las Palmas</v>
      </c>
      <c r="S2194" s="132" t="str">
        <f>LEFT(base[[#This Row],[Evento / Mercado]],FIND("/",base[[#This Row],[Evento / Mercado]])-2)</f>
        <v>UD Almería vs UD Las Palmas</v>
      </c>
    </row>
    <row r="2195" spans="2:21" ht="15" customHeight="1">
      <c r="B2195" s="128" t="s">
        <v>2145</v>
      </c>
      <c r="C2195" s="128" t="s">
        <v>2982</v>
      </c>
      <c r="D2195" s="129">
        <v>46158.632465277777</v>
      </c>
      <c r="E2195" s="130">
        <v>26.883249999999997</v>
      </c>
      <c r="F2195" s="136">
        <v>4.4999999999999998E-2</v>
      </c>
      <c r="G2195" s="126">
        <f t="shared" si="35"/>
        <v>28.15</v>
      </c>
      <c r="H2195" s="126" t="s">
        <v>145</v>
      </c>
      <c r="I2195" s="127" t="s">
        <v>301</v>
      </c>
      <c r="J2195" s="126">
        <v>14.5</v>
      </c>
      <c r="K2195" s="126">
        <v>380.03</v>
      </c>
      <c r="L2195" s="129">
        <f>INT(base[[#This Row],[Data de liquidação]])</f>
        <v>46158</v>
      </c>
      <c r="M2195" s="126">
        <f>base[[#This Row],[L/P Bruto]]-base[[#This Row],[L/P Líquido]]</f>
        <v>1.2667500000000018</v>
      </c>
      <c r="N2195" s="126">
        <f>base[[#This Row],[L/P Líquido]]/base[[#This Row],[Stake/Responsabilidade]]</f>
        <v>7.0739810014998808E-2</v>
      </c>
      <c r="O2195" s="132">
        <f>IF(base[[#This Row],[L/P Líquido]]&gt;0,1,0)</f>
        <v>1</v>
      </c>
      <c r="P2195" s="132" t="s">
        <v>973</v>
      </c>
      <c r="Q2195" s="132" t="str">
        <f>LEFT(base[[#This Row],[Evento / Mercado]],FIND("vs",base[[#This Row],[Evento / Mercado]])-2)</f>
        <v>Al-Hilal Riyadh</v>
      </c>
      <c r="R21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2195" s="132" t="str">
        <f>LEFT(base[[#This Row],[Evento / Mercado]],FIND("/",base[[#This Row],[Evento / Mercado]])-2)</f>
        <v>Al-Hilal Riyadh vs Neom SC</v>
      </c>
      <c r="T2195" s="8">
        <v>28.15</v>
      </c>
      <c r="U2195" s="9">
        <f>T2195*0.955</f>
        <v>26.883249999999997</v>
      </c>
    </row>
    <row r="2196" spans="2:21" ht="15" customHeight="1">
      <c r="B2196" s="128" t="s">
        <v>2145</v>
      </c>
      <c r="C2196" s="128" t="s">
        <v>2982</v>
      </c>
      <c r="D2196" s="129">
        <v>46158.632465277777</v>
      </c>
      <c r="E2196" s="130">
        <v>14.04805</v>
      </c>
      <c r="F2196" s="136">
        <v>4.4999999999999998E-2</v>
      </c>
      <c r="G2196" s="126">
        <f t="shared" si="35"/>
        <v>14.71</v>
      </c>
      <c r="H2196" s="126" t="s">
        <v>1233</v>
      </c>
      <c r="I2196" s="127"/>
      <c r="J2196" s="126">
        <v>7.8</v>
      </c>
      <c r="K2196" s="126">
        <v>100.03</v>
      </c>
      <c r="L2196" s="129">
        <f>INT(base[[#This Row],[Data de liquidação]])</f>
        <v>46158</v>
      </c>
      <c r="M2196" s="126">
        <f>base[[#This Row],[L/P Bruto]]-base[[#This Row],[L/P Líquido]]</f>
        <v>0.66195000000000093</v>
      </c>
      <c r="N2196" s="126">
        <f>base[[#This Row],[L/P Líquido]]/base[[#This Row],[Stake/Responsabilidade]]</f>
        <v>0.14043836848945315</v>
      </c>
      <c r="O2196" s="132">
        <f>IF(base[[#This Row],[L/P Líquido]]&gt;0,1,0)</f>
        <v>1</v>
      </c>
      <c r="P2196" s="132"/>
      <c r="Q2196" s="132" t="str">
        <f>LEFT(base[[#This Row],[Evento / Mercado]],FIND("vs",base[[#This Row],[Evento / Mercado]])-2)</f>
        <v>Al-Hilal Riyadh</v>
      </c>
      <c r="R21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2196" s="132" t="str">
        <f>LEFT(base[[#This Row],[Evento / Mercado]],FIND("/",base[[#This Row],[Evento / Mercado]])-2)</f>
        <v>Al-Hilal Riyadh vs Neom SC</v>
      </c>
      <c r="T2196" s="8">
        <v>14.71</v>
      </c>
      <c r="U2196" s="9">
        <f>T2196*0.955</f>
        <v>14.04805</v>
      </c>
    </row>
    <row r="2197" spans="2:21" ht="15" customHeight="1">
      <c r="B2197" s="128" t="s">
        <v>2144</v>
      </c>
      <c r="C2197" s="128" t="s">
        <v>2982</v>
      </c>
      <c r="D2197" s="129">
        <v>46158.639120370368</v>
      </c>
      <c r="E2197" s="130">
        <v>3.82</v>
      </c>
      <c r="F2197" s="136">
        <v>4.4999999999999998E-2</v>
      </c>
      <c r="G2197" s="126">
        <f t="shared" si="35"/>
        <v>4</v>
      </c>
      <c r="H2197" s="126" t="s">
        <v>1339</v>
      </c>
      <c r="I2197" s="127" t="s">
        <v>1236</v>
      </c>
      <c r="J2197" s="126">
        <v>5.0999999999999996</v>
      </c>
      <c r="K2197" s="126">
        <v>4</v>
      </c>
      <c r="L2197" s="129">
        <f>INT(base[[#This Row],[Data de liquidação]])</f>
        <v>46158</v>
      </c>
      <c r="M2197" s="126">
        <f>base[[#This Row],[L/P Bruto]]-base[[#This Row],[L/P Líquido]]</f>
        <v>0.18000000000000016</v>
      </c>
      <c r="N2197" s="126">
        <f>base[[#This Row],[L/P Líquido]]/base[[#This Row],[Stake/Responsabilidade]]</f>
        <v>0.95499999999999996</v>
      </c>
      <c r="O2197" s="132">
        <f>IF(base[[#This Row],[L/P Líquido]]&gt;0,1,0)</f>
        <v>1</v>
      </c>
      <c r="P2197" s="132"/>
      <c r="Q2197" s="132" t="str">
        <f>LEFT(base[[#This Row],[Evento / Mercado]],FIND("vs",base[[#This Row],[Evento / Mercado]])-2)</f>
        <v>Casa Pia</v>
      </c>
      <c r="R21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Rio Ave</v>
      </c>
      <c r="S2197" s="132" t="str">
        <f>LEFT(base[[#This Row],[Evento / Mercado]],FIND("/",base[[#This Row],[Evento / Mercado]])-2)</f>
        <v>Casa Pia vs Rio Ave</v>
      </c>
    </row>
    <row r="2198" spans="2:21" ht="15" customHeight="1">
      <c r="B2198" s="128" t="s">
        <v>2143</v>
      </c>
      <c r="C2198" s="128" t="s">
        <v>2982</v>
      </c>
      <c r="D2198" s="129">
        <v>46158.641215277778</v>
      </c>
      <c r="E2198" s="130">
        <v>0.96</v>
      </c>
      <c r="F2198" s="136">
        <v>4.4999999999999998E-2</v>
      </c>
      <c r="G2198" s="126">
        <f t="shared" si="35"/>
        <v>1.0052356020942408</v>
      </c>
      <c r="H2198" s="126" t="s">
        <v>1339</v>
      </c>
      <c r="I2198" s="127" t="s">
        <v>1933</v>
      </c>
      <c r="J2198" s="126">
        <v>1.5</v>
      </c>
      <c r="K2198" s="126">
        <v>2</v>
      </c>
      <c r="L2198" s="129">
        <f>INT(base[[#This Row],[Data de liquidação]])</f>
        <v>46158</v>
      </c>
      <c r="M2198" s="126">
        <f>base[[#This Row],[L/P Bruto]]-base[[#This Row],[L/P Líquido]]</f>
        <v>4.5235602094240823E-2</v>
      </c>
      <c r="N2198" s="126">
        <f>base[[#This Row],[L/P Líquido]]/base[[#This Row],[Stake/Responsabilidade]]</f>
        <v>0.48</v>
      </c>
      <c r="O2198" s="132">
        <f>IF(base[[#This Row],[L/P Líquido]]&gt;0,1,0)</f>
        <v>1</v>
      </c>
      <c r="P2198" s="132"/>
      <c r="Q2198" s="132" t="str">
        <f>LEFT(base[[#This Row],[Evento / Mercado]],FIND("vs",base[[#This Row],[Evento / Mercado]])-2)</f>
        <v>Granada CF</v>
      </c>
      <c r="R21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Burgos CF</v>
      </c>
      <c r="S2198" s="132" t="str">
        <f>LEFT(base[[#This Row],[Evento / Mercado]],FIND("/",base[[#This Row],[Evento / Mercado]])-2)</f>
        <v>Granada CF vs Burgos CF</v>
      </c>
    </row>
    <row r="2199" spans="2:21" ht="15" customHeight="1">
      <c r="B2199" s="128" t="s">
        <v>2142</v>
      </c>
      <c r="C2199" s="128" t="s">
        <v>2982</v>
      </c>
      <c r="D2199" s="129">
        <v>46158.644837962966</v>
      </c>
      <c r="E2199" s="130">
        <v>-49.94</v>
      </c>
      <c r="F2199" s="136">
        <v>4.4999999999999998E-2</v>
      </c>
      <c r="G2199" s="126">
        <f t="shared" si="35"/>
        <v>-49.94</v>
      </c>
      <c r="H2199" s="126" t="s">
        <v>1339</v>
      </c>
      <c r="I2199" s="127" t="s">
        <v>1430</v>
      </c>
      <c r="J2199" s="126">
        <v>23</v>
      </c>
      <c r="K2199" s="126">
        <v>49.94</v>
      </c>
      <c r="L2199" s="129">
        <f>INT(base[[#This Row],[Data de liquidação]])</f>
        <v>46158</v>
      </c>
      <c r="M2199" s="126">
        <f>base[[#This Row],[L/P Bruto]]-base[[#This Row],[L/P Líquido]]</f>
        <v>0</v>
      </c>
      <c r="N2199" s="126">
        <f>base[[#This Row],[L/P Líquido]]/base[[#This Row],[Stake/Responsabilidade]]</f>
        <v>-1</v>
      </c>
      <c r="O2199" s="132">
        <f>IF(base[[#This Row],[L/P Líquido]]&gt;0,1,0)</f>
        <v>0</v>
      </c>
      <c r="P2199" s="132"/>
      <c r="Q2199" s="132" t="str">
        <f>LEFT(base[[#This Row],[Evento / Mercado]],FIND("vs",base[[#This Row],[Evento / Mercado]])-2)</f>
        <v>UD Almería</v>
      </c>
      <c r="R21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Las Palmas</v>
      </c>
      <c r="S2199" s="132" t="str">
        <f>LEFT(base[[#This Row],[Evento / Mercado]],FIND("/",base[[#This Row],[Evento / Mercado]])-2)</f>
        <v>UD Almería vs UD Las Palmas</v>
      </c>
    </row>
    <row r="2200" spans="2:21" ht="15" customHeight="1">
      <c r="B2200" s="128" t="s">
        <v>2142</v>
      </c>
      <c r="C2200" s="128" t="s">
        <v>2982</v>
      </c>
      <c r="D2200" s="129">
        <v>46158.644837962966</v>
      </c>
      <c r="E2200" s="130">
        <v>-2</v>
      </c>
      <c r="F2200" s="136">
        <v>4.4999999999999998E-2</v>
      </c>
      <c r="G2200" s="126">
        <f t="shared" si="35"/>
        <v>-2</v>
      </c>
      <c r="H2200" s="126" t="s">
        <v>1339</v>
      </c>
      <c r="I2200" s="127" t="s">
        <v>1429</v>
      </c>
      <c r="J2200" s="126">
        <v>1.78</v>
      </c>
      <c r="K2200" s="126">
        <v>2</v>
      </c>
      <c r="L2200" s="129">
        <f>INT(base[[#This Row],[Data de liquidação]])</f>
        <v>46158</v>
      </c>
      <c r="M2200" s="126">
        <f>base[[#This Row],[L/P Bruto]]-base[[#This Row],[L/P Líquido]]</f>
        <v>0</v>
      </c>
      <c r="N2200" s="126">
        <f>base[[#This Row],[L/P Líquido]]/base[[#This Row],[Stake/Responsabilidade]]</f>
        <v>-1</v>
      </c>
      <c r="O2200" s="132">
        <f>IF(base[[#This Row],[L/P Líquido]]&gt;0,1,0)</f>
        <v>0</v>
      </c>
      <c r="P2200" s="132"/>
      <c r="Q2200" s="132" t="str">
        <f>LEFT(base[[#This Row],[Evento / Mercado]],FIND("vs",base[[#This Row],[Evento / Mercado]])-2)</f>
        <v>UD Almería</v>
      </c>
      <c r="R22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Las Palmas</v>
      </c>
      <c r="S2200" s="132" t="str">
        <f>LEFT(base[[#This Row],[Evento / Mercado]],FIND("/",base[[#This Row],[Evento / Mercado]])-2)</f>
        <v>UD Almería vs UD Las Palmas</v>
      </c>
    </row>
    <row r="2201" spans="2:21" ht="15" customHeight="1">
      <c r="B2201" s="128" t="s">
        <v>2141</v>
      </c>
      <c r="C2201" s="128" t="s">
        <v>2982</v>
      </c>
      <c r="D2201" s="129">
        <v>46158.650925925926</v>
      </c>
      <c r="E2201" s="130">
        <v>1.04</v>
      </c>
      <c r="F2201" s="136">
        <v>4.4999999999999998E-2</v>
      </c>
      <c r="G2201" s="126">
        <f t="shared" si="35"/>
        <v>1.0890052356020943</v>
      </c>
      <c r="H2201" s="126" t="s">
        <v>1339</v>
      </c>
      <c r="I2201" s="127" t="s">
        <v>1933</v>
      </c>
      <c r="J2201" s="126">
        <v>1.54</v>
      </c>
      <c r="K2201" s="126">
        <v>2</v>
      </c>
      <c r="L2201" s="129">
        <f>INT(base[[#This Row],[Data de liquidação]])</f>
        <v>46158</v>
      </c>
      <c r="M2201" s="126">
        <f>base[[#This Row],[L/P Bruto]]-base[[#This Row],[L/P Líquido]]</f>
        <v>4.9005235602094244E-2</v>
      </c>
      <c r="N2201" s="126">
        <f>base[[#This Row],[L/P Líquido]]/base[[#This Row],[Stake/Responsabilidade]]</f>
        <v>0.52</v>
      </c>
      <c r="O2201" s="132">
        <f>IF(base[[#This Row],[L/P Líquido]]&gt;0,1,0)</f>
        <v>1</v>
      </c>
      <c r="P2201" s="132"/>
      <c r="Q2201" s="132" t="str">
        <f>LEFT(base[[#This Row],[Evento / Mercado]],FIND("vs",base[[#This Row],[Evento / Mercado]])-2)</f>
        <v>Nacional da Madeira</v>
      </c>
      <c r="R22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Vitoria de Guimaraes</v>
      </c>
      <c r="S2201" s="132" t="str">
        <f>LEFT(base[[#This Row],[Evento / Mercado]],FIND("/",base[[#This Row],[Evento / Mercado]])-2)</f>
        <v>Nacional da Madeira vs Vitoria de Guimaraes</v>
      </c>
    </row>
    <row r="2202" spans="2:21" ht="15" customHeight="1">
      <c r="B2202" s="128" t="s">
        <v>2140</v>
      </c>
      <c r="C2202" s="128" t="s">
        <v>2982</v>
      </c>
      <c r="D2202" s="129">
        <v>46158.659143518518</v>
      </c>
      <c r="E2202" s="130">
        <v>-3.08</v>
      </c>
      <c r="F2202" s="136">
        <v>4.4999999999999998E-2</v>
      </c>
      <c r="G2202" s="126">
        <f t="shared" si="35"/>
        <v>-3.08</v>
      </c>
      <c r="H2202" s="126" t="s">
        <v>1339</v>
      </c>
      <c r="I2202" s="127" t="s">
        <v>1236</v>
      </c>
      <c r="J2202" s="126">
        <v>8.14</v>
      </c>
      <c r="K2202" s="126">
        <v>4</v>
      </c>
      <c r="L2202" s="129">
        <f>INT(base[[#This Row],[Data de liquidação]])</f>
        <v>46158</v>
      </c>
      <c r="M2202" s="126">
        <f>base[[#This Row],[L/P Bruto]]-base[[#This Row],[L/P Líquido]]</f>
        <v>0</v>
      </c>
      <c r="N2202" s="126">
        <f>base[[#This Row],[L/P Líquido]]/base[[#This Row],[Stake/Responsabilidade]]</f>
        <v>-0.77</v>
      </c>
      <c r="O2202" s="132">
        <f>IF(base[[#This Row],[L/P Líquido]]&gt;0,1,0)</f>
        <v>0</v>
      </c>
      <c r="P2202" s="132"/>
      <c r="Q2202" s="132" t="str">
        <f>LEFT(base[[#This Row],[Evento / Mercado]],FIND("vs",base[[#This Row],[Evento / Mercado]])-2)</f>
        <v>Samsunspor</v>
      </c>
      <c r="R22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Göztepe</v>
      </c>
      <c r="S2202" s="132" t="str">
        <f>LEFT(base[[#This Row],[Evento / Mercado]],FIND("/",base[[#This Row],[Evento / Mercado]])-2)</f>
        <v>Samsunspor vs Göztepe</v>
      </c>
    </row>
    <row r="2203" spans="2:21" ht="15" customHeight="1">
      <c r="B2203" s="128" t="s">
        <v>2139</v>
      </c>
      <c r="C2203" s="128" t="s">
        <v>2982</v>
      </c>
      <c r="D2203" s="129">
        <v>46158.664988425924</v>
      </c>
      <c r="E2203" s="130">
        <v>5.42</v>
      </c>
      <c r="F2203" s="136">
        <v>4.4999999999999998E-2</v>
      </c>
      <c r="G2203" s="126">
        <f t="shared" si="35"/>
        <v>5.6753926701570681</v>
      </c>
      <c r="H2203" s="126" t="s">
        <v>1339</v>
      </c>
      <c r="I2203" s="127" t="s">
        <v>1430</v>
      </c>
      <c r="J2203" s="126">
        <v>10</v>
      </c>
      <c r="K2203" s="126">
        <v>51.12</v>
      </c>
      <c r="L2203" s="129">
        <f>INT(base[[#This Row],[Data de liquidação]])</f>
        <v>46158</v>
      </c>
      <c r="M2203" s="126">
        <f>base[[#This Row],[L/P Bruto]]-base[[#This Row],[L/P Líquido]]</f>
        <v>0.25539267015706812</v>
      </c>
      <c r="N2203" s="126">
        <f>base[[#This Row],[L/P Líquido]]/base[[#This Row],[Stake/Responsabilidade]]</f>
        <v>0.10602503912363068</v>
      </c>
      <c r="O2203" s="132">
        <f>IF(base[[#This Row],[L/P Líquido]]&gt;0,1,0)</f>
        <v>1</v>
      </c>
      <c r="P2203" s="132"/>
      <c r="Q2203" s="132" t="str">
        <f>LEFT(base[[#This Row],[Evento / Mercado]],FIND("vs",base[[#This Row],[Evento / Mercado]])-2)</f>
        <v>Samsunspor</v>
      </c>
      <c r="R22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Göztepe</v>
      </c>
      <c r="S2203" s="132" t="str">
        <f>LEFT(base[[#This Row],[Evento / Mercado]],FIND("/",base[[#This Row],[Evento / Mercado]])-2)</f>
        <v>Samsunspor vs Göztepe</v>
      </c>
    </row>
    <row r="2204" spans="2:21" ht="15" customHeight="1">
      <c r="B2204" s="128" t="s">
        <v>2138</v>
      </c>
      <c r="C2204" s="128" t="s">
        <v>2982</v>
      </c>
      <c r="D2204" s="129">
        <v>46158.668229166666</v>
      </c>
      <c r="E2204" s="130">
        <v>1.37</v>
      </c>
      <c r="F2204" s="136">
        <v>4.4999999999999998E-2</v>
      </c>
      <c r="G2204" s="126">
        <f t="shared" si="35"/>
        <v>1.4345549738219896</v>
      </c>
      <c r="H2204" s="126" t="s">
        <v>1339</v>
      </c>
      <c r="I2204" s="127" t="s">
        <v>1430</v>
      </c>
      <c r="J2204" s="126">
        <v>36</v>
      </c>
      <c r="K2204" s="126">
        <v>50.05</v>
      </c>
      <c r="L2204" s="129">
        <f>INT(base[[#This Row],[Data de liquidação]])</f>
        <v>46158</v>
      </c>
      <c r="M2204" s="126">
        <f>base[[#This Row],[L/P Bruto]]-base[[#This Row],[L/P Líquido]]</f>
        <v>6.4554973821989492E-2</v>
      </c>
      <c r="N2204" s="126">
        <f>base[[#This Row],[L/P Líquido]]/base[[#This Row],[Stake/Responsabilidade]]</f>
        <v>2.7372627372627377E-2</v>
      </c>
      <c r="O2204" s="132">
        <f>IF(base[[#This Row],[L/P Líquido]]&gt;0,1,0)</f>
        <v>1</v>
      </c>
      <c r="P2204" s="132"/>
      <c r="Q2204" s="132" t="str">
        <f>LEFT(base[[#This Row],[Evento / Mercado]],FIND("vs",base[[#This Row],[Evento / Mercado]])-2)</f>
        <v>Nacional da Madeira</v>
      </c>
      <c r="R22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Vitoria de Guimaraes</v>
      </c>
      <c r="S2204" s="132" t="str">
        <f>LEFT(base[[#This Row],[Evento / Mercado]],FIND("/",base[[#This Row],[Evento / Mercado]])-2)</f>
        <v>Nacional da Madeira vs Vitoria de Guimaraes</v>
      </c>
    </row>
    <row r="2205" spans="2:21" ht="15" customHeight="1">
      <c r="B2205" s="128" t="s">
        <v>2137</v>
      </c>
      <c r="C2205" s="128" t="s">
        <v>2982</v>
      </c>
      <c r="D2205" s="129">
        <v>46158.682337962964</v>
      </c>
      <c r="E2205" s="130">
        <v>-3.6</v>
      </c>
      <c r="F2205" s="136">
        <v>4.4999999999999998E-2</v>
      </c>
      <c r="G2205" s="126">
        <f t="shared" si="35"/>
        <v>-3.6</v>
      </c>
      <c r="H2205" s="126" t="s">
        <v>1339</v>
      </c>
      <c r="I2205" s="127" t="s">
        <v>1236</v>
      </c>
      <c r="J2205" s="126">
        <v>7.6</v>
      </c>
      <c r="K2205" s="126">
        <v>4</v>
      </c>
      <c r="L2205" s="129">
        <f>INT(base[[#This Row],[Data de liquidação]])</f>
        <v>46158</v>
      </c>
      <c r="M2205" s="126">
        <f>base[[#This Row],[L/P Bruto]]-base[[#This Row],[L/P Líquido]]</f>
        <v>0</v>
      </c>
      <c r="N2205" s="126">
        <f>base[[#This Row],[L/P Líquido]]/base[[#This Row],[Stake/Responsabilidade]]</f>
        <v>-0.9</v>
      </c>
      <c r="O2205" s="132">
        <f>IF(base[[#This Row],[L/P Líquido]]&gt;0,1,0)</f>
        <v>0</v>
      </c>
      <c r="P2205" s="132"/>
      <c r="Q2205" s="132" t="str">
        <f>LEFT(base[[#This Row],[Evento / Mercado]],FIND("vs",base[[#This Row],[Evento / Mercado]])-2)</f>
        <v>FBC Melgar</v>
      </c>
      <c r="R22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2205" s="132" t="str">
        <f>LEFT(base[[#This Row],[Evento / Mercado]],FIND("/",base[[#This Row],[Evento / Mercado]])-2)</f>
        <v>FBC Melgar vs Sport Huancayo</v>
      </c>
    </row>
    <row r="2206" spans="2:21" ht="15" customHeight="1">
      <c r="B2206" s="128" t="s">
        <v>2136</v>
      </c>
      <c r="C2206" s="128" t="s">
        <v>2982</v>
      </c>
      <c r="D2206" s="129">
        <v>46158.698217592595</v>
      </c>
      <c r="E2206" s="130">
        <v>-5</v>
      </c>
      <c r="F2206" s="136">
        <v>4.4999999999999998E-2</v>
      </c>
      <c r="G2206" s="126">
        <f t="shared" si="35"/>
        <v>-5</v>
      </c>
      <c r="H2206" s="126" t="s">
        <v>1339</v>
      </c>
      <c r="I2206" s="127" t="s">
        <v>1338</v>
      </c>
      <c r="J2206" s="126">
        <v>2.4</v>
      </c>
      <c r="K2206" s="126">
        <v>5</v>
      </c>
      <c r="L2206" s="129">
        <f>INT(base[[#This Row],[Data de liquidação]])</f>
        <v>46158</v>
      </c>
      <c r="M2206" s="126">
        <f>base[[#This Row],[L/P Bruto]]-base[[#This Row],[L/P Líquido]]</f>
        <v>0</v>
      </c>
      <c r="N2206" s="126">
        <f>base[[#This Row],[L/P Líquido]]/base[[#This Row],[Stake/Responsabilidade]]</f>
        <v>-1</v>
      </c>
      <c r="O2206" s="132">
        <f>IF(base[[#This Row],[L/P Líquido]]&gt;0,1,0)</f>
        <v>0</v>
      </c>
      <c r="P2206" s="132"/>
      <c r="Q2206" s="132" t="str">
        <f>LEFT(base[[#This Row],[Evento / Mercado]],FIND("vs",base[[#This Row],[Evento / Mercado]])-2)</f>
        <v>Universitario de Vinto</v>
      </c>
      <c r="R22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Bolívar</v>
      </c>
      <c r="S2206" s="132" t="str">
        <f>LEFT(base[[#This Row],[Evento / Mercado]],FIND("/",base[[#This Row],[Evento / Mercado]])-2)</f>
        <v>Universitario de Vinto vs Club Bolívar</v>
      </c>
    </row>
    <row r="2207" spans="2:21" ht="15" customHeight="1">
      <c r="B2207" s="128" t="s">
        <v>2135</v>
      </c>
      <c r="C2207" s="128" t="s">
        <v>2982</v>
      </c>
      <c r="D2207" s="129">
        <v>46158.703587962962</v>
      </c>
      <c r="E2207" s="130">
        <v>16.190000000000001</v>
      </c>
      <c r="F2207" s="136">
        <v>4.4999999999999998E-2</v>
      </c>
      <c r="G2207" s="126">
        <f t="shared" si="35"/>
        <v>16.952879581151834</v>
      </c>
      <c r="H2207" s="126" t="s">
        <v>1784</v>
      </c>
      <c r="I2207" s="127" t="s">
        <v>1785</v>
      </c>
      <c r="J2207" s="126">
        <v>3.95</v>
      </c>
      <c r="K2207" s="126">
        <v>50</v>
      </c>
      <c r="L2207" s="129">
        <f>INT(base[[#This Row],[Data de liquidação]])</f>
        <v>46158</v>
      </c>
      <c r="M2207" s="126">
        <f>base[[#This Row],[L/P Bruto]]-base[[#This Row],[L/P Líquido]]</f>
        <v>0.7628795811518323</v>
      </c>
      <c r="N2207" s="126">
        <f>base[[#This Row],[L/P Líquido]]/base[[#This Row],[Stake/Responsabilidade]]</f>
        <v>0.32380000000000003</v>
      </c>
      <c r="O2207" s="132">
        <f>IF(base[[#This Row],[L/P Líquido]]&gt;0,1,0)</f>
        <v>1</v>
      </c>
      <c r="P2207" s="132"/>
      <c r="Q2207" s="132" t="str">
        <f>LEFT(base[[#This Row],[Evento / Mercado]],FIND("vs",base[[#This Row],[Evento / Mercado]])-2)</f>
        <v>Dinamo Bucuresti</v>
      </c>
      <c r="R22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CFR Cluj</v>
      </c>
      <c r="S2207" s="132" t="str">
        <f>LEFT(base[[#This Row],[Evento / Mercado]],FIND("/",base[[#This Row],[Evento / Mercado]])-2)</f>
        <v>Dinamo Bucuresti vs CFR Cluj</v>
      </c>
    </row>
    <row r="2208" spans="2:21" ht="15" customHeight="1">
      <c r="B2208" s="128" t="s">
        <v>2134</v>
      </c>
      <c r="C2208" s="128" t="s">
        <v>2982</v>
      </c>
      <c r="D2208" s="129">
        <v>46158.703611111108</v>
      </c>
      <c r="E2208" s="130">
        <v>-2</v>
      </c>
      <c r="F2208" s="136">
        <v>4.4999999999999998E-2</v>
      </c>
      <c r="G2208" s="126">
        <f t="shared" si="35"/>
        <v>-2</v>
      </c>
      <c r="H2208" s="126" t="s">
        <v>1339</v>
      </c>
      <c r="I2208" s="127" t="s">
        <v>1431</v>
      </c>
      <c r="J2208" s="126">
        <v>2.3199999999999998</v>
      </c>
      <c r="K2208" s="126">
        <v>2</v>
      </c>
      <c r="L2208" s="129">
        <f>INT(base[[#This Row],[Data de liquidação]])</f>
        <v>46158</v>
      </c>
      <c r="M2208" s="126">
        <f>base[[#This Row],[L/P Bruto]]-base[[#This Row],[L/P Líquido]]</f>
        <v>0</v>
      </c>
      <c r="N2208" s="126">
        <f>base[[#This Row],[L/P Líquido]]/base[[#This Row],[Stake/Responsabilidade]]</f>
        <v>-1</v>
      </c>
      <c r="O2208" s="132">
        <f>IF(base[[#This Row],[L/P Líquido]]&gt;0,1,0)</f>
        <v>0</v>
      </c>
      <c r="P2208" s="132"/>
      <c r="Q2208" s="132" t="str">
        <f>LEFT(base[[#This Row],[Evento / Mercado]],FIND("vs",base[[#This Row],[Evento / Mercado]])-2)</f>
        <v>Dinamo Bucuresti</v>
      </c>
      <c r="R22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CFR Cluj</v>
      </c>
      <c r="S2208" s="132" t="str">
        <f>LEFT(base[[#This Row],[Evento / Mercado]],FIND("/",base[[#This Row],[Evento / Mercado]])-2)</f>
        <v>Dinamo Bucuresti vs CFR Cluj</v>
      </c>
    </row>
    <row r="2209" spans="2:21" ht="15" customHeight="1">
      <c r="B2209" s="128" t="s">
        <v>2133</v>
      </c>
      <c r="C2209" s="128" t="s">
        <v>2982</v>
      </c>
      <c r="D2209" s="129">
        <v>46158.704502314817</v>
      </c>
      <c r="E2209" s="130">
        <v>1.43</v>
      </c>
      <c r="F2209" s="136">
        <v>4.4999999999999998E-2</v>
      </c>
      <c r="G2209" s="126">
        <f t="shared" si="35"/>
        <v>1.4973821989528795</v>
      </c>
      <c r="H2209" s="126" t="s">
        <v>1339</v>
      </c>
      <c r="I2209" s="127" t="s">
        <v>1963</v>
      </c>
      <c r="J2209" s="126">
        <v>1.03</v>
      </c>
      <c r="K2209" s="126">
        <v>50</v>
      </c>
      <c r="L2209" s="129">
        <f>INT(base[[#This Row],[Data de liquidação]])</f>
        <v>46158</v>
      </c>
      <c r="M2209" s="126">
        <f>base[[#This Row],[L/P Bruto]]-base[[#This Row],[L/P Líquido]]</f>
        <v>6.7382198952879557E-2</v>
      </c>
      <c r="N2209" s="126">
        <f>base[[#This Row],[L/P Líquido]]/base[[#This Row],[Stake/Responsabilidade]]</f>
        <v>2.86E-2</v>
      </c>
      <c r="O2209" s="132">
        <f>IF(base[[#This Row],[L/P Líquido]]&gt;0,1,0)</f>
        <v>1</v>
      </c>
      <c r="P2209" s="132"/>
      <c r="Q2209" s="132" t="str">
        <f>LEFT(base[[#This Row],[Evento / Mercado]],FIND("vs",base[[#This Row],[Evento / Mercado]])-2)</f>
        <v>FBC Melgar</v>
      </c>
      <c r="R22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2209" s="132" t="str">
        <f>LEFT(base[[#This Row],[Evento / Mercado]],FIND("/",base[[#This Row],[Evento / Mercado]])-2)</f>
        <v>FBC Melgar vs Sport Huancayo</v>
      </c>
    </row>
    <row r="2210" spans="2:21" ht="15" customHeight="1">
      <c r="B2210" s="128" t="s">
        <v>2132</v>
      </c>
      <c r="C2210" s="128" t="s">
        <v>2982</v>
      </c>
      <c r="D2210" s="129">
        <v>46158.704548611109</v>
      </c>
      <c r="E2210" s="130">
        <v>2.04</v>
      </c>
      <c r="F2210" s="136">
        <v>4.4999999999999998E-2</v>
      </c>
      <c r="G2210" s="126">
        <f t="shared" si="35"/>
        <v>2.1361256544502618</v>
      </c>
      <c r="H2210" s="126" t="s">
        <v>1339</v>
      </c>
      <c r="I2210" s="127" t="s">
        <v>1390</v>
      </c>
      <c r="J2210" s="126">
        <v>15.5</v>
      </c>
      <c r="K2210" s="126">
        <v>31.03</v>
      </c>
      <c r="L2210" s="129">
        <f>INT(base[[#This Row],[Data de liquidação]])</f>
        <v>46158</v>
      </c>
      <c r="M2210" s="126">
        <f>base[[#This Row],[L/P Bruto]]-base[[#This Row],[L/P Líquido]]</f>
        <v>9.6125654450261777E-2</v>
      </c>
      <c r="N2210" s="126">
        <f>base[[#This Row],[L/P Líquido]]/base[[#This Row],[Stake/Responsabilidade]]</f>
        <v>6.5742829519819523E-2</v>
      </c>
      <c r="O2210" s="132">
        <f>IF(base[[#This Row],[L/P Líquido]]&gt;0,1,0)</f>
        <v>1</v>
      </c>
      <c r="P2210" s="132" t="s">
        <v>973</v>
      </c>
      <c r="Q2210" s="132" t="str">
        <f>LEFT(base[[#This Row],[Evento / Mercado]],FIND("vs",base[[#This Row],[Evento / Mercado]])-2)</f>
        <v>Al Ahli Jeddah</v>
      </c>
      <c r="R22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Al-Kholood Club</v>
      </c>
      <c r="S2210" s="132" t="str">
        <f>LEFT(base[[#This Row],[Evento / Mercado]],FIND("/",base[[#This Row],[Evento / Mercado]])-2)</f>
        <v>Al Ahli Jeddah vs Al-Kholood Club</v>
      </c>
    </row>
    <row r="2211" spans="2:21" ht="15" customHeight="1">
      <c r="B2211" s="128" t="s">
        <v>2131</v>
      </c>
      <c r="C2211" s="128" t="s">
        <v>2982</v>
      </c>
      <c r="D2211" s="129">
        <v>46158.70484953704</v>
      </c>
      <c r="E2211" s="130">
        <v>27.91</v>
      </c>
      <c r="F2211" s="136">
        <v>4.4999999999999998E-2</v>
      </c>
      <c r="G2211" s="126">
        <f t="shared" si="35"/>
        <v>29.225130890052359</v>
      </c>
      <c r="H2211" s="126" t="s">
        <v>122</v>
      </c>
      <c r="I2211" s="127" t="s">
        <v>477</v>
      </c>
      <c r="J2211" s="126">
        <v>14</v>
      </c>
      <c r="K2211" s="126">
        <v>379.99</v>
      </c>
      <c r="L2211" s="129">
        <f>INT(base[[#This Row],[Data de liquidação]])</f>
        <v>46158</v>
      </c>
      <c r="M2211" s="126">
        <f>base[[#This Row],[L/P Bruto]]-base[[#This Row],[L/P Líquido]]</f>
        <v>1.3151308900523588</v>
      </c>
      <c r="N2211" s="126">
        <f>base[[#This Row],[L/P Líquido]]/base[[#This Row],[Stake/Responsabilidade]]</f>
        <v>7.3449301297402556E-2</v>
      </c>
      <c r="O2211" s="132">
        <f>IF(base[[#This Row],[L/P Líquido]]&gt;0,1,0)</f>
        <v>1</v>
      </c>
      <c r="P2211" s="132" t="s">
        <v>973</v>
      </c>
      <c r="Q2211" s="132" t="str">
        <f>LEFT(base[[#This Row],[Evento / Mercado]],FIND("vs",base[[#This Row],[Evento / Mercado]])-2)</f>
        <v>Al-Hilal Riyadh</v>
      </c>
      <c r="R22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2211" s="132" t="str">
        <f>LEFT(base[[#This Row],[Evento / Mercado]],FIND("/",base[[#This Row],[Evento / Mercado]])-2)</f>
        <v>Al-Hilal Riyadh vs Neom SC</v>
      </c>
    </row>
    <row r="2212" spans="2:21" ht="15" customHeight="1">
      <c r="B2212" s="128" t="s">
        <v>2130</v>
      </c>
      <c r="C2212" s="128" t="s">
        <v>2982</v>
      </c>
      <c r="D2212" s="129">
        <v>46158.705208333333</v>
      </c>
      <c r="E2212" s="130">
        <v>3.68</v>
      </c>
      <c r="F2212" s="136">
        <v>4.4999999999999998E-2</v>
      </c>
      <c r="G2212" s="126">
        <f t="shared" si="35"/>
        <v>3.8534031413612571</v>
      </c>
      <c r="H2212" s="126" t="s">
        <v>1339</v>
      </c>
      <c r="I2212" s="127" t="s">
        <v>1430</v>
      </c>
      <c r="J2212" s="126">
        <v>14</v>
      </c>
      <c r="K2212" s="126">
        <v>50.05</v>
      </c>
      <c r="L2212" s="129">
        <f>INT(base[[#This Row],[Data de liquidação]])</f>
        <v>46158</v>
      </c>
      <c r="M2212" s="126">
        <f>base[[#This Row],[L/P Bruto]]-base[[#This Row],[L/P Líquido]]</f>
        <v>0.1734031413612569</v>
      </c>
      <c r="N2212" s="126">
        <f>base[[#This Row],[L/P Líquido]]/base[[#This Row],[Stake/Responsabilidade]]</f>
        <v>7.352647352647354E-2</v>
      </c>
      <c r="O2212" s="132">
        <f>IF(base[[#This Row],[L/P Líquido]]&gt;0,1,0)</f>
        <v>1</v>
      </c>
      <c r="P2212" s="132"/>
      <c r="Q2212" s="132" t="str">
        <f>LEFT(base[[#This Row],[Evento / Mercado]],FIND("vs",base[[#This Row],[Evento / Mercado]])-2)</f>
        <v>Willem II</v>
      </c>
      <c r="R22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Almere City</v>
      </c>
      <c r="S2212" s="132" t="str">
        <f>LEFT(base[[#This Row],[Evento / Mercado]],FIND("/",base[[#This Row],[Evento / Mercado]])-2)</f>
        <v>Willem II vs Almere City</v>
      </c>
    </row>
    <row r="2213" spans="2:21" ht="15" customHeight="1">
      <c r="B2213" s="128" t="s">
        <v>2129</v>
      </c>
      <c r="C2213" s="128" t="s">
        <v>2982</v>
      </c>
      <c r="D2213" s="129">
        <v>46158.763645833336</v>
      </c>
      <c r="E2213" s="130">
        <v>0.28999999999999998</v>
      </c>
      <c r="F2213" s="136">
        <v>4.4999999999999998E-2</v>
      </c>
      <c r="G2213" s="126">
        <f t="shared" si="35"/>
        <v>0.30366492146596857</v>
      </c>
      <c r="H2213" s="126" t="s">
        <v>1339</v>
      </c>
      <c r="I2213" s="127" t="s">
        <v>1993</v>
      </c>
      <c r="J2213" s="126">
        <v>1.1499999999999999</v>
      </c>
      <c r="K2213" s="126">
        <v>2</v>
      </c>
      <c r="L2213" s="129">
        <f>INT(base[[#This Row],[Data de liquidação]])</f>
        <v>46158</v>
      </c>
      <c r="M2213" s="126">
        <f>base[[#This Row],[L/P Bruto]]-base[[#This Row],[L/P Líquido]]</f>
        <v>1.3664921465968594E-2</v>
      </c>
      <c r="N2213" s="126">
        <f>base[[#This Row],[L/P Líquido]]/base[[#This Row],[Stake/Responsabilidade]]</f>
        <v>0.14499999999999999</v>
      </c>
      <c r="O2213" s="132">
        <f>IF(base[[#This Row],[L/P Líquido]]&gt;0,1,0)</f>
        <v>1</v>
      </c>
      <c r="P2213" s="132"/>
      <c r="Q2213" s="132" t="str">
        <f>LEFT(base[[#This Row],[Evento / Mercado]],FIND("vs",base[[#This Row],[Evento / Mercado]])-2)</f>
        <v>Famalicão</v>
      </c>
      <c r="R22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Alverca</v>
      </c>
      <c r="S2213" s="132" t="str">
        <f>LEFT(base[[#This Row],[Evento / Mercado]],FIND("/",base[[#This Row],[Evento / Mercado]])-2)</f>
        <v>Famalicão vs Alverca</v>
      </c>
    </row>
    <row r="2214" spans="2:21" ht="15" customHeight="1">
      <c r="B2214" s="128" t="s">
        <v>2128</v>
      </c>
      <c r="C2214" s="128" t="s">
        <v>2982</v>
      </c>
      <c r="D2214" s="129">
        <v>46158.770486111112</v>
      </c>
      <c r="E2214" s="130">
        <v>25.030549999999998</v>
      </c>
      <c r="F2214" s="136">
        <v>4.4999999999999998E-2</v>
      </c>
      <c r="G2214" s="126">
        <f t="shared" si="35"/>
        <v>26.21</v>
      </c>
      <c r="H2214" s="126" t="s">
        <v>145</v>
      </c>
      <c r="I2214" s="127" t="s">
        <v>301</v>
      </c>
      <c r="J2214" s="126">
        <v>15.5</v>
      </c>
      <c r="K2214" s="126">
        <v>380.05</v>
      </c>
      <c r="L2214" s="129">
        <f>INT(base[[#This Row],[Data de liquidação]])</f>
        <v>46158</v>
      </c>
      <c r="M2214" s="126">
        <f>base[[#This Row],[L/P Bruto]]-base[[#This Row],[L/P Líquido]]</f>
        <v>1.1794500000000028</v>
      </c>
      <c r="N2214" s="126">
        <f>base[[#This Row],[L/P Líquido]]/base[[#This Row],[Stake/Responsabilidade]]</f>
        <v>6.5861202473358763E-2</v>
      </c>
      <c r="O2214" s="132">
        <f>IF(base[[#This Row],[L/P Líquido]]&gt;0,1,0)</f>
        <v>1</v>
      </c>
      <c r="P2214" s="132" t="s">
        <v>965</v>
      </c>
      <c r="Q2214" s="132" t="str">
        <f>LEFT(base[[#This Row],[Evento / Mercado]],FIND("vs",base[[#This Row],[Evento / Mercado]])-2)</f>
        <v>Sporting CP</v>
      </c>
      <c r="R22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Gil Vicente</v>
      </c>
      <c r="S2214" s="132" t="str">
        <f>LEFT(base[[#This Row],[Evento / Mercado]],FIND("/",base[[#This Row],[Evento / Mercado]])-2)</f>
        <v>Sporting CP vs Gil Vicente</v>
      </c>
      <c r="T2214" s="8">
        <v>26.21</v>
      </c>
      <c r="U2214" s="9">
        <f>T2214*0.955</f>
        <v>25.030549999999998</v>
      </c>
    </row>
    <row r="2215" spans="2:21" ht="15" customHeight="1">
      <c r="B2215" s="128" t="s">
        <v>2128</v>
      </c>
      <c r="C2215" s="128" t="s">
        <v>2982</v>
      </c>
      <c r="D2215" s="129">
        <v>46158.770486111112</v>
      </c>
      <c r="E2215" s="130">
        <v>1.8526999999999998</v>
      </c>
      <c r="F2215" s="136">
        <v>4.4999999999999998E-2</v>
      </c>
      <c r="G2215" s="126">
        <f t="shared" si="35"/>
        <v>1.94</v>
      </c>
      <c r="H2215" s="126" t="s">
        <v>1339</v>
      </c>
      <c r="I2215" s="127" t="s">
        <v>1390</v>
      </c>
      <c r="J2215" s="126">
        <v>17</v>
      </c>
      <c r="K2215" s="126">
        <v>31.04</v>
      </c>
      <c r="L2215" s="129">
        <f>INT(base[[#This Row],[Data de liquidação]])</f>
        <v>46158</v>
      </c>
      <c r="M2215" s="126">
        <f>base[[#This Row],[L/P Bruto]]-base[[#This Row],[L/P Líquido]]</f>
        <v>8.7300000000000155E-2</v>
      </c>
      <c r="N2215" s="126">
        <f>base[[#This Row],[L/P Líquido]]/base[[#This Row],[Stake/Responsabilidade]]</f>
        <v>5.9687499999999998E-2</v>
      </c>
      <c r="O2215" s="132">
        <f>IF(base[[#This Row],[L/P Líquido]]&gt;0,1,0)</f>
        <v>1</v>
      </c>
      <c r="P2215" s="132"/>
      <c r="Q2215" s="132" t="str">
        <f>LEFT(base[[#This Row],[Evento / Mercado]],FIND("vs",base[[#This Row],[Evento / Mercado]])-2)</f>
        <v>Sporting CP</v>
      </c>
      <c r="R22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Gil Vicente</v>
      </c>
      <c r="S2215" s="132" t="str">
        <f>LEFT(base[[#This Row],[Evento / Mercado]],FIND("/",base[[#This Row],[Evento / Mercado]])-2)</f>
        <v>Sporting CP vs Gil Vicente</v>
      </c>
      <c r="T2215" s="8">
        <v>1.94</v>
      </c>
      <c r="U2215" s="9">
        <f>T2215*0.955</f>
        <v>1.8526999999999998</v>
      </c>
    </row>
    <row r="2216" spans="2:21" ht="15" customHeight="1">
      <c r="B2216" s="128" t="s">
        <v>2127</v>
      </c>
      <c r="C2216" s="128" t="s">
        <v>2982</v>
      </c>
      <c r="D2216" s="129">
        <v>46158.797303240739</v>
      </c>
      <c r="E2216" s="130">
        <v>-1.49</v>
      </c>
      <c r="F2216" s="136">
        <v>4.4999999999999998E-2</v>
      </c>
      <c r="G2216" s="126">
        <f t="shared" si="35"/>
        <v>-1.49</v>
      </c>
      <c r="H2216" s="126" t="s">
        <v>1339</v>
      </c>
      <c r="I2216" s="127" t="s">
        <v>1236</v>
      </c>
      <c r="J2216" s="126">
        <v>7</v>
      </c>
      <c r="K2216" s="126">
        <v>4</v>
      </c>
      <c r="L2216" s="129">
        <f>INT(base[[#This Row],[Data de liquidação]])</f>
        <v>46158</v>
      </c>
      <c r="M2216" s="126">
        <f>base[[#This Row],[L/P Bruto]]-base[[#This Row],[L/P Líquido]]</f>
        <v>0</v>
      </c>
      <c r="N2216" s="126">
        <f>base[[#This Row],[L/P Líquido]]/base[[#This Row],[Stake/Responsabilidade]]</f>
        <v>-0.3725</v>
      </c>
      <c r="O2216" s="132">
        <f>IF(base[[#This Row],[L/P Líquido]]&gt;0,1,0)</f>
        <v>0</v>
      </c>
      <c r="P2216" s="132"/>
      <c r="Q2216" s="132" t="str">
        <f>LEFT(base[[#This Row],[Evento / Mercado]],FIND("vs",base[[#This Row],[Evento / Mercado]])-2)</f>
        <v>CF Montreal</v>
      </c>
      <c r="R22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Chicago Fire</v>
      </c>
      <c r="S2216" s="132" t="str">
        <f>LEFT(base[[#This Row],[Evento / Mercado]],FIND("/",base[[#This Row],[Evento / Mercado]])-2)</f>
        <v>CF Montreal vs Chicago Fire</v>
      </c>
    </row>
    <row r="2217" spans="2:21" ht="15" customHeight="1">
      <c r="B2217" s="128" t="s">
        <v>2126</v>
      </c>
      <c r="C2217" s="128" t="s">
        <v>2982</v>
      </c>
      <c r="D2217" s="129">
        <v>46158.799421296295</v>
      </c>
      <c r="E2217" s="130">
        <v>106.53</v>
      </c>
      <c r="F2217" s="136">
        <v>4.4999999999999998E-2</v>
      </c>
      <c r="G2217" s="126">
        <f t="shared" si="35"/>
        <v>111.54973821989529</v>
      </c>
      <c r="H2217" s="126" t="s">
        <v>231</v>
      </c>
      <c r="I2217" s="127" t="s">
        <v>266</v>
      </c>
      <c r="J2217" s="126">
        <v>1.97</v>
      </c>
      <c r="K2217" s="126">
        <v>115</v>
      </c>
      <c r="L2217" s="129">
        <f>INT(base[[#This Row],[Data de liquidação]])</f>
        <v>46158</v>
      </c>
      <c r="M2217" s="126">
        <f>base[[#This Row],[L/P Bruto]]-base[[#This Row],[L/P Líquido]]</f>
        <v>5.019738219895288</v>
      </c>
      <c r="N2217" s="126">
        <f>base[[#This Row],[L/P Líquido]]/base[[#This Row],[Stake/Responsabilidade]]</f>
        <v>0.92634782608695654</v>
      </c>
      <c r="O2217" s="132">
        <f>IF(base[[#This Row],[L/P Líquido]]&gt;0,1,0)</f>
        <v>1</v>
      </c>
      <c r="P2217" s="132"/>
      <c r="Q2217" s="132" t="str">
        <f>LEFT(base[[#This Row],[Evento / Mercado]],FIND("vs",base[[#This Row],[Evento / Mercado]])-2)</f>
        <v>Atlético Mineiro</v>
      </c>
      <c r="R22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2217" s="132" t="str">
        <f>LEFT(base[[#This Row],[Evento / Mercado]],FIND("/",base[[#This Row],[Evento / Mercado]])-2)</f>
        <v>Atlético Mineiro vs Mirassol FC</v>
      </c>
    </row>
    <row r="2218" spans="2:21" ht="15" customHeight="1">
      <c r="B2218" s="128" t="s">
        <v>2125</v>
      </c>
      <c r="C2218" s="128" t="s">
        <v>2982</v>
      </c>
      <c r="D2218" s="129">
        <v>46158.816261574073</v>
      </c>
      <c r="E2218" s="130">
        <v>-115</v>
      </c>
      <c r="F2218" s="136">
        <v>4.4999999999999998E-2</v>
      </c>
      <c r="G2218" s="126">
        <f t="shared" si="35"/>
        <v>-115</v>
      </c>
      <c r="H2218" s="126" t="s">
        <v>231</v>
      </c>
      <c r="I2218" s="127" t="s">
        <v>232</v>
      </c>
      <c r="J2218" s="126">
        <v>1.64</v>
      </c>
      <c r="K2218" s="126">
        <v>115</v>
      </c>
      <c r="L2218" s="129">
        <f>INT(base[[#This Row],[Data de liquidação]])</f>
        <v>46158</v>
      </c>
      <c r="M2218" s="126">
        <f>base[[#This Row],[L/P Bruto]]-base[[#This Row],[L/P Líquido]]</f>
        <v>0</v>
      </c>
      <c r="N2218" s="126">
        <f>base[[#This Row],[L/P Líquido]]/base[[#This Row],[Stake/Responsabilidade]]</f>
        <v>-1</v>
      </c>
      <c r="O2218" s="132">
        <f>IF(base[[#This Row],[L/P Líquido]]&gt;0,1,0)</f>
        <v>0</v>
      </c>
      <c r="P2218" s="132"/>
      <c r="Q2218" s="132" t="str">
        <f>LEFT(base[[#This Row],[Evento / Mercado]],FIND("vs",base[[#This Row],[Evento / Mercado]])-2)</f>
        <v>CF Montreal</v>
      </c>
      <c r="R22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Chicago Fire</v>
      </c>
      <c r="S2218" s="132" t="str">
        <f>LEFT(base[[#This Row],[Evento / Mercado]],FIND("/",base[[#This Row],[Evento / Mercado]])-2)</f>
        <v>CF Montreal vs Chicago Fire</v>
      </c>
    </row>
    <row r="2219" spans="2:21" ht="15" customHeight="1">
      <c r="B2219" s="128" t="s">
        <v>2124</v>
      </c>
      <c r="C2219" s="128" t="s">
        <v>2982</v>
      </c>
      <c r="D2219" s="129">
        <v>46158.822997685187</v>
      </c>
      <c r="E2219" s="130">
        <v>3.82</v>
      </c>
      <c r="F2219" s="136">
        <v>4.4999999999999998E-2</v>
      </c>
      <c r="G2219" s="126">
        <f t="shared" si="35"/>
        <v>4</v>
      </c>
      <c r="H2219" s="126" t="s">
        <v>1339</v>
      </c>
      <c r="I2219" s="127" t="s">
        <v>1236</v>
      </c>
      <c r="J2219" s="126">
        <v>5.17</v>
      </c>
      <c r="K2219" s="126">
        <v>4</v>
      </c>
      <c r="L2219" s="129">
        <f>INT(base[[#This Row],[Data de liquidação]])</f>
        <v>46158</v>
      </c>
      <c r="M2219" s="126">
        <f>base[[#This Row],[L/P Bruto]]-base[[#This Row],[L/P Líquido]]</f>
        <v>0.18000000000000016</v>
      </c>
      <c r="N2219" s="126">
        <f>base[[#This Row],[L/P Líquido]]/base[[#This Row],[Stake/Responsabilidade]]</f>
        <v>0.95499999999999996</v>
      </c>
      <c r="O2219" s="132">
        <f>IF(base[[#This Row],[L/P Líquido]]&gt;0,1,0)</f>
        <v>1</v>
      </c>
      <c r="P2219" s="132"/>
      <c r="Q2219" s="132" t="str">
        <f>LEFT(base[[#This Row],[Evento / Mercado]],FIND("vs",base[[#This Row],[Evento / Mercado]])-2)</f>
        <v>Fluminense FC</v>
      </c>
      <c r="R22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2219" s="132" t="str">
        <f>LEFT(base[[#This Row],[Evento / Mercado]],FIND("/",base[[#This Row],[Evento / Mercado]])-2)</f>
        <v>Fluminense FC vs São Paulo</v>
      </c>
    </row>
    <row r="2220" spans="2:21" ht="15" customHeight="1">
      <c r="B2220" s="128" t="s">
        <v>2123</v>
      </c>
      <c r="C2220" s="128" t="s">
        <v>2982</v>
      </c>
      <c r="D2220" s="129">
        <v>46158.844861111109</v>
      </c>
      <c r="E2220" s="130">
        <v>106.53</v>
      </c>
      <c r="F2220" s="136">
        <v>4.4999999999999998E-2</v>
      </c>
      <c r="G2220" s="126">
        <f t="shared" si="35"/>
        <v>111.54973821989529</v>
      </c>
      <c r="H2220" s="126" t="s">
        <v>231</v>
      </c>
      <c r="I2220" s="127" t="s">
        <v>266</v>
      </c>
      <c r="J2220" s="126">
        <v>1.97</v>
      </c>
      <c r="K2220" s="126">
        <v>115</v>
      </c>
      <c r="L2220" s="129">
        <f>INT(base[[#This Row],[Data de liquidação]])</f>
        <v>46158</v>
      </c>
      <c r="M2220" s="126">
        <f>base[[#This Row],[L/P Bruto]]-base[[#This Row],[L/P Líquido]]</f>
        <v>5.019738219895288</v>
      </c>
      <c r="N2220" s="126">
        <f>base[[#This Row],[L/P Líquido]]/base[[#This Row],[Stake/Responsabilidade]]</f>
        <v>0.92634782608695654</v>
      </c>
      <c r="O2220" s="132">
        <f>IF(base[[#This Row],[L/P Líquido]]&gt;0,1,0)</f>
        <v>1</v>
      </c>
      <c r="P2220" s="132"/>
      <c r="Q2220" s="132" t="str">
        <f>LEFT(base[[#This Row],[Evento / Mercado]],FIND("vs",base[[#This Row],[Evento / Mercado]])-2)</f>
        <v>SC Internacional</v>
      </c>
      <c r="R22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2220" s="132" t="str">
        <f>LEFT(base[[#This Row],[Evento / Mercado]],FIND("/",base[[#This Row],[Evento / Mercado]])-2)</f>
        <v>SC Internacional vs Vasco da Gama</v>
      </c>
    </row>
    <row r="2221" spans="2:21" ht="15" customHeight="1">
      <c r="B2221" s="128" t="s">
        <v>2122</v>
      </c>
      <c r="C2221" s="128" t="s">
        <v>2982</v>
      </c>
      <c r="D2221" s="129">
        <v>46158.850694444445</v>
      </c>
      <c r="E2221" s="130">
        <v>2.02</v>
      </c>
      <c r="F2221" s="136">
        <v>4.4999999999999998E-2</v>
      </c>
      <c r="G2221" s="126">
        <f t="shared" si="35"/>
        <v>2.1151832460732987</v>
      </c>
      <c r="H2221" s="126" t="s">
        <v>1339</v>
      </c>
      <c r="I2221" s="127" t="s">
        <v>1429</v>
      </c>
      <c r="J2221" s="126">
        <v>2.06</v>
      </c>
      <c r="K2221" s="126">
        <v>2</v>
      </c>
      <c r="L2221" s="129">
        <f>INT(base[[#This Row],[Data de liquidação]])</f>
        <v>46158</v>
      </c>
      <c r="M2221" s="126">
        <f>base[[#This Row],[L/P Bruto]]-base[[#This Row],[L/P Líquido]]</f>
        <v>9.5183246073298644E-2</v>
      </c>
      <c r="N2221" s="126">
        <f>base[[#This Row],[L/P Líquido]]/base[[#This Row],[Stake/Responsabilidade]]</f>
        <v>1.01</v>
      </c>
      <c r="O2221" s="132">
        <f>IF(base[[#This Row],[L/P Líquido]]&gt;0,1,0)</f>
        <v>1</v>
      </c>
      <c r="P2221" s="132"/>
      <c r="Q2221" s="132" t="str">
        <f>LEFT(base[[#This Row],[Evento / Mercado]],FIND("vs",base[[#This Row],[Evento / Mercado]])-2)</f>
        <v>Atlético Mineiro</v>
      </c>
      <c r="R22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2221" s="132" t="str">
        <f>LEFT(base[[#This Row],[Evento / Mercado]],FIND("/",base[[#This Row],[Evento / Mercado]])-2)</f>
        <v>Atlético Mineiro vs Mirassol FC</v>
      </c>
    </row>
    <row r="2222" spans="2:21" ht="15" customHeight="1">
      <c r="B2222" s="128" t="s">
        <v>2121</v>
      </c>
      <c r="C2222" s="128" t="s">
        <v>2982</v>
      </c>
      <c r="D2222" s="129">
        <v>46158.852430555555</v>
      </c>
      <c r="E2222" s="130">
        <v>-10</v>
      </c>
      <c r="F2222" s="136">
        <v>4.4999999999999998E-2</v>
      </c>
      <c r="G2222" s="126">
        <f t="shared" si="35"/>
        <v>-10</v>
      </c>
      <c r="H2222" s="126" t="s">
        <v>1339</v>
      </c>
      <c r="I2222" s="127" t="s">
        <v>1446</v>
      </c>
      <c r="J2222" s="126">
        <v>2.64</v>
      </c>
      <c r="K2222" s="126">
        <v>10</v>
      </c>
      <c r="L2222" s="129">
        <f>INT(base[[#This Row],[Data de liquidação]])</f>
        <v>46158</v>
      </c>
      <c r="M2222" s="126">
        <f>base[[#This Row],[L/P Bruto]]-base[[#This Row],[L/P Líquido]]</f>
        <v>0</v>
      </c>
      <c r="N2222" s="126">
        <f>base[[#This Row],[L/P Líquido]]/base[[#This Row],[Stake/Responsabilidade]]</f>
        <v>-1</v>
      </c>
      <c r="O2222" s="132">
        <f>IF(base[[#This Row],[L/P Líquido]]&gt;0,1,0)</f>
        <v>0</v>
      </c>
      <c r="P2222" s="132"/>
      <c r="Q2222" s="132" t="str">
        <f>LEFT(base[[#This Row],[Evento / Mercado]],FIND("vs",base[[#This Row],[Evento / Mercado]])-2)</f>
        <v>O'Higgins</v>
      </c>
      <c r="R22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de Concepción</v>
      </c>
      <c r="S2222" s="132" t="str">
        <f>LEFT(base[[#This Row],[Evento / Mercado]],FIND("/",base[[#This Row],[Evento / Mercado]])-2)</f>
        <v>O'Higgins vs Universidad de Concepción</v>
      </c>
    </row>
    <row r="2223" spans="2:21" ht="15" customHeight="1">
      <c r="B2223" s="128" t="s">
        <v>2120</v>
      </c>
      <c r="C2223" s="128" t="s">
        <v>2982</v>
      </c>
      <c r="D2223" s="129">
        <v>46158.8749537037</v>
      </c>
      <c r="E2223" s="130">
        <v>1.43</v>
      </c>
      <c r="F2223" s="136">
        <v>4.4999999999999998E-2</v>
      </c>
      <c r="G2223" s="126">
        <f t="shared" si="35"/>
        <v>1.4973821989528795</v>
      </c>
      <c r="H2223" s="126" t="s">
        <v>1339</v>
      </c>
      <c r="I2223" s="127" t="s">
        <v>1963</v>
      </c>
      <c r="J2223" s="126">
        <v>1.03</v>
      </c>
      <c r="K2223" s="126">
        <v>50</v>
      </c>
      <c r="L2223" s="129">
        <f>INT(base[[#This Row],[Data de liquidação]])</f>
        <v>46158</v>
      </c>
      <c r="M2223" s="126">
        <f>base[[#This Row],[L/P Bruto]]-base[[#This Row],[L/P Líquido]]</f>
        <v>6.7382198952879557E-2</v>
      </c>
      <c r="N2223" s="126">
        <f>base[[#This Row],[L/P Líquido]]/base[[#This Row],[Stake/Responsabilidade]]</f>
        <v>2.86E-2</v>
      </c>
      <c r="O2223" s="132">
        <f>IF(base[[#This Row],[L/P Líquido]]&gt;0,1,0)</f>
        <v>1</v>
      </c>
      <c r="P2223" s="132"/>
      <c r="Q2223" s="132" t="str">
        <f>LEFT(base[[#This Row],[Evento / Mercado]],FIND("vs",base[[#This Row],[Evento / Mercado]])-2)</f>
        <v>Fluminense FC</v>
      </c>
      <c r="R22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2223" s="132" t="str">
        <f>LEFT(base[[#This Row],[Evento / Mercado]],FIND("/",base[[#This Row],[Evento / Mercado]])-2)</f>
        <v>Fluminense FC vs São Paulo</v>
      </c>
    </row>
    <row r="2224" spans="2:21" ht="15" customHeight="1">
      <c r="B2224" s="128" t="s">
        <v>2119</v>
      </c>
      <c r="C2224" s="128" t="s">
        <v>2982</v>
      </c>
      <c r="D2224" s="129">
        <v>46158.942743055559</v>
      </c>
      <c r="E2224" s="130">
        <v>1.71</v>
      </c>
      <c r="F2224" s="136">
        <v>4.4999999999999998E-2</v>
      </c>
      <c r="G2224" s="126">
        <f t="shared" si="35"/>
        <v>1.7905759162303665</v>
      </c>
      <c r="H2224" s="126" t="s">
        <v>1339</v>
      </c>
      <c r="I2224" s="127" t="s">
        <v>1388</v>
      </c>
      <c r="J2224" s="126">
        <v>28</v>
      </c>
      <c r="K2224" s="126">
        <v>48.33</v>
      </c>
      <c r="L2224" s="129">
        <f>INT(base[[#This Row],[Data de liquidação]])</f>
        <v>46158</v>
      </c>
      <c r="M2224" s="126">
        <f>base[[#This Row],[L/P Bruto]]-base[[#This Row],[L/P Líquido]]</f>
        <v>8.0575916230366529E-2</v>
      </c>
      <c r="N2224" s="126">
        <f>base[[#This Row],[L/P Líquido]]/base[[#This Row],[Stake/Responsabilidade]]</f>
        <v>3.5381750465549346E-2</v>
      </c>
      <c r="O2224" s="132">
        <f>IF(base[[#This Row],[L/P Líquido]]&gt;0,1,0)</f>
        <v>1</v>
      </c>
      <c r="P2224" s="132"/>
      <c r="Q2224" s="132" t="str">
        <f>LEFT(base[[#This Row],[Evento / Mercado]],FIND("vs",base[[#This Row],[Evento / Mercado]])-2)</f>
        <v>DC United</v>
      </c>
      <c r="R22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Saint Louis City SC</v>
      </c>
      <c r="S2224" s="132" t="str">
        <f>LEFT(base[[#This Row],[Evento / Mercado]],FIND("/",base[[#This Row],[Evento / Mercado]])-2)</f>
        <v>DC United vs Saint Louis City SC</v>
      </c>
    </row>
    <row r="2225" spans="2:21" ht="15" customHeight="1">
      <c r="B2225" s="128" t="s">
        <v>2118</v>
      </c>
      <c r="C2225" s="128" t="s">
        <v>2982</v>
      </c>
      <c r="D2225" s="129">
        <v>46158.94290509259</v>
      </c>
      <c r="E2225" s="130">
        <v>2.08</v>
      </c>
      <c r="F2225" s="136">
        <v>4.4999999999999998E-2</v>
      </c>
      <c r="G2225" s="126">
        <f t="shared" si="35"/>
        <v>2.1780104712041886</v>
      </c>
      <c r="H2225" s="126" t="s">
        <v>1339</v>
      </c>
      <c r="I2225" s="127" t="s">
        <v>1336</v>
      </c>
      <c r="J2225" s="126">
        <v>1.48</v>
      </c>
      <c r="K2225" s="126">
        <v>10</v>
      </c>
      <c r="L2225" s="129">
        <f>INT(base[[#This Row],[Data de liquidação]])</f>
        <v>46158</v>
      </c>
      <c r="M2225" s="126">
        <f>base[[#This Row],[L/P Bruto]]-base[[#This Row],[L/P Líquido]]</f>
        <v>9.8010471204188487E-2</v>
      </c>
      <c r="N2225" s="126">
        <f>base[[#This Row],[L/P Líquido]]/base[[#This Row],[Stake/Responsabilidade]]</f>
        <v>0.20800000000000002</v>
      </c>
      <c r="O2225" s="132">
        <f>IF(base[[#This Row],[L/P Líquido]]&gt;0,1,0)</f>
        <v>1</v>
      </c>
      <c r="P2225" s="132"/>
      <c r="Q2225" s="132" t="str">
        <f>LEFT(base[[#This Row],[Evento / Mercado]],FIND("vs",base[[#This Row],[Evento / Mercado]])-2)</f>
        <v>Orlando City</v>
      </c>
      <c r="R22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2225" s="132" t="str">
        <f>LEFT(base[[#This Row],[Evento / Mercado]],FIND("/",base[[#This Row],[Evento / Mercado]])-2)</f>
        <v>Orlando City vs Atlanta United FC</v>
      </c>
    </row>
    <row r="2226" spans="2:21" ht="15" customHeight="1">
      <c r="B2226" s="128" t="s">
        <v>2117</v>
      </c>
      <c r="C2226" s="128" t="s">
        <v>2982</v>
      </c>
      <c r="D2226" s="129">
        <v>46158.942916666667</v>
      </c>
      <c r="E2226" s="130">
        <v>2.65</v>
      </c>
      <c r="F2226" s="136">
        <v>4.4999999999999998E-2</v>
      </c>
      <c r="G2226" s="126">
        <f t="shared" si="35"/>
        <v>2.7748691099476441</v>
      </c>
      <c r="H2226" s="126" t="s">
        <v>1339</v>
      </c>
      <c r="I2226" s="127" t="s">
        <v>1430</v>
      </c>
      <c r="J2226" s="126">
        <v>18</v>
      </c>
      <c r="K2226" s="126">
        <v>47.26</v>
      </c>
      <c r="L2226" s="129">
        <f>INT(base[[#This Row],[Data de liquidação]])</f>
        <v>46158</v>
      </c>
      <c r="M2226" s="126">
        <f>base[[#This Row],[L/P Bruto]]-base[[#This Row],[L/P Líquido]]</f>
        <v>0.12486910994764422</v>
      </c>
      <c r="N2226" s="126">
        <f>base[[#This Row],[L/P Líquido]]/base[[#This Row],[Stake/Responsabilidade]]</f>
        <v>5.6072788827761323E-2</v>
      </c>
      <c r="O2226" s="132">
        <f>IF(base[[#This Row],[L/P Líquido]]&gt;0,1,0)</f>
        <v>1</v>
      </c>
      <c r="P2226" s="132"/>
      <c r="Q2226" s="132" t="str">
        <f>LEFT(base[[#This Row],[Evento / Mercado]],FIND("vs",base[[#This Row],[Evento / Mercado]])-2)</f>
        <v>Orlando City</v>
      </c>
      <c r="R22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2226" s="132" t="str">
        <f>LEFT(base[[#This Row],[Evento / Mercado]],FIND("/",base[[#This Row],[Evento / Mercado]])-2)</f>
        <v>Orlando City vs Atlanta United FC</v>
      </c>
    </row>
    <row r="2227" spans="2:21" ht="15" customHeight="1">
      <c r="B2227" s="128" t="s">
        <v>2116</v>
      </c>
      <c r="C2227" s="128" t="s">
        <v>2982</v>
      </c>
      <c r="D2227" s="129">
        <v>46158.942997685182</v>
      </c>
      <c r="E2227" s="130">
        <v>-2</v>
      </c>
      <c r="F2227" s="136">
        <v>4.4999999999999998E-2</v>
      </c>
      <c r="G2227" s="126">
        <f t="shared" si="35"/>
        <v>-2</v>
      </c>
      <c r="H2227" s="126" t="s">
        <v>1339</v>
      </c>
      <c r="I2227" s="127" t="s">
        <v>1429</v>
      </c>
      <c r="J2227" s="126">
        <v>2.3199999999999998</v>
      </c>
      <c r="K2227" s="126">
        <v>2</v>
      </c>
      <c r="L2227" s="129">
        <f>INT(base[[#This Row],[Data de liquidação]])</f>
        <v>46158</v>
      </c>
      <c r="M2227" s="126">
        <f>base[[#This Row],[L/P Bruto]]-base[[#This Row],[L/P Líquido]]</f>
        <v>0</v>
      </c>
      <c r="N2227" s="126">
        <f>base[[#This Row],[L/P Líquido]]/base[[#This Row],[Stake/Responsabilidade]]</f>
        <v>-1</v>
      </c>
      <c r="O2227" s="132">
        <f>IF(base[[#This Row],[L/P Líquido]]&gt;0,1,0)</f>
        <v>0</v>
      </c>
      <c r="P2227" s="132"/>
      <c r="Q2227" s="132" t="str">
        <f>LEFT(base[[#This Row],[Evento / Mercado]],FIND("vs",base[[#This Row],[Evento / Mercado]])-2)</f>
        <v>DC United</v>
      </c>
      <c r="R22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Saint Louis City SC</v>
      </c>
      <c r="S2227" s="132" t="str">
        <f>LEFT(base[[#This Row],[Evento / Mercado]],FIND("/",base[[#This Row],[Evento / Mercado]])-2)</f>
        <v>DC United vs Saint Louis City SC</v>
      </c>
    </row>
    <row r="2228" spans="2:21" ht="15" customHeight="1">
      <c r="B2228" s="128" t="s">
        <v>2116</v>
      </c>
      <c r="C2228" s="128" t="s">
        <v>2982</v>
      </c>
      <c r="D2228" s="129">
        <v>46158.942997685182</v>
      </c>
      <c r="E2228" s="130">
        <v>23.38</v>
      </c>
      <c r="F2228" s="136">
        <v>4.1500000000000002E-2</v>
      </c>
      <c r="G2228" s="126">
        <f t="shared" si="35"/>
        <v>24.392279603547209</v>
      </c>
      <c r="H2228" s="126" t="s">
        <v>1784</v>
      </c>
      <c r="I2228" s="127" t="s">
        <v>1785</v>
      </c>
      <c r="J2228" s="126">
        <v>3.05</v>
      </c>
      <c r="K2228" s="126">
        <v>50</v>
      </c>
      <c r="L2228" s="129">
        <f>INT(base[[#This Row],[Data de liquidação]])</f>
        <v>46158</v>
      </c>
      <c r="M2228" s="126">
        <f>base[[#This Row],[L/P Bruto]]-base[[#This Row],[L/P Líquido]]</f>
        <v>1.0122796035472099</v>
      </c>
      <c r="N2228" s="126">
        <f>base[[#This Row],[L/P Líquido]]/base[[#This Row],[Stake/Responsabilidade]]</f>
        <v>0.46759999999999996</v>
      </c>
      <c r="O2228" s="132">
        <f>IF(base[[#This Row],[L/P Líquido]]&gt;0,1,0)</f>
        <v>1</v>
      </c>
      <c r="P2228" s="132"/>
      <c r="Q2228" s="132" t="str">
        <f>LEFT(base[[#This Row],[Evento / Mercado]],FIND("vs",base[[#This Row],[Evento / Mercado]])-2)</f>
        <v>DC United</v>
      </c>
      <c r="R22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Saint Louis City SC</v>
      </c>
      <c r="S2228" s="132" t="str">
        <f>LEFT(base[[#This Row],[Evento / Mercado]],FIND("/",base[[#This Row],[Evento / Mercado]])-2)</f>
        <v>DC United vs Saint Louis City SC</v>
      </c>
      <c r="T2228" s="8">
        <v>24.39</v>
      </c>
      <c r="U2228" s="9">
        <f>T2228*0.955</f>
        <v>23.292449999999999</v>
      </c>
    </row>
    <row r="2229" spans="2:21" ht="15" customHeight="1">
      <c r="B2229" s="128" t="s">
        <v>2115</v>
      </c>
      <c r="C2229" s="128" t="s">
        <v>2982</v>
      </c>
      <c r="D2229" s="129">
        <v>46158.943009259259</v>
      </c>
      <c r="E2229" s="130">
        <v>1.71</v>
      </c>
      <c r="F2229" s="136">
        <v>4.4999999999999998E-2</v>
      </c>
      <c r="G2229" s="126">
        <f t="shared" si="35"/>
        <v>1.7905759162303665</v>
      </c>
      <c r="H2229" s="126" t="s">
        <v>1339</v>
      </c>
      <c r="I2229" s="127" t="s">
        <v>1388</v>
      </c>
      <c r="J2229" s="126">
        <v>29</v>
      </c>
      <c r="K2229" s="126">
        <v>50.12</v>
      </c>
      <c r="L2229" s="129">
        <f>INT(base[[#This Row],[Data de liquidação]])</f>
        <v>46158</v>
      </c>
      <c r="M2229" s="126">
        <f>base[[#This Row],[L/P Bruto]]-base[[#This Row],[L/P Líquido]]</f>
        <v>8.0575916230366529E-2</v>
      </c>
      <c r="N2229" s="126">
        <f>base[[#This Row],[L/P Líquido]]/base[[#This Row],[Stake/Responsabilidade]]</f>
        <v>3.4118116520351155E-2</v>
      </c>
      <c r="O2229" s="132">
        <f>IF(base[[#This Row],[L/P Líquido]]&gt;0,1,0)</f>
        <v>1</v>
      </c>
      <c r="P2229" s="132"/>
      <c r="Q2229" s="132" t="str">
        <f>LEFT(base[[#This Row],[Evento / Mercado]],FIND("vs",base[[#This Row],[Evento / Mercado]])-2)</f>
        <v>New York Red Bulls</v>
      </c>
      <c r="R22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York City FC</v>
      </c>
      <c r="S2229" s="132" t="str">
        <f>LEFT(base[[#This Row],[Evento / Mercado]],FIND("/",base[[#This Row],[Evento / Mercado]])-2)</f>
        <v>New York Red Bulls vs New York City FC</v>
      </c>
    </row>
    <row r="2230" spans="2:21" ht="15" customHeight="1">
      <c r="B2230" s="128" t="s">
        <v>2114</v>
      </c>
      <c r="C2230" s="128" t="s">
        <v>2982</v>
      </c>
      <c r="D2230" s="129">
        <v>46158.957303240742</v>
      </c>
      <c r="E2230" s="130">
        <v>-115</v>
      </c>
      <c r="F2230" s="136">
        <v>4.4999999999999998E-2</v>
      </c>
      <c r="G2230" s="126">
        <f t="shared" si="35"/>
        <v>-115</v>
      </c>
      <c r="H2230" s="126" t="s">
        <v>231</v>
      </c>
      <c r="I2230" s="127" t="s">
        <v>232</v>
      </c>
      <c r="J2230" s="126">
        <v>1.72</v>
      </c>
      <c r="K2230" s="126">
        <v>115</v>
      </c>
      <c r="L2230" s="129">
        <f>INT(base[[#This Row],[Data de liquidação]])</f>
        <v>46158</v>
      </c>
      <c r="M2230" s="126">
        <f>base[[#This Row],[L/P Bruto]]-base[[#This Row],[L/P Líquido]]</f>
        <v>0</v>
      </c>
      <c r="N2230" s="126">
        <f>base[[#This Row],[L/P Líquido]]/base[[#This Row],[Stake/Responsabilidade]]</f>
        <v>-1</v>
      </c>
      <c r="O2230" s="132">
        <f>IF(base[[#This Row],[L/P Líquido]]&gt;0,1,0)</f>
        <v>0</v>
      </c>
      <c r="P2230" s="132"/>
      <c r="Q2230" s="132" t="str">
        <f>LEFT(base[[#This Row],[Evento / Mercado]],FIND("vs",base[[#This Row],[Evento / Mercado]])-2)</f>
        <v>Deportes Limache</v>
      </c>
      <c r="R22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</v>
      </c>
      <c r="S2230" s="132" t="str">
        <f>LEFT(base[[#This Row],[Evento / Mercado]],FIND("/",base[[#This Row],[Evento / Mercado]])-2)</f>
        <v>Deportes Limache vs Universidad Católica</v>
      </c>
    </row>
    <row r="2231" spans="2:21" ht="15" customHeight="1">
      <c r="B2231" s="128" t="s">
        <v>2113</v>
      </c>
      <c r="C2231" s="128" t="s">
        <v>2982</v>
      </c>
      <c r="D2231" s="129">
        <v>46158.957592592589</v>
      </c>
      <c r="E2231" s="130">
        <v>-2</v>
      </c>
      <c r="F2231" s="136">
        <v>4.4999999999999998E-2</v>
      </c>
      <c r="G2231" s="126">
        <f t="shared" si="35"/>
        <v>-2</v>
      </c>
      <c r="H2231" s="126" t="s">
        <v>1339</v>
      </c>
      <c r="I2231" s="127" t="s">
        <v>1429</v>
      </c>
      <c r="J2231" s="126">
        <v>1.97</v>
      </c>
      <c r="K2231" s="126">
        <v>2</v>
      </c>
      <c r="L2231" s="129">
        <f>INT(base[[#This Row],[Data de liquidação]])</f>
        <v>46158</v>
      </c>
      <c r="M2231" s="126">
        <f>base[[#This Row],[L/P Bruto]]-base[[#This Row],[L/P Líquido]]</f>
        <v>0</v>
      </c>
      <c r="N2231" s="126">
        <f>base[[#This Row],[L/P Líquido]]/base[[#This Row],[Stake/Responsabilidade]]</f>
        <v>-1</v>
      </c>
      <c r="O2231" s="132">
        <f>IF(base[[#This Row],[L/P Líquido]]&gt;0,1,0)</f>
        <v>0</v>
      </c>
      <c r="P2231" s="132"/>
      <c r="Q2231" s="132" t="str">
        <f>LEFT(base[[#This Row],[Evento / Mercado]],FIND("vs",base[[#This Row],[Evento / Mercado]])-2)</f>
        <v>Palmeiras</v>
      </c>
      <c r="R22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2231" s="132" t="str">
        <f>LEFT(base[[#This Row],[Evento / Mercado]],FIND("/",base[[#This Row],[Evento / Mercado]])-2)</f>
        <v>Palmeiras vs Cruzeiro</v>
      </c>
    </row>
    <row r="2232" spans="2:21" ht="15" customHeight="1">
      <c r="B2232" s="128" t="s">
        <v>2112</v>
      </c>
      <c r="C2232" s="128" t="s">
        <v>2982</v>
      </c>
      <c r="D2232" s="129">
        <v>46158.970069444447</v>
      </c>
      <c r="E2232" s="130">
        <v>3.82</v>
      </c>
      <c r="F2232" s="136">
        <v>4.4999999999999998E-2</v>
      </c>
      <c r="G2232" s="126">
        <f t="shared" si="35"/>
        <v>4</v>
      </c>
      <c r="H2232" s="126" t="s">
        <v>1339</v>
      </c>
      <c r="I2232" s="127" t="s">
        <v>1236</v>
      </c>
      <c r="J2232" s="126">
        <v>11</v>
      </c>
      <c r="K2232" s="126">
        <v>4</v>
      </c>
      <c r="L2232" s="129">
        <f>INT(base[[#This Row],[Data de liquidação]])</f>
        <v>46158</v>
      </c>
      <c r="M2232" s="126">
        <f>base[[#This Row],[L/P Bruto]]-base[[#This Row],[L/P Líquido]]</f>
        <v>0.18000000000000016</v>
      </c>
      <c r="N2232" s="126">
        <f>base[[#This Row],[L/P Líquido]]/base[[#This Row],[Stake/Responsabilidade]]</f>
        <v>0.95499999999999996</v>
      </c>
      <c r="O2232" s="132">
        <f>IF(base[[#This Row],[L/P Líquido]]&gt;0,1,0)</f>
        <v>1</v>
      </c>
      <c r="P2232" s="132"/>
      <c r="Q2232" s="132" t="str">
        <f>LEFT(base[[#This Row],[Evento / Mercado]],FIND("vs",base[[#This Row],[Evento / Mercado]])-2)</f>
        <v>Real Salt Lake</v>
      </c>
      <c r="R22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Colorado Rapids</v>
      </c>
      <c r="S2232" s="132" t="str">
        <f>LEFT(base[[#This Row],[Evento / Mercado]],FIND("/",base[[#This Row],[Evento / Mercado]])-2)</f>
        <v>Real Salt Lake vs Colorado Rapids</v>
      </c>
    </row>
    <row r="2233" spans="2:21" ht="15" customHeight="1">
      <c r="B2233" s="128" t="s">
        <v>2279</v>
      </c>
      <c r="C2233" s="128" t="s">
        <v>2982</v>
      </c>
      <c r="D2233" s="129">
        <v>46159.013807870368</v>
      </c>
      <c r="E2233" s="130">
        <v>-5</v>
      </c>
      <c r="F2233" s="136">
        <v>4.4999999999999998E-2</v>
      </c>
      <c r="G2233" s="126">
        <f t="shared" si="35"/>
        <v>-5</v>
      </c>
      <c r="H2233" s="126" t="s">
        <v>1339</v>
      </c>
      <c r="I2233" s="127" t="s">
        <v>1389</v>
      </c>
      <c r="J2233" s="126">
        <v>1.74</v>
      </c>
      <c r="K2233" s="126">
        <v>5</v>
      </c>
      <c r="L2233" s="129">
        <f>INT(base[[#This Row],[Data de liquidação]])</f>
        <v>46159</v>
      </c>
      <c r="M2233" s="126">
        <f>base[[#This Row],[L/P Bruto]]-base[[#This Row],[L/P Líquido]]</f>
        <v>0</v>
      </c>
      <c r="N2233" s="126">
        <f>base[[#This Row],[L/P Líquido]]/base[[#This Row],[Stake/Responsabilidade]]</f>
        <v>-1</v>
      </c>
      <c r="O2233" s="132">
        <f>IF(base[[#This Row],[L/P Líquido]]&gt;0,1,0)</f>
        <v>0</v>
      </c>
      <c r="P2233" s="132"/>
      <c r="Q2233" s="132" t="str">
        <f>LEFT(base[[#This Row],[Evento / Mercado]],FIND("vs",base[[#This Row],[Evento / Mercado]])-2)</f>
        <v>Seattle Sounders</v>
      </c>
      <c r="R22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Galaxy</v>
      </c>
      <c r="S2233" s="132" t="str">
        <f>LEFT(base[[#This Row],[Evento / Mercado]],FIND("/",base[[#This Row],[Evento / Mercado]])-2)</f>
        <v>Seattle Sounders vs Los Angeles Galaxy</v>
      </c>
    </row>
    <row r="2234" spans="2:21" ht="15" customHeight="1">
      <c r="B2234" s="128" t="s">
        <v>2278</v>
      </c>
      <c r="C2234" s="128" t="s">
        <v>2982</v>
      </c>
      <c r="D2234" s="129">
        <v>46159.015416666669</v>
      </c>
      <c r="E2234" s="130">
        <v>3.53</v>
      </c>
      <c r="F2234" s="136">
        <v>4.4999999999999998E-2</v>
      </c>
      <c r="G2234" s="126">
        <f t="shared" si="35"/>
        <v>3.6963350785340312</v>
      </c>
      <c r="H2234" s="126" t="s">
        <v>1339</v>
      </c>
      <c r="I2234" s="127" t="s">
        <v>1388</v>
      </c>
      <c r="J2234" s="126">
        <v>15</v>
      </c>
      <c r="K2234" s="126">
        <v>51.8</v>
      </c>
      <c r="L2234" s="129">
        <f>INT(base[[#This Row],[Data de liquidação]])</f>
        <v>46159</v>
      </c>
      <c r="M2234" s="126">
        <f>base[[#This Row],[L/P Bruto]]-base[[#This Row],[L/P Líquido]]</f>
        <v>0.1663350785340314</v>
      </c>
      <c r="N2234" s="126">
        <f>base[[#This Row],[L/P Líquido]]/base[[#This Row],[Stake/Responsabilidade]]</f>
        <v>6.8146718146718147E-2</v>
      </c>
      <c r="O2234" s="132">
        <f>IF(base[[#This Row],[L/P Líquido]]&gt;0,1,0)</f>
        <v>1</v>
      </c>
      <c r="P2234" s="132"/>
      <c r="Q2234" s="132" t="str">
        <f>LEFT(base[[#This Row],[Evento / Mercado]],FIND("vs",base[[#This Row],[Evento / Mercado]])-2)</f>
        <v>Seattle Sounders</v>
      </c>
      <c r="R22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Galaxy</v>
      </c>
      <c r="S2234" s="132" t="str">
        <f>LEFT(base[[#This Row],[Evento / Mercado]],FIND("/",base[[#This Row],[Evento / Mercado]])-2)</f>
        <v>Seattle Sounders vs Los Angeles Galaxy</v>
      </c>
    </row>
    <row r="2235" spans="2:21" ht="15" customHeight="1">
      <c r="B2235" s="128" t="s">
        <v>2277</v>
      </c>
      <c r="C2235" s="128" t="s">
        <v>2982</v>
      </c>
      <c r="D2235" s="129">
        <v>46159.015532407408</v>
      </c>
      <c r="E2235" s="130">
        <v>-115</v>
      </c>
      <c r="F2235" s="136">
        <v>4.4999999999999998E-2</v>
      </c>
      <c r="G2235" s="126">
        <f t="shared" si="35"/>
        <v>-115</v>
      </c>
      <c r="H2235" s="126" t="s">
        <v>231</v>
      </c>
      <c r="I2235" s="127" t="s">
        <v>266</v>
      </c>
      <c r="J2235" s="126">
        <v>1.65</v>
      </c>
      <c r="K2235" s="126">
        <v>115</v>
      </c>
      <c r="L2235" s="129">
        <f>INT(base[[#This Row],[Data de liquidação]])</f>
        <v>46159</v>
      </c>
      <c r="M2235" s="126">
        <f>base[[#This Row],[L/P Bruto]]-base[[#This Row],[L/P Líquido]]</f>
        <v>0</v>
      </c>
      <c r="N2235" s="126">
        <f>base[[#This Row],[L/P Líquido]]/base[[#This Row],[Stake/Responsabilidade]]</f>
        <v>-1</v>
      </c>
      <c r="O2235" s="132">
        <f>IF(base[[#This Row],[L/P Líquido]]&gt;0,1,0)</f>
        <v>0</v>
      </c>
      <c r="P2235" s="132"/>
      <c r="Q2235" s="132" t="str">
        <f>LEFT(base[[#This Row],[Evento / Mercado]],FIND("vs",base[[#This Row],[Evento / Mercado]])-2)</f>
        <v>Seattle Sounders</v>
      </c>
      <c r="R22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Galaxy</v>
      </c>
      <c r="S2235" s="132" t="str">
        <f>LEFT(base[[#This Row],[Evento / Mercado]],FIND("/",base[[#This Row],[Evento / Mercado]])-2)</f>
        <v>Seattle Sounders vs Los Angeles Galaxy</v>
      </c>
    </row>
    <row r="2236" spans="2:21" ht="15" customHeight="1">
      <c r="B2236" s="128" t="s">
        <v>2276</v>
      </c>
      <c r="C2236" s="128" t="s">
        <v>2982</v>
      </c>
      <c r="D2236" s="129">
        <v>46159.0155787037</v>
      </c>
      <c r="E2236" s="130">
        <v>2.15</v>
      </c>
      <c r="F2236" s="136">
        <v>4.4999999999999998E-2</v>
      </c>
      <c r="G2236" s="126">
        <f t="shared" si="35"/>
        <v>2.25130890052356</v>
      </c>
      <c r="H2236" s="126" t="s">
        <v>1339</v>
      </c>
      <c r="I2236" s="127" t="s">
        <v>1336</v>
      </c>
      <c r="J2236" s="126">
        <v>1.47</v>
      </c>
      <c r="K2236" s="126">
        <v>10</v>
      </c>
      <c r="L2236" s="129">
        <f>INT(base[[#This Row],[Data de liquidação]])</f>
        <v>46159</v>
      </c>
      <c r="M2236" s="126">
        <f>base[[#This Row],[L/P Bruto]]-base[[#This Row],[L/P Líquido]]</f>
        <v>0.10130890052356012</v>
      </c>
      <c r="N2236" s="126">
        <f>base[[#This Row],[L/P Líquido]]/base[[#This Row],[Stake/Responsabilidade]]</f>
        <v>0.215</v>
      </c>
      <c r="O2236" s="132">
        <f>IF(base[[#This Row],[L/P Líquido]]&gt;0,1,0)</f>
        <v>1</v>
      </c>
      <c r="P2236" s="132"/>
      <c r="Q2236" s="132" t="str">
        <f>LEFT(base[[#This Row],[Evento / Mercado]],FIND("vs",base[[#This Row],[Evento / Mercado]])-2)</f>
        <v>Seattle Sounders</v>
      </c>
      <c r="R22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Galaxy</v>
      </c>
      <c r="S2236" s="132" t="str">
        <f>LEFT(base[[#This Row],[Evento / Mercado]],FIND("/",base[[#This Row],[Evento / Mercado]])-2)</f>
        <v>Seattle Sounders vs Los Angeles Galaxy</v>
      </c>
    </row>
    <row r="2237" spans="2:21" ht="15" customHeight="1">
      <c r="B2237" s="128" t="s">
        <v>2275</v>
      </c>
      <c r="C2237" s="128" t="s">
        <v>2982</v>
      </c>
      <c r="D2237" s="129">
        <v>46159.424791666665</v>
      </c>
      <c r="E2237" s="130">
        <v>3.82</v>
      </c>
      <c r="F2237" s="136">
        <v>4.4999999999999998E-2</v>
      </c>
      <c r="G2237" s="126">
        <f t="shared" si="35"/>
        <v>4</v>
      </c>
      <c r="H2237" s="126" t="s">
        <v>1339</v>
      </c>
      <c r="I2237" s="127" t="s">
        <v>1236</v>
      </c>
      <c r="J2237" s="126">
        <v>7.8</v>
      </c>
      <c r="K2237" s="126">
        <v>4</v>
      </c>
      <c r="L2237" s="129">
        <f>INT(base[[#This Row],[Data de liquidação]])</f>
        <v>46159</v>
      </c>
      <c r="M2237" s="126">
        <f>base[[#This Row],[L/P Bruto]]-base[[#This Row],[L/P Líquido]]</f>
        <v>0.18000000000000016</v>
      </c>
      <c r="N2237" s="126">
        <f>base[[#This Row],[L/P Líquido]]/base[[#This Row],[Stake/Responsabilidade]]</f>
        <v>0.95499999999999996</v>
      </c>
      <c r="O2237" s="132">
        <f>IF(base[[#This Row],[L/P Líquido]]&gt;0,1,0)</f>
        <v>1</v>
      </c>
      <c r="P2237" s="132"/>
      <c r="Q2237" s="132" t="str">
        <f>LEFT(base[[#This Row],[Evento / Mercado]],FIND("vs",base[[#This Row],[Evento / Mercado]])-2)</f>
        <v>Deportivo La Coruña</v>
      </c>
      <c r="R22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Andorra FC</v>
      </c>
      <c r="S2237" s="132" t="str">
        <f>LEFT(base[[#This Row],[Evento / Mercado]],FIND("/",base[[#This Row],[Evento / Mercado]])-2)</f>
        <v>Deportivo La Coruña vs Andorra FC</v>
      </c>
    </row>
    <row r="2238" spans="2:21" ht="15" customHeight="1">
      <c r="B2238" s="128" t="s">
        <v>2274</v>
      </c>
      <c r="C2238" s="128" t="s">
        <v>2982</v>
      </c>
      <c r="D2238" s="129">
        <v>46159.425983796296</v>
      </c>
      <c r="E2238" s="130">
        <v>3.82</v>
      </c>
      <c r="F2238" s="136">
        <v>4.4999999999999998E-2</v>
      </c>
      <c r="G2238" s="126">
        <f t="shared" si="35"/>
        <v>4</v>
      </c>
      <c r="H2238" s="126" t="s">
        <v>1339</v>
      </c>
      <c r="I2238" s="127" t="s">
        <v>1236</v>
      </c>
      <c r="J2238" s="126">
        <v>16</v>
      </c>
      <c r="K2238" s="126">
        <v>4</v>
      </c>
      <c r="L2238" s="129">
        <f>INT(base[[#This Row],[Data de liquidação]])</f>
        <v>46159</v>
      </c>
      <c r="M2238" s="126">
        <f>base[[#This Row],[L/P Bruto]]-base[[#This Row],[L/P Líquido]]</f>
        <v>0.18000000000000016</v>
      </c>
      <c r="N2238" s="126">
        <f>base[[#This Row],[L/P Líquido]]/base[[#This Row],[Stake/Responsabilidade]]</f>
        <v>0.95499999999999996</v>
      </c>
      <c r="O2238" s="132">
        <f>IF(base[[#This Row],[L/P Líquido]]&gt;0,1,0)</f>
        <v>1</v>
      </c>
      <c r="P2238" s="132"/>
      <c r="Q2238" s="132" t="str">
        <f>LEFT(base[[#This Row],[Evento / Mercado]],FIND("vs",base[[#This Row],[Evento / Mercado]])-2)</f>
        <v>FC Red Bull Salzburg</v>
      </c>
      <c r="R22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Egger Glas Hartberg</v>
      </c>
      <c r="S2238" s="132" t="str">
        <f>LEFT(base[[#This Row],[Evento / Mercado]],FIND("/",base[[#This Row],[Evento / Mercado]])-2)</f>
        <v>FC Red Bull Salzburg vs TSV Egger Glas Hartberg</v>
      </c>
    </row>
    <row r="2239" spans="2:21" ht="15" customHeight="1">
      <c r="B2239" s="128" t="s">
        <v>2273</v>
      </c>
      <c r="C2239" s="128" t="s">
        <v>2982</v>
      </c>
      <c r="D2239" s="129">
        <v>46159.45140046296</v>
      </c>
      <c r="E2239" s="130">
        <v>-2</v>
      </c>
      <c r="F2239" s="136">
        <v>4.4999999999999998E-2</v>
      </c>
      <c r="G2239" s="126">
        <f t="shared" si="35"/>
        <v>-2</v>
      </c>
      <c r="H2239" s="126" t="s">
        <v>1339</v>
      </c>
      <c r="I2239" s="127" t="s">
        <v>1448</v>
      </c>
      <c r="J2239" s="126">
        <v>1.79</v>
      </c>
      <c r="K2239" s="126">
        <v>2</v>
      </c>
      <c r="L2239" s="129">
        <f>INT(base[[#This Row],[Data de liquidação]])</f>
        <v>46159</v>
      </c>
      <c r="M2239" s="126">
        <f>base[[#This Row],[L/P Bruto]]-base[[#This Row],[L/P Líquido]]</f>
        <v>0</v>
      </c>
      <c r="N2239" s="126">
        <f>base[[#This Row],[L/P Líquido]]/base[[#This Row],[Stake/Responsabilidade]]</f>
        <v>-1</v>
      </c>
      <c r="O2239" s="132">
        <f>IF(base[[#This Row],[L/P Líquido]]&gt;0,1,0)</f>
        <v>0</v>
      </c>
      <c r="P2239" s="132"/>
      <c r="Q2239" s="132" t="str">
        <f>LEFT(base[[#This Row],[Evento / Mercado]],FIND("vs",base[[#This Row],[Evento / Mercado]])-2)</f>
        <v>Internazionale</v>
      </c>
      <c r="R22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2239" s="132" t="str">
        <f>LEFT(base[[#This Row],[Evento / Mercado]],FIND("/",base[[#This Row],[Evento / Mercado]])-2)</f>
        <v>Internazionale vs Hellas Verona</v>
      </c>
    </row>
    <row r="2240" spans="2:21" ht="15" customHeight="1">
      <c r="B2240" s="128" t="s">
        <v>2272</v>
      </c>
      <c r="C2240" s="128" t="s">
        <v>2982</v>
      </c>
      <c r="D2240" s="129">
        <v>46159.4534375</v>
      </c>
      <c r="E2240" s="130">
        <v>3.53</v>
      </c>
      <c r="F2240" s="136">
        <v>4.4999999999999998E-2</v>
      </c>
      <c r="G2240" s="126">
        <f t="shared" si="35"/>
        <v>3.6963350785340312</v>
      </c>
      <c r="H2240" s="126" t="s">
        <v>1339</v>
      </c>
      <c r="I2240" s="127" t="s">
        <v>1430</v>
      </c>
      <c r="J2240" s="126">
        <v>14.5</v>
      </c>
      <c r="K2240" s="126">
        <v>49.95</v>
      </c>
      <c r="L2240" s="129">
        <f>INT(base[[#This Row],[Data de liquidação]])</f>
        <v>46159</v>
      </c>
      <c r="M2240" s="126">
        <f>base[[#This Row],[L/P Bruto]]-base[[#This Row],[L/P Líquido]]</f>
        <v>0.1663350785340314</v>
      </c>
      <c r="N2240" s="126">
        <f>base[[#This Row],[L/P Líquido]]/base[[#This Row],[Stake/Responsabilidade]]</f>
        <v>7.0670670670670663E-2</v>
      </c>
      <c r="O2240" s="132">
        <f>IF(base[[#This Row],[L/P Líquido]]&gt;0,1,0)</f>
        <v>1</v>
      </c>
      <c r="P2240" s="132"/>
      <c r="Q2240" s="132" t="str">
        <f>LEFT(base[[#This Row],[Evento / Mercado]],FIND("vs",base[[#This Row],[Evento / Mercado]])-2)</f>
        <v>IF Brommapojkarna</v>
      </c>
      <c r="R22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Kalmar FF</v>
      </c>
      <c r="S2240" s="132" t="str">
        <f>LEFT(base[[#This Row],[Evento / Mercado]],FIND("/",base[[#This Row],[Evento / Mercado]])-2)</f>
        <v>IF Brommapojkarna vs Kalmar FF</v>
      </c>
    </row>
    <row r="2241" spans="2:21" ht="15" customHeight="1">
      <c r="B2241" s="128" t="s">
        <v>2271</v>
      </c>
      <c r="C2241" s="128" t="s">
        <v>2982</v>
      </c>
      <c r="D2241" s="129">
        <v>46159.456250000003</v>
      </c>
      <c r="E2241" s="130">
        <v>-2.19</v>
      </c>
      <c r="F2241" s="136">
        <v>4.4999999999999998E-2</v>
      </c>
      <c r="G2241" s="126">
        <f t="shared" si="35"/>
        <v>-2.19</v>
      </c>
      <c r="H2241" s="126" t="s">
        <v>1339</v>
      </c>
      <c r="I2241" s="127" t="s">
        <v>1236</v>
      </c>
      <c r="J2241" s="126">
        <v>9.6</v>
      </c>
      <c r="K2241" s="126">
        <v>4</v>
      </c>
      <c r="L2241" s="129">
        <f>INT(base[[#This Row],[Data de liquidação]])</f>
        <v>46159</v>
      </c>
      <c r="M2241" s="126">
        <f>base[[#This Row],[L/P Bruto]]-base[[#This Row],[L/P Líquido]]</f>
        <v>0</v>
      </c>
      <c r="N2241" s="126">
        <f>base[[#This Row],[L/P Líquido]]/base[[#This Row],[Stake/Responsabilidade]]</f>
        <v>-0.54749999999999999</v>
      </c>
      <c r="O2241" s="132">
        <f>IF(base[[#This Row],[L/P Líquido]]&gt;0,1,0)</f>
        <v>0</v>
      </c>
      <c r="P2241" s="132"/>
      <c r="Q2241" s="132" t="str">
        <f>LEFT(base[[#This Row],[Evento / Mercado]],FIND("vs",base[[#This Row],[Evento / Mercado]])-2)</f>
        <v>FC Utrecht</v>
      </c>
      <c r="R22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Sittard</v>
      </c>
      <c r="S2241" s="132" t="str">
        <f>LEFT(base[[#This Row],[Evento / Mercado]],FIND("/",base[[#This Row],[Evento / Mercado]])-2)</f>
        <v>FC Utrecht vs Fortuna Sittard</v>
      </c>
    </row>
    <row r="2242" spans="2:21" ht="15" customHeight="1">
      <c r="B2242" s="128" t="s">
        <v>2270</v>
      </c>
      <c r="C2242" s="128" t="s">
        <v>2982</v>
      </c>
      <c r="D2242" s="129">
        <v>46159.463460648149</v>
      </c>
      <c r="E2242" s="130">
        <v>0.13</v>
      </c>
      <c r="F2242" s="136">
        <v>4.4999999999999998E-2</v>
      </c>
      <c r="G2242" s="126">
        <f t="shared" si="35"/>
        <v>0.13612565445026178</v>
      </c>
      <c r="H2242" s="126" t="s">
        <v>1339</v>
      </c>
      <c r="I2242" s="127" t="s">
        <v>1993</v>
      </c>
      <c r="J2242" s="126">
        <v>1.07</v>
      </c>
      <c r="K2242" s="126">
        <v>2</v>
      </c>
      <c r="L2242" s="129">
        <f>INT(base[[#This Row],[Data de liquidação]])</f>
        <v>46159</v>
      </c>
      <c r="M2242" s="126">
        <f>base[[#This Row],[L/P Bruto]]-base[[#This Row],[L/P Líquido]]</f>
        <v>6.1256544502617805E-3</v>
      </c>
      <c r="N2242" s="126">
        <f>base[[#This Row],[L/P Líquido]]/base[[#This Row],[Stake/Responsabilidade]]</f>
        <v>6.5000000000000002E-2</v>
      </c>
      <c r="O2242" s="132">
        <f>IF(base[[#This Row],[L/P Líquido]]&gt;0,1,0)</f>
        <v>1</v>
      </c>
      <c r="P2242" s="132"/>
      <c r="Q2242" s="132" t="str">
        <f>LEFT(base[[#This Row],[Evento / Mercado]],FIND("vs",base[[#This Row],[Evento / Mercado]])-2)</f>
        <v>Arminia Bielefeld</v>
      </c>
      <c r="R22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Hertha BSC</v>
      </c>
      <c r="S2242" s="132" t="str">
        <f>LEFT(base[[#This Row],[Evento / Mercado]],FIND("/",base[[#This Row],[Evento / Mercado]])-2)</f>
        <v>Arminia Bielefeld vs Hertha BSC</v>
      </c>
    </row>
    <row r="2243" spans="2:21" ht="15" customHeight="1">
      <c r="B2243" s="128" t="s">
        <v>2269</v>
      </c>
      <c r="C2243" s="128" t="s">
        <v>2982</v>
      </c>
      <c r="D2243" s="129">
        <v>46159.463923611111</v>
      </c>
      <c r="E2243" s="130">
        <v>0.12</v>
      </c>
      <c r="F2243" s="136">
        <v>4.4999999999999998E-2</v>
      </c>
      <c r="G2243" s="126">
        <f t="shared" ref="G2243:G2306" si="36">IF(E2243&gt;0,E2243/(1-F2243),E2243)</f>
        <v>0.1256544502617801</v>
      </c>
      <c r="H2243" s="126" t="s">
        <v>1339</v>
      </c>
      <c r="I2243" s="127" t="s">
        <v>1993</v>
      </c>
      <c r="J2243" s="126">
        <v>1.06</v>
      </c>
      <c r="K2243" s="126">
        <v>2</v>
      </c>
      <c r="L2243" s="129">
        <f>INT(base[[#This Row],[Data de liquidação]])</f>
        <v>46159</v>
      </c>
      <c r="M2243" s="126">
        <f>base[[#This Row],[L/P Bruto]]-base[[#This Row],[L/P Líquido]]</f>
        <v>5.6544502617801029E-3</v>
      </c>
      <c r="N2243" s="126">
        <f>base[[#This Row],[L/P Líquido]]/base[[#This Row],[Stake/Responsabilidade]]</f>
        <v>0.06</v>
      </c>
      <c r="O2243" s="132">
        <f>IF(base[[#This Row],[L/P Líquido]]&gt;0,1,0)</f>
        <v>1</v>
      </c>
      <c r="P2243" s="132"/>
      <c r="Q2243" s="132" t="str">
        <f>LEFT(base[[#This Row],[Evento / Mercado]],FIND("vs",base[[#This Row],[Evento / Mercado]])-2)</f>
        <v>PEC Zwolle</v>
      </c>
      <c r="R22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2243" s="132" t="str">
        <f>LEFT(base[[#This Row],[Evento / Mercado]],FIND("/",base[[#This Row],[Evento / Mercado]])-2)</f>
        <v>PEC Zwolle vs Feyenoord</v>
      </c>
    </row>
    <row r="2244" spans="2:21" ht="15" customHeight="1">
      <c r="B2244" s="128" t="s">
        <v>2268</v>
      </c>
      <c r="C2244" s="128" t="s">
        <v>2982</v>
      </c>
      <c r="D2244" s="129">
        <v>46159.472407407404</v>
      </c>
      <c r="E2244" s="130">
        <v>-2</v>
      </c>
      <c r="F2244" s="136">
        <v>4.4999999999999998E-2</v>
      </c>
      <c r="G2244" s="126">
        <f t="shared" si="36"/>
        <v>-2</v>
      </c>
      <c r="H2244" s="126" t="s">
        <v>1339</v>
      </c>
      <c r="I2244" s="127" t="s">
        <v>2193</v>
      </c>
      <c r="J2244" s="126">
        <v>1.68</v>
      </c>
      <c r="K2244" s="126">
        <v>2</v>
      </c>
      <c r="L2244" s="129">
        <f>INT(base[[#This Row],[Data de liquidação]])</f>
        <v>46159</v>
      </c>
      <c r="M2244" s="126">
        <f>base[[#This Row],[L/P Bruto]]-base[[#This Row],[L/P Líquido]]</f>
        <v>0</v>
      </c>
      <c r="N2244" s="126">
        <f>base[[#This Row],[L/P Líquido]]/base[[#This Row],[Stake/Responsabilidade]]</f>
        <v>-1</v>
      </c>
      <c r="O2244" s="132">
        <f>IF(base[[#This Row],[L/P Líquido]]&gt;0,1,0)</f>
        <v>0</v>
      </c>
      <c r="P2244" s="132"/>
      <c r="Q2244" s="132" t="str">
        <f>LEFT(base[[#This Row],[Evento / Mercado]],FIND("vs",base[[#This Row],[Evento / Mercado]])-2)</f>
        <v>PEC Zwolle</v>
      </c>
      <c r="R22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2244" s="132" t="str">
        <f>LEFT(base[[#This Row],[Evento / Mercado]],FIND("/",base[[#This Row],[Evento / Mercado]])-2)</f>
        <v>PEC Zwolle vs Feyenoord</v>
      </c>
    </row>
    <row r="2245" spans="2:21" ht="15" customHeight="1">
      <c r="B2245" s="128" t="s">
        <v>2267</v>
      </c>
      <c r="C2245" s="128" t="s">
        <v>2982</v>
      </c>
      <c r="D2245" s="129">
        <v>46159.472453703704</v>
      </c>
      <c r="E2245" s="130">
        <v>87.86</v>
      </c>
      <c r="F2245" s="136">
        <v>4.4999999999999998E-2</v>
      </c>
      <c r="G2245" s="126">
        <f t="shared" si="36"/>
        <v>92</v>
      </c>
      <c r="H2245" s="126" t="s">
        <v>231</v>
      </c>
      <c r="I2245" s="127" t="s">
        <v>232</v>
      </c>
      <c r="J2245" s="126">
        <v>1.8</v>
      </c>
      <c r="K2245" s="126">
        <v>115</v>
      </c>
      <c r="L2245" s="129">
        <f>INT(base[[#This Row],[Data de liquidação]])</f>
        <v>46159</v>
      </c>
      <c r="M2245" s="126">
        <f>base[[#This Row],[L/P Bruto]]-base[[#This Row],[L/P Líquido]]</f>
        <v>4.1400000000000006</v>
      </c>
      <c r="N2245" s="126">
        <f>base[[#This Row],[L/P Líquido]]/base[[#This Row],[Stake/Responsabilidade]]</f>
        <v>0.76400000000000001</v>
      </c>
      <c r="O2245" s="132">
        <f>IF(base[[#This Row],[L/P Líquido]]&gt;0,1,0)</f>
        <v>1</v>
      </c>
      <c r="P2245" s="132"/>
      <c r="Q2245" s="132" t="str">
        <f>LEFT(base[[#This Row],[Evento / Mercado]],FIND("vs",base[[#This Row],[Evento / Mercado]])-2)</f>
        <v>FC Volendam</v>
      </c>
      <c r="R22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Telstar</v>
      </c>
      <c r="S2245" s="132" t="str">
        <f>LEFT(base[[#This Row],[Evento / Mercado]],FIND("/",base[[#This Row],[Evento / Mercado]])-2)</f>
        <v>FC Volendam vs SC Telstar</v>
      </c>
    </row>
    <row r="2246" spans="2:21" ht="15" customHeight="1">
      <c r="B2246" s="128" t="s">
        <v>2266</v>
      </c>
      <c r="C2246" s="128" t="s">
        <v>2982</v>
      </c>
      <c r="D2246" s="129">
        <v>46159.475462962961</v>
      </c>
      <c r="E2246" s="130">
        <v>-2</v>
      </c>
      <c r="F2246" s="136">
        <v>4.4999999999999998E-2</v>
      </c>
      <c r="G2246" s="126">
        <f t="shared" si="36"/>
        <v>-2</v>
      </c>
      <c r="H2246" s="126" t="s">
        <v>1339</v>
      </c>
      <c r="I2246" s="127" t="s">
        <v>1429</v>
      </c>
      <c r="J2246" s="126">
        <v>2.06</v>
      </c>
      <c r="K2246" s="126">
        <v>2</v>
      </c>
      <c r="L2246" s="129">
        <f>INT(base[[#This Row],[Data de liquidação]])</f>
        <v>46159</v>
      </c>
      <c r="M2246" s="126">
        <f>base[[#This Row],[L/P Bruto]]-base[[#This Row],[L/P Líquido]]</f>
        <v>0</v>
      </c>
      <c r="N2246" s="126">
        <f>base[[#This Row],[L/P Líquido]]/base[[#This Row],[Stake/Responsabilidade]]</f>
        <v>-1</v>
      </c>
      <c r="O2246" s="132">
        <f>IF(base[[#This Row],[L/P Líquido]]&gt;0,1,0)</f>
        <v>0</v>
      </c>
      <c r="P2246" s="132"/>
      <c r="Q2246" s="132" t="str">
        <f>LEFT(base[[#This Row],[Evento / Mercado]],FIND("vs",base[[#This Row],[Evento / Mercado]])-2)</f>
        <v>Sparta Rotterdam</v>
      </c>
      <c r="R22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2246" s="132" t="str">
        <f>LEFT(base[[#This Row],[Evento / Mercado]],FIND("/",base[[#This Row],[Evento / Mercado]])-2)</f>
        <v>Sparta Rotterdam vs Excelsior Rotterdam</v>
      </c>
    </row>
    <row r="2247" spans="2:21" ht="15" customHeight="1">
      <c r="B2247" s="128" t="s">
        <v>2265</v>
      </c>
      <c r="C2247" s="128" t="s">
        <v>2982</v>
      </c>
      <c r="D2247" s="129">
        <v>46159.475983796299</v>
      </c>
      <c r="E2247" s="130">
        <v>-2</v>
      </c>
      <c r="F2247" s="136">
        <v>4.4999999999999998E-2</v>
      </c>
      <c r="G2247" s="126">
        <f t="shared" si="36"/>
        <v>-2</v>
      </c>
      <c r="H2247" s="126" t="s">
        <v>1339</v>
      </c>
      <c r="I2247" s="127" t="s">
        <v>1431</v>
      </c>
      <c r="J2247" s="126">
        <v>1.88</v>
      </c>
      <c r="K2247" s="126">
        <v>2</v>
      </c>
      <c r="L2247" s="129">
        <f>INT(base[[#This Row],[Data de liquidação]])</f>
        <v>46159</v>
      </c>
      <c r="M2247" s="126">
        <f>base[[#This Row],[L/P Bruto]]-base[[#This Row],[L/P Líquido]]</f>
        <v>0</v>
      </c>
      <c r="N2247" s="126">
        <f>base[[#This Row],[L/P Líquido]]/base[[#This Row],[Stake/Responsabilidade]]</f>
        <v>-1</v>
      </c>
      <c r="O2247" s="132">
        <f>IF(base[[#This Row],[L/P Líquido]]&gt;0,1,0)</f>
        <v>0</v>
      </c>
      <c r="P2247" s="132"/>
      <c r="Q2247" s="132" t="str">
        <f>LEFT(base[[#This Row],[Evento / Mercado]],FIND("vs",base[[#This Row],[Evento / Mercado]])-2)</f>
        <v>Heerenveen</v>
      </c>
      <c r="R22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2247" s="132" t="str">
        <f>LEFT(base[[#This Row],[Evento / Mercado]],FIND("/",base[[#This Row],[Evento / Mercado]])-2)</f>
        <v>Heerenveen vs Ajax</v>
      </c>
    </row>
    <row r="2248" spans="2:21" ht="15" customHeight="1">
      <c r="B2248" s="128" t="s">
        <v>2264</v>
      </c>
      <c r="C2248" s="128" t="s">
        <v>2982</v>
      </c>
      <c r="D2248" s="129">
        <v>46159.484398148146</v>
      </c>
      <c r="E2248" s="130">
        <v>3.82</v>
      </c>
      <c r="F2248" s="136">
        <v>4.4999999999999998E-2</v>
      </c>
      <c r="G2248" s="126">
        <f t="shared" si="36"/>
        <v>4</v>
      </c>
      <c r="H2248" s="126" t="s">
        <v>1339</v>
      </c>
      <c r="I2248" s="127" t="s">
        <v>1236</v>
      </c>
      <c r="J2248" s="126">
        <v>8.69</v>
      </c>
      <c r="K2248" s="126">
        <v>4</v>
      </c>
      <c r="L2248" s="129">
        <f>INT(base[[#This Row],[Data de liquidação]])</f>
        <v>46159</v>
      </c>
      <c r="M2248" s="126">
        <f>base[[#This Row],[L/P Bruto]]-base[[#This Row],[L/P Líquido]]</f>
        <v>0.18000000000000016</v>
      </c>
      <c r="N2248" s="126">
        <f>base[[#This Row],[L/P Líquido]]/base[[#This Row],[Stake/Responsabilidade]]</f>
        <v>0.95499999999999996</v>
      </c>
      <c r="O2248" s="132">
        <f>IF(base[[#This Row],[L/P Líquido]]&gt;0,1,0)</f>
        <v>1</v>
      </c>
      <c r="P2248" s="132"/>
      <c r="Q2248" s="132" t="str">
        <f>LEFT(base[[#This Row],[Evento / Mercado]],FIND("vs",base[[#This Row],[Evento / Mercado]])-2)</f>
        <v>Arminia Bielefeld</v>
      </c>
      <c r="R22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Hertha BSC</v>
      </c>
      <c r="S2248" s="132" t="str">
        <f>LEFT(base[[#This Row],[Evento / Mercado]],FIND("/",base[[#This Row],[Evento / Mercado]])-2)</f>
        <v>Arminia Bielefeld vs Hertha BSC</v>
      </c>
    </row>
    <row r="2249" spans="2:21" ht="15" customHeight="1">
      <c r="B2249" s="128" t="s">
        <v>2263</v>
      </c>
      <c r="C2249" s="128" t="s">
        <v>2982</v>
      </c>
      <c r="D2249" s="129">
        <v>46159.485902777778</v>
      </c>
      <c r="E2249" s="130">
        <v>-10</v>
      </c>
      <c r="F2249" s="136">
        <v>4.4999999999999998E-2</v>
      </c>
      <c r="G2249" s="126">
        <f t="shared" si="36"/>
        <v>-10</v>
      </c>
      <c r="H2249" s="126" t="s">
        <v>1339</v>
      </c>
      <c r="I2249" s="127" t="s">
        <v>1336</v>
      </c>
      <c r="J2249" s="126">
        <v>1.47</v>
      </c>
      <c r="K2249" s="126">
        <v>10</v>
      </c>
      <c r="L2249" s="129">
        <f>INT(base[[#This Row],[Data de liquidação]])</f>
        <v>46159</v>
      </c>
      <c r="M2249" s="126">
        <f>base[[#This Row],[L/P Bruto]]-base[[#This Row],[L/P Líquido]]</f>
        <v>0</v>
      </c>
      <c r="N2249" s="126">
        <f>base[[#This Row],[L/P Líquido]]/base[[#This Row],[Stake/Responsabilidade]]</f>
        <v>-1</v>
      </c>
      <c r="O2249" s="132">
        <f>IF(base[[#This Row],[L/P Líquido]]&gt;0,1,0)</f>
        <v>0</v>
      </c>
      <c r="P2249" s="132"/>
      <c r="Q2249" s="132" t="str">
        <f>LEFT(base[[#This Row],[Evento / Mercado]],FIND("vs",base[[#This Row],[Evento / Mercado]])-2)</f>
        <v>Hannover 96</v>
      </c>
      <c r="R22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Nürnberg</v>
      </c>
      <c r="S2249" s="132" t="str">
        <f>LEFT(base[[#This Row],[Evento / Mercado]],FIND("/",base[[#This Row],[Evento / Mercado]])-2)</f>
        <v>Hannover 96 vs 1. FC Nürnberg</v>
      </c>
    </row>
    <row r="2250" spans="2:21" ht="15" customHeight="1">
      <c r="B2250" s="128" t="s">
        <v>2262</v>
      </c>
      <c r="C2250" s="128" t="s">
        <v>2982</v>
      </c>
      <c r="D2250" s="129">
        <v>46159.492476851854</v>
      </c>
      <c r="E2250" s="130">
        <v>3.82</v>
      </c>
      <c r="F2250" s="136">
        <v>4.4999999999999998E-2</v>
      </c>
      <c r="G2250" s="126">
        <f t="shared" si="36"/>
        <v>4</v>
      </c>
      <c r="H2250" s="126" t="s">
        <v>1339</v>
      </c>
      <c r="I2250" s="127" t="s">
        <v>1236</v>
      </c>
      <c r="J2250" s="126">
        <v>9</v>
      </c>
      <c r="K2250" s="126">
        <v>4</v>
      </c>
      <c r="L2250" s="129">
        <f>INT(base[[#This Row],[Data de liquidação]])</f>
        <v>46159</v>
      </c>
      <c r="M2250" s="126">
        <f>base[[#This Row],[L/P Bruto]]-base[[#This Row],[L/P Líquido]]</f>
        <v>0.18000000000000016</v>
      </c>
      <c r="N2250" s="126">
        <f>base[[#This Row],[L/P Líquido]]/base[[#This Row],[Stake/Responsabilidade]]</f>
        <v>0.95499999999999996</v>
      </c>
      <c r="O2250" s="132">
        <f>IF(base[[#This Row],[L/P Líquido]]&gt;0,1,0)</f>
        <v>1</v>
      </c>
      <c r="P2250" s="132"/>
      <c r="Q2250" s="132" t="str">
        <f>LEFT(base[[#This Row],[Evento / Mercado]],FIND("vs",base[[#This Row],[Evento / Mercado]])-2)</f>
        <v>Wolverhampton Wanderers</v>
      </c>
      <c r="R22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2250" s="132" t="str">
        <f>LEFT(base[[#This Row],[Evento / Mercado]],FIND("/",base[[#This Row],[Evento / Mercado]])-2)</f>
        <v>Wolverhampton Wanderers vs Fulham</v>
      </c>
    </row>
    <row r="2251" spans="2:21" ht="15" customHeight="1">
      <c r="B2251" s="128" t="s">
        <v>2261</v>
      </c>
      <c r="C2251" s="128" t="s">
        <v>2982</v>
      </c>
      <c r="D2251" s="129">
        <v>46159.500335648147</v>
      </c>
      <c r="E2251" s="130">
        <v>3.41</v>
      </c>
      <c r="F2251" s="136">
        <v>4.4999999999999998E-2</v>
      </c>
      <c r="G2251" s="126">
        <f t="shared" si="36"/>
        <v>3.5706806282722514</v>
      </c>
      <c r="H2251" s="126" t="s">
        <v>1339</v>
      </c>
      <c r="I2251" s="127" t="s">
        <v>1390</v>
      </c>
      <c r="J2251" s="126">
        <v>9.4</v>
      </c>
      <c r="K2251" s="126">
        <v>29.99</v>
      </c>
      <c r="L2251" s="129">
        <f>INT(base[[#This Row],[Data de liquidação]])</f>
        <v>46159</v>
      </c>
      <c r="M2251" s="126">
        <f>base[[#This Row],[L/P Bruto]]-base[[#This Row],[L/P Líquido]]</f>
        <v>0.16068062827225127</v>
      </c>
      <c r="N2251" s="126">
        <f>base[[#This Row],[L/P Líquido]]/base[[#This Row],[Stake/Responsabilidade]]</f>
        <v>0.11370456818939648</v>
      </c>
      <c r="O2251" s="132">
        <f>IF(base[[#This Row],[L/P Líquido]]&gt;0,1,0)</f>
        <v>1</v>
      </c>
      <c r="P2251" s="132"/>
      <c r="Q2251" s="132" t="str">
        <f>LEFT(base[[#This Row],[Evento / Mercado]],FIND("vs",base[[#This Row],[Evento / Mercado]])-2)</f>
        <v>Internazionale</v>
      </c>
      <c r="R22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2251" s="132" t="str">
        <f>LEFT(base[[#This Row],[Evento / Mercado]],FIND("/",base[[#This Row],[Evento / Mercado]])-2)</f>
        <v>Internazionale vs Hellas Verona</v>
      </c>
    </row>
    <row r="2252" spans="2:21" ht="15" customHeight="1">
      <c r="B2252" s="128" t="s">
        <v>2260</v>
      </c>
      <c r="C2252" s="128" t="s">
        <v>2982</v>
      </c>
      <c r="D2252" s="129">
        <v>46159.505509259259</v>
      </c>
      <c r="E2252" s="130">
        <v>3.82</v>
      </c>
      <c r="F2252" s="136">
        <v>4.4999999999999998E-2</v>
      </c>
      <c r="G2252" s="126">
        <f t="shared" si="36"/>
        <v>4</v>
      </c>
      <c r="H2252" s="126" t="s">
        <v>1339</v>
      </c>
      <c r="I2252" s="127" t="s">
        <v>1236</v>
      </c>
      <c r="J2252" s="126">
        <v>9.8000000000000007</v>
      </c>
      <c r="K2252" s="126">
        <v>4</v>
      </c>
      <c r="L2252" s="129">
        <f>INT(base[[#This Row],[Data de liquidação]])</f>
        <v>46159</v>
      </c>
      <c r="M2252" s="126">
        <f>base[[#This Row],[L/P Bruto]]-base[[#This Row],[L/P Líquido]]</f>
        <v>0.18000000000000016</v>
      </c>
      <c r="N2252" s="126">
        <f>base[[#This Row],[L/P Líquido]]/base[[#This Row],[Stake/Responsabilidade]]</f>
        <v>0.95499999999999996</v>
      </c>
      <c r="O2252" s="132">
        <f>IF(base[[#This Row],[L/P Líquido]]&gt;0,1,0)</f>
        <v>1</v>
      </c>
      <c r="P2252" s="132"/>
      <c r="Q2252" s="132" t="str">
        <f>LEFT(base[[#This Row],[Evento / Mercado]],FIND("vs",base[[#This Row],[Evento / Mercado]])-2)</f>
        <v>NK Slaven Belupo</v>
      </c>
      <c r="R22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Dinamo Zagreb</v>
      </c>
      <c r="S2252" s="132" t="str">
        <f>LEFT(base[[#This Row],[Evento / Mercado]],FIND("/",base[[#This Row],[Evento / Mercado]])-2)</f>
        <v>NK Slaven Belupo vs Dinamo Zagreb</v>
      </c>
    </row>
    <row r="2253" spans="2:21" ht="15" customHeight="1">
      <c r="B2253" s="128" t="s">
        <v>2259</v>
      </c>
      <c r="C2253" s="128" t="s">
        <v>2982</v>
      </c>
      <c r="D2253" s="129">
        <v>46159.513240740744</v>
      </c>
      <c r="E2253" s="130">
        <v>-2.62</v>
      </c>
      <c r="F2253" s="136">
        <v>4.4999999999999998E-2</v>
      </c>
      <c r="G2253" s="126">
        <f t="shared" si="36"/>
        <v>-2.62</v>
      </c>
      <c r="H2253" s="126" t="s">
        <v>1339</v>
      </c>
      <c r="I2253" s="127" t="s">
        <v>1236</v>
      </c>
      <c r="J2253" s="126">
        <v>9.6</v>
      </c>
      <c r="K2253" s="126">
        <v>4</v>
      </c>
      <c r="L2253" s="129">
        <f>INT(base[[#This Row],[Data de liquidação]])</f>
        <v>46159</v>
      </c>
      <c r="M2253" s="126">
        <f>base[[#This Row],[L/P Bruto]]-base[[#This Row],[L/P Líquido]]</f>
        <v>0</v>
      </c>
      <c r="N2253" s="126">
        <f>base[[#This Row],[L/P Líquido]]/base[[#This Row],[Stake/Responsabilidade]]</f>
        <v>-0.65500000000000003</v>
      </c>
      <c r="O2253" s="132">
        <f>IF(base[[#This Row],[L/P Líquido]]&gt;0,1,0)</f>
        <v>0</v>
      </c>
      <c r="P2253" s="132"/>
      <c r="Q2253" s="132" t="str">
        <f>LEFT(base[[#This Row],[Evento / Mercado]],FIND("vs",base[[#This Row],[Evento / Mercado]])-2)</f>
        <v>SV Darmstadt 98</v>
      </c>
      <c r="R22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Paderborn 07</v>
      </c>
      <c r="S2253" s="132" t="str">
        <f>LEFT(base[[#This Row],[Evento / Mercado]],FIND("/",base[[#This Row],[Evento / Mercado]])-2)</f>
        <v>SV Darmstadt 98 vs SC Paderborn 07</v>
      </c>
    </row>
    <row r="2254" spans="2:21" ht="15" customHeight="1">
      <c r="B2254" s="128" t="s">
        <v>2258</v>
      </c>
      <c r="C2254" s="128" t="s">
        <v>2982</v>
      </c>
      <c r="D2254" s="129">
        <v>46159.516898148147</v>
      </c>
      <c r="E2254" s="130">
        <v>1.9863999999999999</v>
      </c>
      <c r="F2254" s="136">
        <v>4.4999999999999998E-2</v>
      </c>
      <c r="G2254" s="126">
        <f t="shared" si="36"/>
        <v>2.08</v>
      </c>
      <c r="H2254" s="126" t="s">
        <v>1339</v>
      </c>
      <c r="I2254" s="127" t="s">
        <v>1430</v>
      </c>
      <c r="J2254" s="126">
        <v>26</v>
      </c>
      <c r="K2254" s="126">
        <v>52</v>
      </c>
      <c r="L2254" s="129">
        <f>INT(base[[#This Row],[Data de liquidação]])</f>
        <v>46159</v>
      </c>
      <c r="M2254" s="126">
        <f>base[[#This Row],[L/P Bruto]]-base[[#This Row],[L/P Líquido]]</f>
        <v>9.3600000000000128E-2</v>
      </c>
      <c r="N2254" s="126">
        <f>base[[#This Row],[L/P Líquido]]/base[[#This Row],[Stake/Responsabilidade]]</f>
        <v>3.8199999999999998E-2</v>
      </c>
      <c r="O2254" s="132">
        <f>IF(base[[#This Row],[L/P Líquido]]&gt;0,1,0)</f>
        <v>1</v>
      </c>
      <c r="P2254" s="132"/>
      <c r="Q2254" s="132" t="str">
        <f>LEFT(base[[#This Row],[Evento / Mercado]],FIND("vs",base[[#This Row],[Evento / Mercado]])-2)</f>
        <v>FC Schalke 04</v>
      </c>
      <c r="R22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2254" s="132" t="str">
        <f>LEFT(base[[#This Row],[Evento / Mercado]],FIND("/",base[[#This Row],[Evento / Mercado]])-2)</f>
        <v>FC Schalke 04 vs Eintracht Braunschweig</v>
      </c>
      <c r="T2254" s="8">
        <v>2.08</v>
      </c>
      <c r="U2254" s="9">
        <f>T2254*0.955</f>
        <v>1.9863999999999999</v>
      </c>
    </row>
    <row r="2255" spans="2:21" ht="15" customHeight="1">
      <c r="B2255" s="128" t="s">
        <v>2258</v>
      </c>
      <c r="C2255" s="128" t="s">
        <v>2982</v>
      </c>
      <c r="D2255" s="129">
        <v>46159.516898148147</v>
      </c>
      <c r="E2255" s="130">
        <v>1.7572000000000001</v>
      </c>
      <c r="F2255" s="136">
        <v>4.4999999999999998E-2</v>
      </c>
      <c r="G2255" s="126">
        <f t="shared" si="36"/>
        <v>1.84</v>
      </c>
      <c r="H2255" s="126" t="s">
        <v>1339</v>
      </c>
      <c r="I2255" s="127" t="s">
        <v>1429</v>
      </c>
      <c r="J2255" s="126">
        <v>1.92</v>
      </c>
      <c r="K2255" s="126">
        <v>2</v>
      </c>
      <c r="L2255" s="129">
        <f>INT(base[[#This Row],[Data de liquidação]])</f>
        <v>46159</v>
      </c>
      <c r="M2255" s="126">
        <f>base[[#This Row],[L/P Bruto]]-base[[#This Row],[L/P Líquido]]</f>
        <v>8.2799999999999985E-2</v>
      </c>
      <c r="N2255" s="126">
        <f>base[[#This Row],[L/P Líquido]]/base[[#This Row],[Stake/Responsabilidade]]</f>
        <v>0.87860000000000005</v>
      </c>
      <c r="O2255" s="132">
        <f>IF(base[[#This Row],[L/P Líquido]]&gt;0,1,0)</f>
        <v>1</v>
      </c>
      <c r="P2255" s="132"/>
      <c r="Q2255" s="132" t="str">
        <f>LEFT(base[[#This Row],[Evento / Mercado]],FIND("vs",base[[#This Row],[Evento / Mercado]])-2)</f>
        <v>FC Schalke 04</v>
      </c>
      <c r="R22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2255" s="132" t="str">
        <f>LEFT(base[[#This Row],[Evento / Mercado]],FIND("/",base[[#This Row],[Evento / Mercado]])-2)</f>
        <v>FC Schalke 04 vs Eintracht Braunschweig</v>
      </c>
      <c r="T2255" s="8">
        <v>1.84</v>
      </c>
      <c r="U2255" s="9">
        <f>T2255*0.955</f>
        <v>1.7572000000000001</v>
      </c>
    </row>
    <row r="2256" spans="2:21" ht="15" customHeight="1">
      <c r="B2256" s="128" t="s">
        <v>2257</v>
      </c>
      <c r="C2256" s="128" t="s">
        <v>2982</v>
      </c>
      <c r="D2256" s="129">
        <v>46159.516921296294</v>
      </c>
      <c r="E2256" s="130">
        <v>-10.4</v>
      </c>
      <c r="F2256" s="136">
        <v>4.4999999999999998E-2</v>
      </c>
      <c r="G2256" s="126">
        <f t="shared" si="36"/>
        <v>-10.4</v>
      </c>
      <c r="H2256" s="126" t="s">
        <v>1339</v>
      </c>
      <c r="I2256" s="127" t="s">
        <v>1236</v>
      </c>
      <c r="J2256" s="126">
        <v>8.6</v>
      </c>
      <c r="K2256" s="126">
        <v>4</v>
      </c>
      <c r="L2256" s="129">
        <f>INT(base[[#This Row],[Data de liquidação]])</f>
        <v>46159</v>
      </c>
      <c r="M2256" s="126">
        <f>base[[#This Row],[L/P Bruto]]-base[[#This Row],[L/P Líquido]]</f>
        <v>0</v>
      </c>
      <c r="N2256" s="126">
        <f>base[[#This Row],[L/P Líquido]]/base[[#This Row],[Stake/Responsabilidade]]</f>
        <v>-2.6</v>
      </c>
      <c r="O2256" s="132">
        <f>IF(base[[#This Row],[L/P Líquido]]&gt;0,1,0)</f>
        <v>0</v>
      </c>
      <c r="P2256" s="132"/>
      <c r="Q2256" s="132" t="str">
        <f>LEFT(base[[#This Row],[Evento / Mercado]],FIND("vs",base[[#This Row],[Evento / Mercado]])-2)</f>
        <v>FC Schalke 04</v>
      </c>
      <c r="R22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2256" s="132" t="str">
        <f>LEFT(base[[#This Row],[Evento / Mercado]],FIND("/",base[[#This Row],[Evento / Mercado]])-2)</f>
        <v>FC Schalke 04 vs Eintracht Braunschweig</v>
      </c>
    </row>
    <row r="2257" spans="2:21" ht="15" customHeight="1">
      <c r="B2257" s="128" t="s">
        <v>2256</v>
      </c>
      <c r="C2257" s="128" t="s">
        <v>2982</v>
      </c>
      <c r="D2257" s="129">
        <v>46159.516932870371</v>
      </c>
      <c r="E2257" s="130">
        <v>34.56</v>
      </c>
      <c r="F2257" s="136">
        <v>4.4999999999999998E-2</v>
      </c>
      <c r="G2257" s="126">
        <f t="shared" si="36"/>
        <v>36.188481675392673</v>
      </c>
      <c r="H2257" s="126" t="s">
        <v>145</v>
      </c>
      <c r="I2257" s="127" t="s">
        <v>1268</v>
      </c>
      <c r="J2257" s="126">
        <v>11.5</v>
      </c>
      <c r="K2257" s="126">
        <v>380</v>
      </c>
      <c r="L2257" s="129">
        <f>INT(base[[#This Row],[Data de liquidação]])</f>
        <v>46159</v>
      </c>
      <c r="M2257" s="126">
        <f>base[[#This Row],[L/P Bruto]]-base[[#This Row],[L/P Líquido]]</f>
        <v>1.6284816753926705</v>
      </c>
      <c r="N2257" s="126">
        <f>base[[#This Row],[L/P Líquido]]/base[[#This Row],[Stake/Responsabilidade]]</f>
        <v>9.0947368421052638E-2</v>
      </c>
      <c r="O2257" s="132">
        <f>IF(base[[#This Row],[L/P Líquido]]&gt;0,1,0)</f>
        <v>1</v>
      </c>
      <c r="P2257" s="132" t="s">
        <v>974</v>
      </c>
      <c r="Q2257" s="132" t="str">
        <f>LEFT(base[[#This Row],[Evento / Mercado]],FIND("vs",base[[#This Row],[Evento / Mercado]])-2)</f>
        <v>FC Schalke 04</v>
      </c>
      <c r="R22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2257" s="132" t="str">
        <f>LEFT(base[[#This Row],[Evento / Mercado]],FIND("/",base[[#This Row],[Evento / Mercado]])-2)</f>
        <v>FC Schalke 04 vs Eintracht Braunschweig</v>
      </c>
    </row>
    <row r="2258" spans="2:21" ht="15" customHeight="1">
      <c r="B2258" s="128" t="s">
        <v>2255</v>
      </c>
      <c r="C2258" s="128" t="s">
        <v>2982</v>
      </c>
      <c r="D2258" s="129">
        <v>46159.517129629632</v>
      </c>
      <c r="E2258" s="130">
        <v>1.8</v>
      </c>
      <c r="F2258" s="136">
        <v>4.4999999999999998E-2</v>
      </c>
      <c r="G2258" s="126">
        <f t="shared" si="36"/>
        <v>1.8848167539267018</v>
      </c>
      <c r="H2258" s="126" t="s">
        <v>1339</v>
      </c>
      <c r="I2258" s="127" t="s">
        <v>1390</v>
      </c>
      <c r="J2258" s="126">
        <v>17</v>
      </c>
      <c r="K2258" s="126">
        <v>30.08</v>
      </c>
      <c r="L2258" s="129">
        <f>INT(base[[#This Row],[Data de liquidação]])</f>
        <v>46159</v>
      </c>
      <c r="M2258" s="126">
        <f>base[[#This Row],[L/P Bruto]]-base[[#This Row],[L/P Líquido]]</f>
        <v>8.4816753926701738E-2</v>
      </c>
      <c r="N2258" s="126">
        <f>base[[#This Row],[L/P Líquido]]/base[[#This Row],[Stake/Responsabilidade]]</f>
        <v>5.9840425531914897E-2</v>
      </c>
      <c r="O2258" s="132">
        <f>IF(base[[#This Row],[L/P Líquido]]&gt;0,1,0)</f>
        <v>1</v>
      </c>
      <c r="P2258" s="132"/>
      <c r="Q2258" s="132" t="str">
        <f>LEFT(base[[#This Row],[Evento / Mercado]],FIND("vs",base[[#This Row],[Evento / Mercado]])-2)</f>
        <v>SV Elversberg</v>
      </c>
      <c r="R22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Preußen Münster</v>
      </c>
      <c r="S2258" s="132" t="str">
        <f>LEFT(base[[#This Row],[Evento / Mercado]],FIND("/",base[[#This Row],[Evento / Mercado]])-2)</f>
        <v>SV Elversberg vs Preußen Münster</v>
      </c>
    </row>
    <row r="2259" spans="2:21" ht="15" customHeight="1">
      <c r="B2259" s="128" t="s">
        <v>2254</v>
      </c>
      <c r="C2259" s="128" t="s">
        <v>2982</v>
      </c>
      <c r="D2259" s="129">
        <v>46159.51835648148</v>
      </c>
      <c r="E2259" s="130">
        <v>1.6425999999999998</v>
      </c>
      <c r="F2259" s="136">
        <v>4.4999999999999998E-2</v>
      </c>
      <c r="G2259" s="126">
        <f t="shared" si="36"/>
        <v>1.72</v>
      </c>
      <c r="H2259" s="126" t="s">
        <v>1339</v>
      </c>
      <c r="I2259" s="127" t="s">
        <v>1429</v>
      </c>
      <c r="J2259" s="126">
        <v>1.86</v>
      </c>
      <c r="K2259" s="126">
        <v>2</v>
      </c>
      <c r="L2259" s="129">
        <f>INT(base[[#This Row],[Data de liquidação]])</f>
        <v>46159</v>
      </c>
      <c r="M2259" s="126">
        <f>base[[#This Row],[L/P Bruto]]-base[[#This Row],[L/P Líquido]]</f>
        <v>7.7400000000000135E-2</v>
      </c>
      <c r="N2259" s="126">
        <f>base[[#This Row],[L/P Líquido]]/base[[#This Row],[Stake/Responsabilidade]]</f>
        <v>0.82129999999999992</v>
      </c>
      <c r="O2259" s="132">
        <f>IF(base[[#This Row],[L/P Líquido]]&gt;0,1,0)</f>
        <v>1</v>
      </c>
      <c r="P2259" s="132"/>
      <c r="Q2259" s="132" t="str">
        <f>LEFT(base[[#This Row],[Evento / Mercado]],FIND("vs",base[[#This Row],[Evento / Mercado]])-2)</f>
        <v>Dynamo Dresden</v>
      </c>
      <c r="R22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2259" s="132" t="str">
        <f>LEFT(base[[#This Row],[Evento / Mercado]],FIND("/",base[[#This Row],[Evento / Mercado]])-2)</f>
        <v>Dynamo Dresden vs Holstein Kiel</v>
      </c>
      <c r="T2259" s="8">
        <v>1.72</v>
      </c>
      <c r="U2259" s="9">
        <f>T2259*0.955</f>
        <v>1.6425999999999998</v>
      </c>
    </row>
    <row r="2260" spans="2:21" ht="15" customHeight="1">
      <c r="B2260" s="128" t="s">
        <v>2254</v>
      </c>
      <c r="C2260" s="128" t="s">
        <v>2982</v>
      </c>
      <c r="D2260" s="129">
        <v>46159.51835648148</v>
      </c>
      <c r="E2260" s="130">
        <v>2.3874999999999997</v>
      </c>
      <c r="F2260" s="136">
        <v>4.4999999999999998E-2</v>
      </c>
      <c r="G2260" s="126">
        <f t="shared" si="36"/>
        <v>2.5</v>
      </c>
      <c r="H2260" s="126" t="s">
        <v>1339</v>
      </c>
      <c r="I2260" s="127" t="s">
        <v>1963</v>
      </c>
      <c r="J2260" s="126">
        <v>1.05</v>
      </c>
      <c r="K2260" s="126">
        <v>50</v>
      </c>
      <c r="L2260" s="129">
        <f>INT(base[[#This Row],[Data de liquidação]])</f>
        <v>46159</v>
      </c>
      <c r="M2260" s="126">
        <f>base[[#This Row],[L/P Bruto]]-base[[#This Row],[L/P Líquido]]</f>
        <v>0.11250000000000027</v>
      </c>
      <c r="N2260" s="126">
        <f>base[[#This Row],[L/P Líquido]]/base[[#This Row],[Stake/Responsabilidade]]</f>
        <v>4.7749999999999994E-2</v>
      </c>
      <c r="O2260" s="132">
        <f>IF(base[[#This Row],[L/P Líquido]]&gt;0,1,0)</f>
        <v>1</v>
      </c>
      <c r="P2260" s="132"/>
      <c r="Q2260" s="132" t="str">
        <f>LEFT(base[[#This Row],[Evento / Mercado]],FIND("vs",base[[#This Row],[Evento / Mercado]])-2)</f>
        <v>Dynamo Dresden</v>
      </c>
      <c r="R22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2260" s="132" t="str">
        <f>LEFT(base[[#This Row],[Evento / Mercado]],FIND("/",base[[#This Row],[Evento / Mercado]])-2)</f>
        <v>Dynamo Dresden vs Holstein Kiel</v>
      </c>
      <c r="T2260" s="8">
        <v>2.5</v>
      </c>
      <c r="U2260" s="9">
        <f>T2260*0.955</f>
        <v>2.3874999999999997</v>
      </c>
    </row>
    <row r="2261" spans="2:21" ht="15" customHeight="1">
      <c r="B2261" s="128" t="s">
        <v>2253</v>
      </c>
      <c r="C2261" s="128" t="s">
        <v>2982</v>
      </c>
      <c r="D2261" s="129">
        <v>46159.52065972222</v>
      </c>
      <c r="E2261" s="130">
        <v>29.03</v>
      </c>
      <c r="F2261" s="136">
        <v>4.4999999999999998E-2</v>
      </c>
      <c r="G2261" s="126">
        <f t="shared" si="36"/>
        <v>30.397905759162306</v>
      </c>
      <c r="H2261" s="126" t="s">
        <v>145</v>
      </c>
      <c r="I2261" s="127" t="s">
        <v>1268</v>
      </c>
      <c r="J2261" s="126">
        <v>13.5</v>
      </c>
      <c r="K2261" s="126">
        <v>380</v>
      </c>
      <c r="L2261" s="129">
        <f>INT(base[[#This Row],[Data de liquidação]])</f>
        <v>46159</v>
      </c>
      <c r="M2261" s="126">
        <f>base[[#This Row],[L/P Bruto]]-base[[#This Row],[L/P Líquido]]</f>
        <v>1.3679057591623049</v>
      </c>
      <c r="N2261" s="126">
        <f>base[[#This Row],[L/P Líquido]]/base[[#This Row],[Stake/Responsabilidade]]</f>
        <v>7.6394736842105265E-2</v>
      </c>
      <c r="O2261" s="132">
        <f>IF(base[[#This Row],[L/P Líquido]]&gt;0,1,0)</f>
        <v>1</v>
      </c>
      <c r="P2261" s="132" t="s">
        <v>974</v>
      </c>
      <c r="Q2261" s="132" t="str">
        <f>LEFT(base[[#This Row],[Evento / Mercado]],FIND("vs",base[[#This Row],[Evento / Mercado]])-2)</f>
        <v>Hannover 96</v>
      </c>
      <c r="R22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Nürnberg</v>
      </c>
      <c r="S2261" s="132" t="str">
        <f>LEFT(base[[#This Row],[Evento / Mercado]],FIND("/",base[[#This Row],[Evento / Mercado]])-2)</f>
        <v>Hannover 96 vs 1. FC Nürnberg</v>
      </c>
    </row>
    <row r="2262" spans="2:21" ht="15" customHeight="1">
      <c r="B2262" s="128" t="s">
        <v>2252</v>
      </c>
      <c r="C2262" s="128" t="s">
        <v>2982</v>
      </c>
      <c r="D2262" s="129">
        <v>46159.536006944443</v>
      </c>
      <c r="E2262" s="130">
        <v>3.41</v>
      </c>
      <c r="F2262" s="136">
        <v>4.4999999999999998E-2</v>
      </c>
      <c r="G2262" s="126">
        <f t="shared" si="36"/>
        <v>3.5706806282722514</v>
      </c>
      <c r="H2262" s="126" t="s">
        <v>1339</v>
      </c>
      <c r="I2262" s="127" t="s">
        <v>1388</v>
      </c>
      <c r="J2262" s="126">
        <v>15</v>
      </c>
      <c r="K2262" s="126">
        <v>49.98</v>
      </c>
      <c r="L2262" s="129">
        <f>INT(base[[#This Row],[Data de liquidação]])</f>
        <v>46159</v>
      </c>
      <c r="M2262" s="126">
        <f>base[[#This Row],[L/P Bruto]]-base[[#This Row],[L/P Líquido]]</f>
        <v>0.16068062827225127</v>
      </c>
      <c r="N2262" s="126">
        <f>base[[#This Row],[L/P Líquido]]/base[[#This Row],[Stake/Responsabilidade]]</f>
        <v>6.8227290916366548E-2</v>
      </c>
      <c r="O2262" s="132">
        <f>IF(base[[#This Row],[L/P Líquido]]&gt;0,1,0)</f>
        <v>1</v>
      </c>
      <c r="P2262" s="132"/>
      <c r="Q2262" s="132" t="str">
        <f>LEFT(base[[#This Row],[Evento / Mercado]],FIND("vs",base[[#This Row],[Evento / Mercado]])-2)</f>
        <v>Kayserispor</v>
      </c>
      <c r="R22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Konyaspor</v>
      </c>
      <c r="S2262" s="132" t="str">
        <f>LEFT(base[[#This Row],[Evento / Mercado]],FIND("/",base[[#This Row],[Evento / Mercado]])-2)</f>
        <v>Kayserispor vs Konyaspor</v>
      </c>
    </row>
    <row r="2263" spans="2:21" ht="15" customHeight="1">
      <c r="B2263" s="128" t="s">
        <v>2251</v>
      </c>
      <c r="C2263" s="128" t="s">
        <v>2982</v>
      </c>
      <c r="D2263" s="129">
        <v>46159.540821759256</v>
      </c>
      <c r="E2263" s="130">
        <v>-115</v>
      </c>
      <c r="F2263" s="136">
        <v>4.4999999999999998E-2</v>
      </c>
      <c r="G2263" s="126">
        <f t="shared" si="36"/>
        <v>-115</v>
      </c>
      <c r="H2263" s="126" t="s">
        <v>231</v>
      </c>
      <c r="I2263" s="127" t="s">
        <v>266</v>
      </c>
      <c r="J2263" s="126">
        <v>1.71</v>
      </c>
      <c r="K2263" s="126">
        <v>115</v>
      </c>
      <c r="L2263" s="129">
        <f>INT(base[[#This Row],[Data de liquidação]])</f>
        <v>46159</v>
      </c>
      <c r="M2263" s="126">
        <f>base[[#This Row],[L/P Bruto]]-base[[#This Row],[L/P Líquido]]</f>
        <v>0</v>
      </c>
      <c r="N2263" s="126">
        <f>base[[#This Row],[L/P Líquido]]/base[[#This Row],[Stake/Responsabilidade]]</f>
        <v>-1</v>
      </c>
      <c r="O2263" s="132">
        <f>IF(base[[#This Row],[L/P Líquido]]&gt;0,1,0)</f>
        <v>0</v>
      </c>
      <c r="P2263" s="132"/>
      <c r="Q2263" s="132" t="str">
        <f>LEFT(base[[#This Row],[Evento / Mercado]],FIND("vs",base[[#This Row],[Evento / Mercado]])-2)</f>
        <v>Leeds United</v>
      </c>
      <c r="R22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2263" s="132" t="str">
        <f>LEFT(base[[#This Row],[Evento / Mercado]],FIND("/",base[[#This Row],[Evento / Mercado]])-2)</f>
        <v>Leeds United vs Brighton &amp; Hove Albion</v>
      </c>
    </row>
    <row r="2264" spans="2:21" ht="15" customHeight="1">
      <c r="B2264" s="128" t="s">
        <v>2250</v>
      </c>
      <c r="C2264" s="128" t="s">
        <v>2982</v>
      </c>
      <c r="D2264" s="129">
        <v>46159.543344907404</v>
      </c>
      <c r="E2264" s="130">
        <v>40.32</v>
      </c>
      <c r="F2264" s="136">
        <v>4.4999999999999998E-2</v>
      </c>
      <c r="G2264" s="126">
        <f t="shared" si="36"/>
        <v>42.219895287958117</v>
      </c>
      <c r="H2264" s="126" t="s">
        <v>145</v>
      </c>
      <c r="I2264" s="127" t="s">
        <v>1268</v>
      </c>
      <c r="J2264" s="126">
        <v>10</v>
      </c>
      <c r="K2264" s="126">
        <v>379.98</v>
      </c>
      <c r="L2264" s="129">
        <f>INT(base[[#This Row],[Data de liquidação]])</f>
        <v>46159</v>
      </c>
      <c r="M2264" s="126">
        <f>base[[#This Row],[L/P Bruto]]-base[[#This Row],[L/P Líquido]]</f>
        <v>1.8998952879581168</v>
      </c>
      <c r="N2264" s="126">
        <f>base[[#This Row],[L/P Líquido]]/base[[#This Row],[Stake/Responsabilidade]]</f>
        <v>0.10611084793936522</v>
      </c>
      <c r="O2264" s="132">
        <f>IF(base[[#This Row],[L/P Líquido]]&gt;0,1,0)</f>
        <v>1</v>
      </c>
      <c r="P2264" s="132" t="s">
        <v>963</v>
      </c>
      <c r="Q2264" s="132" t="str">
        <f>LEFT(base[[#This Row],[Evento / Mercado]],FIND("vs",base[[#This Row],[Evento / Mercado]])-2)</f>
        <v>Brentford</v>
      </c>
      <c r="R22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2264" s="132" t="str">
        <f>LEFT(base[[#This Row],[Evento / Mercado]],FIND("/",base[[#This Row],[Evento / Mercado]])-2)</f>
        <v>Brentford vs Crystal Palace</v>
      </c>
    </row>
    <row r="2265" spans="2:21" ht="15" customHeight="1">
      <c r="B2265" s="128" t="s">
        <v>2249</v>
      </c>
      <c r="C2265" s="128" t="s">
        <v>2982</v>
      </c>
      <c r="D2265" s="129">
        <v>46159.558657407404</v>
      </c>
      <c r="E2265" s="130">
        <v>2.39</v>
      </c>
      <c r="F2265" s="136">
        <v>4.4999999999999998E-2</v>
      </c>
      <c r="G2265" s="126">
        <f t="shared" si="36"/>
        <v>2.5026178010471205</v>
      </c>
      <c r="H2265" s="126" t="s">
        <v>1339</v>
      </c>
      <c r="I2265" s="127" t="s">
        <v>1430</v>
      </c>
      <c r="J2265" s="126">
        <v>21</v>
      </c>
      <c r="K2265" s="126">
        <v>50</v>
      </c>
      <c r="L2265" s="129">
        <f>INT(base[[#This Row],[Data de liquidação]])</f>
        <v>46159</v>
      </c>
      <c r="M2265" s="126">
        <f>base[[#This Row],[L/P Bruto]]-base[[#This Row],[L/P Líquido]]</f>
        <v>0.11261780104712038</v>
      </c>
      <c r="N2265" s="126">
        <f>base[[#This Row],[L/P Líquido]]/base[[#This Row],[Stake/Responsabilidade]]</f>
        <v>4.7800000000000002E-2</v>
      </c>
      <c r="O2265" s="132">
        <f>IF(base[[#This Row],[L/P Líquido]]&gt;0,1,0)</f>
        <v>1</v>
      </c>
      <c r="P2265" s="132"/>
      <c r="Q2265" s="132" t="str">
        <f>LEFT(base[[#This Row],[Evento / Mercado]],FIND("vs",base[[#This Row],[Evento / Mercado]])-2)</f>
        <v>FC St. Gallen</v>
      </c>
      <c r="R22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Thun</v>
      </c>
      <c r="S2265" s="132" t="str">
        <f>LEFT(base[[#This Row],[Evento / Mercado]],FIND("/",base[[#This Row],[Evento / Mercado]])-2)</f>
        <v>FC St. Gallen vs FC Thun</v>
      </c>
    </row>
    <row r="2266" spans="2:21" ht="15" customHeight="1">
      <c r="B2266" s="128" t="s">
        <v>2248</v>
      </c>
      <c r="C2266" s="128" t="s">
        <v>2982</v>
      </c>
      <c r="D2266" s="129">
        <v>46159.559513888889</v>
      </c>
      <c r="E2266" s="130">
        <v>3.53</v>
      </c>
      <c r="F2266" s="136">
        <v>4.4999999999999998E-2</v>
      </c>
      <c r="G2266" s="126">
        <f t="shared" si="36"/>
        <v>3.6963350785340312</v>
      </c>
      <c r="H2266" s="126" t="s">
        <v>1339</v>
      </c>
      <c r="I2266" s="127" t="s">
        <v>1388</v>
      </c>
      <c r="J2266" s="126">
        <v>14.5</v>
      </c>
      <c r="K2266" s="126">
        <v>49.95</v>
      </c>
      <c r="L2266" s="129">
        <f>INT(base[[#This Row],[Data de liquidação]])</f>
        <v>46159</v>
      </c>
      <c r="M2266" s="126">
        <f>base[[#This Row],[L/P Bruto]]-base[[#This Row],[L/P Líquido]]</f>
        <v>0.1663350785340314</v>
      </c>
      <c r="N2266" s="126">
        <f>base[[#This Row],[L/P Líquido]]/base[[#This Row],[Stake/Responsabilidade]]</f>
        <v>7.0670670670670663E-2</v>
      </c>
      <c r="O2266" s="132">
        <f>IF(base[[#This Row],[L/P Líquido]]&gt;0,1,0)</f>
        <v>1</v>
      </c>
      <c r="P2266" s="132"/>
      <c r="Q2266" s="132" t="str">
        <f>LEFT(base[[#This Row],[Evento / Mercado]],FIND("vs",base[[#This Row],[Evento / Mercado]])-2)</f>
        <v>BSC Young Boys</v>
      </c>
      <c r="R22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Sion</v>
      </c>
      <c r="S2266" s="132" t="str">
        <f>LEFT(base[[#This Row],[Evento / Mercado]],FIND("/",base[[#This Row],[Evento / Mercado]])-2)</f>
        <v>BSC Young Boys vs FC Sion</v>
      </c>
    </row>
    <row r="2267" spans="2:21" ht="15" customHeight="1">
      <c r="B2267" s="128" t="s">
        <v>2247</v>
      </c>
      <c r="C2267" s="128" t="s">
        <v>2982</v>
      </c>
      <c r="D2267" s="129">
        <v>46159.576099537036</v>
      </c>
      <c r="E2267" s="130">
        <v>3.82</v>
      </c>
      <c r="F2267" s="136">
        <v>4.4999999999999998E-2</v>
      </c>
      <c r="G2267" s="126">
        <f t="shared" si="36"/>
        <v>4</v>
      </c>
      <c r="H2267" s="126" t="s">
        <v>1339</v>
      </c>
      <c r="I2267" s="127" t="s">
        <v>1236</v>
      </c>
      <c r="J2267" s="126">
        <v>7.2</v>
      </c>
      <c r="K2267" s="126">
        <v>4</v>
      </c>
      <c r="L2267" s="129">
        <f>INT(base[[#This Row],[Data de liquidação]])</f>
        <v>46159</v>
      </c>
      <c r="M2267" s="126">
        <f>base[[#This Row],[L/P Bruto]]-base[[#This Row],[L/P Líquido]]</f>
        <v>0.18000000000000016</v>
      </c>
      <c r="N2267" s="126">
        <f>base[[#This Row],[L/P Líquido]]/base[[#This Row],[Stake/Responsabilidade]]</f>
        <v>0.95499999999999996</v>
      </c>
      <c r="O2267" s="132">
        <f>IF(base[[#This Row],[L/P Líquido]]&gt;0,1,0)</f>
        <v>1</v>
      </c>
      <c r="P2267" s="132"/>
      <c r="Q2267" s="132" t="str">
        <f>LEFT(base[[#This Row],[Evento / Mercado]],FIND("vs",base[[#This Row],[Evento / Mercado]])-2)</f>
        <v>Asociacion Deportiva Tarma</v>
      </c>
      <c r="R22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Comerciantes Unidos</v>
      </c>
      <c r="S2267" s="132" t="str">
        <f>LEFT(base[[#This Row],[Evento / Mercado]],FIND("/",base[[#This Row],[Evento / Mercado]])-2)</f>
        <v>Asociacion Deportiva Tarma vs Comerciantes Unidos</v>
      </c>
    </row>
    <row r="2268" spans="2:21" ht="15" customHeight="1">
      <c r="B2268" s="128" t="s">
        <v>2246</v>
      </c>
      <c r="C2268" s="128" t="s">
        <v>2982</v>
      </c>
      <c r="D2268" s="129">
        <v>46159.577627314815</v>
      </c>
      <c r="E2268" s="130">
        <v>-0.96</v>
      </c>
      <c r="F2268" s="136">
        <v>4.4999999999999998E-2</v>
      </c>
      <c r="G2268" s="126">
        <f t="shared" si="36"/>
        <v>-0.96</v>
      </c>
      <c r="H2268" s="126" t="s">
        <v>1339</v>
      </c>
      <c r="I2268" s="127" t="s">
        <v>1236</v>
      </c>
      <c r="J2268" s="126">
        <v>6.2</v>
      </c>
      <c r="K2268" s="126">
        <v>4</v>
      </c>
      <c r="L2268" s="129">
        <f>INT(base[[#This Row],[Data de liquidação]])</f>
        <v>46159</v>
      </c>
      <c r="M2268" s="126">
        <f>base[[#This Row],[L/P Bruto]]-base[[#This Row],[L/P Líquido]]</f>
        <v>0</v>
      </c>
      <c r="N2268" s="126">
        <f>base[[#This Row],[L/P Líquido]]/base[[#This Row],[Stake/Responsabilidade]]</f>
        <v>-0.24</v>
      </c>
      <c r="O2268" s="132">
        <f>IF(base[[#This Row],[L/P Líquido]]&gt;0,1,0)</f>
        <v>0</v>
      </c>
      <c r="P2268" s="132"/>
      <c r="Q2268" s="132" t="str">
        <f>LEFT(base[[#This Row],[Evento / Mercado]],FIND("vs",base[[#This Row],[Evento / Mercado]])-2)</f>
        <v>Lechia Gdansk</v>
      </c>
      <c r="R22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Legia Warszawa</v>
      </c>
      <c r="S2268" s="132" t="str">
        <f>LEFT(base[[#This Row],[Evento / Mercado]],FIND("/",base[[#This Row],[Evento / Mercado]])-2)</f>
        <v>Lechia Gdansk vs Legia Warszawa</v>
      </c>
    </row>
    <row r="2269" spans="2:21" ht="15" customHeight="1">
      <c r="B2269" s="128" t="s">
        <v>2246</v>
      </c>
      <c r="C2269" s="128" t="s">
        <v>2982</v>
      </c>
      <c r="D2269" s="129">
        <v>46159.577627314815</v>
      </c>
      <c r="E2269" s="130">
        <v>-2</v>
      </c>
      <c r="F2269" s="136">
        <v>4.4999999999999998E-2</v>
      </c>
      <c r="G2269" s="126">
        <f t="shared" si="36"/>
        <v>-2</v>
      </c>
      <c r="H2269" s="126" t="s">
        <v>1339</v>
      </c>
      <c r="I2269" s="127" t="s">
        <v>1994</v>
      </c>
      <c r="J2269" s="126">
        <v>4.8499999999999996</v>
      </c>
      <c r="K2269" s="126">
        <v>2</v>
      </c>
      <c r="L2269" s="129">
        <f>INT(base[[#This Row],[Data de liquidação]])</f>
        <v>46159</v>
      </c>
      <c r="M2269" s="126">
        <f>base[[#This Row],[L/P Bruto]]-base[[#This Row],[L/P Líquido]]</f>
        <v>0</v>
      </c>
      <c r="N2269" s="126">
        <f>base[[#This Row],[L/P Líquido]]/base[[#This Row],[Stake/Responsabilidade]]</f>
        <v>-1</v>
      </c>
      <c r="O2269" s="132">
        <f>IF(base[[#This Row],[L/P Líquido]]&gt;0,1,0)</f>
        <v>0</v>
      </c>
      <c r="P2269" s="132"/>
      <c r="Q2269" s="132" t="str">
        <f>LEFT(base[[#This Row],[Evento / Mercado]],FIND("vs",base[[#This Row],[Evento / Mercado]])-2)</f>
        <v>Lechia Gdansk</v>
      </c>
      <c r="R22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Legia Warszawa</v>
      </c>
      <c r="S2269" s="132" t="str">
        <f>LEFT(base[[#This Row],[Evento / Mercado]],FIND("/",base[[#This Row],[Evento / Mercado]])-2)</f>
        <v>Lechia Gdansk vs Legia Warszawa</v>
      </c>
    </row>
    <row r="2270" spans="2:21" ht="15" customHeight="1">
      <c r="B2270" s="128" t="s">
        <v>2245</v>
      </c>
      <c r="C2270" s="128" t="s">
        <v>2982</v>
      </c>
      <c r="D2270" s="129">
        <v>46159.599502314813</v>
      </c>
      <c r="E2270" s="130">
        <v>-5</v>
      </c>
      <c r="F2270" s="136">
        <v>4.4999999999999998E-2</v>
      </c>
      <c r="G2270" s="126">
        <f t="shared" si="36"/>
        <v>-5</v>
      </c>
      <c r="H2270" s="126" t="s">
        <v>1339</v>
      </c>
      <c r="I2270" s="127" t="s">
        <v>1338</v>
      </c>
      <c r="J2270" s="126">
        <v>2.2400000000000002</v>
      </c>
      <c r="K2270" s="126">
        <v>5</v>
      </c>
      <c r="L2270" s="129">
        <f>INT(base[[#This Row],[Data de liquidação]])</f>
        <v>46159</v>
      </c>
      <c r="M2270" s="126">
        <f>base[[#This Row],[L/P Bruto]]-base[[#This Row],[L/P Líquido]]</f>
        <v>0</v>
      </c>
      <c r="N2270" s="126">
        <f>base[[#This Row],[L/P Líquido]]/base[[#This Row],[Stake/Responsabilidade]]</f>
        <v>-1</v>
      </c>
      <c r="O2270" s="132">
        <f>IF(base[[#This Row],[L/P Líquido]]&gt;0,1,0)</f>
        <v>0</v>
      </c>
      <c r="P2270" s="132"/>
      <c r="Q2270" s="132" t="str">
        <f>LEFT(base[[#This Row],[Evento / Mercado]],FIND("vs",base[[#This Row],[Evento / Mercado]])-2)</f>
        <v>FC Midtjylland</v>
      </c>
      <c r="R22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Brøndby IF</v>
      </c>
      <c r="S2270" s="132" t="str">
        <f>LEFT(base[[#This Row],[Evento / Mercado]],FIND("/",base[[#This Row],[Evento / Mercado]])-2)</f>
        <v>FC Midtjylland vs Brøndby IF</v>
      </c>
    </row>
    <row r="2271" spans="2:21" ht="15" customHeight="1">
      <c r="B2271" s="128" t="s">
        <v>2244</v>
      </c>
      <c r="C2271" s="128" t="s">
        <v>2982</v>
      </c>
      <c r="D2271" s="129">
        <v>46159.608958333331</v>
      </c>
      <c r="E2271" s="130">
        <v>2.1</v>
      </c>
      <c r="F2271" s="136">
        <v>4.4999999999999998E-2</v>
      </c>
      <c r="G2271" s="126">
        <f t="shared" si="36"/>
        <v>2.1989528795811522</v>
      </c>
      <c r="H2271" s="126" t="s">
        <v>1339</v>
      </c>
      <c r="I2271" s="127" t="s">
        <v>1431</v>
      </c>
      <c r="J2271" s="126">
        <v>2.1</v>
      </c>
      <c r="K2271" s="126">
        <v>2</v>
      </c>
      <c r="L2271" s="129">
        <f>INT(base[[#This Row],[Data de liquidação]])</f>
        <v>46159</v>
      </c>
      <c r="M2271" s="126">
        <f>base[[#This Row],[L/P Bruto]]-base[[#This Row],[L/P Líquido]]</f>
        <v>9.8952879581152065E-2</v>
      </c>
      <c r="N2271" s="126">
        <f>base[[#This Row],[L/P Líquido]]/base[[#This Row],[Stake/Responsabilidade]]</f>
        <v>1.05</v>
      </c>
      <c r="O2271" s="132">
        <f>IF(base[[#This Row],[L/P Líquido]]&gt;0,1,0)</f>
        <v>1</v>
      </c>
      <c r="P2271" s="132"/>
      <c r="Q2271" s="132" t="str">
        <f>LEFT(base[[#This Row],[Evento / Mercado]],FIND("vs",base[[#This Row],[Evento / Mercado]])-2)</f>
        <v>Atalanta</v>
      </c>
      <c r="R22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Bologna</v>
      </c>
      <c r="S2271" s="132" t="str">
        <f>LEFT(base[[#This Row],[Evento / Mercado]],FIND("/",base[[#This Row],[Evento / Mercado]])-2)</f>
        <v>Atalanta vs Bologna</v>
      </c>
    </row>
    <row r="2272" spans="2:21" ht="15" customHeight="1">
      <c r="B2272" s="128" t="s">
        <v>2243</v>
      </c>
      <c r="C2272" s="128" t="s">
        <v>2982</v>
      </c>
      <c r="D2272" s="129">
        <v>46159.610578703701</v>
      </c>
      <c r="E2272" s="130">
        <v>3.82</v>
      </c>
      <c r="F2272" s="136">
        <v>4.4999999999999998E-2</v>
      </c>
      <c r="G2272" s="126">
        <f t="shared" si="36"/>
        <v>4</v>
      </c>
      <c r="H2272" s="126" t="s">
        <v>1339</v>
      </c>
      <c r="I2272" s="127" t="s">
        <v>1236</v>
      </c>
      <c r="J2272" s="126">
        <v>13.5</v>
      </c>
      <c r="K2272" s="126">
        <v>4</v>
      </c>
      <c r="L2272" s="129">
        <f>INT(base[[#This Row],[Data de liquidação]])</f>
        <v>46159</v>
      </c>
      <c r="M2272" s="126">
        <f>base[[#This Row],[L/P Bruto]]-base[[#This Row],[L/P Líquido]]</f>
        <v>0.18000000000000016</v>
      </c>
      <c r="N2272" s="126">
        <f>base[[#This Row],[L/P Líquido]]/base[[#This Row],[Stake/Responsabilidade]]</f>
        <v>0.95499999999999996</v>
      </c>
      <c r="O2272" s="132">
        <f>IF(base[[#This Row],[L/P Líquido]]&gt;0,1,0)</f>
        <v>1</v>
      </c>
      <c r="P2272" s="132"/>
      <c r="Q2272" s="132" t="str">
        <f>LEFT(base[[#This Row],[Evento / Mercado]],FIND("vs",base[[#This Row],[Evento / Mercado]])-2)</f>
        <v>Fenerbahçe SK</v>
      </c>
      <c r="R22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Eyüpspor</v>
      </c>
      <c r="S2272" s="132" t="str">
        <f>LEFT(base[[#This Row],[Evento / Mercado]],FIND("/",base[[#This Row],[Evento / Mercado]])-2)</f>
        <v>Fenerbahçe SK vs Eyüpspor</v>
      </c>
    </row>
    <row r="2273" spans="2:19" ht="15" customHeight="1">
      <c r="B2273" s="128" t="s">
        <v>2242</v>
      </c>
      <c r="C2273" s="128" t="s">
        <v>2982</v>
      </c>
      <c r="D2273" s="129">
        <v>46159.620069444441</v>
      </c>
      <c r="E2273" s="130">
        <v>2.65</v>
      </c>
      <c r="F2273" s="136">
        <v>4.4999999999999998E-2</v>
      </c>
      <c r="G2273" s="126">
        <f t="shared" si="36"/>
        <v>2.7748691099476441</v>
      </c>
      <c r="H2273" s="126" t="s">
        <v>1339</v>
      </c>
      <c r="I2273" s="127" t="s">
        <v>1388</v>
      </c>
      <c r="J2273" s="126">
        <v>19</v>
      </c>
      <c r="K2273" s="126">
        <v>50.04</v>
      </c>
      <c r="L2273" s="129">
        <f>INT(base[[#This Row],[Data de liquidação]])</f>
        <v>46159</v>
      </c>
      <c r="M2273" s="126">
        <f>base[[#This Row],[L/P Bruto]]-base[[#This Row],[L/P Líquido]]</f>
        <v>0.12486910994764422</v>
      </c>
      <c r="N2273" s="126">
        <f>base[[#This Row],[L/P Líquido]]/base[[#This Row],[Stake/Responsabilidade]]</f>
        <v>5.2957633892885693E-2</v>
      </c>
      <c r="O2273" s="132">
        <f>IF(base[[#This Row],[L/P Líquido]]&gt;0,1,0)</f>
        <v>1</v>
      </c>
      <c r="P2273" s="132"/>
      <c r="Q2273" s="132" t="str">
        <f>LEFT(base[[#This Row],[Evento / Mercado]],FIND("vs",base[[#This Row],[Evento / Mercado]])-2)</f>
        <v>Atalanta</v>
      </c>
      <c r="R22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Bologna</v>
      </c>
      <c r="S2273" s="132" t="str">
        <f>LEFT(base[[#This Row],[Evento / Mercado]],FIND("/",base[[#This Row],[Evento / Mercado]])-2)</f>
        <v>Atalanta vs Bologna</v>
      </c>
    </row>
    <row r="2274" spans="2:19" ht="15" customHeight="1">
      <c r="B2274" s="128" t="s">
        <v>2241</v>
      </c>
      <c r="C2274" s="128" t="s">
        <v>2982</v>
      </c>
      <c r="D2274" s="129">
        <v>46159.620381944442</v>
      </c>
      <c r="E2274" s="130">
        <v>6.3</v>
      </c>
      <c r="F2274" s="136">
        <v>4.4999999999999998E-2</v>
      </c>
      <c r="G2274" s="126">
        <f t="shared" si="36"/>
        <v>6.5968586387434556</v>
      </c>
      <c r="H2274" s="126" t="s">
        <v>1339</v>
      </c>
      <c r="I2274" s="127" t="s">
        <v>1338</v>
      </c>
      <c r="J2274" s="126">
        <v>2.3199999999999998</v>
      </c>
      <c r="K2274" s="126">
        <v>5</v>
      </c>
      <c r="L2274" s="129">
        <f>INT(base[[#This Row],[Data de liquidação]])</f>
        <v>46159</v>
      </c>
      <c r="M2274" s="126">
        <f>base[[#This Row],[L/P Bruto]]-base[[#This Row],[L/P Líquido]]</f>
        <v>0.29685863874345575</v>
      </c>
      <c r="N2274" s="126">
        <f>base[[#This Row],[L/P Líquido]]/base[[#This Row],[Stake/Responsabilidade]]</f>
        <v>1.26</v>
      </c>
      <c r="O2274" s="132">
        <f>IF(base[[#This Row],[L/P Líquido]]&gt;0,1,0)</f>
        <v>1</v>
      </c>
      <c r="P2274" s="132"/>
      <c r="Q2274" s="132" t="str">
        <f>LEFT(base[[#This Row],[Evento / Mercado]],FIND("vs",base[[#This Row],[Evento / Mercado]])-2)</f>
        <v>Atalanta</v>
      </c>
      <c r="R22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Bologna</v>
      </c>
      <c r="S2274" s="132" t="str">
        <f>LEFT(base[[#This Row],[Evento / Mercado]],FIND("/",base[[#This Row],[Evento / Mercado]])-2)</f>
        <v>Atalanta vs Bologna</v>
      </c>
    </row>
    <row r="2275" spans="2:19" ht="15" customHeight="1">
      <c r="B2275" s="128" t="s">
        <v>2240</v>
      </c>
      <c r="C2275" s="128" t="s">
        <v>2982</v>
      </c>
      <c r="D2275" s="129">
        <v>46159.620752314811</v>
      </c>
      <c r="E2275" s="130">
        <v>2.87</v>
      </c>
      <c r="F2275" s="136">
        <v>4.4999999999999998E-2</v>
      </c>
      <c r="G2275" s="126">
        <f t="shared" si="36"/>
        <v>3.005235602094241</v>
      </c>
      <c r="H2275" s="126" t="s">
        <v>1339</v>
      </c>
      <c r="I2275" s="127" t="s">
        <v>1963</v>
      </c>
      <c r="J2275" s="126">
        <v>1.06</v>
      </c>
      <c r="K2275" s="126">
        <v>50</v>
      </c>
      <c r="L2275" s="129">
        <f>INT(base[[#This Row],[Data de liquidação]])</f>
        <v>46159</v>
      </c>
      <c r="M2275" s="126">
        <f>base[[#This Row],[L/P Bruto]]-base[[#This Row],[L/P Líquido]]</f>
        <v>0.1352356020942409</v>
      </c>
      <c r="N2275" s="126">
        <f>base[[#This Row],[L/P Líquido]]/base[[#This Row],[Stake/Responsabilidade]]</f>
        <v>5.74E-2</v>
      </c>
      <c r="O2275" s="132">
        <f>IF(base[[#This Row],[L/P Líquido]]&gt;0,1,0)</f>
        <v>1</v>
      </c>
      <c r="P2275" s="132"/>
      <c r="Q2275" s="132" t="str">
        <f>LEFT(base[[#This Row],[Evento / Mercado]],FIND("vs",base[[#This Row],[Evento / Mercado]])-2)</f>
        <v>Asociacion Deportiva Tarma</v>
      </c>
      <c r="R22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Comerciantes Unidos</v>
      </c>
      <c r="S2275" s="132" t="str">
        <f>LEFT(base[[#This Row],[Evento / Mercado]],FIND("/",base[[#This Row],[Evento / Mercado]])-2)</f>
        <v>Asociacion Deportiva Tarma vs Comerciantes Unidos</v>
      </c>
    </row>
    <row r="2276" spans="2:19" ht="15" customHeight="1">
      <c r="B2276" s="128" t="s">
        <v>2239</v>
      </c>
      <c r="C2276" s="128" t="s">
        <v>2982</v>
      </c>
      <c r="D2276" s="129">
        <v>46159.622743055559</v>
      </c>
      <c r="E2276" s="130">
        <v>-5</v>
      </c>
      <c r="F2276" s="136">
        <v>4.4999999999999998E-2</v>
      </c>
      <c r="G2276" s="126">
        <f t="shared" si="36"/>
        <v>-5</v>
      </c>
      <c r="H2276" s="126" t="s">
        <v>1339</v>
      </c>
      <c r="I2276" s="127" t="s">
        <v>1338</v>
      </c>
      <c r="J2276" s="126">
        <v>2.33</v>
      </c>
      <c r="K2276" s="126">
        <v>5</v>
      </c>
      <c r="L2276" s="129">
        <f>INT(base[[#This Row],[Data de liquidação]])</f>
        <v>46159</v>
      </c>
      <c r="M2276" s="126">
        <f>base[[#This Row],[L/P Bruto]]-base[[#This Row],[L/P Líquido]]</f>
        <v>0</v>
      </c>
      <c r="N2276" s="126">
        <f>base[[#This Row],[L/P Líquido]]/base[[#This Row],[Stake/Responsabilidade]]</f>
        <v>-1</v>
      </c>
      <c r="O2276" s="132">
        <f>IF(base[[#This Row],[L/P Líquido]]&gt;0,1,0)</f>
        <v>0</v>
      </c>
      <c r="P2276" s="132"/>
      <c r="Q2276" s="132" t="str">
        <f>LEFT(base[[#This Row],[Evento / Mercado]],FIND("vs",base[[#This Row],[Evento / Mercado]])-2)</f>
        <v>Newcastle United</v>
      </c>
      <c r="R22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2276" s="132" t="str">
        <f>LEFT(base[[#This Row],[Evento / Mercado]],FIND("/",base[[#This Row],[Evento / Mercado]])-2)</f>
        <v>Newcastle United vs West Ham</v>
      </c>
    </row>
    <row r="2277" spans="2:19" ht="15" customHeight="1">
      <c r="B2277" s="128" t="s">
        <v>2238</v>
      </c>
      <c r="C2277" s="128" t="s">
        <v>2982</v>
      </c>
      <c r="D2277" s="129">
        <v>46159.662835648145</v>
      </c>
      <c r="E2277" s="130">
        <v>-3.77</v>
      </c>
      <c r="F2277" s="136">
        <v>4.4999999999999998E-2</v>
      </c>
      <c r="G2277" s="126">
        <f t="shared" si="36"/>
        <v>-3.77</v>
      </c>
      <c r="H2277" s="126" t="s">
        <v>1339</v>
      </c>
      <c r="I2277" s="127" t="s">
        <v>1236</v>
      </c>
      <c r="J2277" s="126">
        <v>11</v>
      </c>
      <c r="K2277" s="126">
        <v>4</v>
      </c>
      <c r="L2277" s="129">
        <f>INT(base[[#This Row],[Data de liquidação]])</f>
        <v>46159</v>
      </c>
      <c r="M2277" s="126">
        <f>base[[#This Row],[L/P Bruto]]-base[[#This Row],[L/P Líquido]]</f>
        <v>0</v>
      </c>
      <c r="N2277" s="126">
        <f>base[[#This Row],[L/P Líquido]]/base[[#This Row],[Stake/Responsabilidade]]</f>
        <v>-0.9425</v>
      </c>
      <c r="O2277" s="132">
        <f>IF(base[[#This Row],[L/P Líquido]]&gt;0,1,0)</f>
        <v>0</v>
      </c>
      <c r="P2277" s="132"/>
      <c r="Q2277" s="132" t="str">
        <f>LEFT(base[[#This Row],[Evento / Mercado]],FIND("vs",base[[#This Row],[Evento / Mercado]])-2)</f>
        <v>Atlético de Madrid</v>
      </c>
      <c r="R22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Girona</v>
      </c>
      <c r="S2277" s="132" t="str">
        <f>LEFT(base[[#This Row],[Evento / Mercado]],FIND("/",base[[#This Row],[Evento / Mercado]])-2)</f>
        <v>Atlético de Madrid vs Girona</v>
      </c>
    </row>
    <row r="2278" spans="2:19" ht="15" customHeight="1">
      <c r="B2278" s="128" t="s">
        <v>2237</v>
      </c>
      <c r="C2278" s="128" t="s">
        <v>2982</v>
      </c>
      <c r="D2278" s="129">
        <v>46159.664722222224</v>
      </c>
      <c r="E2278" s="130">
        <v>2.87</v>
      </c>
      <c r="F2278" s="136">
        <v>4.4999999999999998E-2</v>
      </c>
      <c r="G2278" s="126">
        <f t="shared" si="36"/>
        <v>3.005235602094241</v>
      </c>
      <c r="H2278" s="126" t="s">
        <v>1339</v>
      </c>
      <c r="I2278" s="127" t="s">
        <v>1963</v>
      </c>
      <c r="J2278" s="126">
        <v>1.06</v>
      </c>
      <c r="K2278" s="126">
        <v>50</v>
      </c>
      <c r="L2278" s="129">
        <f>INT(base[[#This Row],[Data de liquidação]])</f>
        <v>46159</v>
      </c>
      <c r="M2278" s="126">
        <f>base[[#This Row],[L/P Bruto]]-base[[#This Row],[L/P Líquido]]</f>
        <v>0.1352356020942409</v>
      </c>
      <c r="N2278" s="126">
        <f>base[[#This Row],[L/P Líquido]]/base[[#This Row],[Stake/Responsabilidade]]</f>
        <v>5.74E-2</v>
      </c>
      <c r="O2278" s="132">
        <f>IF(base[[#This Row],[L/P Líquido]]&gt;0,1,0)</f>
        <v>1</v>
      </c>
      <c r="P2278" s="132"/>
      <c r="Q2278" s="132" t="str">
        <f>LEFT(base[[#This Row],[Evento / Mercado]],FIND("vs",base[[#This Row],[Evento / Mercado]])-2)</f>
        <v>Rayo Vallecano</v>
      </c>
      <c r="R22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2278" s="132" t="str">
        <f>LEFT(base[[#This Row],[Evento / Mercado]],FIND("/",base[[#This Row],[Evento / Mercado]])-2)</f>
        <v>Rayo Vallecano vs Villarreal</v>
      </c>
    </row>
    <row r="2279" spans="2:19" ht="15" customHeight="1">
      <c r="B2279" s="128" t="s">
        <v>2236</v>
      </c>
      <c r="C2279" s="128" t="s">
        <v>2982</v>
      </c>
      <c r="D2279" s="129">
        <v>46159.666493055556</v>
      </c>
      <c r="E2279" s="130">
        <v>-115</v>
      </c>
      <c r="F2279" s="136">
        <v>4.4999999999999998E-2</v>
      </c>
      <c r="G2279" s="126">
        <f t="shared" si="36"/>
        <v>-115</v>
      </c>
      <c r="H2279" s="126" t="s">
        <v>231</v>
      </c>
      <c r="I2279" s="127" t="s">
        <v>232</v>
      </c>
      <c r="J2279" s="126">
        <v>1.96</v>
      </c>
      <c r="K2279" s="126">
        <v>115</v>
      </c>
      <c r="L2279" s="129">
        <f>INT(base[[#This Row],[Data de liquidação]])</f>
        <v>46159</v>
      </c>
      <c r="M2279" s="126">
        <f>base[[#This Row],[L/P Bruto]]-base[[#This Row],[L/P Líquido]]</f>
        <v>0</v>
      </c>
      <c r="N2279" s="126">
        <f>base[[#This Row],[L/P Líquido]]/base[[#This Row],[Stake/Responsabilidade]]</f>
        <v>-1</v>
      </c>
      <c r="O2279" s="132">
        <f>IF(base[[#This Row],[L/P Líquido]]&gt;0,1,0)</f>
        <v>0</v>
      </c>
      <c r="P2279" s="132"/>
      <c r="Q2279" s="132" t="str">
        <f>LEFT(base[[#This Row],[Evento / Mercado]],FIND("vs",base[[#This Row],[Evento / Mercado]])-2)</f>
        <v>Levante UD</v>
      </c>
      <c r="R22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Mallorca</v>
      </c>
      <c r="S2279" s="132" t="str">
        <f>LEFT(base[[#This Row],[Evento / Mercado]],FIND("/",base[[#This Row],[Evento / Mercado]])-2)</f>
        <v>Levante UD vs Real Mallorca</v>
      </c>
    </row>
    <row r="2280" spans="2:19" ht="15" customHeight="1">
      <c r="B2280" s="128" t="s">
        <v>2235</v>
      </c>
      <c r="C2280" s="128" t="s">
        <v>2982</v>
      </c>
      <c r="D2280" s="129">
        <v>46159.666550925926</v>
      </c>
      <c r="E2280" s="130">
        <v>3.86</v>
      </c>
      <c r="F2280" s="136">
        <v>4.4999999999999998E-2</v>
      </c>
      <c r="G2280" s="126">
        <f t="shared" si="36"/>
        <v>4.0418848167539263</v>
      </c>
      <c r="H2280" s="126" t="s">
        <v>1339</v>
      </c>
      <c r="I2280" s="127" t="s">
        <v>1430</v>
      </c>
      <c r="J2280" s="126">
        <v>13.5</v>
      </c>
      <c r="K2280" s="126">
        <v>50.48</v>
      </c>
      <c r="L2280" s="129">
        <f>INT(base[[#This Row],[Data de liquidação]])</f>
        <v>46159</v>
      </c>
      <c r="M2280" s="126">
        <f>base[[#This Row],[L/P Bruto]]-base[[#This Row],[L/P Líquido]]</f>
        <v>0.18188481675392643</v>
      </c>
      <c r="N2280" s="126">
        <f>base[[#This Row],[L/P Líquido]]/base[[#This Row],[Stake/Responsabilidade]]</f>
        <v>7.6465927099841527E-2</v>
      </c>
      <c r="O2280" s="132">
        <f>IF(base[[#This Row],[L/P Líquido]]&gt;0,1,0)</f>
        <v>1</v>
      </c>
      <c r="P2280" s="132"/>
      <c r="Q2280" s="132" t="str">
        <f>LEFT(base[[#This Row],[Evento / Mercado]],FIND("vs",base[[#This Row],[Evento / Mercado]])-2)</f>
        <v>Kasimpasa SK</v>
      </c>
      <c r="R22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Galatasaray SK</v>
      </c>
      <c r="S2280" s="132" t="str">
        <f>LEFT(base[[#This Row],[Evento / Mercado]],FIND("/",base[[#This Row],[Evento / Mercado]])-2)</f>
        <v>Kasimpasa SK vs Galatasaray SK</v>
      </c>
    </row>
    <row r="2281" spans="2:19" ht="15" customHeight="1">
      <c r="B2281" s="128" t="s">
        <v>2234</v>
      </c>
      <c r="C2281" s="128" t="s">
        <v>2982</v>
      </c>
      <c r="D2281" s="129">
        <v>46159.666817129626</v>
      </c>
      <c r="E2281" s="130">
        <v>1.83</v>
      </c>
      <c r="F2281" s="136">
        <v>4.4999999999999998E-2</v>
      </c>
      <c r="G2281" s="126">
        <f t="shared" si="36"/>
        <v>1.9162303664921467</v>
      </c>
      <c r="H2281" s="126" t="s">
        <v>1339</v>
      </c>
      <c r="I2281" s="127" t="s">
        <v>1388</v>
      </c>
      <c r="J2281" s="126">
        <v>25</v>
      </c>
      <c r="K2281" s="126">
        <v>46.08</v>
      </c>
      <c r="L2281" s="129">
        <f>INT(base[[#This Row],[Data de liquidação]])</f>
        <v>46159</v>
      </c>
      <c r="M2281" s="126">
        <f>base[[#This Row],[L/P Bruto]]-base[[#This Row],[L/P Líquido]]</f>
        <v>8.6230366492146659E-2</v>
      </c>
      <c r="N2281" s="126">
        <f>base[[#This Row],[L/P Líquido]]/base[[#This Row],[Stake/Responsabilidade]]</f>
        <v>3.9713541666666671E-2</v>
      </c>
      <c r="O2281" s="132">
        <f>IF(base[[#This Row],[L/P Líquido]]&gt;0,1,0)</f>
        <v>1</v>
      </c>
      <c r="P2281" s="132"/>
      <c r="Q2281" s="132" t="str">
        <f>LEFT(base[[#This Row],[Evento / Mercado]],FIND("vs",base[[#This Row],[Evento / Mercado]])-2)</f>
        <v>Antalyaspor</v>
      </c>
      <c r="R22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Kocaelispor</v>
      </c>
      <c r="S2281" s="132" t="str">
        <f>LEFT(base[[#This Row],[Evento / Mercado]],FIND("/",base[[#This Row],[Evento / Mercado]])-2)</f>
        <v>Antalyaspor vs Kocaelispor</v>
      </c>
    </row>
    <row r="2282" spans="2:19" ht="15" customHeight="1">
      <c r="B2282" s="128" t="s">
        <v>2233</v>
      </c>
      <c r="C2282" s="128" t="s">
        <v>2982</v>
      </c>
      <c r="D2282" s="129">
        <v>46159.667094907411</v>
      </c>
      <c r="E2282" s="130">
        <v>1.37</v>
      </c>
      <c r="F2282" s="136">
        <v>4.4999999999999998E-2</v>
      </c>
      <c r="G2282" s="126">
        <f t="shared" si="36"/>
        <v>1.4345549738219896</v>
      </c>
      <c r="H2282" s="126" t="s">
        <v>1339</v>
      </c>
      <c r="I2282" s="127" t="s">
        <v>1389</v>
      </c>
      <c r="J2282" s="126">
        <v>1.46</v>
      </c>
      <c r="K2282" s="126">
        <v>3.12</v>
      </c>
      <c r="L2282" s="129">
        <f>INT(base[[#This Row],[Data de liquidação]])</f>
        <v>46159</v>
      </c>
      <c r="M2282" s="126">
        <f>base[[#This Row],[L/P Bruto]]-base[[#This Row],[L/P Líquido]]</f>
        <v>6.4554973821989492E-2</v>
      </c>
      <c r="N2282" s="126">
        <f>base[[#This Row],[L/P Líquido]]/base[[#This Row],[Stake/Responsabilidade]]</f>
        <v>0.4391025641025641</v>
      </c>
      <c r="O2282" s="132">
        <f>IF(base[[#This Row],[L/P Líquido]]&gt;0,1,0)</f>
        <v>1</v>
      </c>
      <c r="P2282" s="132"/>
      <c r="Q2282" s="132" t="str">
        <f>LEFT(base[[#This Row],[Evento / Mercado]],FIND("vs",base[[#This Row],[Evento / Mercado]])-2)</f>
        <v>Antalyaspor</v>
      </c>
      <c r="R22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Kocaelispor</v>
      </c>
      <c r="S2282" s="132" t="str">
        <f>LEFT(base[[#This Row],[Evento / Mercado]],FIND("/",base[[#This Row],[Evento / Mercado]])-2)</f>
        <v>Antalyaspor vs Kocaelispor</v>
      </c>
    </row>
    <row r="2283" spans="2:19" ht="15" customHeight="1">
      <c r="B2283" s="128" t="s">
        <v>2232</v>
      </c>
      <c r="C2283" s="128" t="s">
        <v>2982</v>
      </c>
      <c r="D2283" s="129">
        <v>46159.675196759257</v>
      </c>
      <c r="E2283" s="130">
        <v>103.51</v>
      </c>
      <c r="F2283" s="136">
        <v>4.4999999999999998E-2</v>
      </c>
      <c r="G2283" s="126">
        <f t="shared" si="36"/>
        <v>108.38743455497384</v>
      </c>
      <c r="H2283" s="126" t="s">
        <v>231</v>
      </c>
      <c r="I2283" s="127" t="s">
        <v>266</v>
      </c>
      <c r="J2283" s="126">
        <v>1.94</v>
      </c>
      <c r="K2283" s="126">
        <v>115</v>
      </c>
      <c r="L2283" s="129">
        <f>INT(base[[#This Row],[Data de liquidação]])</f>
        <v>46159</v>
      </c>
      <c r="M2283" s="126">
        <f>base[[#This Row],[L/P Bruto]]-base[[#This Row],[L/P Líquido]]</f>
        <v>4.8774345549738314</v>
      </c>
      <c r="N2283" s="126">
        <f>base[[#This Row],[L/P Líquido]]/base[[#This Row],[Stake/Responsabilidade]]</f>
        <v>0.9000869565217392</v>
      </c>
      <c r="O2283" s="132">
        <f>IF(base[[#This Row],[L/P Líquido]]&gt;0,1,0)</f>
        <v>1</v>
      </c>
      <c r="P2283" s="132"/>
      <c r="Q2283" s="132" t="str">
        <f>LEFT(base[[#This Row],[Evento / Mercado]],FIND("vs",base[[#This Row],[Evento / Mercado]])-2)</f>
        <v>Botafogo FR</v>
      </c>
      <c r="R22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Corinthians</v>
      </c>
      <c r="S2283" s="132" t="str">
        <f>LEFT(base[[#This Row],[Evento / Mercado]],FIND("/",base[[#This Row],[Evento / Mercado]])-2)</f>
        <v>Botafogo FR vs Corinthians</v>
      </c>
    </row>
    <row r="2284" spans="2:19" ht="15" customHeight="1">
      <c r="B2284" s="128" t="s">
        <v>2231</v>
      </c>
      <c r="C2284" s="128" t="s">
        <v>2982</v>
      </c>
      <c r="D2284" s="129">
        <v>46159.676817129628</v>
      </c>
      <c r="E2284" s="130">
        <v>0.17</v>
      </c>
      <c r="F2284" s="136">
        <v>4.4999999999999998E-2</v>
      </c>
      <c r="G2284" s="126">
        <f t="shared" si="36"/>
        <v>0.1780104712041885</v>
      </c>
      <c r="H2284" s="126" t="s">
        <v>1339</v>
      </c>
      <c r="I2284" s="127" t="s">
        <v>1993</v>
      </c>
      <c r="J2284" s="126">
        <v>1.0900000000000001</v>
      </c>
      <c r="K2284" s="126">
        <v>2</v>
      </c>
      <c r="L2284" s="129">
        <f>INT(base[[#This Row],[Data de liquidação]])</f>
        <v>46159</v>
      </c>
      <c r="M2284" s="126">
        <f>base[[#This Row],[L/P Bruto]]-base[[#This Row],[L/P Líquido]]</f>
        <v>8.0104712041884907E-3</v>
      </c>
      <c r="N2284" s="126">
        <f>base[[#This Row],[L/P Líquido]]/base[[#This Row],[Stake/Responsabilidade]]</f>
        <v>8.5000000000000006E-2</v>
      </c>
      <c r="O2284" s="132">
        <f>IF(base[[#This Row],[L/P Líquido]]&gt;0,1,0)</f>
        <v>1</v>
      </c>
      <c r="P2284" s="132"/>
      <c r="Q2284" s="132" t="str">
        <f>LEFT(base[[#This Row],[Evento / Mercado]],FIND("vs",base[[#This Row],[Evento / Mercado]])-2)</f>
        <v>Al-Shabab Riyadh</v>
      </c>
      <c r="R22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Jeddah</v>
      </c>
      <c r="S2284" s="132" t="str">
        <f>LEFT(base[[#This Row],[Evento / Mercado]],FIND("/",base[[#This Row],[Evento / Mercado]])-2)</f>
        <v>Al-Shabab Riyadh vs Al-Ittihad Jeddah</v>
      </c>
    </row>
    <row r="2285" spans="2:19" ht="15" customHeight="1">
      <c r="B2285" s="128" t="s">
        <v>2230</v>
      </c>
      <c r="C2285" s="128" t="s">
        <v>2982</v>
      </c>
      <c r="D2285" s="129">
        <v>46159.699421296296</v>
      </c>
      <c r="E2285" s="130">
        <v>-2</v>
      </c>
      <c r="F2285" s="136">
        <v>4.4999999999999998E-2</v>
      </c>
      <c r="G2285" s="126">
        <f t="shared" si="36"/>
        <v>-2</v>
      </c>
      <c r="H2285" s="126" t="s">
        <v>1339</v>
      </c>
      <c r="I2285" s="127" t="s">
        <v>1448</v>
      </c>
      <c r="J2285" s="126">
        <v>1.7</v>
      </c>
      <c r="K2285" s="126">
        <v>2</v>
      </c>
      <c r="L2285" s="129">
        <f>INT(base[[#This Row],[Data de liquidação]])</f>
        <v>46159</v>
      </c>
      <c r="M2285" s="126">
        <f>base[[#This Row],[L/P Bruto]]-base[[#This Row],[L/P Líquido]]</f>
        <v>0</v>
      </c>
      <c r="N2285" s="126">
        <f>base[[#This Row],[L/P Líquido]]/base[[#This Row],[Stake/Responsabilidade]]</f>
        <v>-1</v>
      </c>
      <c r="O2285" s="132">
        <f>IF(base[[#This Row],[L/P Líquido]]&gt;0,1,0)</f>
        <v>0</v>
      </c>
      <c r="P2285" s="132"/>
      <c r="Q2285" s="132" t="str">
        <f>LEFT(base[[#This Row],[Evento / Mercado]],FIND("vs",base[[#This Row],[Evento / Mercado]])-2)</f>
        <v>OGC Nice</v>
      </c>
      <c r="R22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Metz</v>
      </c>
      <c r="S2285" s="132" t="str">
        <f>LEFT(base[[#This Row],[Evento / Mercado]],FIND("/",base[[#This Row],[Evento / Mercado]])-2)</f>
        <v>OGC Nice vs FC Metz</v>
      </c>
    </row>
    <row r="2286" spans="2:19" ht="15" customHeight="1">
      <c r="B2286" s="128" t="s">
        <v>2229</v>
      </c>
      <c r="C2286" s="128" t="s">
        <v>2982</v>
      </c>
      <c r="D2286" s="129">
        <v>46159.708657407406</v>
      </c>
      <c r="E2286" s="130">
        <v>4.3</v>
      </c>
      <c r="F2286" s="136">
        <v>4.4999999999999998E-2</v>
      </c>
      <c r="G2286" s="126">
        <f t="shared" si="36"/>
        <v>4.5026178010471201</v>
      </c>
      <c r="H2286" s="126" t="s">
        <v>1339</v>
      </c>
      <c r="I2286" s="127" t="s">
        <v>1963</v>
      </c>
      <c r="J2286" s="126">
        <v>1.0900000000000001</v>
      </c>
      <c r="K2286" s="126">
        <v>50</v>
      </c>
      <c r="L2286" s="129">
        <f>INT(base[[#This Row],[Data de liquidação]])</f>
        <v>46159</v>
      </c>
      <c r="M2286" s="126">
        <f>base[[#This Row],[L/P Bruto]]-base[[#This Row],[L/P Líquido]]</f>
        <v>0.20261780104712024</v>
      </c>
      <c r="N2286" s="126">
        <f>base[[#This Row],[L/P Líquido]]/base[[#This Row],[Stake/Responsabilidade]]</f>
        <v>8.5999999999999993E-2</v>
      </c>
      <c r="O2286" s="132">
        <f>IF(base[[#This Row],[L/P Líquido]]&gt;0,1,0)</f>
        <v>1</v>
      </c>
      <c r="P2286" s="132"/>
      <c r="Q2286" s="132" t="str">
        <f>LEFT(base[[#This Row],[Evento / Mercado]],FIND("vs",base[[#This Row],[Evento / Mercado]])-2)</f>
        <v>Al-Shabab Riyadh</v>
      </c>
      <c r="R22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Jeddah</v>
      </c>
      <c r="S2286" s="132" t="str">
        <f>LEFT(base[[#This Row],[Evento / Mercado]],FIND("/",base[[#This Row],[Evento / Mercado]])-2)</f>
        <v>Al-Shabab Riyadh vs Al-Ittihad Jeddah</v>
      </c>
    </row>
    <row r="2287" spans="2:19" ht="15" customHeight="1">
      <c r="B2287" s="128" t="s">
        <v>2228</v>
      </c>
      <c r="C2287" s="128" t="s">
        <v>2982</v>
      </c>
      <c r="D2287" s="129">
        <v>46159.736747685187</v>
      </c>
      <c r="E2287" s="130">
        <v>-1.81</v>
      </c>
      <c r="F2287" s="136">
        <v>4.4999999999999998E-2</v>
      </c>
      <c r="G2287" s="126">
        <f t="shared" si="36"/>
        <v>-1.81</v>
      </c>
      <c r="H2287" s="126" t="s">
        <v>1339</v>
      </c>
      <c r="I2287" s="127" t="s">
        <v>1236</v>
      </c>
      <c r="J2287" s="126">
        <v>9</v>
      </c>
      <c r="K2287" s="126">
        <v>4</v>
      </c>
      <c r="L2287" s="129">
        <f>INT(base[[#This Row],[Data de liquidação]])</f>
        <v>46159</v>
      </c>
      <c r="M2287" s="126">
        <f>base[[#This Row],[L/P Bruto]]-base[[#This Row],[L/P Líquido]]</f>
        <v>0</v>
      </c>
      <c r="N2287" s="126">
        <f>base[[#This Row],[L/P Líquido]]/base[[#This Row],[Stake/Responsabilidade]]</f>
        <v>-0.45250000000000001</v>
      </c>
      <c r="O2287" s="132">
        <f>IF(base[[#This Row],[L/P Líquido]]&gt;0,1,0)</f>
        <v>0</v>
      </c>
      <c r="P2287" s="132"/>
      <c r="Q2287" s="132" t="str">
        <f>LEFT(base[[#This Row],[Evento / Mercado]],FIND("vs",base[[#This Row],[Evento / Mercado]])-2)</f>
        <v>FC Barcelona</v>
      </c>
      <c r="R22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2287" s="132" t="str">
        <f>LEFT(base[[#This Row],[Evento / Mercado]],FIND("/",base[[#This Row],[Evento / Mercado]])-2)</f>
        <v>FC Barcelona vs Real Betis</v>
      </c>
    </row>
    <row r="2288" spans="2:19" ht="15" customHeight="1">
      <c r="B2288" s="128" t="s">
        <v>2227</v>
      </c>
      <c r="C2288" s="128" t="s">
        <v>2982</v>
      </c>
      <c r="D2288" s="129">
        <v>46159.742326388892</v>
      </c>
      <c r="E2288" s="130">
        <v>-2</v>
      </c>
      <c r="F2288" s="136">
        <v>4.4999999999999998E-2</v>
      </c>
      <c r="G2288" s="126">
        <f t="shared" si="36"/>
        <v>-2</v>
      </c>
      <c r="H2288" s="126" t="s">
        <v>1339</v>
      </c>
      <c r="I2288" s="127" t="s">
        <v>1994</v>
      </c>
      <c r="J2288" s="126">
        <v>4.5999999999999996</v>
      </c>
      <c r="K2288" s="126">
        <v>2</v>
      </c>
      <c r="L2288" s="129">
        <f>INT(base[[#This Row],[Data de liquidação]])</f>
        <v>46159</v>
      </c>
      <c r="M2288" s="126">
        <f>base[[#This Row],[L/P Bruto]]-base[[#This Row],[L/P Líquido]]</f>
        <v>0</v>
      </c>
      <c r="N2288" s="126">
        <f>base[[#This Row],[L/P Líquido]]/base[[#This Row],[Stake/Responsabilidade]]</f>
        <v>-1</v>
      </c>
      <c r="O2288" s="132">
        <f>IF(base[[#This Row],[L/P Líquido]]&gt;0,1,0)</f>
        <v>0</v>
      </c>
      <c r="P2288" s="132"/>
      <c r="Q2288" s="132" t="str">
        <f>LEFT(base[[#This Row],[Evento / Mercado]],FIND("vs",base[[#This Row],[Evento / Mercado]])-2)</f>
        <v>Lille OSC</v>
      </c>
      <c r="R22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2288" s="132" t="str">
        <f>LEFT(base[[#This Row],[Evento / Mercado]],FIND("/",base[[#This Row],[Evento / Mercado]])-2)</f>
        <v>Lille OSC vs AJ Auxerre</v>
      </c>
    </row>
    <row r="2289" spans="2:19" ht="15" customHeight="1">
      <c r="B2289" s="128" t="s">
        <v>2226</v>
      </c>
      <c r="C2289" s="128" t="s">
        <v>2982</v>
      </c>
      <c r="D2289" s="129">
        <v>46159.744976851849</v>
      </c>
      <c r="E2289" s="130">
        <v>-115</v>
      </c>
      <c r="F2289" s="136">
        <v>4.4999999999999998E-2</v>
      </c>
      <c r="G2289" s="126">
        <f t="shared" si="36"/>
        <v>-115</v>
      </c>
      <c r="H2289" s="126" t="s">
        <v>231</v>
      </c>
      <c r="I2289" s="127" t="s">
        <v>266</v>
      </c>
      <c r="J2289" s="126">
        <f>+(2.06*12.12+2.03*102.88)/base[[#This Row],[Stake/Responsabilidade]]</f>
        <v>2.0331617391304344</v>
      </c>
      <c r="K2289" s="126">
        <f>12.12+102.88</f>
        <v>115</v>
      </c>
      <c r="L2289" s="129">
        <f>INT(base[[#This Row],[Data de liquidação]])</f>
        <v>46159</v>
      </c>
      <c r="M2289" s="126">
        <f>base[[#This Row],[L/P Bruto]]-base[[#This Row],[L/P Líquido]]</f>
        <v>0</v>
      </c>
      <c r="N2289" s="126">
        <f>base[[#This Row],[L/P Líquido]]/base[[#This Row],[Stake/Responsabilidade]]</f>
        <v>-1</v>
      </c>
      <c r="O2289" s="132">
        <f>IF(base[[#This Row],[L/P Líquido]]&gt;0,1,0)</f>
        <v>0</v>
      </c>
      <c r="P2289" s="132"/>
      <c r="Q2289" s="132" t="str">
        <f>LEFT(base[[#This Row],[Evento / Mercado]],FIND("vs",base[[#This Row],[Evento / Mercado]])-2)</f>
        <v>Lille OSC</v>
      </c>
      <c r="R22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2289" s="132" t="str">
        <f>LEFT(base[[#This Row],[Evento / Mercado]],FIND("/",base[[#This Row],[Evento / Mercado]])-2)</f>
        <v>Lille OSC vs AJ Auxerre</v>
      </c>
    </row>
    <row r="2290" spans="2:19" ht="15" customHeight="1">
      <c r="B2290" s="128" t="s">
        <v>2225</v>
      </c>
      <c r="C2290" s="128" t="s">
        <v>2982</v>
      </c>
      <c r="D2290" s="129">
        <v>46159.745023148149</v>
      </c>
      <c r="E2290" s="130">
        <v>1.1399999999999999</v>
      </c>
      <c r="F2290" s="136">
        <v>4.4999999999999998E-2</v>
      </c>
      <c r="G2290" s="126">
        <f t="shared" si="36"/>
        <v>1.1937172774869109</v>
      </c>
      <c r="H2290" s="126" t="s">
        <v>1339</v>
      </c>
      <c r="I2290" s="127" t="s">
        <v>2193</v>
      </c>
      <c r="J2290" s="126">
        <v>1.6</v>
      </c>
      <c r="K2290" s="126">
        <v>2</v>
      </c>
      <c r="L2290" s="129">
        <f>INT(base[[#This Row],[Data de liquidação]])</f>
        <v>46159</v>
      </c>
      <c r="M2290" s="126">
        <f>base[[#This Row],[L/P Bruto]]-base[[#This Row],[L/P Líquido]]</f>
        <v>5.3717277486911019E-2</v>
      </c>
      <c r="N2290" s="126">
        <f>base[[#This Row],[L/P Líquido]]/base[[#This Row],[Stake/Responsabilidade]]</f>
        <v>0.56999999999999995</v>
      </c>
      <c r="O2290" s="132">
        <f>IF(base[[#This Row],[L/P Líquido]]&gt;0,1,0)</f>
        <v>1</v>
      </c>
      <c r="P2290" s="132"/>
      <c r="Q2290" s="132" t="str">
        <f>LEFT(base[[#This Row],[Evento / Mercado]],FIND("vs",base[[#This Row],[Evento / Mercado]])-2)</f>
        <v>Paris FC</v>
      </c>
      <c r="R22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2290" s="132" t="str">
        <f>LEFT(base[[#This Row],[Evento / Mercado]],FIND("/",base[[#This Row],[Evento / Mercado]])-2)</f>
        <v>Paris FC vs Paris Saint-Germain</v>
      </c>
    </row>
    <row r="2291" spans="2:19" ht="15" customHeight="1">
      <c r="B2291" s="128" t="s">
        <v>2224</v>
      </c>
      <c r="C2291" s="128" t="s">
        <v>2982</v>
      </c>
      <c r="D2291" s="129">
        <v>46159.745034722226</v>
      </c>
      <c r="E2291" s="130">
        <v>2.0499999999999998</v>
      </c>
      <c r="F2291" s="136">
        <v>4.4999999999999998E-2</v>
      </c>
      <c r="G2291" s="126">
        <f t="shared" si="36"/>
        <v>2.1465968586387434</v>
      </c>
      <c r="H2291" s="126" t="s">
        <v>1339</v>
      </c>
      <c r="I2291" s="127" t="s">
        <v>1336</v>
      </c>
      <c r="J2291" s="126">
        <v>1.47</v>
      </c>
      <c r="K2291" s="126">
        <v>10</v>
      </c>
      <c r="L2291" s="129">
        <f>INT(base[[#This Row],[Data de liquidação]])</f>
        <v>46159</v>
      </c>
      <c r="M2291" s="126">
        <f>base[[#This Row],[L/P Bruto]]-base[[#This Row],[L/P Líquido]]</f>
        <v>9.6596858638743566E-2</v>
      </c>
      <c r="N2291" s="126">
        <f>base[[#This Row],[L/P Líquido]]/base[[#This Row],[Stake/Responsabilidade]]</f>
        <v>0.20499999999999999</v>
      </c>
      <c r="O2291" s="132">
        <f>IF(base[[#This Row],[L/P Líquido]]&gt;0,1,0)</f>
        <v>1</v>
      </c>
      <c r="P2291" s="132"/>
      <c r="Q2291" s="132" t="str">
        <f>LEFT(base[[#This Row],[Evento / Mercado]],FIND("vs",base[[#This Row],[Evento / Mercado]])-2)</f>
        <v>Paris FC</v>
      </c>
      <c r="R22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2291" s="132" t="str">
        <f>LEFT(base[[#This Row],[Evento / Mercado]],FIND("/",base[[#This Row],[Evento / Mercado]])-2)</f>
        <v>Paris FC vs Paris Saint-Germain</v>
      </c>
    </row>
    <row r="2292" spans="2:19" ht="15" customHeight="1">
      <c r="B2292" s="128" t="s">
        <v>2223</v>
      </c>
      <c r="C2292" s="128" t="s">
        <v>2982</v>
      </c>
      <c r="D2292" s="129">
        <v>46159.749826388892</v>
      </c>
      <c r="E2292" s="130">
        <v>-2</v>
      </c>
      <c r="F2292" s="136">
        <v>4.4999999999999998E-2</v>
      </c>
      <c r="G2292" s="126">
        <f t="shared" si="36"/>
        <v>-2</v>
      </c>
      <c r="H2292" s="126" t="s">
        <v>1339</v>
      </c>
      <c r="I2292" s="127" t="s">
        <v>1429</v>
      </c>
      <c r="J2292" s="126">
        <v>1.7</v>
      </c>
      <c r="K2292" s="126">
        <v>2</v>
      </c>
      <c r="L2292" s="129">
        <f>INT(base[[#This Row],[Data de liquidação]])</f>
        <v>46159</v>
      </c>
      <c r="M2292" s="126">
        <f>base[[#This Row],[L/P Bruto]]-base[[#This Row],[L/P Líquido]]</f>
        <v>0</v>
      </c>
      <c r="N2292" s="126">
        <f>base[[#This Row],[L/P Líquido]]/base[[#This Row],[Stake/Responsabilidade]]</f>
        <v>-1</v>
      </c>
      <c r="O2292" s="132">
        <f>IF(base[[#This Row],[L/P Líquido]]&gt;0,1,0)</f>
        <v>0</v>
      </c>
      <c r="P2292" s="132"/>
      <c r="Q2292" s="132" t="str">
        <f>LEFT(base[[#This Row],[Evento / Mercado]],FIND("vs",base[[#This Row],[Evento / Mercado]])-2)</f>
        <v>Esporte Clube Bahia</v>
      </c>
      <c r="R22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2292" s="132" t="str">
        <f>LEFT(base[[#This Row],[Evento / Mercado]],FIND("/",base[[#This Row],[Evento / Mercado]])-2)</f>
        <v>Esporte Clube Bahia vs Grêmio FBPA</v>
      </c>
    </row>
    <row r="2293" spans="2:19" ht="15" customHeight="1">
      <c r="B2293" s="128" t="s">
        <v>2222</v>
      </c>
      <c r="C2293" s="128" t="s">
        <v>2982</v>
      </c>
      <c r="D2293" s="129">
        <v>46159.757314814815</v>
      </c>
      <c r="E2293" s="130">
        <v>3.5</v>
      </c>
      <c r="F2293" s="136">
        <v>4.4999999999999998E-2</v>
      </c>
      <c r="G2293" s="126">
        <f t="shared" si="36"/>
        <v>3.6649214659685865</v>
      </c>
      <c r="H2293" s="126" t="s">
        <v>1339</v>
      </c>
      <c r="I2293" s="127" t="s">
        <v>1390</v>
      </c>
      <c r="J2293" s="126">
        <v>9.4</v>
      </c>
      <c r="K2293" s="126">
        <v>30.74</v>
      </c>
      <c r="L2293" s="129">
        <f>INT(base[[#This Row],[Data de liquidação]])</f>
        <v>46159</v>
      </c>
      <c r="M2293" s="126">
        <f>base[[#This Row],[L/P Bruto]]-base[[#This Row],[L/P Líquido]]</f>
        <v>0.16492146596858648</v>
      </c>
      <c r="N2293" s="126">
        <f>base[[#This Row],[L/P Líquido]]/base[[#This Row],[Stake/Responsabilidade]]</f>
        <v>0.11385816525699415</v>
      </c>
      <c r="O2293" s="132">
        <f>IF(base[[#This Row],[L/P Líquido]]&gt;0,1,0)</f>
        <v>1</v>
      </c>
      <c r="P2293" s="132"/>
      <c r="Q2293" s="132" t="str">
        <f>LEFT(base[[#This Row],[Evento / Mercado]],FIND("vs",base[[#This Row],[Evento / Mercado]])-2)</f>
        <v>FC Barcelona</v>
      </c>
      <c r="R22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2293" s="132" t="str">
        <f>LEFT(base[[#This Row],[Evento / Mercado]],FIND("/",base[[#This Row],[Evento / Mercado]])-2)</f>
        <v>FC Barcelona vs Real Betis</v>
      </c>
    </row>
    <row r="2294" spans="2:19" ht="15" customHeight="1">
      <c r="B2294" s="128" t="s">
        <v>2221</v>
      </c>
      <c r="C2294" s="128" t="s">
        <v>2982</v>
      </c>
      <c r="D2294" s="129">
        <v>46159.810613425929</v>
      </c>
      <c r="E2294" s="130">
        <v>3.5</v>
      </c>
      <c r="F2294" s="136">
        <v>4.4999999999999998E-2</v>
      </c>
      <c r="G2294" s="126">
        <f t="shared" si="36"/>
        <v>3.6649214659685865</v>
      </c>
      <c r="H2294" s="126" t="s">
        <v>1339</v>
      </c>
      <c r="I2294" s="127" t="s">
        <v>1390</v>
      </c>
      <c r="J2294" s="126">
        <v>9.4</v>
      </c>
      <c r="K2294" s="126">
        <v>30.74</v>
      </c>
      <c r="L2294" s="129">
        <f>INT(base[[#This Row],[Data de liquidação]])</f>
        <v>46159</v>
      </c>
      <c r="M2294" s="126">
        <f>base[[#This Row],[L/P Bruto]]-base[[#This Row],[L/P Líquido]]</f>
        <v>0.16492146596858648</v>
      </c>
      <c r="N2294" s="126">
        <f>base[[#This Row],[L/P Líquido]]/base[[#This Row],[Stake/Responsabilidade]]</f>
        <v>0.11385816525699415</v>
      </c>
      <c r="O2294" s="132">
        <f>IF(base[[#This Row],[L/P Líquido]]&gt;0,1,0)</f>
        <v>1</v>
      </c>
      <c r="P2294" s="132"/>
      <c r="Q2294" s="132" t="str">
        <f>LEFT(base[[#This Row],[Evento / Mercado]],FIND("vs",base[[#This Row],[Evento / Mercado]])-2)</f>
        <v>CD Los Chankas</v>
      </c>
      <c r="R22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Moquegua</v>
      </c>
      <c r="S2294" s="132" t="str">
        <f>LEFT(base[[#This Row],[Evento / Mercado]],FIND("/",base[[#This Row],[Evento / Mercado]])-2)</f>
        <v>CD Los Chankas vs Deportivo Moquegua</v>
      </c>
    </row>
    <row r="2295" spans="2:19" ht="15" customHeight="1">
      <c r="B2295" s="128" t="s">
        <v>2220</v>
      </c>
      <c r="C2295" s="128" t="s">
        <v>2982</v>
      </c>
      <c r="D2295" s="129">
        <v>46159.828009259261</v>
      </c>
      <c r="E2295" s="130">
        <v>1.05</v>
      </c>
      <c r="F2295" s="136">
        <v>4.4999999999999998E-2</v>
      </c>
      <c r="G2295" s="126">
        <f t="shared" si="36"/>
        <v>1.0994764397905761</v>
      </c>
      <c r="H2295" s="126" t="s">
        <v>1339</v>
      </c>
      <c r="I2295" s="127" t="s">
        <v>1933</v>
      </c>
      <c r="J2295" s="126">
        <v>1.55</v>
      </c>
      <c r="K2295" s="126">
        <v>2</v>
      </c>
      <c r="L2295" s="129">
        <f>INT(base[[#This Row],[Data de liquidação]])</f>
        <v>46159</v>
      </c>
      <c r="M2295" s="126">
        <f>base[[#This Row],[L/P Bruto]]-base[[#This Row],[L/P Líquido]]</f>
        <v>4.9476439790576032E-2</v>
      </c>
      <c r="N2295" s="126">
        <f>base[[#This Row],[L/P Líquido]]/base[[#This Row],[Stake/Responsabilidade]]</f>
        <v>0.52500000000000002</v>
      </c>
      <c r="O2295" s="132">
        <f>IF(base[[#This Row],[L/P Líquido]]&gt;0,1,0)</f>
        <v>1</v>
      </c>
      <c r="P2295" s="132"/>
      <c r="Q2295" s="132" t="str">
        <f>LEFT(base[[#This Row],[Evento / Mercado]],FIND("vs",base[[#This Row],[Evento / Mercado]])-2)</f>
        <v>Criciúma EC</v>
      </c>
      <c r="R22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Goianiense</v>
      </c>
      <c r="S2295" s="132" t="str">
        <f>LEFT(base[[#This Row],[Evento / Mercado]],FIND("/",base[[#This Row],[Evento / Mercado]])-2)</f>
        <v>Criciúma EC vs Atlético Goianiense</v>
      </c>
    </row>
    <row r="2296" spans="2:19" ht="15" customHeight="1">
      <c r="B2296" s="128" t="s">
        <v>2219</v>
      </c>
      <c r="C2296" s="128" t="s">
        <v>2982</v>
      </c>
      <c r="D2296" s="129">
        <v>46159.830810185187</v>
      </c>
      <c r="E2296" s="130">
        <v>3.82</v>
      </c>
      <c r="F2296" s="136">
        <v>4.4999999999999998E-2</v>
      </c>
      <c r="G2296" s="126">
        <f t="shared" si="36"/>
        <v>4</v>
      </c>
      <c r="H2296" s="126" t="s">
        <v>1339</v>
      </c>
      <c r="I2296" s="127" t="s">
        <v>1236</v>
      </c>
      <c r="J2296" s="126">
        <v>16.5</v>
      </c>
      <c r="K2296" s="126">
        <v>4</v>
      </c>
      <c r="L2296" s="129">
        <f>INT(base[[#This Row],[Data de liquidação]])</f>
        <v>46159</v>
      </c>
      <c r="M2296" s="126">
        <f>base[[#This Row],[L/P Bruto]]-base[[#This Row],[L/P Líquido]]</f>
        <v>0.18000000000000016</v>
      </c>
      <c r="N2296" s="126">
        <f>base[[#This Row],[L/P Líquido]]/base[[#This Row],[Stake/Responsabilidade]]</f>
        <v>0.95499999999999996</v>
      </c>
      <c r="O2296" s="132">
        <f>IF(base[[#This Row],[L/P Líquido]]&gt;0,1,0)</f>
        <v>1</v>
      </c>
      <c r="P2296" s="132"/>
      <c r="Q2296" s="132" t="str">
        <f>LEFT(base[[#This Row],[Evento / Mercado]],FIND("vs",base[[#This Row],[Evento / Mercado]])-2)</f>
        <v>Inter Miami CF</v>
      </c>
      <c r="R22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Portland Timbers</v>
      </c>
      <c r="S2296" s="132" t="str">
        <f>LEFT(base[[#This Row],[Evento / Mercado]],FIND("/",base[[#This Row],[Evento / Mercado]])-2)</f>
        <v>Inter Miami CF vs Portland Timbers</v>
      </c>
    </row>
    <row r="2297" spans="2:19" ht="15" customHeight="1">
      <c r="B2297" s="128" t="s">
        <v>2218</v>
      </c>
      <c r="C2297" s="128" t="s">
        <v>2982</v>
      </c>
      <c r="D2297" s="129">
        <v>46159.831238425926</v>
      </c>
      <c r="E2297" s="130">
        <v>1.47</v>
      </c>
      <c r="F2297" s="136">
        <v>4.4999999999999998E-2</v>
      </c>
      <c r="G2297" s="126">
        <f t="shared" si="36"/>
        <v>1.5392670157068062</v>
      </c>
      <c r="H2297" s="126" t="s">
        <v>1339</v>
      </c>
      <c r="I2297" s="127" t="s">
        <v>1963</v>
      </c>
      <c r="J2297" s="126">
        <v>1.03</v>
      </c>
      <c r="K2297" s="126">
        <v>50</v>
      </c>
      <c r="L2297" s="129">
        <f>INT(base[[#This Row],[Data de liquidação]])</f>
        <v>46159</v>
      </c>
      <c r="M2297" s="126">
        <f>base[[#This Row],[L/P Bruto]]-base[[#This Row],[L/P Líquido]]</f>
        <v>6.9267015706806268E-2</v>
      </c>
      <c r="N2297" s="126">
        <f>base[[#This Row],[L/P Líquido]]/base[[#This Row],[Stake/Responsabilidade]]</f>
        <v>2.9399999999999999E-2</v>
      </c>
      <c r="O2297" s="132">
        <f>IF(base[[#This Row],[L/P Líquido]]&gt;0,1,0)</f>
        <v>1</v>
      </c>
      <c r="P2297" s="132"/>
      <c r="Q2297" s="132" t="str">
        <f>LEFT(base[[#This Row],[Evento / Mercado]],FIND("vs",base[[#This Row],[Evento / Mercado]])-2)</f>
        <v>Vila Nova FC</v>
      </c>
      <c r="R22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2297" s="132" t="str">
        <f>LEFT(base[[#This Row],[Evento / Mercado]],FIND("/",base[[#This Row],[Evento / Mercado]])-2)</f>
        <v>Vila Nova FC vs Avaí FC</v>
      </c>
    </row>
    <row r="2298" spans="2:19" ht="15" customHeight="1">
      <c r="B2298" s="128" t="s">
        <v>2217</v>
      </c>
      <c r="C2298" s="128" t="s">
        <v>2982</v>
      </c>
      <c r="D2298" s="129">
        <v>46159.860312500001</v>
      </c>
      <c r="E2298" s="130">
        <v>-115</v>
      </c>
      <c r="F2298" s="136">
        <v>4.4999999999999998E-2</v>
      </c>
      <c r="G2298" s="126">
        <f t="shared" si="36"/>
        <v>-115</v>
      </c>
      <c r="H2298" s="126" t="s">
        <v>231</v>
      </c>
      <c r="I2298" s="127" t="s">
        <v>266</v>
      </c>
      <c r="J2298" s="126">
        <v>2.06</v>
      </c>
      <c r="K2298" s="126">
        <v>115</v>
      </c>
      <c r="L2298" s="129">
        <f>INT(base[[#This Row],[Data de liquidação]])</f>
        <v>46159</v>
      </c>
      <c r="M2298" s="126">
        <f>base[[#This Row],[L/P Bruto]]-base[[#This Row],[L/P Líquido]]</f>
        <v>0</v>
      </c>
      <c r="N2298" s="126">
        <f>base[[#This Row],[L/P Líquido]]/base[[#This Row],[Stake/Responsabilidade]]</f>
        <v>-1</v>
      </c>
      <c r="O2298" s="132">
        <f>IF(base[[#This Row],[L/P Líquido]]&gt;0,1,0)</f>
        <v>0</v>
      </c>
      <c r="P2298" s="132"/>
      <c r="Q2298" s="132" t="str">
        <f>LEFT(base[[#This Row],[Evento / Mercado]],FIND("vs",base[[#This Row],[Evento / Mercado]])-2)</f>
        <v>Red Bull Bragantino</v>
      </c>
      <c r="R22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2298" s="132" t="str">
        <f>LEFT(base[[#This Row],[Evento / Mercado]],FIND("/",base[[#This Row],[Evento / Mercado]])-2)</f>
        <v>Red Bull Bragantino vs EC Vitória</v>
      </c>
    </row>
    <row r="2299" spans="2:19" ht="15" customHeight="1">
      <c r="B2299" s="128" t="s">
        <v>2216</v>
      </c>
      <c r="C2299" s="128" t="s">
        <v>2982</v>
      </c>
      <c r="D2299" s="129">
        <v>46159.882395833331</v>
      </c>
      <c r="E2299" s="130">
        <v>1.91</v>
      </c>
      <c r="F2299" s="136">
        <v>4.4999999999999998E-2</v>
      </c>
      <c r="G2299" s="126">
        <f t="shared" si="36"/>
        <v>2</v>
      </c>
      <c r="H2299" s="126" t="s">
        <v>1339</v>
      </c>
      <c r="I2299" s="127" t="s">
        <v>1963</v>
      </c>
      <c r="J2299" s="126">
        <v>1.04</v>
      </c>
      <c r="K2299" s="126">
        <v>50</v>
      </c>
      <c r="L2299" s="129">
        <f>INT(base[[#This Row],[Data de liquidação]])</f>
        <v>46159</v>
      </c>
      <c r="M2299" s="126">
        <f>base[[#This Row],[L/P Bruto]]-base[[#This Row],[L/P Líquido]]</f>
        <v>9.000000000000008E-2</v>
      </c>
      <c r="N2299" s="126">
        <f>base[[#This Row],[L/P Líquido]]/base[[#This Row],[Stake/Responsabilidade]]</f>
        <v>3.8199999999999998E-2</v>
      </c>
      <c r="O2299" s="132">
        <f>IF(base[[#This Row],[L/P Líquido]]&gt;0,1,0)</f>
        <v>1</v>
      </c>
      <c r="P2299" s="132"/>
      <c r="Q2299" s="132" t="str">
        <f>LEFT(base[[#This Row],[Evento / Mercado]],FIND("vs",base[[#This Row],[Evento / Mercado]])-2)</f>
        <v>Inter Miami CF</v>
      </c>
      <c r="R22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Portland Timbers</v>
      </c>
      <c r="S2299" s="132" t="str">
        <f>LEFT(base[[#This Row],[Evento / Mercado]],FIND("/",base[[#This Row],[Evento / Mercado]])-2)</f>
        <v>Inter Miami CF vs Portland Timbers</v>
      </c>
    </row>
    <row r="2300" spans="2:19" ht="15" customHeight="1">
      <c r="B2300" s="128" t="s">
        <v>2215</v>
      </c>
      <c r="C2300" s="128" t="s">
        <v>2982</v>
      </c>
      <c r="D2300" s="129">
        <v>46160.003553240742</v>
      </c>
      <c r="E2300" s="130">
        <v>2.65</v>
      </c>
      <c r="F2300" s="136">
        <v>4.4999999999999998E-2</v>
      </c>
      <c r="G2300" s="126">
        <f t="shared" si="36"/>
        <v>2.7748691099476441</v>
      </c>
      <c r="H2300" s="126" t="s">
        <v>1339</v>
      </c>
      <c r="I2300" s="127" t="s">
        <v>1430</v>
      </c>
      <c r="J2300" s="126">
        <v>19</v>
      </c>
      <c r="K2300" s="126">
        <v>50.04</v>
      </c>
      <c r="L2300" s="129">
        <f>INT(base[[#This Row],[Data de liquidação]])</f>
        <v>46160</v>
      </c>
      <c r="M2300" s="126">
        <f>base[[#This Row],[L/P Bruto]]-base[[#This Row],[L/P Líquido]]</f>
        <v>0.12486910994764422</v>
      </c>
      <c r="N2300" s="126">
        <f>base[[#This Row],[L/P Líquido]]/base[[#This Row],[Stake/Responsabilidade]]</f>
        <v>5.2957633892885693E-2</v>
      </c>
      <c r="O2300" s="132">
        <f>IF(base[[#This Row],[L/P Líquido]]&gt;0,1,0)</f>
        <v>1</v>
      </c>
      <c r="P2300" s="132"/>
      <c r="Q2300" s="132" t="str">
        <f>LEFT(base[[#This Row],[Evento / Mercado]],FIND("vs",base[[#This Row],[Evento / Mercado]])-2)</f>
        <v>Pumas UNAM</v>
      </c>
      <c r="R23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Pachuca</v>
      </c>
      <c r="S2300" s="132" t="str">
        <f>LEFT(base[[#This Row],[Evento / Mercado]],FIND("/",base[[#This Row],[Evento / Mercado]])-2)</f>
        <v>Pumas UNAM vs Pachuca</v>
      </c>
    </row>
    <row r="2301" spans="2:19" ht="15" customHeight="1">
      <c r="B2301" s="128" t="s">
        <v>2298</v>
      </c>
      <c r="C2301" s="128" t="s">
        <v>2982</v>
      </c>
      <c r="D2301" s="129">
        <v>46160.576215277775</v>
      </c>
      <c r="E2301" s="130">
        <v>-50</v>
      </c>
      <c r="F2301" s="136">
        <v>4.4999999999999998E-2</v>
      </c>
      <c r="G2301" s="126">
        <f t="shared" si="36"/>
        <v>-50</v>
      </c>
      <c r="H2301" s="126" t="s">
        <v>1784</v>
      </c>
      <c r="I2301" s="127" t="s">
        <v>1448</v>
      </c>
      <c r="J2301" s="126">
        <v>1.44</v>
      </c>
      <c r="K2301" s="126">
        <v>50</v>
      </c>
      <c r="L2301" s="129">
        <f>INT(base[[#This Row],[Data de liquidação]])</f>
        <v>46160</v>
      </c>
      <c r="M2301" s="126">
        <f>base[[#This Row],[L/P Bruto]]-base[[#This Row],[L/P Líquido]]</f>
        <v>0</v>
      </c>
      <c r="N2301" s="126">
        <f>base[[#This Row],[L/P Líquido]]/base[[#This Row],[Stake/Responsabilidade]]</f>
        <v>-1</v>
      </c>
      <c r="O2301" s="132">
        <f>IF(base[[#This Row],[L/P Líquido]]&gt;0,1,0)</f>
        <v>0</v>
      </c>
      <c r="P2301" s="132"/>
      <c r="Q2301" s="132" t="str">
        <f>LEFT(base[[#This Row],[Evento / Mercado]],FIND("vs",base[[#This Row],[Evento / Mercado]])-2)</f>
        <v>Puszcza Niepolomice</v>
      </c>
      <c r="R23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LKS Lódz</v>
      </c>
      <c r="S2301" s="132" t="str">
        <f>LEFT(base[[#This Row],[Evento / Mercado]],FIND("/",base[[#This Row],[Evento / Mercado]])-2)</f>
        <v>Puszcza Niepolomice vs LKS Lódz</v>
      </c>
    </row>
    <row r="2302" spans="2:19" ht="15" customHeight="1">
      <c r="B2302" s="128" t="s">
        <v>2298</v>
      </c>
      <c r="C2302" s="128" t="s">
        <v>2982</v>
      </c>
      <c r="D2302" s="129">
        <v>46160.576215277775</v>
      </c>
      <c r="E2302" s="130">
        <v>-20.6</v>
      </c>
      <c r="F2302" s="136">
        <v>4.4999999999999998E-2</v>
      </c>
      <c r="G2302" s="126">
        <f t="shared" si="36"/>
        <v>-20.6</v>
      </c>
      <c r="H2302" s="126" t="s">
        <v>1784</v>
      </c>
      <c r="I2302" s="127" t="s">
        <v>1448</v>
      </c>
      <c r="J2302" s="126">
        <v>1.8129999999999999</v>
      </c>
      <c r="K2302" s="126">
        <f>50-29.4</f>
        <v>20.6</v>
      </c>
      <c r="L2302" s="129">
        <f>INT(base[[#This Row],[Data de liquidação]])</f>
        <v>46160</v>
      </c>
      <c r="M2302" s="126">
        <f>base[[#This Row],[L/P Bruto]]-base[[#This Row],[L/P Líquido]]</f>
        <v>0</v>
      </c>
      <c r="N2302" s="126">
        <f>base[[#This Row],[L/P Líquido]]/base[[#This Row],[Stake/Responsabilidade]]</f>
        <v>-1</v>
      </c>
      <c r="O2302" s="132">
        <f>IF(base[[#This Row],[L/P Líquido]]&gt;0,1,0)</f>
        <v>0</v>
      </c>
      <c r="P2302" s="132"/>
      <c r="Q2302" s="132" t="str">
        <f>LEFT(base[[#This Row],[Evento / Mercado]],FIND("vs",base[[#This Row],[Evento / Mercado]])-2)</f>
        <v>Puszcza Niepolomice</v>
      </c>
      <c r="R23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LKS Lódz</v>
      </c>
      <c r="S2302" s="132" t="str">
        <f>LEFT(base[[#This Row],[Evento / Mercado]],FIND("/",base[[#This Row],[Evento / Mercado]])-2)</f>
        <v>Puszcza Niepolomice vs LKS Lódz</v>
      </c>
    </row>
    <row r="2303" spans="2:19" ht="15" customHeight="1">
      <c r="B2303" s="128" t="s">
        <v>2300</v>
      </c>
      <c r="C2303" s="128" t="s">
        <v>2982</v>
      </c>
      <c r="D2303" s="129">
        <v>46160.576215277775</v>
      </c>
      <c r="E2303" s="130">
        <v>-50</v>
      </c>
      <c r="F2303" s="136">
        <v>4.4999999999999998E-2</v>
      </c>
      <c r="G2303" s="126">
        <f t="shared" si="36"/>
        <v>-50</v>
      </c>
      <c r="H2303" s="126" t="s">
        <v>1784</v>
      </c>
      <c r="I2303" s="127" t="s">
        <v>266</v>
      </c>
      <c r="J2303" s="126">
        <v>2.145</v>
      </c>
      <c r="K2303" s="126">
        <v>50</v>
      </c>
      <c r="L2303" s="129">
        <f>INT(base[[#This Row],[Data de liquidação]])</f>
        <v>46160</v>
      </c>
      <c r="M2303" s="126">
        <f>base[[#This Row],[L/P Bruto]]-base[[#This Row],[L/P Líquido]]</f>
        <v>0</v>
      </c>
      <c r="N2303" s="126">
        <f>base[[#This Row],[L/P Líquido]]/base[[#This Row],[Stake/Responsabilidade]]</f>
        <v>-1</v>
      </c>
      <c r="O2303" s="132">
        <f>IF(base[[#This Row],[L/P Líquido]]&gt;0,1,0)</f>
        <v>0</v>
      </c>
      <c r="P2303" s="132"/>
      <c r="Q2303" s="132" t="str">
        <f>LEFT(base[[#This Row],[Evento / Mercado]],FIND("vs",base[[#This Row],[Evento / Mercado]])-2)</f>
        <v>Puszcza Niepolomice</v>
      </c>
      <c r="R23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LKS Lódz</v>
      </c>
      <c r="S2303" s="132" t="str">
        <f>LEFT(base[[#This Row],[Evento / Mercado]],FIND("/",base[[#This Row],[Evento / Mercado]])-2)</f>
        <v>Puszcza Niepolomice vs LKS Lódz</v>
      </c>
    </row>
    <row r="2304" spans="2:19" ht="15" customHeight="1">
      <c r="B2304" s="128" t="s">
        <v>2297</v>
      </c>
      <c r="C2304" s="128" t="s">
        <v>2982</v>
      </c>
      <c r="D2304" s="129">
        <v>46160.597488425927</v>
      </c>
      <c r="E2304" s="130">
        <v>7.7</v>
      </c>
      <c r="F2304" s="136">
        <v>4.4999999999999998E-2</v>
      </c>
      <c r="G2304" s="126">
        <f t="shared" si="36"/>
        <v>8.0628272251308903</v>
      </c>
      <c r="H2304" s="126" t="s">
        <v>1784</v>
      </c>
      <c r="I2304" s="127" t="s">
        <v>1785</v>
      </c>
      <c r="J2304" s="126">
        <v>7.2</v>
      </c>
      <c r="K2304" s="126">
        <v>49.97</v>
      </c>
      <c r="L2304" s="129">
        <f>INT(base[[#This Row],[Data de liquidação]])</f>
        <v>46160</v>
      </c>
      <c r="M2304" s="126">
        <f>base[[#This Row],[L/P Bruto]]-base[[#This Row],[L/P Líquido]]</f>
        <v>0.36282722513089016</v>
      </c>
      <c r="N2304" s="126">
        <f>base[[#This Row],[L/P Líquido]]/base[[#This Row],[Stake/Responsabilidade]]</f>
        <v>0.15409245547328398</v>
      </c>
      <c r="O2304" s="132">
        <f>IF(base[[#This Row],[L/P Líquido]]&gt;0,1,0)</f>
        <v>1</v>
      </c>
      <c r="P2304" s="132"/>
      <c r="Q2304" s="132" t="str">
        <f>LEFT(base[[#This Row],[Evento / Mercado]],FIND("vs",base[[#This Row],[Evento / Mercado]])-2)</f>
        <v>FC Haka</v>
      </c>
      <c r="R23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Klubi-04</v>
      </c>
      <c r="S2304" s="132" t="str">
        <f>LEFT(base[[#This Row],[Evento / Mercado]],FIND("/",base[[#This Row],[Evento / Mercado]])-2)</f>
        <v>FC Haka vs Klubi-04</v>
      </c>
    </row>
    <row r="2305" spans="2:21" ht="15" customHeight="1">
      <c r="B2305" s="128" t="s">
        <v>2296</v>
      </c>
      <c r="C2305" s="128" t="s">
        <v>2982</v>
      </c>
      <c r="D2305" s="129">
        <v>46160.610682870371</v>
      </c>
      <c r="E2305" s="130">
        <v>26.24</v>
      </c>
      <c r="F2305" s="136">
        <v>4.4999999999999998E-2</v>
      </c>
      <c r="G2305" s="126">
        <f t="shared" si="36"/>
        <v>27.476439790575917</v>
      </c>
      <c r="H2305" s="126" t="s">
        <v>1784</v>
      </c>
      <c r="I2305" s="127" t="s">
        <v>266</v>
      </c>
      <c r="J2305" s="126">
        <v>1.55</v>
      </c>
      <c r="K2305" s="126">
        <v>50</v>
      </c>
      <c r="L2305" s="129">
        <f>INT(base[[#This Row],[Data de liquidação]])</f>
        <v>46160</v>
      </c>
      <c r="M2305" s="126">
        <f>base[[#This Row],[L/P Bruto]]-base[[#This Row],[L/P Líquido]]</f>
        <v>1.2364397905759184</v>
      </c>
      <c r="N2305" s="126">
        <f>base[[#This Row],[L/P Líquido]]/base[[#This Row],[Stake/Responsabilidade]]</f>
        <v>0.52479999999999993</v>
      </c>
      <c r="O2305" s="132">
        <f>IF(base[[#This Row],[L/P Líquido]]&gt;0,1,0)</f>
        <v>1</v>
      </c>
      <c r="P2305" s="132"/>
      <c r="Q2305" s="132" t="str">
        <f>LEFT(base[[#This Row],[Evento / Mercado]],FIND("vs",base[[#This Row],[Evento / Mercado]])-2)</f>
        <v>Djurgårdens IF</v>
      </c>
      <c r="R23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2305" s="132" t="str">
        <f>LEFT(base[[#This Row],[Evento / Mercado]],FIND("/",base[[#This Row],[Evento / Mercado]])-2)</f>
        <v>Djurgårdens IF vs IK Sirius</v>
      </c>
    </row>
    <row r="2306" spans="2:21" ht="15" customHeight="1">
      <c r="B2306" s="128" t="s">
        <v>2295</v>
      </c>
      <c r="C2306" s="128" t="s">
        <v>2982</v>
      </c>
      <c r="D2306" s="129">
        <v>46160.613715277781</v>
      </c>
      <c r="E2306" s="130">
        <v>-5</v>
      </c>
      <c r="F2306" s="136">
        <v>4.4999999999999998E-2</v>
      </c>
      <c r="G2306" s="126">
        <f t="shared" si="36"/>
        <v>-5</v>
      </c>
      <c r="H2306" s="126" t="s">
        <v>1339</v>
      </c>
      <c r="I2306" s="127" t="s">
        <v>1338</v>
      </c>
      <c r="J2306" s="126">
        <v>2.33</v>
      </c>
      <c r="K2306" s="126">
        <v>5</v>
      </c>
      <c r="L2306" s="129">
        <f>INT(base[[#This Row],[Data de liquidação]])</f>
        <v>46160</v>
      </c>
      <c r="M2306" s="126">
        <f>base[[#This Row],[L/P Bruto]]-base[[#This Row],[L/P Líquido]]</f>
        <v>0</v>
      </c>
      <c r="N2306" s="126">
        <f>base[[#This Row],[L/P Líquido]]/base[[#This Row],[Stake/Responsabilidade]]</f>
        <v>-1</v>
      </c>
      <c r="O2306" s="132">
        <f>IF(base[[#This Row],[L/P Líquido]]&gt;0,1,0)</f>
        <v>0</v>
      </c>
      <c r="P2306" s="132"/>
      <c r="Q2306" s="132" t="str">
        <f>LEFT(base[[#This Row],[Evento / Mercado]],FIND("vs",base[[#This Row],[Evento / Mercado]])-2)</f>
        <v>Djurgårdens IF</v>
      </c>
      <c r="R23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2306" s="132" t="str">
        <f>LEFT(base[[#This Row],[Evento / Mercado]],FIND("/",base[[#This Row],[Evento / Mercado]])-2)</f>
        <v>Djurgårdens IF vs IK Sirius</v>
      </c>
    </row>
    <row r="2307" spans="2:21" ht="15" customHeight="1">
      <c r="B2307" s="128" t="s">
        <v>2295</v>
      </c>
      <c r="C2307" s="128" t="s">
        <v>2982</v>
      </c>
      <c r="D2307" s="129">
        <v>46160.613715277781</v>
      </c>
      <c r="E2307" s="130">
        <v>64.83</v>
      </c>
      <c r="F2307" s="136">
        <v>4.1700000000000001E-2</v>
      </c>
      <c r="G2307" s="126">
        <f t="shared" ref="G2307:G2370" si="37">IF(E2307&gt;0,E2307/(1-F2307),E2307)</f>
        <v>67.651048732129809</v>
      </c>
      <c r="H2307" s="126" t="s">
        <v>231</v>
      </c>
      <c r="I2307" s="127" t="s">
        <v>232</v>
      </c>
      <c r="J2307" s="126">
        <v>1.59</v>
      </c>
      <c r="K2307" s="126">
        <v>115</v>
      </c>
      <c r="L2307" s="129">
        <f>INT(base[[#This Row],[Data de liquidação]])</f>
        <v>46160</v>
      </c>
      <c r="M2307" s="126">
        <f>base[[#This Row],[L/P Bruto]]-base[[#This Row],[L/P Líquido]]</f>
        <v>2.8210487321298103</v>
      </c>
      <c r="N2307" s="126">
        <f>base[[#This Row],[L/P Líquido]]/base[[#This Row],[Stake/Responsabilidade]]</f>
        <v>0.56373913043478263</v>
      </c>
      <c r="O2307" s="132">
        <f>IF(base[[#This Row],[L/P Líquido]]&gt;0,1,0)</f>
        <v>1</v>
      </c>
      <c r="P2307" s="132"/>
      <c r="Q2307" s="132" t="str">
        <f>LEFT(base[[#This Row],[Evento / Mercado]],FIND("vs",base[[#This Row],[Evento / Mercado]])-2)</f>
        <v>Djurgårdens IF</v>
      </c>
      <c r="R23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2307" s="132" t="str">
        <f>LEFT(base[[#This Row],[Evento / Mercado]],FIND("/",base[[#This Row],[Evento / Mercado]])-2)</f>
        <v>Djurgårdens IF vs IK Sirius</v>
      </c>
      <c r="T2307" s="8">
        <v>67.650000000000006</v>
      </c>
      <c r="U2307" s="9">
        <f>T2307*0.955</f>
        <v>64.60575</v>
      </c>
    </row>
    <row r="2308" spans="2:21" ht="15" customHeight="1">
      <c r="B2308" s="128" t="s">
        <v>2294</v>
      </c>
      <c r="C2308" s="128" t="s">
        <v>2982</v>
      </c>
      <c r="D2308" s="129">
        <v>46160.641956018517</v>
      </c>
      <c r="E2308" s="130">
        <v>9.5500000000000007</v>
      </c>
      <c r="F2308" s="136">
        <v>4.4999999999999998E-2</v>
      </c>
      <c r="G2308" s="126">
        <f t="shared" si="37"/>
        <v>10.000000000000002</v>
      </c>
      <c r="H2308" s="126" t="s">
        <v>1784</v>
      </c>
      <c r="I2308" s="127" t="s">
        <v>1785</v>
      </c>
      <c r="J2308" s="126">
        <v>6</v>
      </c>
      <c r="K2308" s="126">
        <v>50</v>
      </c>
      <c r="L2308" s="129">
        <f>INT(base[[#This Row],[Data de liquidação]])</f>
        <v>46160</v>
      </c>
      <c r="M2308" s="126">
        <f>base[[#This Row],[L/P Bruto]]-base[[#This Row],[L/P Líquido]]</f>
        <v>0.45000000000000107</v>
      </c>
      <c r="N2308" s="126">
        <f>base[[#This Row],[L/P Líquido]]/base[[#This Row],[Stake/Responsabilidade]]</f>
        <v>0.191</v>
      </c>
      <c r="O2308" s="132">
        <f>IF(base[[#This Row],[L/P Líquido]]&gt;0,1,0)</f>
        <v>1</v>
      </c>
      <c r="P2308" s="132"/>
      <c r="Q2308" s="132" t="str">
        <f>LEFT(base[[#This Row],[Evento / Mercado]],FIND("vs",base[[#This Row],[Evento / Mercado]])-2)</f>
        <v>Lokomotiv Sofia</v>
      </c>
      <c r="R23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Slavia Sofia</v>
      </c>
      <c r="S2308" s="132" t="str">
        <f>LEFT(base[[#This Row],[Evento / Mercado]],FIND("/",base[[#This Row],[Evento / Mercado]])-2)</f>
        <v>Lokomotiv Sofia vs Slavia Sofia</v>
      </c>
    </row>
    <row r="2309" spans="2:21" ht="15" customHeight="1">
      <c r="B2309" s="128" t="s">
        <v>2293</v>
      </c>
      <c r="C2309" s="128" t="s">
        <v>2982</v>
      </c>
      <c r="D2309" s="129">
        <v>46160.661041666666</v>
      </c>
      <c r="E2309" s="130">
        <v>-50</v>
      </c>
      <c r="F2309" s="136">
        <v>4.4999999999999998E-2</v>
      </c>
      <c r="G2309" s="126">
        <f t="shared" si="37"/>
        <v>-50</v>
      </c>
      <c r="H2309" s="126" t="s">
        <v>1784</v>
      </c>
      <c r="I2309" s="127" t="s">
        <v>1448</v>
      </c>
      <c r="J2309" s="126">
        <v>1.29</v>
      </c>
      <c r="K2309" s="126">
        <v>50</v>
      </c>
      <c r="L2309" s="129">
        <f>INT(base[[#This Row],[Data de liquidação]])</f>
        <v>46160</v>
      </c>
      <c r="M2309" s="126">
        <f>base[[#This Row],[L/P Bruto]]-base[[#This Row],[L/P Líquido]]</f>
        <v>0</v>
      </c>
      <c r="N2309" s="126">
        <f>base[[#This Row],[L/P Líquido]]/base[[#This Row],[Stake/Responsabilidade]]</f>
        <v>-1</v>
      </c>
      <c r="O2309" s="132">
        <f>IF(base[[#This Row],[L/P Líquido]]&gt;0,1,0)</f>
        <v>0</v>
      </c>
      <c r="P2309" s="132"/>
      <c r="Q2309" s="132" t="str">
        <f>LEFT(base[[#This Row],[Evento / Mercado]],FIND("vs",base[[#This Row],[Evento / Mercado]])-2)</f>
        <v>Al-Ula FC</v>
      </c>
      <c r="R23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Orubah</v>
      </c>
      <c r="S2309" s="132" t="str">
        <f>LEFT(base[[#This Row],[Evento / Mercado]],FIND("/",base[[#This Row],[Evento / Mercado]])-2)</f>
        <v>Al-Ula FC vs Al Orubah</v>
      </c>
    </row>
    <row r="2310" spans="2:21" ht="15" customHeight="1">
      <c r="B2310" s="128" t="s">
        <v>2291</v>
      </c>
      <c r="C2310" s="128" t="s">
        <v>2982</v>
      </c>
      <c r="D2310" s="129">
        <v>46160.662928240738</v>
      </c>
      <c r="E2310" s="130">
        <v>36.29</v>
      </c>
      <c r="F2310" s="136">
        <v>4.4999999999999998E-2</v>
      </c>
      <c r="G2310" s="126">
        <f t="shared" si="37"/>
        <v>38</v>
      </c>
      <c r="H2310" s="126" t="s">
        <v>1784</v>
      </c>
      <c r="I2310" s="127" t="s">
        <v>1785</v>
      </c>
      <c r="J2310" s="126">
        <v>4.4000000000000004</v>
      </c>
      <c r="K2310" s="126">
        <v>50.01</v>
      </c>
      <c r="L2310" s="129">
        <f>INT(base[[#This Row],[Data de liquidação]])</f>
        <v>46160</v>
      </c>
      <c r="M2310" s="126">
        <f>base[[#This Row],[L/P Bruto]]-base[[#This Row],[L/P Líquido]]</f>
        <v>1.7100000000000009</v>
      </c>
      <c r="N2310" s="126">
        <f>base[[#This Row],[L/P Líquido]]/base[[#This Row],[Stake/Responsabilidade]]</f>
        <v>0.7256548690261948</v>
      </c>
      <c r="O2310" s="132">
        <f>IF(base[[#This Row],[L/P Líquido]]&gt;0,1,0)</f>
        <v>1</v>
      </c>
      <c r="P2310" s="132"/>
      <c r="Q2310" s="132" t="str">
        <f>LEFT(base[[#This Row],[Evento / Mercado]],FIND("vs",base[[#This Row],[Evento / Mercado]])-2)</f>
        <v>Djurgårdens IF</v>
      </c>
      <c r="R23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2310" s="132" t="str">
        <f>LEFT(base[[#This Row],[Evento / Mercado]],FIND("/",base[[#This Row],[Evento / Mercado]])-2)</f>
        <v>Djurgårdens IF vs IK Sirius</v>
      </c>
    </row>
    <row r="2311" spans="2:21" ht="15" customHeight="1">
      <c r="B2311" s="128" t="s">
        <v>2292</v>
      </c>
      <c r="C2311" s="128" t="s">
        <v>2982</v>
      </c>
      <c r="D2311" s="129">
        <v>46160.662928240738</v>
      </c>
      <c r="E2311" s="130">
        <v>14.05</v>
      </c>
      <c r="F2311" s="136">
        <v>4.4999999999999998E-2</v>
      </c>
      <c r="G2311" s="126">
        <f t="shared" si="37"/>
        <v>14.712041884816756</v>
      </c>
      <c r="H2311" s="126" t="s">
        <v>1784</v>
      </c>
      <c r="I2311" s="127" t="s">
        <v>2299</v>
      </c>
      <c r="J2311" s="126">
        <v>1.76</v>
      </c>
      <c r="K2311" s="126">
        <v>50</v>
      </c>
      <c r="L2311" s="129">
        <f>INT(base[[#This Row],[Data de liquidação]])</f>
        <v>46160</v>
      </c>
      <c r="M2311" s="126">
        <f>base[[#This Row],[L/P Bruto]]-base[[#This Row],[L/P Líquido]]</f>
        <v>0.6620418848167553</v>
      </c>
      <c r="N2311" s="126">
        <f>base[[#This Row],[L/P Líquido]]/base[[#This Row],[Stake/Responsabilidade]]</f>
        <v>0.28100000000000003</v>
      </c>
      <c r="O2311" s="132">
        <f>IF(base[[#This Row],[L/P Líquido]]&gt;0,1,0)</f>
        <v>1</v>
      </c>
      <c r="P2311" s="132"/>
      <c r="Q2311" s="132" t="str">
        <f>LEFT(base[[#This Row],[Evento / Mercado]],FIND("vs",base[[#This Row],[Evento / Mercado]])-2)</f>
        <v>IK Oddevold</v>
      </c>
      <c r="R23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Örebro SK</v>
      </c>
      <c r="S2311" s="132" t="str">
        <f>LEFT(base[[#This Row],[Evento / Mercado]],FIND("/",base[[#This Row],[Evento / Mercado]])-2)</f>
        <v>IK Oddevold vs Örebro SK</v>
      </c>
    </row>
    <row r="2312" spans="2:21" ht="15" customHeight="1">
      <c r="B2312" s="128" t="s">
        <v>2290</v>
      </c>
      <c r="C2312" s="128" t="s">
        <v>2982</v>
      </c>
      <c r="D2312" s="129">
        <v>46160.66741898148</v>
      </c>
      <c r="E2312" s="130">
        <v>3.98</v>
      </c>
      <c r="F2312" s="136">
        <v>4.4999999999999998E-2</v>
      </c>
      <c r="G2312" s="126">
        <f t="shared" si="37"/>
        <v>4.167539267015707</v>
      </c>
      <c r="H2312" s="126" t="s">
        <v>1339</v>
      </c>
      <c r="I2312" s="127" t="s">
        <v>1388</v>
      </c>
      <c r="J2312" s="126">
        <v>13</v>
      </c>
      <c r="K2312" s="126">
        <v>50.04</v>
      </c>
      <c r="L2312" s="129">
        <f>INT(base[[#This Row],[Data de liquidação]])</f>
        <v>46160</v>
      </c>
      <c r="M2312" s="126">
        <f>base[[#This Row],[L/P Bruto]]-base[[#This Row],[L/P Líquido]]</f>
        <v>0.187539267015707</v>
      </c>
      <c r="N2312" s="126">
        <f>base[[#This Row],[L/P Líquido]]/base[[#This Row],[Stake/Responsabilidade]]</f>
        <v>7.9536370903277379E-2</v>
      </c>
      <c r="O2312" s="132">
        <f>IF(base[[#This Row],[L/P Líquido]]&gt;0,1,0)</f>
        <v>1</v>
      </c>
      <c r="P2312" s="132"/>
      <c r="Q2312" s="132" t="str">
        <f>LEFT(base[[#This Row],[Evento / Mercado]],FIND("vs",base[[#This Row],[Evento / Mercado]])-2)</f>
        <v>Arka Gdynia</v>
      </c>
      <c r="R23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Termalica Bruk-Bet Nieciecza</v>
      </c>
      <c r="S2312" s="132" t="str">
        <f>LEFT(base[[#This Row],[Evento / Mercado]],FIND("/",base[[#This Row],[Evento / Mercado]])-2)</f>
        <v>Arka Gdynia vs Termalica Bruk-Bet Nieciecza</v>
      </c>
    </row>
    <row r="2313" spans="2:21" ht="15" customHeight="1">
      <c r="B2313" s="128" t="s">
        <v>2289</v>
      </c>
      <c r="C2313" s="128" t="s">
        <v>2982</v>
      </c>
      <c r="D2313" s="129">
        <v>46160.687268518515</v>
      </c>
      <c r="E2313" s="130">
        <v>-50</v>
      </c>
      <c r="F2313" s="136">
        <v>4.4999999999999998E-2</v>
      </c>
      <c r="G2313" s="126">
        <f t="shared" si="37"/>
        <v>-50</v>
      </c>
      <c r="H2313" s="126" t="s">
        <v>1784</v>
      </c>
      <c r="I2313" s="127" t="s">
        <v>1785</v>
      </c>
      <c r="J2313" s="126">
        <v>6.4</v>
      </c>
      <c r="K2313" s="126">
        <v>50</v>
      </c>
      <c r="L2313" s="129">
        <f>INT(base[[#This Row],[Data de liquidação]])</f>
        <v>46160</v>
      </c>
      <c r="M2313" s="126">
        <f>base[[#This Row],[L/P Bruto]]-base[[#This Row],[L/P Líquido]]</f>
        <v>0</v>
      </c>
      <c r="N2313" s="126">
        <f>base[[#This Row],[L/P Líquido]]/base[[#This Row],[Stake/Responsabilidade]]</f>
        <v>-1</v>
      </c>
      <c r="O2313" s="132">
        <f>IF(base[[#This Row],[L/P Líquido]]&gt;0,1,0)</f>
        <v>0</v>
      </c>
      <c r="P2313" s="132"/>
      <c r="Q2313" s="132" t="str">
        <f>LEFT(base[[#This Row],[Evento / Mercado]],FIND("vs",base[[#This Row],[Evento / Mercado]])-2)</f>
        <v>Petrolul Ploiesti</v>
      </c>
      <c r="R23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Otelul Galati</v>
      </c>
      <c r="S2313" s="132" t="str">
        <f>LEFT(base[[#This Row],[Evento / Mercado]],FIND("/",base[[#This Row],[Evento / Mercado]])-2)</f>
        <v>Petrolul Ploiesti vs Otelul Galati</v>
      </c>
    </row>
    <row r="2314" spans="2:21" ht="15" customHeight="1">
      <c r="B2314" s="128" t="s">
        <v>2288</v>
      </c>
      <c r="C2314" s="128" t="s">
        <v>2982</v>
      </c>
      <c r="D2314" s="129">
        <v>46160.693472222221</v>
      </c>
      <c r="E2314" s="130">
        <v>6.16</v>
      </c>
      <c r="F2314" s="136">
        <v>4.4999999999999998E-2</v>
      </c>
      <c r="G2314" s="126">
        <f t="shared" si="37"/>
        <v>6.4502617801047126</v>
      </c>
      <c r="H2314" s="126" t="s">
        <v>211</v>
      </c>
      <c r="I2314" s="127" t="s">
        <v>1480</v>
      </c>
      <c r="J2314" s="126">
        <v>1.43</v>
      </c>
      <c r="K2314" s="126">
        <v>15</v>
      </c>
      <c r="L2314" s="129">
        <f>INT(base[[#This Row],[Data de liquidação]])</f>
        <v>46160</v>
      </c>
      <c r="M2314" s="126">
        <f>base[[#This Row],[L/P Bruto]]-base[[#This Row],[L/P Líquido]]</f>
        <v>0.29026178010471249</v>
      </c>
      <c r="N2314" s="126">
        <f>base[[#This Row],[L/P Líquido]]/base[[#This Row],[Stake/Responsabilidade]]</f>
        <v>0.41066666666666668</v>
      </c>
      <c r="O2314" s="132">
        <f>IF(base[[#This Row],[L/P Líquido]]&gt;0,1,0)</f>
        <v>1</v>
      </c>
      <c r="P2314" s="132"/>
      <c r="Q2314" s="132" t="str">
        <f>LEFT(base[[#This Row],[Evento / Mercado]],FIND("vs",base[[#This Row],[Evento / Mercado]])-2)</f>
        <v>Arsenal</v>
      </c>
      <c r="R23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Burnley</v>
      </c>
      <c r="S2314" s="132" t="str">
        <f>LEFT(base[[#This Row],[Evento / Mercado]],FIND("/",base[[#This Row],[Evento / Mercado]])-2)</f>
        <v>Arsenal vs Burnley</v>
      </c>
    </row>
    <row r="2315" spans="2:21" ht="15" customHeight="1">
      <c r="B2315" s="128" t="s">
        <v>2287</v>
      </c>
      <c r="C2315" s="128" t="s">
        <v>2982</v>
      </c>
      <c r="D2315" s="129">
        <v>46160.715949074074</v>
      </c>
      <c r="E2315" s="130">
        <v>90.73</v>
      </c>
      <c r="F2315" s="136">
        <v>4.4999999999999998E-2</v>
      </c>
      <c r="G2315" s="126">
        <f t="shared" si="37"/>
        <v>95.005235602094245</v>
      </c>
      <c r="H2315" s="126" t="s">
        <v>1784</v>
      </c>
      <c r="I2315" s="127" t="s">
        <v>2299</v>
      </c>
      <c r="J2315" s="126">
        <v>2.9</v>
      </c>
      <c r="K2315" s="126">
        <v>50</v>
      </c>
      <c r="L2315" s="129">
        <f>INT(base[[#This Row],[Data de liquidação]])</f>
        <v>46160</v>
      </c>
      <c r="M2315" s="126">
        <f>base[[#This Row],[L/P Bruto]]-base[[#This Row],[L/P Líquido]]</f>
        <v>4.2752356020942415</v>
      </c>
      <c r="N2315" s="126">
        <f>base[[#This Row],[L/P Líquido]]/base[[#This Row],[Stake/Responsabilidade]]</f>
        <v>1.8146</v>
      </c>
      <c r="O2315" s="132">
        <f>IF(base[[#This Row],[L/P Líquido]]&gt;0,1,0)</f>
        <v>1</v>
      </c>
      <c r="P2315" s="132"/>
      <c r="Q2315" s="132" t="str">
        <f>LEFT(base[[#This Row],[Evento / Mercado]],FIND("vs",base[[#This Row],[Evento / Mercado]])-2)</f>
        <v>Al-Ula FC</v>
      </c>
      <c r="R23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Orubah</v>
      </c>
      <c r="S2315" s="132" t="str">
        <f>LEFT(base[[#This Row],[Evento / Mercado]],FIND("/",base[[#This Row],[Evento / Mercado]])-2)</f>
        <v>Al-Ula FC vs Al Orubah</v>
      </c>
    </row>
    <row r="2316" spans="2:21" ht="15" customHeight="1">
      <c r="B2316" s="128" t="s">
        <v>2286</v>
      </c>
      <c r="C2316" s="128" t="s">
        <v>2982</v>
      </c>
      <c r="D2316" s="129">
        <v>46160.722500000003</v>
      </c>
      <c r="E2316" s="130">
        <v>-5</v>
      </c>
      <c r="F2316" s="136">
        <v>4.4999999999999998E-2</v>
      </c>
      <c r="G2316" s="126">
        <f t="shared" si="37"/>
        <v>-5</v>
      </c>
      <c r="H2316" s="126" t="s">
        <v>1339</v>
      </c>
      <c r="I2316" s="127" t="s">
        <v>1933</v>
      </c>
      <c r="J2316" s="126">
        <v>1.52</v>
      </c>
      <c r="K2316" s="126">
        <v>5</v>
      </c>
      <c r="L2316" s="129">
        <f>INT(base[[#This Row],[Data de liquidação]])</f>
        <v>46160</v>
      </c>
      <c r="M2316" s="126">
        <f>base[[#This Row],[L/P Bruto]]-base[[#This Row],[L/P Líquido]]</f>
        <v>0</v>
      </c>
      <c r="N2316" s="126">
        <f>base[[#This Row],[L/P Líquido]]/base[[#This Row],[Stake/Responsabilidade]]</f>
        <v>-1</v>
      </c>
      <c r="O2316" s="132">
        <f>IF(base[[#This Row],[L/P Líquido]]&gt;0,1,0)</f>
        <v>0</v>
      </c>
      <c r="P2316" s="132"/>
      <c r="Q2316" s="132" t="str">
        <f>LEFT(base[[#This Row],[Evento / Mercado]],FIND("vs",base[[#This Row],[Evento / Mercado]])-2)</f>
        <v>Leganés</v>
      </c>
      <c r="R23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Huesca</v>
      </c>
      <c r="S2316" s="132" t="str">
        <f>LEFT(base[[#This Row],[Evento / Mercado]],FIND("/",base[[#This Row],[Evento / Mercado]])-2)</f>
        <v>Leganés vs Huesca</v>
      </c>
    </row>
    <row r="2317" spans="2:21" ht="15" customHeight="1">
      <c r="B2317" s="128" t="s">
        <v>2285</v>
      </c>
      <c r="C2317" s="128" t="s">
        <v>2982</v>
      </c>
      <c r="D2317" s="129">
        <v>46160.74827546296</v>
      </c>
      <c r="E2317" s="130">
        <v>11</v>
      </c>
      <c r="F2317" s="136">
        <v>4.4999999999999998E-2</v>
      </c>
      <c r="G2317" s="126">
        <f t="shared" si="37"/>
        <v>11.518324607329843</v>
      </c>
      <c r="H2317" s="126" t="s">
        <v>145</v>
      </c>
      <c r="I2317" s="127" t="s">
        <v>301</v>
      </c>
      <c r="J2317" s="126">
        <v>34</v>
      </c>
      <c r="K2317" s="126">
        <v>380.16</v>
      </c>
      <c r="L2317" s="129">
        <f>INT(base[[#This Row],[Data de liquidação]])</f>
        <v>46160</v>
      </c>
      <c r="M2317" s="126">
        <f>base[[#This Row],[L/P Bruto]]-base[[#This Row],[L/P Líquido]]</f>
        <v>0.51832460732984309</v>
      </c>
      <c r="N2317" s="126">
        <f>base[[#This Row],[L/P Líquido]]/base[[#This Row],[Stake/Responsabilidade]]</f>
        <v>2.8935185185185182E-2</v>
      </c>
      <c r="O2317" s="132">
        <f>IF(base[[#This Row],[L/P Líquido]]&gt;0,1,0)</f>
        <v>1</v>
      </c>
      <c r="P2317" s="132" t="s">
        <v>963</v>
      </c>
      <c r="Q2317" s="132" t="str">
        <f>LEFT(base[[#This Row],[Evento / Mercado]],FIND("vs",base[[#This Row],[Evento / Mercado]])-2)</f>
        <v>Arsenal</v>
      </c>
      <c r="R23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Burnley</v>
      </c>
      <c r="S2317" s="132" t="str">
        <f>LEFT(base[[#This Row],[Evento / Mercado]],FIND("/",base[[#This Row],[Evento / Mercado]])-2)</f>
        <v>Arsenal vs Burnley</v>
      </c>
    </row>
    <row r="2318" spans="2:21" ht="15" customHeight="1">
      <c r="B2318" s="128" t="s">
        <v>2284</v>
      </c>
      <c r="C2318" s="128" t="s">
        <v>2982</v>
      </c>
      <c r="D2318" s="129">
        <v>46160.748414351852</v>
      </c>
      <c r="E2318" s="130">
        <v>-7.4</v>
      </c>
      <c r="F2318" s="136">
        <v>4.4999999999999998E-2</v>
      </c>
      <c r="G2318" s="126">
        <f t="shared" si="37"/>
        <v>-7.4</v>
      </c>
      <c r="H2318" s="126" t="s">
        <v>1339</v>
      </c>
      <c r="I2318" s="127" t="s">
        <v>1236</v>
      </c>
      <c r="J2318" s="126">
        <v>9</v>
      </c>
      <c r="K2318" s="126">
        <v>10</v>
      </c>
      <c r="L2318" s="129">
        <f>INT(base[[#This Row],[Data de liquidação]])</f>
        <v>46160</v>
      </c>
      <c r="M2318" s="126">
        <f>base[[#This Row],[L/P Bruto]]-base[[#This Row],[L/P Líquido]]</f>
        <v>0</v>
      </c>
      <c r="N2318" s="126">
        <f>base[[#This Row],[L/P Líquido]]/base[[#This Row],[Stake/Responsabilidade]]</f>
        <v>-0.74</v>
      </c>
      <c r="O2318" s="132">
        <f>IF(base[[#This Row],[L/P Líquido]]&gt;0,1,0)</f>
        <v>0</v>
      </c>
      <c r="P2318" s="132"/>
      <c r="Q2318" s="132" t="str">
        <f>LEFT(base[[#This Row],[Evento / Mercado]],FIND("vs",base[[#This Row],[Evento / Mercado]])-2)</f>
        <v>Arsenal</v>
      </c>
      <c r="R23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Burnley</v>
      </c>
      <c r="S2318" s="132" t="str">
        <f>LEFT(base[[#This Row],[Evento / Mercado]],FIND("/",base[[#This Row],[Evento / Mercado]])-2)</f>
        <v>Arsenal vs Burnley</v>
      </c>
    </row>
    <row r="2319" spans="2:21" ht="15" customHeight="1">
      <c r="B2319" s="128" t="s">
        <v>2283</v>
      </c>
      <c r="C2319" s="128" t="s">
        <v>2982</v>
      </c>
      <c r="D2319" s="129">
        <v>46160.848483796297</v>
      </c>
      <c r="E2319" s="130">
        <v>14.05</v>
      </c>
      <c r="F2319" s="136">
        <v>4.4999999999999998E-2</v>
      </c>
      <c r="G2319" s="126">
        <f t="shared" si="37"/>
        <v>14.712041884816756</v>
      </c>
      <c r="H2319" s="126" t="s">
        <v>1784</v>
      </c>
      <c r="I2319" s="127" t="s">
        <v>1785</v>
      </c>
      <c r="J2319" s="126">
        <v>4.4000000000000004</v>
      </c>
      <c r="K2319" s="126">
        <v>50.01</v>
      </c>
      <c r="L2319" s="129">
        <f>INT(base[[#This Row],[Data de liquidação]])</f>
        <v>46160</v>
      </c>
      <c r="M2319" s="126">
        <f>base[[#This Row],[L/P Bruto]]-base[[#This Row],[L/P Líquido]]</f>
        <v>0.6620418848167553</v>
      </c>
      <c r="N2319" s="126">
        <f>base[[#This Row],[L/P Líquido]]/base[[#This Row],[Stake/Responsabilidade]]</f>
        <v>0.28094381123775247</v>
      </c>
      <c r="O2319" s="132">
        <f>IF(base[[#This Row],[L/P Líquido]]&gt;0,1,0)</f>
        <v>1</v>
      </c>
      <c r="P2319" s="132"/>
      <c r="Q2319" s="132" t="str">
        <f>LEFT(base[[#This Row],[Evento / Mercado]],FIND("vs",base[[#This Row],[Evento / Mercado]])-2)</f>
        <v>Deportivo Maldonado</v>
      </c>
      <c r="R23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Danubio</v>
      </c>
      <c r="S2319" s="132" t="str">
        <f>LEFT(base[[#This Row],[Evento / Mercado]],FIND("/",base[[#This Row],[Evento / Mercado]])-2)</f>
        <v>Deportivo Maldonado vs Danubio</v>
      </c>
    </row>
    <row r="2320" spans="2:21" ht="15" customHeight="1">
      <c r="B2320" s="128" t="s">
        <v>2313</v>
      </c>
      <c r="C2320" s="128" t="s">
        <v>2982</v>
      </c>
      <c r="D2320" s="129">
        <v>46161.583078703705</v>
      </c>
      <c r="E2320" s="130">
        <v>20.05</v>
      </c>
      <c r="F2320" s="136">
        <v>4.4999999999999998E-2</v>
      </c>
      <c r="G2320" s="126">
        <f t="shared" si="37"/>
        <v>20.994764397905762</v>
      </c>
      <c r="H2320" s="126" t="s">
        <v>1784</v>
      </c>
      <c r="I2320" s="127" t="s">
        <v>1787</v>
      </c>
      <c r="J2320" s="126">
        <v>1.42</v>
      </c>
      <c r="K2320" s="126">
        <v>50</v>
      </c>
      <c r="L2320" s="129">
        <f>INT(base[[#This Row],[Data de liquidação]])</f>
        <v>46161</v>
      </c>
      <c r="M2320" s="126">
        <f>base[[#This Row],[L/P Bruto]]-base[[#This Row],[L/P Líquido]]</f>
        <v>0.94476439790576094</v>
      </c>
      <c r="N2320" s="126">
        <f>base[[#This Row],[L/P Líquido]]/base[[#This Row],[Stake/Responsabilidade]]</f>
        <v>0.40100000000000002</v>
      </c>
      <c r="O2320" s="132">
        <f>IF(base[[#This Row],[L/P Líquido]]&gt;0,1,0)</f>
        <v>1</v>
      </c>
      <c r="P2320" s="132"/>
      <c r="Q2320" s="132" t="str">
        <f>LEFT(base[[#This Row],[Evento / Mercado]],FIND("vs",base[[#This Row],[Evento / Mercado]])-2)</f>
        <v>ES Ben Aknoun</v>
      </c>
      <c r="R23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 Mostaganem</v>
      </c>
      <c r="S2320" s="132" t="str">
        <f>LEFT(base[[#This Row],[Evento / Mercado]],FIND("/",base[[#This Row],[Evento / Mercado]])-2)</f>
        <v>ES Ben Aknoun vs ES Mostaganem</v>
      </c>
    </row>
    <row r="2321" spans="2:21" ht="15" customHeight="1">
      <c r="B2321" s="128" t="s">
        <v>2312</v>
      </c>
      <c r="C2321" s="128" t="s">
        <v>2982</v>
      </c>
      <c r="D2321" s="129">
        <v>46161.588645833333</v>
      </c>
      <c r="E2321" s="130">
        <v>22.74</v>
      </c>
      <c r="F2321" s="136">
        <v>4.4999999999999998E-2</v>
      </c>
      <c r="G2321" s="126">
        <f t="shared" si="37"/>
        <v>23.811518324607331</v>
      </c>
      <c r="H2321" s="126" t="s">
        <v>1784</v>
      </c>
      <c r="I2321" s="127" t="s">
        <v>1448</v>
      </c>
      <c r="J2321" s="126">
        <v>1.48</v>
      </c>
      <c r="K2321" s="126">
        <v>50</v>
      </c>
      <c r="L2321" s="129">
        <f>INT(base[[#This Row],[Data de liquidação]])</f>
        <v>46161</v>
      </c>
      <c r="M2321" s="126">
        <f>base[[#This Row],[L/P Bruto]]-base[[#This Row],[L/P Líquido]]</f>
        <v>1.0715183246073323</v>
      </c>
      <c r="N2321" s="126">
        <f>base[[#This Row],[L/P Líquido]]/base[[#This Row],[Stake/Responsabilidade]]</f>
        <v>0.45479999999999998</v>
      </c>
      <c r="O2321" s="132">
        <f>IF(base[[#This Row],[L/P Líquido]]&gt;0,1,0)</f>
        <v>1</v>
      </c>
      <c r="P2321" s="132"/>
      <c r="Q2321" s="132" t="str">
        <f>LEFT(base[[#This Row],[Evento / Mercado]],FIND("vs",base[[#This Row],[Evento / Mercado]])-2)</f>
        <v>Helsingborgs IF</v>
      </c>
      <c r="R23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Varbergs BoIS</v>
      </c>
      <c r="S2321" s="132" t="str">
        <f>LEFT(base[[#This Row],[Evento / Mercado]],FIND("/",base[[#This Row],[Evento / Mercado]])-2)</f>
        <v>Helsingborgs IF vs Varbergs BoIS</v>
      </c>
    </row>
    <row r="2322" spans="2:21" ht="15" customHeight="1">
      <c r="B2322" s="128" t="s">
        <v>2311</v>
      </c>
      <c r="C2322" s="128" t="s">
        <v>2982</v>
      </c>
      <c r="D2322" s="129">
        <v>46161.617280092592</v>
      </c>
      <c r="E2322" s="130">
        <v>15.28</v>
      </c>
      <c r="F2322" s="136">
        <v>4.4999999999999998E-2</v>
      </c>
      <c r="G2322" s="126">
        <f t="shared" si="37"/>
        <v>16</v>
      </c>
      <c r="H2322" s="126" t="s">
        <v>1784</v>
      </c>
      <c r="I2322" s="127" t="s">
        <v>1448</v>
      </c>
      <c r="J2322" s="126">
        <v>1.32</v>
      </c>
      <c r="K2322" s="126">
        <v>50</v>
      </c>
      <c r="L2322" s="129">
        <f>INT(base[[#This Row],[Data de liquidação]])</f>
        <v>46161</v>
      </c>
      <c r="M2322" s="126">
        <f>base[[#This Row],[L/P Bruto]]-base[[#This Row],[L/P Líquido]]</f>
        <v>0.72000000000000064</v>
      </c>
      <c r="N2322" s="126">
        <f>base[[#This Row],[L/P Líquido]]/base[[#This Row],[Stake/Responsabilidade]]</f>
        <v>0.30559999999999998</v>
      </c>
      <c r="O2322" s="132">
        <f>IF(base[[#This Row],[L/P Líquido]]&gt;0,1,0)</f>
        <v>1</v>
      </c>
      <c r="P2322" s="132"/>
      <c r="Q2322" s="132" t="str">
        <f>LEFT(base[[#This Row],[Evento / Mercado]],FIND("vs",base[[#This Row],[Evento / Mercado]])-2)</f>
        <v>Hapoel Be'er Sheva</v>
      </c>
      <c r="R23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Maccabi Tel Aviv</v>
      </c>
      <c r="S2322" s="132" t="str">
        <f>LEFT(base[[#This Row],[Evento / Mercado]],FIND("/",base[[#This Row],[Evento / Mercado]])-2)</f>
        <v>Hapoel Be'er Sheva vs Maccabi Tel Aviv</v>
      </c>
    </row>
    <row r="2323" spans="2:21" ht="15" customHeight="1">
      <c r="B2323" s="128" t="s">
        <v>2310</v>
      </c>
      <c r="C2323" s="128" t="s">
        <v>2982</v>
      </c>
      <c r="D2323" s="129">
        <v>46161.70653935185</v>
      </c>
      <c r="E2323" s="130">
        <v>10.16</v>
      </c>
      <c r="F2323" s="136">
        <v>4.4999999999999998E-2</v>
      </c>
      <c r="G2323" s="126">
        <f t="shared" si="37"/>
        <v>10.638743455497384</v>
      </c>
      <c r="H2323" s="126" t="s">
        <v>1784</v>
      </c>
      <c r="I2323" s="127" t="s">
        <v>1785</v>
      </c>
      <c r="J2323" s="126">
        <v>5.7</v>
      </c>
      <c r="K2323" s="126">
        <v>50.01</v>
      </c>
      <c r="L2323" s="129">
        <f>INT(base[[#This Row],[Data de liquidação]])</f>
        <v>46161</v>
      </c>
      <c r="M2323" s="126">
        <f>base[[#This Row],[L/P Bruto]]-base[[#This Row],[L/P Líquido]]</f>
        <v>0.47874345549738351</v>
      </c>
      <c r="N2323" s="126">
        <f>base[[#This Row],[L/P Líquido]]/base[[#This Row],[Stake/Responsabilidade]]</f>
        <v>0.20315936812637472</v>
      </c>
      <c r="O2323" s="132">
        <f>IF(base[[#This Row],[L/P Líquido]]&gt;0,1,0)</f>
        <v>1</v>
      </c>
      <c r="P2323" s="132"/>
      <c r="Q2323" s="132" t="str">
        <f>LEFT(base[[#This Row],[Evento / Mercado]],FIND("vs",base[[#This Row],[Evento / Mercado]])-2)</f>
        <v>Monza</v>
      </c>
      <c r="R23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 Stabia</v>
      </c>
      <c r="S2323" s="132" t="str">
        <f>LEFT(base[[#This Row],[Evento / Mercado]],FIND("/",base[[#This Row],[Evento / Mercado]])-2)</f>
        <v>Monza vs Juve Stabia</v>
      </c>
    </row>
    <row r="2324" spans="2:21" ht="15" customHeight="1">
      <c r="B2324" s="128" t="s">
        <v>2309</v>
      </c>
      <c r="C2324" s="128" t="s">
        <v>2982</v>
      </c>
      <c r="D2324" s="129">
        <v>46161.724699074075</v>
      </c>
      <c r="E2324" s="130">
        <v>1.49</v>
      </c>
      <c r="F2324" s="136">
        <v>4.4999999999999998E-2</v>
      </c>
      <c r="G2324" s="126">
        <f t="shared" si="37"/>
        <v>1.5602094240837696</v>
      </c>
      <c r="H2324" s="126" t="s">
        <v>1339</v>
      </c>
      <c r="I2324" s="127" t="s">
        <v>2193</v>
      </c>
      <c r="J2324" s="126">
        <v>1.78</v>
      </c>
      <c r="K2324" s="126">
        <v>2</v>
      </c>
      <c r="L2324" s="129">
        <f>INT(base[[#This Row],[Data de liquidação]])</f>
        <v>46161</v>
      </c>
      <c r="M2324" s="126">
        <f>base[[#This Row],[L/P Bruto]]-base[[#This Row],[L/P Líquido]]</f>
        <v>7.0209424083769623E-2</v>
      </c>
      <c r="N2324" s="126">
        <f>base[[#This Row],[L/P Líquido]]/base[[#This Row],[Stake/Responsabilidade]]</f>
        <v>0.745</v>
      </c>
      <c r="O2324" s="132">
        <f>IF(base[[#This Row],[L/P Líquido]]&gt;0,1,0)</f>
        <v>1</v>
      </c>
      <c r="P2324" s="132"/>
      <c r="Q2324" s="132" t="str">
        <f>LEFT(base[[#This Row],[Evento / Mercado]],FIND("vs",base[[#This Row],[Evento / Mercado]])-2)</f>
        <v>AFC Bournemouth</v>
      </c>
      <c r="R23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2324" s="132" t="str">
        <f>LEFT(base[[#This Row],[Evento / Mercado]],FIND("/",base[[#This Row],[Evento / Mercado]])-2)</f>
        <v>AFC Bournemouth vs Manchester City</v>
      </c>
    </row>
    <row r="2325" spans="2:21" ht="15" customHeight="1">
      <c r="B2325" s="128" t="s">
        <v>2308</v>
      </c>
      <c r="C2325" s="128" t="s">
        <v>2982</v>
      </c>
      <c r="D2325" s="129">
        <v>46161.724710648145</v>
      </c>
      <c r="E2325" s="130">
        <v>-2.5</v>
      </c>
      <c r="F2325" s="136">
        <v>4.4999999999999998E-2</v>
      </c>
      <c r="G2325" s="126">
        <f t="shared" si="37"/>
        <v>-2.5</v>
      </c>
      <c r="H2325" s="126" t="s">
        <v>1339</v>
      </c>
      <c r="I2325" s="127" t="s">
        <v>1236</v>
      </c>
      <c r="J2325" s="126">
        <v>9</v>
      </c>
      <c r="K2325" s="126">
        <v>10</v>
      </c>
      <c r="L2325" s="129">
        <f>INT(base[[#This Row],[Data de liquidação]])</f>
        <v>46161</v>
      </c>
      <c r="M2325" s="126">
        <f>base[[#This Row],[L/P Bruto]]-base[[#This Row],[L/P Líquido]]</f>
        <v>0</v>
      </c>
      <c r="N2325" s="126">
        <f>base[[#This Row],[L/P Líquido]]/base[[#This Row],[Stake/Responsabilidade]]</f>
        <v>-0.25</v>
      </c>
      <c r="O2325" s="132">
        <f>IF(base[[#This Row],[L/P Líquido]]&gt;0,1,0)</f>
        <v>0</v>
      </c>
      <c r="P2325" s="132"/>
      <c r="Q2325" s="132" t="str">
        <f>LEFT(base[[#This Row],[Evento / Mercado]],FIND("vs",base[[#This Row],[Evento / Mercado]])-2)</f>
        <v>AFC Bournemouth</v>
      </c>
      <c r="R23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2325" s="132" t="str">
        <f>LEFT(base[[#This Row],[Evento / Mercado]],FIND("/",base[[#This Row],[Evento / Mercado]])-2)</f>
        <v>AFC Bournemouth vs Manchester City</v>
      </c>
    </row>
    <row r="2326" spans="2:21" ht="15" customHeight="1">
      <c r="B2326" s="128" t="s">
        <v>2307</v>
      </c>
      <c r="C2326" s="128" t="s">
        <v>2982</v>
      </c>
      <c r="D2326" s="129">
        <v>46161.725925925923</v>
      </c>
      <c r="E2326" s="130">
        <v>2.8</v>
      </c>
      <c r="F2326" s="136">
        <v>4.4999999999999998E-2</v>
      </c>
      <c r="G2326" s="126">
        <f t="shared" si="37"/>
        <v>2.9319371727748691</v>
      </c>
      <c r="H2326" s="126" t="s">
        <v>1339</v>
      </c>
      <c r="I2326" s="127" t="s">
        <v>1336</v>
      </c>
      <c r="J2326" s="126">
        <v>1.42</v>
      </c>
      <c r="K2326" s="126">
        <v>15</v>
      </c>
      <c r="L2326" s="129">
        <f>INT(base[[#This Row],[Data de liquidação]])</f>
        <v>46161</v>
      </c>
      <c r="M2326" s="126">
        <f>base[[#This Row],[L/P Bruto]]-base[[#This Row],[L/P Líquido]]</f>
        <v>0.13193717277486927</v>
      </c>
      <c r="N2326" s="126">
        <f>base[[#This Row],[L/P Líquido]]/base[[#This Row],[Stake/Responsabilidade]]</f>
        <v>0.18666666666666665</v>
      </c>
      <c r="O2326" s="132">
        <f>IF(base[[#This Row],[L/P Líquido]]&gt;0,1,0)</f>
        <v>1</v>
      </c>
      <c r="P2326" s="132"/>
      <c r="Q2326" s="132" t="str">
        <f>LEFT(base[[#This Row],[Evento / Mercado]],FIND("vs",base[[#This Row],[Evento / Mercado]])-2)</f>
        <v>AFC Bournemouth</v>
      </c>
      <c r="R23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2326" s="132" t="str">
        <f>LEFT(base[[#This Row],[Evento / Mercado]],FIND("/",base[[#This Row],[Evento / Mercado]])-2)</f>
        <v>AFC Bournemouth vs Manchester City</v>
      </c>
    </row>
    <row r="2327" spans="2:21" ht="15" customHeight="1">
      <c r="B2327" s="128" t="s">
        <v>2306</v>
      </c>
      <c r="C2327" s="128" t="s">
        <v>2982</v>
      </c>
      <c r="D2327" s="129">
        <v>46161.756828703707</v>
      </c>
      <c r="E2327" s="130">
        <v>1.91</v>
      </c>
      <c r="F2327" s="136">
        <v>4.4999999999999998E-2</v>
      </c>
      <c r="G2327" s="126">
        <f t="shared" si="37"/>
        <v>2</v>
      </c>
      <c r="H2327" s="126" t="s">
        <v>1339</v>
      </c>
      <c r="I2327" s="127" t="s">
        <v>1963</v>
      </c>
      <c r="J2327" s="126">
        <v>1.04</v>
      </c>
      <c r="K2327" s="126">
        <v>50</v>
      </c>
      <c r="L2327" s="129">
        <f>INT(base[[#This Row],[Data de liquidação]])</f>
        <v>46161</v>
      </c>
      <c r="M2327" s="126">
        <f>base[[#This Row],[L/P Bruto]]-base[[#This Row],[L/P Líquido]]</f>
        <v>9.000000000000008E-2</v>
      </c>
      <c r="N2327" s="126">
        <f>base[[#This Row],[L/P Líquido]]/base[[#This Row],[Stake/Responsabilidade]]</f>
        <v>3.8199999999999998E-2</v>
      </c>
      <c r="O2327" s="132">
        <f>IF(base[[#This Row],[L/P Líquido]]&gt;0,1,0)</f>
        <v>1</v>
      </c>
      <c r="P2327" s="132"/>
      <c r="Q2327" s="132" t="str">
        <f>LEFT(base[[#This Row],[Evento / Mercado]],FIND("vs",base[[#This Row],[Evento / Mercado]])-2)</f>
        <v>Chelsea</v>
      </c>
      <c r="R23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2327" s="132" t="str">
        <f>LEFT(base[[#This Row],[Evento / Mercado]],FIND("/",base[[#This Row],[Evento / Mercado]])-2)</f>
        <v>Chelsea vs Tottenham Hotspur</v>
      </c>
    </row>
    <row r="2328" spans="2:21" ht="15" customHeight="1">
      <c r="B2328" s="128" t="s">
        <v>2305</v>
      </c>
      <c r="C2328" s="128" t="s">
        <v>2982</v>
      </c>
      <c r="D2328" s="129">
        <v>46161.872187499997</v>
      </c>
      <c r="E2328" s="130">
        <v>4.24</v>
      </c>
      <c r="F2328" s="136">
        <v>4.4999999999999998E-2</v>
      </c>
      <c r="G2328" s="126">
        <f t="shared" si="37"/>
        <v>4.4397905759162306</v>
      </c>
      <c r="H2328" s="127" t="s">
        <v>2314</v>
      </c>
      <c r="I2328" s="127" t="s">
        <v>1233</v>
      </c>
      <c r="J2328" s="126">
        <v>3.25</v>
      </c>
      <c r="K2328" s="126">
        <v>9.99</v>
      </c>
      <c r="L2328" s="129">
        <f>INT(base[[#This Row],[Data de liquidação]])</f>
        <v>46161</v>
      </c>
      <c r="M2328" s="126">
        <f>base[[#This Row],[L/P Bruto]]-base[[#This Row],[L/P Líquido]]</f>
        <v>0.1997905759162304</v>
      </c>
      <c r="N2328" s="126">
        <f>base[[#This Row],[L/P Líquido]]/base[[#This Row],[Stake/Responsabilidade]]</f>
        <v>0.42442442442442446</v>
      </c>
      <c r="O2328" s="132">
        <f>IF(base[[#This Row],[L/P Líquido]]&gt;0,1,0)</f>
        <v>1</v>
      </c>
      <c r="P2328" s="132"/>
      <c r="Q2328" s="132" t="str">
        <f>LEFT(base[[#This Row],[Evento / Mercado]],FIND("vs",base[[#This Row],[Evento / Mercado]])-2)</f>
        <v>Coquimbo Unido</v>
      </c>
      <c r="R23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Tolima</v>
      </c>
      <c r="S2328" s="132" t="str">
        <f>LEFT(base[[#This Row],[Evento / Mercado]],FIND("/",base[[#This Row],[Evento / Mercado]])-2)</f>
        <v>Coquimbo Unido vs Deportes Tolima</v>
      </c>
    </row>
    <row r="2329" spans="2:21" ht="15" customHeight="1">
      <c r="B2329" s="128" t="s">
        <v>2304</v>
      </c>
      <c r="C2329" s="128" t="s">
        <v>2982</v>
      </c>
      <c r="D2329" s="129">
        <v>46161.874131944445</v>
      </c>
      <c r="E2329" s="130">
        <v>1.45</v>
      </c>
      <c r="F2329" s="136">
        <v>4.4999999999999998E-2</v>
      </c>
      <c r="G2329" s="126">
        <f t="shared" si="37"/>
        <v>1.5183246073298429</v>
      </c>
      <c r="H2329" s="127" t="s">
        <v>2314</v>
      </c>
      <c r="I2329" s="127" t="s">
        <v>1233</v>
      </c>
      <c r="J2329" s="126">
        <v>7.6</v>
      </c>
      <c r="K2329" s="126">
        <v>10.029999999999999</v>
      </c>
      <c r="L2329" s="129">
        <f>INT(base[[#This Row],[Data de liquidação]])</f>
        <v>46161</v>
      </c>
      <c r="M2329" s="126">
        <f>base[[#This Row],[L/P Bruto]]-base[[#This Row],[L/P Líquido]]</f>
        <v>6.8324607329842912E-2</v>
      </c>
      <c r="N2329" s="126">
        <f>base[[#This Row],[L/P Líquido]]/base[[#This Row],[Stake/Responsabilidade]]</f>
        <v>0.14456630109670987</v>
      </c>
      <c r="O2329" s="132">
        <f>IF(base[[#This Row],[L/P Líquido]]&gt;0,1,0)</f>
        <v>1</v>
      </c>
      <c r="P2329" s="132"/>
      <c r="Q2329" s="132" t="str">
        <f>LEFT(base[[#This Row],[Evento / Mercado]],FIND("vs",base[[#This Row],[Evento / Mercado]])-2)</f>
        <v>Fluminense FC</v>
      </c>
      <c r="R23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Bolívar</v>
      </c>
      <c r="S2329" s="132" t="str">
        <f>LEFT(base[[#This Row],[Evento / Mercado]],FIND("/",base[[#This Row],[Evento / Mercado]])-2)</f>
        <v>Fluminense FC vs Club Bolívar</v>
      </c>
    </row>
    <row r="2330" spans="2:21" ht="15" customHeight="1">
      <c r="B2330" s="128" t="s">
        <v>2303</v>
      </c>
      <c r="C2330" s="128" t="s">
        <v>2982</v>
      </c>
      <c r="D2330" s="129">
        <v>46161.939027777778</v>
      </c>
      <c r="E2330" s="130">
        <v>-9.99</v>
      </c>
      <c r="F2330" s="136">
        <v>4.4999999999999998E-2</v>
      </c>
      <c r="G2330" s="126">
        <f t="shared" si="37"/>
        <v>-9.99</v>
      </c>
      <c r="H2330" s="127" t="s">
        <v>2314</v>
      </c>
      <c r="I2330" s="127" t="s">
        <v>1233</v>
      </c>
      <c r="J2330" s="126">
        <v>3.05</v>
      </c>
      <c r="K2330" s="126">
        <v>9.99</v>
      </c>
      <c r="L2330" s="129">
        <f>INT(base[[#This Row],[Data de liquidação]])</f>
        <v>46161</v>
      </c>
      <c r="M2330" s="126">
        <f>base[[#This Row],[L/P Bruto]]-base[[#This Row],[L/P Líquido]]</f>
        <v>0</v>
      </c>
      <c r="N2330" s="126">
        <f>base[[#This Row],[L/P Líquido]]/base[[#This Row],[Stake/Responsabilidade]]</f>
        <v>-1</v>
      </c>
      <c r="O2330" s="132">
        <f>IF(base[[#This Row],[L/P Líquido]]&gt;0,1,0)</f>
        <v>0</v>
      </c>
      <c r="P2330" s="132"/>
      <c r="Q2330" s="132" t="str">
        <f>LEFT(base[[#This Row],[Evento / Mercado]],FIND("vs",base[[#This Row],[Evento / Mercado]])-2)</f>
        <v>LDU de Portoviejo</v>
      </c>
      <c r="R23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Libertad FC</v>
      </c>
      <c r="S2330" s="132" t="str">
        <f>LEFT(base[[#This Row],[Evento / Mercado]],FIND("/",base[[#This Row],[Evento / Mercado]])-2)</f>
        <v>LDU de Portoviejo vs Libertad FC</v>
      </c>
    </row>
    <row r="2331" spans="2:21" ht="15" customHeight="1">
      <c r="B2331" s="128" t="s">
        <v>2302</v>
      </c>
      <c r="C2331" s="128" t="s">
        <v>2982</v>
      </c>
      <c r="D2331" s="129">
        <v>46161.959201388891</v>
      </c>
      <c r="E2331" s="130">
        <v>4.3452500000000001</v>
      </c>
      <c r="F2331" s="136">
        <v>4.4999999999999998E-2</v>
      </c>
      <c r="G2331" s="126">
        <f t="shared" si="37"/>
        <v>4.55</v>
      </c>
      <c r="H2331" s="127" t="s">
        <v>2314</v>
      </c>
      <c r="I2331" s="127" t="s">
        <v>1233</v>
      </c>
      <c r="J2331" s="126">
        <v>3.2</v>
      </c>
      <c r="K2331" s="126">
        <v>10.01</v>
      </c>
      <c r="L2331" s="129">
        <f>INT(base[[#This Row],[Data de liquidação]])</f>
        <v>46161</v>
      </c>
      <c r="M2331" s="126">
        <f>base[[#This Row],[L/P Bruto]]-base[[#This Row],[L/P Líquido]]</f>
        <v>0.20474999999999977</v>
      </c>
      <c r="N2331" s="126">
        <f>base[[#This Row],[L/P Líquido]]/base[[#This Row],[Stake/Responsabilidade]]</f>
        <v>0.43409090909090908</v>
      </c>
      <c r="O2331" s="132">
        <f>IF(base[[#This Row],[L/P Líquido]]&gt;0,1,0)</f>
        <v>1</v>
      </c>
      <c r="P2331" s="132"/>
      <c r="Q2331" s="132" t="str">
        <f>LEFT(base[[#This Row],[Evento / Mercado]],FIND("vs",base[[#This Row],[Evento / Mercado]])-2)</f>
        <v>Santa Fe</v>
      </c>
      <c r="R23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Platense</v>
      </c>
      <c r="S2331" s="132" t="str">
        <f>LEFT(base[[#This Row],[Evento / Mercado]],FIND("/",base[[#This Row],[Evento / Mercado]])-2)</f>
        <v>Santa Fe vs Platense</v>
      </c>
      <c r="T2331" s="8">
        <v>4.55</v>
      </c>
      <c r="U2331" s="9">
        <f>T2331*0.955</f>
        <v>4.3452500000000001</v>
      </c>
    </row>
    <row r="2332" spans="2:21" ht="15" customHeight="1">
      <c r="B2332" s="128" t="s">
        <v>2302</v>
      </c>
      <c r="C2332" s="128" t="s">
        <v>2982</v>
      </c>
      <c r="D2332" s="129">
        <v>46161.959201388891</v>
      </c>
      <c r="E2332" s="130">
        <v>16.750699999999998</v>
      </c>
      <c r="F2332" s="136">
        <v>4.4999999999999998E-2</v>
      </c>
      <c r="G2332" s="126">
        <f t="shared" si="37"/>
        <v>17.54</v>
      </c>
      <c r="H2332" s="126" t="s">
        <v>1784</v>
      </c>
      <c r="I2332" s="127" t="s">
        <v>1785</v>
      </c>
      <c r="J2332" s="126">
        <v>3.85</v>
      </c>
      <c r="K2332" s="126">
        <v>49.99</v>
      </c>
      <c r="L2332" s="129">
        <f>INT(base[[#This Row],[Data de liquidação]])</f>
        <v>46161</v>
      </c>
      <c r="M2332" s="126">
        <f>base[[#This Row],[L/P Bruto]]-base[[#This Row],[L/P Líquido]]</f>
        <v>0.78930000000000078</v>
      </c>
      <c r="N2332" s="126">
        <f>base[[#This Row],[L/P Líquido]]/base[[#This Row],[Stake/Responsabilidade]]</f>
        <v>0.3350810162032406</v>
      </c>
      <c r="O2332" s="132">
        <f>IF(base[[#This Row],[L/P Líquido]]&gt;0,1,0)</f>
        <v>1</v>
      </c>
      <c r="P2332" s="132"/>
      <c r="Q2332" s="132" t="str">
        <f>LEFT(base[[#This Row],[Evento / Mercado]],FIND("vs",base[[#This Row],[Evento / Mercado]])-2)</f>
        <v>Santa Fe</v>
      </c>
      <c r="R23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Platense</v>
      </c>
      <c r="S2332" s="132" t="str">
        <f>LEFT(base[[#This Row],[Evento / Mercado]],FIND("/",base[[#This Row],[Evento / Mercado]])-2)</f>
        <v>Santa Fe vs Platense</v>
      </c>
      <c r="T2332" s="8">
        <v>17.54</v>
      </c>
      <c r="U2332" s="9">
        <f>T2332*0.955</f>
        <v>16.750699999999998</v>
      </c>
    </row>
    <row r="2333" spans="2:21" ht="15" customHeight="1">
      <c r="B2333" s="128" t="s">
        <v>2301</v>
      </c>
      <c r="C2333" s="128" t="s">
        <v>2982</v>
      </c>
      <c r="D2333" s="129">
        <v>46161.974560185183</v>
      </c>
      <c r="E2333" s="130">
        <v>8.5299999999999994</v>
      </c>
      <c r="F2333" s="136">
        <v>4.4999999999999998E-2</v>
      </c>
      <c r="G2333" s="126">
        <f t="shared" si="37"/>
        <v>8.9319371727748695</v>
      </c>
      <c r="H2333" s="127" t="s">
        <v>2314</v>
      </c>
      <c r="I2333" s="127" t="s">
        <v>2315</v>
      </c>
      <c r="J2333" s="126">
        <v>2.12</v>
      </c>
      <c r="K2333" s="126">
        <v>10</v>
      </c>
      <c r="L2333" s="129">
        <f>INT(base[[#This Row],[Data de liquidação]])</f>
        <v>46161</v>
      </c>
      <c r="M2333" s="126">
        <f>base[[#This Row],[L/P Bruto]]-base[[#This Row],[L/P Líquido]]</f>
        <v>0.40193717277487018</v>
      </c>
      <c r="N2333" s="126">
        <f>base[[#This Row],[L/P Líquido]]/base[[#This Row],[Stake/Responsabilidade]]</f>
        <v>0.85299999999999998</v>
      </c>
      <c r="O2333" s="132">
        <f>IF(base[[#This Row],[L/P Líquido]]&gt;0,1,0)</f>
        <v>1</v>
      </c>
      <c r="P2333" s="132"/>
      <c r="Q2333" s="132" t="str">
        <f>LEFT(base[[#This Row],[Evento / Mercado]],FIND("vs",base[[#This Row],[Evento / Mercado]])-2)</f>
        <v>Saint Louis City SC</v>
      </c>
      <c r="R23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Houston Dynamo</v>
      </c>
      <c r="S2333" s="132" t="str">
        <f>LEFT(base[[#This Row],[Evento / Mercado]],FIND("/",base[[#This Row],[Evento / Mercado]])-2)</f>
        <v>Saint Louis City SC vs Houston Dynamo</v>
      </c>
    </row>
    <row r="2334" spans="2:21" ht="15" customHeight="1">
      <c r="B2334" s="128" t="s">
        <v>2367</v>
      </c>
      <c r="C2334" s="128" t="s">
        <v>2982</v>
      </c>
      <c r="D2334" s="129">
        <v>46162.337395833332</v>
      </c>
      <c r="E2334" s="130">
        <v>6.21</v>
      </c>
      <c r="F2334" s="136">
        <v>0</v>
      </c>
      <c r="G2334" s="126">
        <f t="shared" si="37"/>
        <v>6.21</v>
      </c>
      <c r="H2334" s="126" t="s">
        <v>1784</v>
      </c>
      <c r="I2334" s="127" t="s">
        <v>1785</v>
      </c>
      <c r="J2334" s="126">
        <v>1.1240000000000001</v>
      </c>
      <c r="K2334" s="126">
        <v>50</v>
      </c>
      <c r="L2334" s="129">
        <f>INT(base[[#This Row],[Data de liquidação]])</f>
        <v>46162</v>
      </c>
      <c r="M2334" s="126">
        <f>base[[#This Row],[L/P Bruto]]-base[[#This Row],[L/P Líquido]]</f>
        <v>0</v>
      </c>
      <c r="N2334" s="126">
        <f>base[[#This Row],[L/P Líquido]]/base[[#This Row],[Stake/Responsabilidade]]</f>
        <v>0.1242</v>
      </c>
      <c r="O2334" s="132">
        <f>IF(base[[#This Row],[L/P Líquido]]&gt;0,1,0)</f>
        <v>1</v>
      </c>
      <c r="P2334" s="132"/>
      <c r="Q2334" s="132" t="str">
        <f>LEFT(base[[#This Row],[Evento / Mercado]],FIND("vs",base[[#This Row],[Evento / Mercado]])-2)</f>
        <v>FC Iberia 1999</v>
      </c>
      <c r="R23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Gagra Tblisi</v>
      </c>
      <c r="S2334" s="132" t="e">
        <f>LEFT(base[[#This Row],[Evento / Mercado]],FIND("/",base[[#This Row],[Evento / Mercado]])-2)</f>
        <v>#VALUE!</v>
      </c>
    </row>
    <row r="2335" spans="2:21" ht="15" customHeight="1">
      <c r="B2335" s="128" t="s">
        <v>2360</v>
      </c>
      <c r="C2335" s="128" t="s">
        <v>2982</v>
      </c>
      <c r="D2335" s="129">
        <v>46162.385312500002</v>
      </c>
      <c r="E2335" s="130">
        <v>9.5500000000000007</v>
      </c>
      <c r="F2335" s="136">
        <v>4.4999999999999998E-2</v>
      </c>
      <c r="G2335" s="126">
        <f t="shared" si="37"/>
        <v>10.000000000000002</v>
      </c>
      <c r="H2335" s="126" t="s">
        <v>1339</v>
      </c>
      <c r="I2335" s="127" t="s">
        <v>1236</v>
      </c>
      <c r="J2335" s="126">
        <v>10.5</v>
      </c>
      <c r="K2335" s="126">
        <v>10</v>
      </c>
      <c r="L2335" s="129">
        <f>INT(base[[#This Row],[Data de liquidação]])</f>
        <v>46162</v>
      </c>
      <c r="M2335" s="126">
        <f>base[[#This Row],[L/P Bruto]]-base[[#This Row],[L/P Líquido]]</f>
        <v>0.45000000000000107</v>
      </c>
      <c r="N2335" s="126">
        <f>base[[#This Row],[L/P Líquido]]/base[[#This Row],[Stake/Responsabilidade]]</f>
        <v>0.95500000000000007</v>
      </c>
      <c r="O2335" s="132">
        <f>IF(base[[#This Row],[L/P Líquido]]&gt;0,1,0)</f>
        <v>1</v>
      </c>
      <c r="P2335" s="132"/>
      <c r="Q2335" s="132" t="str">
        <f>LEFT(base[[#This Row],[Evento / Mercado]],FIND("vs",base[[#This Row],[Evento / Mercado]])-2)</f>
        <v>Shanghai Shenhua</v>
      </c>
      <c r="R23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2335" s="132" t="str">
        <f>LEFT(base[[#This Row],[Evento / Mercado]],FIND("/",base[[#This Row],[Evento / Mercado]])-2)</f>
        <v>Shanghai Shenhua vs Wuhan Three Towns</v>
      </c>
    </row>
    <row r="2336" spans="2:21" ht="15" customHeight="1">
      <c r="B2336" s="128" t="s">
        <v>2359</v>
      </c>
      <c r="C2336" s="128" t="s">
        <v>2982</v>
      </c>
      <c r="D2336" s="129">
        <v>46162.389490740738</v>
      </c>
      <c r="E2336" s="130">
        <v>-5.51</v>
      </c>
      <c r="F2336" s="136">
        <v>4.4999999999999998E-2</v>
      </c>
      <c r="G2336" s="126">
        <f t="shared" si="37"/>
        <v>-5.51</v>
      </c>
      <c r="H2336" s="126" t="s">
        <v>1339</v>
      </c>
      <c r="I2336" s="127" t="s">
        <v>1236</v>
      </c>
      <c r="J2336" s="126">
        <v>7.6</v>
      </c>
      <c r="K2336" s="126">
        <v>10</v>
      </c>
      <c r="L2336" s="129">
        <f>INT(base[[#This Row],[Data de liquidação]])</f>
        <v>46162</v>
      </c>
      <c r="M2336" s="126">
        <f>base[[#This Row],[L/P Bruto]]-base[[#This Row],[L/P Líquido]]</f>
        <v>0</v>
      </c>
      <c r="N2336" s="126">
        <f>base[[#This Row],[L/P Líquido]]/base[[#This Row],[Stake/Responsabilidade]]</f>
        <v>-0.55099999999999993</v>
      </c>
      <c r="O2336" s="132">
        <f>IF(base[[#This Row],[L/P Líquido]]&gt;0,1,0)</f>
        <v>0</v>
      </c>
      <c r="P2336" s="132"/>
      <c r="Q2336" s="132" t="str">
        <f>LEFT(base[[#This Row],[Evento / Mercado]],FIND("vs",base[[#This Row],[Evento / Mercado]])-2)</f>
        <v>Liaoning Tieren F.C.</v>
      </c>
      <c r="R23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Hainiu</v>
      </c>
      <c r="S2336" s="132" t="str">
        <f>LEFT(base[[#This Row],[Evento / Mercado]],FIND("/",base[[#This Row],[Evento / Mercado]])-2)</f>
        <v>Liaoning Tieren F.C. vs Qingdao Hainiu</v>
      </c>
    </row>
    <row r="2337" spans="2:19" ht="15" customHeight="1">
      <c r="B2337" s="128" t="s">
        <v>2358</v>
      </c>
      <c r="C2337" s="128" t="s">
        <v>2982</v>
      </c>
      <c r="D2337" s="129">
        <v>46162.445162037038</v>
      </c>
      <c r="E2337" s="130">
        <v>8.23</v>
      </c>
      <c r="F2337" s="136">
        <v>4.4999999999999998E-2</v>
      </c>
      <c r="G2337" s="126">
        <f t="shared" si="37"/>
        <v>8.6178010471204196</v>
      </c>
      <c r="H2337" s="126" t="s">
        <v>1784</v>
      </c>
      <c r="I2337" s="127" t="s">
        <v>1785</v>
      </c>
      <c r="J2337" s="126">
        <v>6.8</v>
      </c>
      <c r="K2337" s="126">
        <v>50</v>
      </c>
      <c r="L2337" s="129">
        <f>INT(base[[#This Row],[Data de liquidação]])</f>
        <v>46162</v>
      </c>
      <c r="M2337" s="126">
        <f>base[[#This Row],[L/P Bruto]]-base[[#This Row],[L/P Líquido]]</f>
        <v>0.38780104712041918</v>
      </c>
      <c r="N2337" s="126">
        <f>base[[#This Row],[L/P Líquido]]/base[[#This Row],[Stake/Responsabilidade]]</f>
        <v>0.1646</v>
      </c>
      <c r="O2337" s="132">
        <f>IF(base[[#This Row],[L/P Líquido]]&gt;0,1,0)</f>
        <v>1</v>
      </c>
      <c r="P2337" s="132"/>
      <c r="Q2337" s="132" t="str">
        <f>LEFT(base[[#This Row],[Evento / Mercado]],FIND("vs",base[[#This Row],[Evento / Mercado]])-2)</f>
        <v>Shanghai Shenhua</v>
      </c>
      <c r="R23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2337" s="132" t="str">
        <f>LEFT(base[[#This Row],[Evento / Mercado]],FIND("/",base[[#This Row],[Evento / Mercado]])-2)</f>
        <v>Shanghai Shenhua vs Wuhan Three Towns</v>
      </c>
    </row>
    <row r="2338" spans="2:19" ht="15" customHeight="1">
      <c r="B2338" s="128" t="s">
        <v>2357</v>
      </c>
      <c r="C2338" s="128" t="s">
        <v>2982</v>
      </c>
      <c r="D2338" s="129">
        <v>46162.454062500001</v>
      </c>
      <c r="E2338" s="130">
        <v>-9.9499999999999993</v>
      </c>
      <c r="F2338" s="136">
        <v>4.4999999999999998E-2</v>
      </c>
      <c r="G2338" s="126">
        <f t="shared" si="37"/>
        <v>-9.9499999999999993</v>
      </c>
      <c r="H2338" s="127" t="s">
        <v>2314</v>
      </c>
      <c r="I2338" s="127" t="s">
        <v>1233</v>
      </c>
      <c r="J2338" s="126">
        <v>3.45</v>
      </c>
      <c r="K2338" s="126">
        <v>9.9499999999999993</v>
      </c>
      <c r="L2338" s="129">
        <f>INT(base[[#This Row],[Data de liquidação]])</f>
        <v>46162</v>
      </c>
      <c r="M2338" s="126">
        <f>base[[#This Row],[L/P Bruto]]-base[[#This Row],[L/P Líquido]]</f>
        <v>0</v>
      </c>
      <c r="N2338" s="126">
        <f>base[[#This Row],[L/P Líquido]]/base[[#This Row],[Stake/Responsabilidade]]</f>
        <v>-1</v>
      </c>
      <c r="O2338" s="132">
        <f>IF(base[[#This Row],[L/P Líquido]]&gt;0,1,0)</f>
        <v>0</v>
      </c>
      <c r="P2338" s="132"/>
      <c r="Q2338" s="132" t="str">
        <f>LEFT(base[[#This Row],[Evento / Mercado]],FIND("vs",base[[#This Row],[Evento / Mercado]])-2)</f>
        <v>Chongqing Tonglianglong</v>
      </c>
      <c r="R23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Yunnan Yukun</v>
      </c>
      <c r="S2338" s="132" t="str">
        <f>LEFT(base[[#This Row],[Evento / Mercado]],FIND("/",base[[#This Row],[Evento / Mercado]])-2)</f>
        <v>Chongqing Tonglianglong vs Yunnan Yukun</v>
      </c>
    </row>
    <row r="2339" spans="2:19" ht="15" customHeight="1">
      <c r="B2339" s="128" t="s">
        <v>2356</v>
      </c>
      <c r="C2339" s="128" t="s">
        <v>2982</v>
      </c>
      <c r="D2339" s="129">
        <v>46162.45412037037</v>
      </c>
      <c r="E2339" s="130">
        <v>-50</v>
      </c>
      <c r="F2339" s="136">
        <v>4.4999999999999998E-2</v>
      </c>
      <c r="G2339" s="126">
        <f t="shared" si="37"/>
        <v>-50</v>
      </c>
      <c r="H2339" s="126" t="s">
        <v>1784</v>
      </c>
      <c r="I2339" s="127" t="s">
        <v>266</v>
      </c>
      <c r="J2339" s="126">
        <v>1.63</v>
      </c>
      <c r="K2339" s="126">
        <v>50</v>
      </c>
      <c r="L2339" s="129">
        <f>INT(base[[#This Row],[Data de liquidação]])</f>
        <v>46162</v>
      </c>
      <c r="M2339" s="126">
        <f>base[[#This Row],[L/P Bruto]]-base[[#This Row],[L/P Líquido]]</f>
        <v>0</v>
      </c>
      <c r="N2339" s="126">
        <f>base[[#This Row],[L/P Líquido]]/base[[#This Row],[Stake/Responsabilidade]]</f>
        <v>-1</v>
      </c>
      <c r="O2339" s="132">
        <f>IF(base[[#This Row],[L/P Líquido]]&gt;0,1,0)</f>
        <v>0</v>
      </c>
      <c r="P2339" s="132"/>
      <c r="Q2339" s="132" t="str">
        <f>LEFT(base[[#This Row],[Evento / Mercado]],FIND("vs",base[[#This Row],[Evento / Mercado]])-2)</f>
        <v>Chongqing Tonglianglong</v>
      </c>
      <c r="R23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Yunnan Yukun</v>
      </c>
      <c r="S2339" s="132" t="str">
        <f>LEFT(base[[#This Row],[Evento / Mercado]],FIND("/",base[[#This Row],[Evento / Mercado]])-2)</f>
        <v>Chongqing Tonglianglong vs Yunnan Yukun</v>
      </c>
    </row>
    <row r="2340" spans="2:19" ht="15" customHeight="1">
      <c r="B2340" s="128" t="s">
        <v>2355</v>
      </c>
      <c r="C2340" s="128" t="s">
        <v>2982</v>
      </c>
      <c r="D2340" s="129">
        <v>46162.501805555556</v>
      </c>
      <c r="E2340" s="130">
        <v>19.899999999999999</v>
      </c>
      <c r="F2340" s="136">
        <v>4.4999999999999998E-2</v>
      </c>
      <c r="G2340" s="126">
        <f t="shared" si="37"/>
        <v>20.837696335078533</v>
      </c>
      <c r="H2340" s="126" t="s">
        <v>1784</v>
      </c>
      <c r="I2340" s="127" t="s">
        <v>1448</v>
      </c>
      <c r="J2340" s="126">
        <v>1.42</v>
      </c>
      <c r="K2340" s="126">
        <v>50</v>
      </c>
      <c r="L2340" s="129">
        <f>INT(base[[#This Row],[Data de liquidação]])</f>
        <v>46162</v>
      </c>
      <c r="M2340" s="126">
        <f>base[[#This Row],[L/P Bruto]]-base[[#This Row],[L/P Líquido]]</f>
        <v>0.93769633507853456</v>
      </c>
      <c r="N2340" s="126">
        <f>base[[#This Row],[L/P Líquido]]/base[[#This Row],[Stake/Responsabilidade]]</f>
        <v>0.39799999999999996</v>
      </c>
      <c r="O2340" s="132">
        <f>IF(base[[#This Row],[L/P Líquido]]&gt;0,1,0)</f>
        <v>1</v>
      </c>
      <c r="P2340" s="132"/>
      <c r="Q2340" s="132" t="str">
        <f>LEFT(base[[#This Row],[Evento / Mercado]],FIND("vs",base[[#This Row],[Evento / Mercado]])-2)</f>
        <v>Ilves</v>
      </c>
      <c r="R23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Inter Turku</v>
      </c>
      <c r="S2340" s="132" t="str">
        <f>LEFT(base[[#This Row],[Evento / Mercado]],FIND("/",base[[#This Row],[Evento / Mercado]])-2)</f>
        <v>Ilves vs FC Inter Turku</v>
      </c>
    </row>
    <row r="2341" spans="2:19" ht="15" customHeight="1">
      <c r="B2341" s="128" t="s">
        <v>2354</v>
      </c>
      <c r="C2341" s="128" t="s">
        <v>2982</v>
      </c>
      <c r="D2341" s="129">
        <v>46162.512650462966</v>
      </c>
      <c r="E2341" s="130">
        <v>10.51</v>
      </c>
      <c r="F2341" s="136">
        <v>4.4999999999999998E-2</v>
      </c>
      <c r="G2341" s="126">
        <f t="shared" si="37"/>
        <v>11.005235602094242</v>
      </c>
      <c r="H2341" s="126" t="s">
        <v>1784</v>
      </c>
      <c r="I2341" s="127" t="s">
        <v>1448</v>
      </c>
      <c r="J2341" s="126">
        <v>1.22</v>
      </c>
      <c r="K2341" s="126">
        <v>50</v>
      </c>
      <c r="L2341" s="129">
        <f>INT(base[[#This Row],[Data de liquidação]])</f>
        <v>46162</v>
      </c>
      <c r="M2341" s="126">
        <f>base[[#This Row],[L/P Bruto]]-base[[#This Row],[L/P Líquido]]</f>
        <v>0.49523560209424211</v>
      </c>
      <c r="N2341" s="126">
        <f>base[[#This Row],[L/P Líquido]]/base[[#This Row],[Stake/Responsabilidade]]</f>
        <v>0.2102</v>
      </c>
      <c r="O2341" s="132">
        <f>IF(base[[#This Row],[L/P Líquido]]&gt;0,1,0)</f>
        <v>1</v>
      </c>
      <c r="P2341" s="132"/>
      <c r="Q2341" s="132" t="str">
        <f>LEFT(base[[#This Row],[Evento / Mercado]],FIND("vs",base[[#This Row],[Evento / Mercado]])-2)</f>
        <v>FK Tukums 2000</v>
      </c>
      <c r="R23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Riga FC</v>
      </c>
      <c r="S2341" s="132" t="str">
        <f>LEFT(base[[#This Row],[Evento / Mercado]],FIND("/",base[[#This Row],[Evento / Mercado]])-2)</f>
        <v>FK Tukums 2000 vs Riga FC</v>
      </c>
    </row>
    <row r="2342" spans="2:19" ht="15" customHeight="1">
      <c r="B2342" s="128" t="s">
        <v>2353</v>
      </c>
      <c r="C2342" s="128" t="s">
        <v>2982</v>
      </c>
      <c r="D2342" s="129">
        <v>46162.512800925928</v>
      </c>
      <c r="E2342" s="130">
        <v>37.25</v>
      </c>
      <c r="F2342" s="136">
        <v>4.4999999999999998E-2</v>
      </c>
      <c r="G2342" s="126">
        <f t="shared" si="37"/>
        <v>39.005235602094245</v>
      </c>
      <c r="H2342" s="126" t="s">
        <v>1784</v>
      </c>
      <c r="I2342" s="127" t="s">
        <v>266</v>
      </c>
      <c r="J2342" s="126">
        <v>1.78</v>
      </c>
      <c r="K2342" s="126">
        <v>50</v>
      </c>
      <c r="L2342" s="129">
        <f>INT(base[[#This Row],[Data de liquidação]])</f>
        <v>46162</v>
      </c>
      <c r="M2342" s="126">
        <f>base[[#This Row],[L/P Bruto]]-base[[#This Row],[L/P Líquido]]</f>
        <v>1.7552356020942455</v>
      </c>
      <c r="N2342" s="126">
        <f>base[[#This Row],[L/P Líquido]]/base[[#This Row],[Stake/Responsabilidade]]</f>
        <v>0.745</v>
      </c>
      <c r="O2342" s="132">
        <f>IF(base[[#This Row],[L/P Líquido]]&gt;0,1,0)</f>
        <v>1</v>
      </c>
      <c r="P2342" s="132"/>
      <c r="Q2342" s="132" t="str">
        <f>LEFT(base[[#This Row],[Evento / Mercado]],FIND("vs",base[[#This Row],[Evento / Mercado]])-2)</f>
        <v>Ilves</v>
      </c>
      <c r="R23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Inter Turku</v>
      </c>
      <c r="S2342" s="132" t="str">
        <f>LEFT(base[[#This Row],[Evento / Mercado]],FIND("/",base[[#This Row],[Evento / Mercado]])-2)</f>
        <v>Ilves vs FC Inter Turku</v>
      </c>
    </row>
    <row r="2343" spans="2:19" ht="15" customHeight="1">
      <c r="B2343" s="128" t="s">
        <v>2352</v>
      </c>
      <c r="C2343" s="128" t="s">
        <v>2982</v>
      </c>
      <c r="D2343" s="129">
        <v>46162.529108796298</v>
      </c>
      <c r="E2343" s="130">
        <v>38.68</v>
      </c>
      <c r="F2343" s="136">
        <v>4.4999999999999998E-2</v>
      </c>
      <c r="G2343" s="126">
        <f t="shared" si="37"/>
        <v>40.502617801047123</v>
      </c>
      <c r="H2343" s="126" t="s">
        <v>1784</v>
      </c>
      <c r="I2343" s="127" t="s">
        <v>266</v>
      </c>
      <c r="J2343" s="126">
        <v>1.81</v>
      </c>
      <c r="K2343" s="126">
        <v>50</v>
      </c>
      <c r="L2343" s="129">
        <f>INT(base[[#This Row],[Data de liquidação]])</f>
        <v>46162</v>
      </c>
      <c r="M2343" s="126">
        <f>base[[#This Row],[L/P Bruto]]-base[[#This Row],[L/P Líquido]]</f>
        <v>1.822617801047123</v>
      </c>
      <c r="N2343" s="126">
        <f>base[[#This Row],[L/P Líquido]]/base[[#This Row],[Stake/Responsabilidade]]</f>
        <v>0.77359999999999995</v>
      </c>
      <c r="O2343" s="132">
        <f>IF(base[[#This Row],[L/P Líquido]]&gt;0,1,0)</f>
        <v>1</v>
      </c>
      <c r="P2343" s="132"/>
      <c r="Q2343" s="132" t="str">
        <f>LEFT(base[[#This Row],[Evento / Mercado]],FIND("vs",base[[#This Row],[Evento / Mercado]])-2)</f>
        <v>FK Tukums 2000</v>
      </c>
      <c r="R23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Riga FC</v>
      </c>
      <c r="S2343" s="132" t="str">
        <f>LEFT(base[[#This Row],[Evento / Mercado]],FIND("/",base[[#This Row],[Evento / Mercado]])-2)</f>
        <v>FK Tukums 2000 vs Riga FC</v>
      </c>
    </row>
    <row r="2344" spans="2:19" ht="15" customHeight="1">
      <c r="B2344" s="128" t="s">
        <v>2351</v>
      </c>
      <c r="C2344" s="128" t="s">
        <v>2982</v>
      </c>
      <c r="D2344" s="129">
        <v>46162.531898148147</v>
      </c>
      <c r="E2344" s="130">
        <v>3.29</v>
      </c>
      <c r="F2344" s="136">
        <v>4.4999999999999998E-2</v>
      </c>
      <c r="G2344" s="126">
        <f t="shared" si="37"/>
        <v>3.4450261780104712</v>
      </c>
      <c r="H2344" s="126" t="s">
        <v>2314</v>
      </c>
      <c r="I2344" s="127" t="s">
        <v>2361</v>
      </c>
      <c r="J2344" s="126">
        <v>3.9</v>
      </c>
      <c r="K2344" s="126">
        <v>10.01</v>
      </c>
      <c r="L2344" s="129">
        <f>INT(base[[#This Row],[Data de liquidação]])</f>
        <v>46162</v>
      </c>
      <c r="M2344" s="126">
        <f>base[[#This Row],[L/P Bruto]]-base[[#This Row],[L/P Líquido]]</f>
        <v>0.15502617801047114</v>
      </c>
      <c r="N2344" s="126">
        <f>base[[#This Row],[L/P Líquido]]/base[[#This Row],[Stake/Responsabilidade]]</f>
        <v>0.3286713286713287</v>
      </c>
      <c r="O2344" s="132">
        <f>IF(base[[#This Row],[L/P Líquido]]&gt;0,1,0)</f>
        <v>1</v>
      </c>
      <c r="P2344" s="132"/>
      <c r="Q2344" s="132" t="str">
        <f>LEFT(base[[#This Row],[Evento / Mercado]],FIND("vs",base[[#This Row],[Evento / Mercado]])-2)</f>
        <v>Ilves</v>
      </c>
      <c r="R23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Inter Turku</v>
      </c>
      <c r="S2344" s="132" t="str">
        <f>LEFT(base[[#This Row],[Evento / Mercado]],FIND("/",base[[#This Row],[Evento / Mercado]])-2)</f>
        <v>Ilves vs FC Inter Turku</v>
      </c>
    </row>
    <row r="2345" spans="2:19" ht="15" customHeight="1">
      <c r="B2345" s="128" t="s">
        <v>2350</v>
      </c>
      <c r="C2345" s="128" t="s">
        <v>2982</v>
      </c>
      <c r="D2345" s="129">
        <v>46162.57309027778</v>
      </c>
      <c r="E2345" s="130">
        <v>-10.01</v>
      </c>
      <c r="F2345" s="136">
        <v>4.4999999999999998E-2</v>
      </c>
      <c r="G2345" s="126">
        <f t="shared" si="37"/>
        <v>-10.01</v>
      </c>
      <c r="H2345" s="126" t="s">
        <v>2314</v>
      </c>
      <c r="I2345" s="127" t="s">
        <v>2361</v>
      </c>
      <c r="J2345" s="126">
        <v>3.35</v>
      </c>
      <c r="K2345" s="126">
        <v>10.01</v>
      </c>
      <c r="L2345" s="129">
        <f>INT(base[[#This Row],[Data de liquidação]])</f>
        <v>46162</v>
      </c>
      <c r="M2345" s="126">
        <f>base[[#This Row],[L/P Bruto]]-base[[#This Row],[L/P Líquido]]</f>
        <v>0</v>
      </c>
      <c r="N2345" s="126">
        <f>base[[#This Row],[L/P Líquido]]/base[[#This Row],[Stake/Responsabilidade]]</f>
        <v>-1</v>
      </c>
      <c r="O2345" s="132">
        <f>IF(base[[#This Row],[L/P Líquido]]&gt;0,1,0)</f>
        <v>0</v>
      </c>
      <c r="P2345" s="132"/>
      <c r="Q2345" s="132" t="str">
        <f>LEFT(base[[#This Row],[Evento / Mercado]],FIND("vs",base[[#This Row],[Evento / Mercado]])-2)</f>
        <v>FC Kuressaare</v>
      </c>
      <c r="R23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Nõmme United</v>
      </c>
      <c r="S2345" s="132" t="str">
        <f>LEFT(base[[#This Row],[Evento / Mercado]],FIND("/",base[[#This Row],[Evento / Mercado]])-2)</f>
        <v>FC Kuressaare vs FC Nõmme United</v>
      </c>
    </row>
    <row r="2346" spans="2:19" ht="15" customHeight="1">
      <c r="B2346" s="128" t="s">
        <v>2349</v>
      </c>
      <c r="C2346" s="128" t="s">
        <v>2982</v>
      </c>
      <c r="D2346" s="129">
        <v>46162.574282407404</v>
      </c>
      <c r="E2346" s="130">
        <v>-50</v>
      </c>
      <c r="F2346" s="136">
        <v>4.4999999999999998E-2</v>
      </c>
      <c r="G2346" s="126">
        <f t="shared" si="37"/>
        <v>-50</v>
      </c>
      <c r="H2346" s="126" t="s">
        <v>1784</v>
      </c>
      <c r="I2346" s="127" t="s">
        <v>1448</v>
      </c>
      <c r="J2346" s="126">
        <v>1.29</v>
      </c>
      <c r="K2346" s="126">
        <v>50</v>
      </c>
      <c r="L2346" s="129">
        <f>INT(base[[#This Row],[Data de liquidação]])</f>
        <v>46162</v>
      </c>
      <c r="M2346" s="126">
        <f>base[[#This Row],[L/P Bruto]]-base[[#This Row],[L/P Líquido]]</f>
        <v>0</v>
      </c>
      <c r="N2346" s="126">
        <f>base[[#This Row],[L/P Líquido]]/base[[#This Row],[Stake/Responsabilidade]]</f>
        <v>-1</v>
      </c>
      <c r="O2346" s="132">
        <f>IF(base[[#This Row],[L/P Líquido]]&gt;0,1,0)</f>
        <v>0</v>
      </c>
      <c r="P2346" s="132"/>
      <c r="Q2346" s="132" t="str">
        <f>LEFT(base[[#This Row],[Evento / Mercado]],FIND("vs",base[[#This Row],[Evento / Mercado]])-2)</f>
        <v>Narva Trans</v>
      </c>
      <c r="R23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Paide Linnameeskond</v>
      </c>
      <c r="S2346" s="132" t="str">
        <f>LEFT(base[[#This Row],[Evento / Mercado]],FIND("/",base[[#This Row],[Evento / Mercado]])-2)</f>
        <v>Narva Trans vs Paide Linnameeskond</v>
      </c>
    </row>
    <row r="2347" spans="2:19" ht="15" customHeight="1">
      <c r="B2347" s="128" t="s">
        <v>2348</v>
      </c>
      <c r="C2347" s="128" t="s">
        <v>2982</v>
      </c>
      <c r="D2347" s="129">
        <v>46162.577835648146</v>
      </c>
      <c r="E2347" s="130">
        <v>1.77</v>
      </c>
      <c r="F2347" s="136">
        <v>4.4999999999999998E-2</v>
      </c>
      <c r="G2347" s="126">
        <f t="shared" si="37"/>
        <v>1.8534031413612566</v>
      </c>
      <c r="H2347" s="127" t="s">
        <v>2314</v>
      </c>
      <c r="I2347" s="127" t="s">
        <v>1233</v>
      </c>
      <c r="J2347" s="126">
        <v>6.4</v>
      </c>
      <c r="K2347" s="126">
        <v>9.99</v>
      </c>
      <c r="L2347" s="129">
        <f>INT(base[[#This Row],[Data de liquidação]])</f>
        <v>46162</v>
      </c>
      <c r="M2347" s="126">
        <f>base[[#This Row],[L/P Bruto]]-base[[#This Row],[L/P Líquido]]</f>
        <v>8.3403141361256594E-2</v>
      </c>
      <c r="N2347" s="126">
        <f>base[[#This Row],[L/P Líquido]]/base[[#This Row],[Stake/Responsabilidade]]</f>
        <v>0.17717717717717718</v>
      </c>
      <c r="O2347" s="132">
        <f>IF(base[[#This Row],[L/P Líquido]]&gt;0,1,0)</f>
        <v>1</v>
      </c>
      <c r="P2347" s="132"/>
      <c r="Q2347" s="132" t="str">
        <f>LEFT(base[[#This Row],[Evento / Mercado]],FIND("vs",base[[#This Row],[Evento / Mercado]])-2)</f>
        <v>FK Tukums 2000</v>
      </c>
      <c r="R23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Riga FC</v>
      </c>
      <c r="S2347" s="132" t="str">
        <f>LEFT(base[[#This Row],[Evento / Mercado]],FIND("/",base[[#This Row],[Evento / Mercado]])-2)</f>
        <v>FK Tukums 2000 vs Riga FC</v>
      </c>
    </row>
    <row r="2348" spans="2:19" ht="15" customHeight="1">
      <c r="B2348" s="128" t="s">
        <v>2347</v>
      </c>
      <c r="C2348" s="128" t="s">
        <v>2982</v>
      </c>
      <c r="D2348" s="129">
        <v>46162.62027777778</v>
      </c>
      <c r="E2348" s="130">
        <v>7.74</v>
      </c>
      <c r="F2348" s="136">
        <v>4.4999999999999998E-2</v>
      </c>
      <c r="G2348" s="126">
        <f t="shared" si="37"/>
        <v>8.1047120418848166</v>
      </c>
      <c r="H2348" s="127" t="s">
        <v>2314</v>
      </c>
      <c r="I2348" s="127" t="s">
        <v>2362</v>
      </c>
      <c r="J2348" s="126">
        <v>1.81</v>
      </c>
      <c r="K2348" s="126">
        <v>10</v>
      </c>
      <c r="L2348" s="129">
        <f>INT(base[[#This Row],[Data de liquidação]])</f>
        <v>46162</v>
      </c>
      <c r="M2348" s="126">
        <f>base[[#This Row],[L/P Bruto]]-base[[#This Row],[L/P Líquido]]</f>
        <v>0.36471204188481643</v>
      </c>
      <c r="N2348" s="126">
        <f>base[[#This Row],[L/P Líquido]]/base[[#This Row],[Stake/Responsabilidade]]</f>
        <v>0.77400000000000002</v>
      </c>
      <c r="O2348" s="132">
        <f>IF(base[[#This Row],[L/P Líquido]]&gt;0,1,0)</f>
        <v>1</v>
      </c>
      <c r="P2348" s="132"/>
      <c r="Q2348" s="132" t="str">
        <f>LEFT(base[[#This Row],[Evento / Mercado]],FIND("vs",base[[#This Row],[Evento / Mercado]])-2)</f>
        <v>FC Kuressaare</v>
      </c>
      <c r="R23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Nõmme United</v>
      </c>
      <c r="S2348" s="132" t="str">
        <f>LEFT(base[[#This Row],[Evento / Mercado]],FIND("/",base[[#This Row],[Evento / Mercado]])-2)</f>
        <v>FC Kuressaare vs FC Nõmme United</v>
      </c>
    </row>
    <row r="2349" spans="2:19" ht="15" customHeight="1">
      <c r="B2349" s="128" t="s">
        <v>2346</v>
      </c>
      <c r="C2349" s="128" t="s">
        <v>2982</v>
      </c>
      <c r="D2349" s="129">
        <v>46162.621331018519</v>
      </c>
      <c r="E2349" s="130">
        <v>-10</v>
      </c>
      <c r="F2349" s="136">
        <v>4.4999999999999998E-2</v>
      </c>
      <c r="G2349" s="126">
        <f t="shared" si="37"/>
        <v>-10</v>
      </c>
      <c r="H2349" s="127" t="s">
        <v>2314</v>
      </c>
      <c r="I2349" s="127" t="s">
        <v>2364</v>
      </c>
      <c r="J2349" s="126">
        <v>1.33</v>
      </c>
      <c r="K2349" s="126">
        <v>10</v>
      </c>
      <c r="L2349" s="129">
        <f>INT(base[[#This Row],[Data de liquidação]])</f>
        <v>46162</v>
      </c>
      <c r="M2349" s="126">
        <f>base[[#This Row],[L/P Bruto]]-base[[#This Row],[L/P Líquido]]</f>
        <v>0</v>
      </c>
      <c r="N2349" s="126">
        <f>base[[#This Row],[L/P Líquido]]/base[[#This Row],[Stake/Responsabilidade]]</f>
        <v>-1</v>
      </c>
      <c r="O2349" s="132">
        <f>IF(base[[#This Row],[L/P Líquido]]&gt;0,1,0)</f>
        <v>0</v>
      </c>
      <c r="P2349" s="132"/>
      <c r="Q2349" s="132" t="str">
        <f>LEFT(base[[#This Row],[Evento / Mercado]],FIND("vs",base[[#This Row],[Evento / Mercado]])-2)</f>
        <v>Narva Trans</v>
      </c>
      <c r="R23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Paide Linnameeskond</v>
      </c>
      <c r="S2349" s="132" t="str">
        <f>LEFT(base[[#This Row],[Evento / Mercado]],FIND("/",base[[#This Row],[Evento / Mercado]])-2)</f>
        <v>Narva Trans vs Paide Linnameeskond</v>
      </c>
    </row>
    <row r="2350" spans="2:19" ht="15" customHeight="1">
      <c r="B2350" s="128" t="s">
        <v>2345</v>
      </c>
      <c r="C2350" s="128" t="s">
        <v>2982</v>
      </c>
      <c r="D2350" s="129">
        <v>46162.627743055556</v>
      </c>
      <c r="E2350" s="130">
        <v>-10</v>
      </c>
      <c r="F2350" s="136">
        <v>4.4999999999999998E-2</v>
      </c>
      <c r="G2350" s="126">
        <f t="shared" si="37"/>
        <v>-10</v>
      </c>
      <c r="H2350" s="127" t="s">
        <v>2314</v>
      </c>
      <c r="I2350" s="127" t="s">
        <v>2363</v>
      </c>
      <c r="J2350" s="126">
        <v>1.32</v>
      </c>
      <c r="K2350" s="126">
        <v>10</v>
      </c>
      <c r="L2350" s="129">
        <f>INT(base[[#This Row],[Data de liquidação]])</f>
        <v>46162</v>
      </c>
      <c r="M2350" s="126">
        <f>base[[#This Row],[L/P Bruto]]-base[[#This Row],[L/P Líquido]]</f>
        <v>0</v>
      </c>
      <c r="N2350" s="126">
        <f>base[[#This Row],[L/P Líquido]]/base[[#This Row],[Stake/Responsabilidade]]</f>
        <v>-1</v>
      </c>
      <c r="O2350" s="132">
        <f>IF(base[[#This Row],[L/P Líquido]]&gt;0,1,0)</f>
        <v>0</v>
      </c>
      <c r="P2350" s="132"/>
      <c r="Q2350" s="132" t="str">
        <f>LEFT(base[[#This Row],[Evento / Mercado]],FIND("vs",base[[#This Row],[Evento / Mercado]])-2)</f>
        <v>Lokomotiv Plovdiv</v>
      </c>
      <c r="R23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CSKA Sofia</v>
      </c>
      <c r="S2350" s="132" t="str">
        <f>LEFT(base[[#This Row],[Evento / Mercado]],FIND("/",base[[#This Row],[Evento / Mercado]])-2)</f>
        <v>Lokomotiv Plovdiv vs CSKA Sofia</v>
      </c>
    </row>
    <row r="2351" spans="2:19" ht="15" customHeight="1">
      <c r="B2351" s="128" t="s">
        <v>2344</v>
      </c>
      <c r="C2351" s="128" t="s">
        <v>2982</v>
      </c>
      <c r="D2351" s="129">
        <v>46162.63</v>
      </c>
      <c r="E2351" s="130">
        <v>17.36</v>
      </c>
      <c r="F2351" s="136">
        <v>4.4999999999999998E-2</v>
      </c>
      <c r="G2351" s="126">
        <f t="shared" si="37"/>
        <v>18.178010471204189</v>
      </c>
      <c r="H2351" s="126" t="s">
        <v>1784</v>
      </c>
      <c r="I2351" s="127" t="s">
        <v>1448</v>
      </c>
      <c r="J2351" s="126">
        <v>1.36</v>
      </c>
      <c r="K2351" s="126">
        <v>50</v>
      </c>
      <c r="L2351" s="129">
        <f>INT(base[[#This Row],[Data de liquidação]])</f>
        <v>46162</v>
      </c>
      <c r="M2351" s="126">
        <f>base[[#This Row],[L/P Bruto]]-base[[#This Row],[L/P Líquido]]</f>
        <v>0.81801047120418957</v>
      </c>
      <c r="N2351" s="126">
        <f>base[[#This Row],[L/P Líquido]]/base[[#This Row],[Stake/Responsabilidade]]</f>
        <v>0.34720000000000001</v>
      </c>
      <c r="O2351" s="132">
        <f>IF(base[[#This Row],[L/P Líquido]]&gt;0,1,0)</f>
        <v>1</v>
      </c>
      <c r="P2351" s="132"/>
      <c r="Q2351" s="132" t="str">
        <f>LEFT(base[[#This Row],[Evento / Mercado]],FIND("vs",base[[#This Row],[Evento / Mercado]])-2)</f>
        <v>Palermo</v>
      </c>
      <c r="R23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2351" s="132" t="str">
        <f>LEFT(base[[#This Row],[Evento / Mercado]],FIND("/",base[[#This Row],[Evento / Mercado]])-2)</f>
        <v>Palermo vs Catanzaro</v>
      </c>
    </row>
    <row r="2352" spans="2:19" ht="15" customHeight="1">
      <c r="B2352" s="128" t="s">
        <v>2343</v>
      </c>
      <c r="C2352" s="128" t="s">
        <v>2982</v>
      </c>
      <c r="D2352" s="129">
        <v>46162.63076388889</v>
      </c>
      <c r="E2352" s="130">
        <v>72.48</v>
      </c>
      <c r="F2352" s="136">
        <v>4.4999999999999998E-2</v>
      </c>
      <c r="G2352" s="126">
        <f t="shared" si="37"/>
        <v>75.89528795811519</v>
      </c>
      <c r="H2352" s="126" t="s">
        <v>231</v>
      </c>
      <c r="I2352" s="127" t="s">
        <v>266</v>
      </c>
      <c r="J2352" s="126">
        <v>1.66</v>
      </c>
      <c r="K2352" s="126">
        <v>115</v>
      </c>
      <c r="L2352" s="129">
        <f>INT(base[[#This Row],[Data de liquidação]])</f>
        <v>46162</v>
      </c>
      <c r="M2352" s="126">
        <f>base[[#This Row],[L/P Bruto]]-base[[#This Row],[L/P Líquido]]</f>
        <v>3.4152879581151865</v>
      </c>
      <c r="N2352" s="126">
        <f>base[[#This Row],[L/P Líquido]]/base[[#This Row],[Stake/Responsabilidade]]</f>
        <v>0.63026086956521743</v>
      </c>
      <c r="O2352" s="132">
        <f>IF(base[[#This Row],[L/P Líquido]]&gt;0,1,0)</f>
        <v>1</v>
      </c>
      <c r="P2352" s="132"/>
      <c r="Q2352" s="132" t="str">
        <f>LEFT(base[[#This Row],[Evento / Mercado]],FIND("vs",base[[#This Row],[Evento / Mercado]])-2)</f>
        <v>Ranheim</v>
      </c>
      <c r="R23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Hødd</v>
      </c>
      <c r="S2352" s="132" t="str">
        <f>LEFT(base[[#This Row],[Evento / Mercado]],FIND("/",base[[#This Row],[Evento / Mercado]])-2)</f>
        <v>Ranheim vs Hødd</v>
      </c>
    </row>
    <row r="2353" spans="2:21" ht="15" customHeight="1">
      <c r="B2353" s="128" t="s">
        <v>2342</v>
      </c>
      <c r="C2353" s="128" t="s">
        <v>2982</v>
      </c>
      <c r="D2353" s="129">
        <v>46162.644490740742</v>
      </c>
      <c r="E2353" s="130">
        <v>12.24</v>
      </c>
      <c r="F2353" s="136">
        <v>4.4999999999999998E-2</v>
      </c>
      <c r="G2353" s="126">
        <f t="shared" si="37"/>
        <v>12.816753926701571</v>
      </c>
      <c r="H2353" s="126" t="s">
        <v>1784</v>
      </c>
      <c r="I2353" s="127" t="s">
        <v>1448</v>
      </c>
      <c r="J2353" s="126">
        <v>1.26</v>
      </c>
      <c r="K2353" s="126">
        <v>50</v>
      </c>
      <c r="L2353" s="129">
        <f>INT(base[[#This Row],[Data de liquidação]])</f>
        <v>46162</v>
      </c>
      <c r="M2353" s="126">
        <f>base[[#This Row],[L/P Bruto]]-base[[#This Row],[L/P Líquido]]</f>
        <v>0.57675392670157066</v>
      </c>
      <c r="N2353" s="126">
        <f>base[[#This Row],[L/P Líquido]]/base[[#This Row],[Stake/Responsabilidade]]</f>
        <v>0.24480000000000002</v>
      </c>
      <c r="O2353" s="132">
        <f>IF(base[[#This Row],[L/P Líquido]]&gt;0,1,0)</f>
        <v>1</v>
      </c>
      <c r="P2353" s="132"/>
      <c r="Q2353" s="132" t="str">
        <f>LEFT(base[[#This Row],[Evento / Mercado]],FIND("vs",base[[#This Row],[Evento / Mercado]])-2)</f>
        <v>Aalesunds FK</v>
      </c>
      <c r="R23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2353" s="132" t="str">
        <f>LEFT(base[[#This Row],[Evento / Mercado]],FIND("/",base[[#This Row],[Evento / Mercado]])-2)</f>
        <v>Aalesunds FK vs Brann</v>
      </c>
    </row>
    <row r="2354" spans="2:21" ht="15" customHeight="1">
      <c r="B2354" s="128" t="s">
        <v>2341</v>
      </c>
      <c r="C2354" s="128" t="s">
        <v>2982</v>
      </c>
      <c r="D2354" s="129">
        <v>46162.65185185185</v>
      </c>
      <c r="E2354" s="130">
        <v>-10</v>
      </c>
      <c r="F2354" s="136">
        <v>4.4999999999999998E-2</v>
      </c>
      <c r="G2354" s="126">
        <f t="shared" si="37"/>
        <v>-10</v>
      </c>
      <c r="H2354" s="127" t="s">
        <v>2314</v>
      </c>
      <c r="I2354" s="127" t="s">
        <v>2364</v>
      </c>
      <c r="J2354" s="126">
        <v>2.2599999999999998</v>
      </c>
      <c r="K2354" s="126">
        <v>10</v>
      </c>
      <c r="L2354" s="129">
        <f>INT(base[[#This Row],[Data de liquidação]])</f>
        <v>46162</v>
      </c>
      <c r="M2354" s="126">
        <f>base[[#This Row],[L/P Bruto]]-base[[#This Row],[L/P Líquido]]</f>
        <v>0</v>
      </c>
      <c r="N2354" s="126">
        <f>base[[#This Row],[L/P Líquido]]/base[[#This Row],[Stake/Responsabilidade]]</f>
        <v>-1</v>
      </c>
      <c r="O2354" s="132">
        <f>IF(base[[#This Row],[L/P Líquido]]&gt;0,1,0)</f>
        <v>0</v>
      </c>
      <c r="P2354" s="132"/>
      <c r="Q2354" s="132" t="str">
        <f>LEFT(base[[#This Row],[Evento / Mercado]],FIND("vs",base[[#This Row],[Evento / Mercado]])-2)</f>
        <v>Willem II</v>
      </c>
      <c r="R23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Volendam</v>
      </c>
      <c r="S2354" s="132" t="str">
        <f>LEFT(base[[#This Row],[Evento / Mercado]],FIND("/",base[[#This Row],[Evento / Mercado]])-2)</f>
        <v>Willem II vs FC Volendam</v>
      </c>
    </row>
    <row r="2355" spans="2:21" ht="15" customHeight="1">
      <c r="B2355" s="128" t="s">
        <v>2340</v>
      </c>
      <c r="C2355" s="128" t="s">
        <v>2982</v>
      </c>
      <c r="D2355" s="129">
        <v>46162.656898148147</v>
      </c>
      <c r="E2355" s="130">
        <v>13.64</v>
      </c>
      <c r="F2355" s="136">
        <v>4.4999999999999998E-2</v>
      </c>
      <c r="G2355" s="126">
        <f t="shared" si="37"/>
        <v>14.282722513089006</v>
      </c>
      <c r="H2355" s="126" t="s">
        <v>1784</v>
      </c>
      <c r="I2355" s="127" t="s">
        <v>1448</v>
      </c>
      <c r="J2355" s="126">
        <v>1.29</v>
      </c>
      <c r="K2355" s="126">
        <v>50</v>
      </c>
      <c r="L2355" s="129">
        <f>INT(base[[#This Row],[Data de liquidação]])</f>
        <v>46162</v>
      </c>
      <c r="M2355" s="126">
        <f>base[[#This Row],[L/P Bruto]]-base[[#This Row],[L/P Líquido]]</f>
        <v>0.64272251308900508</v>
      </c>
      <c r="N2355" s="126">
        <f>base[[#This Row],[L/P Líquido]]/base[[#This Row],[Stake/Responsabilidade]]</f>
        <v>0.27279999999999999</v>
      </c>
      <c r="O2355" s="132">
        <f>IF(base[[#This Row],[L/P Líquido]]&gt;0,1,0)</f>
        <v>1</v>
      </c>
      <c r="P2355" s="132"/>
      <c r="Q2355" s="132" t="str">
        <f>LEFT(base[[#This Row],[Evento / Mercado]],FIND("vs",base[[#This Row],[Evento / Mercado]])-2)</f>
        <v>Al Najma Club</v>
      </c>
      <c r="R23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Al-Shabab Riyadh</v>
      </c>
      <c r="S2355" s="132" t="str">
        <f>LEFT(base[[#This Row],[Evento / Mercado]],FIND("/",base[[#This Row],[Evento / Mercado]])-2)</f>
        <v>Al Najma Club vs Al-Shabab Riyadh</v>
      </c>
    </row>
    <row r="2356" spans="2:21" ht="15" customHeight="1">
      <c r="B2356" s="128" t="s">
        <v>2339</v>
      </c>
      <c r="C2356" s="128" t="s">
        <v>2982</v>
      </c>
      <c r="D2356" s="129">
        <v>46162.661527777775</v>
      </c>
      <c r="E2356" s="130">
        <v>3.5335000000000001</v>
      </c>
      <c r="F2356" s="136">
        <v>4.4999999999999998E-2</v>
      </c>
      <c r="G2356" s="126">
        <f t="shared" si="37"/>
        <v>3.7</v>
      </c>
      <c r="H2356" s="127" t="s">
        <v>2314</v>
      </c>
      <c r="I2356" s="127" t="s">
        <v>1233</v>
      </c>
      <c r="J2356" s="126">
        <v>3.7</v>
      </c>
      <c r="K2356" s="126">
        <v>9.99</v>
      </c>
      <c r="L2356" s="129">
        <f>INT(base[[#This Row],[Data de liquidação]])</f>
        <v>46162</v>
      </c>
      <c r="M2356" s="126">
        <f>base[[#This Row],[L/P Bruto]]-base[[#This Row],[L/P Líquido]]</f>
        <v>0.16650000000000009</v>
      </c>
      <c r="N2356" s="126">
        <f>base[[#This Row],[L/P Líquido]]/base[[#This Row],[Stake/Responsabilidade]]</f>
        <v>0.35370370370370369</v>
      </c>
      <c r="O2356" s="132">
        <f>IF(base[[#This Row],[L/P Líquido]]&gt;0,1,0)</f>
        <v>1</v>
      </c>
      <c r="P2356" s="132"/>
      <c r="Q2356" s="132" t="str">
        <f>LEFT(base[[#This Row],[Evento / Mercado]],FIND("vs",base[[#This Row],[Evento / Mercado]])-2)</f>
        <v>GAIS</v>
      </c>
      <c r="R23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Hammarby IF</v>
      </c>
      <c r="S2356" s="132" t="str">
        <f>LEFT(base[[#This Row],[Evento / Mercado]],FIND("/",base[[#This Row],[Evento / Mercado]])-2)</f>
        <v>GAIS vs Hammarby IF</v>
      </c>
      <c r="T2356" s="8">
        <v>3.7</v>
      </c>
      <c r="U2356" s="9">
        <f>T2356*0.955</f>
        <v>3.5335000000000001</v>
      </c>
    </row>
    <row r="2357" spans="2:21" ht="15" customHeight="1">
      <c r="B2357" s="128" t="s">
        <v>2339</v>
      </c>
      <c r="C2357" s="128" t="s">
        <v>2982</v>
      </c>
      <c r="D2357" s="129">
        <v>46162.661527777775</v>
      </c>
      <c r="E2357" s="130">
        <v>6.3698499999999996</v>
      </c>
      <c r="F2357" s="136">
        <v>4.4999999999999998E-2</v>
      </c>
      <c r="G2357" s="126">
        <f t="shared" si="37"/>
        <v>6.67</v>
      </c>
      <c r="H2357" s="126" t="s">
        <v>1339</v>
      </c>
      <c r="I2357" s="127" t="s">
        <v>1430</v>
      </c>
      <c r="J2357" s="126">
        <v>11.5</v>
      </c>
      <c r="K2357" s="126">
        <v>70.040000000000006</v>
      </c>
      <c r="L2357" s="129">
        <f>INT(base[[#This Row],[Data de liquidação]])</f>
        <v>46162</v>
      </c>
      <c r="M2357" s="126">
        <f>base[[#This Row],[L/P Bruto]]-base[[#This Row],[L/P Líquido]]</f>
        <v>0.30015000000000036</v>
      </c>
      <c r="N2357" s="126">
        <f>base[[#This Row],[L/P Líquido]]/base[[#This Row],[Stake/Responsabilidade]]</f>
        <v>9.0945888063963434E-2</v>
      </c>
      <c r="O2357" s="132">
        <f>IF(base[[#This Row],[L/P Líquido]]&gt;0,1,0)</f>
        <v>1</v>
      </c>
      <c r="P2357" s="132"/>
      <c r="Q2357" s="132" t="str">
        <f>LEFT(base[[#This Row],[Evento / Mercado]],FIND("vs",base[[#This Row],[Evento / Mercado]])-2)</f>
        <v>GAIS</v>
      </c>
      <c r="R23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Hammarby IF</v>
      </c>
      <c r="S2357" s="132" t="str">
        <f>LEFT(base[[#This Row],[Evento / Mercado]],FIND("/",base[[#This Row],[Evento / Mercado]])-2)</f>
        <v>GAIS vs Hammarby IF</v>
      </c>
      <c r="T2357" s="8">
        <v>6.67</v>
      </c>
      <c r="U2357" s="9">
        <f>T2357*0.955</f>
        <v>6.3698499999999996</v>
      </c>
    </row>
    <row r="2358" spans="2:21" ht="15" customHeight="1">
      <c r="B2358" s="128" t="s">
        <v>2338</v>
      </c>
      <c r="C2358" s="128" t="s">
        <v>2982</v>
      </c>
      <c r="D2358" s="129">
        <v>46162.662106481483</v>
      </c>
      <c r="E2358" s="130">
        <v>-115</v>
      </c>
      <c r="F2358" s="136">
        <v>4.4999999999999998E-2</v>
      </c>
      <c r="G2358" s="126">
        <f t="shared" si="37"/>
        <v>-115</v>
      </c>
      <c r="H2358" s="126" t="s">
        <v>231</v>
      </c>
      <c r="I2358" s="127" t="s">
        <v>232</v>
      </c>
      <c r="J2358" s="126">
        <v>1.68</v>
      </c>
      <c r="K2358" s="126">
        <v>115</v>
      </c>
      <c r="L2358" s="129">
        <f>INT(base[[#This Row],[Data de liquidação]])</f>
        <v>46162</v>
      </c>
      <c r="M2358" s="126">
        <f>base[[#This Row],[L/P Bruto]]-base[[#This Row],[L/P Líquido]]</f>
        <v>0</v>
      </c>
      <c r="N2358" s="126">
        <f>base[[#This Row],[L/P Líquido]]/base[[#This Row],[Stake/Responsabilidade]]</f>
        <v>-1</v>
      </c>
      <c r="O2358" s="132">
        <f>IF(base[[#This Row],[L/P Líquido]]&gt;0,1,0)</f>
        <v>0</v>
      </c>
      <c r="P2358" s="132"/>
      <c r="Q2358" s="132" t="str">
        <f>LEFT(base[[#This Row],[Evento / Mercado]],FIND("vs",base[[#This Row],[Evento / Mercado]])-2)</f>
        <v>Åsane</v>
      </c>
      <c r="R23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Sandnes Ulf</v>
      </c>
      <c r="S2358" s="132" t="str">
        <f>LEFT(base[[#This Row],[Evento / Mercado]],FIND("/",base[[#This Row],[Evento / Mercado]])-2)</f>
        <v>Åsane vs Sandnes Ulf</v>
      </c>
    </row>
    <row r="2359" spans="2:21" ht="15" customHeight="1">
      <c r="B2359" s="128" t="s">
        <v>2337</v>
      </c>
      <c r="C2359" s="128" t="s">
        <v>2982</v>
      </c>
      <c r="D2359" s="129">
        <v>46162.662476851852</v>
      </c>
      <c r="E2359" s="130">
        <v>31.99</v>
      </c>
      <c r="F2359" s="136">
        <v>4.4999999999999998E-2</v>
      </c>
      <c r="G2359" s="126">
        <f t="shared" si="37"/>
        <v>33.497382198952877</v>
      </c>
      <c r="H2359" s="126" t="s">
        <v>1784</v>
      </c>
      <c r="I2359" s="127" t="s">
        <v>1787</v>
      </c>
      <c r="J2359" s="126">
        <v>1.67</v>
      </c>
      <c r="K2359" s="126">
        <v>50</v>
      </c>
      <c r="L2359" s="129">
        <f>INT(base[[#This Row],[Data de liquidação]])</f>
        <v>46162</v>
      </c>
      <c r="M2359" s="126">
        <f>base[[#This Row],[L/P Bruto]]-base[[#This Row],[L/P Líquido]]</f>
        <v>1.5073821989528788</v>
      </c>
      <c r="N2359" s="126">
        <f>base[[#This Row],[L/P Líquido]]/base[[#This Row],[Stake/Responsabilidade]]</f>
        <v>0.63979999999999992</v>
      </c>
      <c r="O2359" s="132">
        <f>IF(base[[#This Row],[L/P Líquido]]&gt;0,1,0)</f>
        <v>1</v>
      </c>
      <c r="P2359" s="132"/>
      <c r="Q2359" s="132" t="str">
        <f>LEFT(base[[#This Row],[Evento / Mercado]],FIND("vs",base[[#This Row],[Evento / Mercado]])-2)</f>
        <v>Ranheim</v>
      </c>
      <c r="R23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Hødd</v>
      </c>
      <c r="S2359" s="132" t="str">
        <f>LEFT(base[[#This Row],[Evento / Mercado]],FIND("/",base[[#This Row],[Evento / Mercado]])-2)</f>
        <v>Ranheim vs Hødd</v>
      </c>
    </row>
    <row r="2360" spans="2:21" ht="15" customHeight="1">
      <c r="B2360" s="128" t="s">
        <v>2336</v>
      </c>
      <c r="C2360" s="128" t="s">
        <v>2982</v>
      </c>
      <c r="D2360" s="129">
        <v>46162.679282407407</v>
      </c>
      <c r="E2360" s="130">
        <v>-10</v>
      </c>
      <c r="F2360" s="136">
        <v>4.4999999999999998E-2</v>
      </c>
      <c r="G2360" s="126">
        <f t="shared" si="37"/>
        <v>-10</v>
      </c>
      <c r="H2360" s="127" t="s">
        <v>2314</v>
      </c>
      <c r="I2360" s="127" t="s">
        <v>2315</v>
      </c>
      <c r="J2360" s="126">
        <v>2.64</v>
      </c>
      <c r="K2360" s="126">
        <v>10</v>
      </c>
      <c r="L2360" s="129">
        <f>INT(base[[#This Row],[Data de liquidação]])</f>
        <v>46162</v>
      </c>
      <c r="M2360" s="126">
        <f>base[[#This Row],[L/P Bruto]]-base[[#This Row],[L/P Líquido]]</f>
        <v>0</v>
      </c>
      <c r="N2360" s="126">
        <f>base[[#This Row],[L/P Líquido]]/base[[#This Row],[Stake/Responsabilidade]]</f>
        <v>-1</v>
      </c>
      <c r="O2360" s="132">
        <f>IF(base[[#This Row],[L/P Líquido]]&gt;0,1,0)</f>
        <v>0</v>
      </c>
      <c r="P2360" s="132"/>
      <c r="Q2360" s="132" t="str">
        <f>LEFT(base[[#This Row],[Evento / Mercado]],FIND("vs",base[[#This Row],[Evento / Mercado]])-2)</f>
        <v>SC União Torreense</v>
      </c>
      <c r="R23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Casa Pia</v>
      </c>
      <c r="S2360" s="132" t="str">
        <f>LEFT(base[[#This Row],[Evento / Mercado]],FIND("/",base[[#This Row],[Evento / Mercado]])-2)</f>
        <v>SC União Torreense vs Casa Pia</v>
      </c>
      <c r="T2360" s="8">
        <v>3.7</v>
      </c>
      <c r="U2360" s="9">
        <f>T2360*0.955</f>
        <v>3.5335000000000001</v>
      </c>
    </row>
    <row r="2361" spans="2:21" ht="15" customHeight="1">
      <c r="B2361" s="128" t="s">
        <v>2336</v>
      </c>
      <c r="C2361" s="128" t="s">
        <v>2982</v>
      </c>
      <c r="D2361" s="129">
        <v>46162.679282407407</v>
      </c>
      <c r="E2361" s="130">
        <v>6.1</v>
      </c>
      <c r="F2361" s="136">
        <v>0</v>
      </c>
      <c r="G2361" s="126">
        <f t="shared" si="37"/>
        <v>6.1</v>
      </c>
      <c r="H2361" s="127" t="s">
        <v>2314</v>
      </c>
      <c r="I2361" s="127" t="s">
        <v>1233</v>
      </c>
      <c r="J2361" s="126">
        <v>3.15</v>
      </c>
      <c r="K2361" s="126">
        <v>10</v>
      </c>
      <c r="L2361" s="129">
        <f>INT(base[[#This Row],[Data de liquidação]])</f>
        <v>46162</v>
      </c>
      <c r="M2361" s="126">
        <f>base[[#This Row],[L/P Bruto]]-base[[#This Row],[L/P Líquido]]</f>
        <v>0</v>
      </c>
      <c r="N2361" s="126">
        <f>base[[#This Row],[L/P Líquido]]/base[[#This Row],[Stake/Responsabilidade]]</f>
        <v>0.61</v>
      </c>
      <c r="O2361" s="132">
        <f>IF(base[[#This Row],[L/P Líquido]]&gt;0,1,0)</f>
        <v>1</v>
      </c>
      <c r="P2361" s="132"/>
      <c r="Q2361" s="132" t="str">
        <f>LEFT(base[[#This Row],[Evento / Mercado]],FIND("vs",base[[#This Row],[Evento / Mercado]])-2)</f>
        <v>SC União Torreense</v>
      </c>
      <c r="R23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Casa Pia</v>
      </c>
      <c r="S2361" s="132" t="str">
        <f>LEFT(base[[#This Row],[Evento / Mercado]],FIND("/",base[[#This Row],[Evento / Mercado]])-2)</f>
        <v>SC União Torreense vs Casa Pia</v>
      </c>
      <c r="T2361" s="8">
        <v>6.67</v>
      </c>
      <c r="U2361" s="9">
        <f>T2361*0.955</f>
        <v>6.3698499999999996</v>
      </c>
    </row>
    <row r="2362" spans="2:21" ht="15" customHeight="1">
      <c r="B2362" s="128" t="s">
        <v>2335</v>
      </c>
      <c r="C2362" s="128" t="s">
        <v>2982</v>
      </c>
      <c r="D2362" s="129">
        <v>46162.687430555554</v>
      </c>
      <c r="E2362" s="130">
        <v>-6.25</v>
      </c>
      <c r="F2362" s="136">
        <v>4.4999999999999998E-2</v>
      </c>
      <c r="G2362" s="126">
        <f t="shared" si="37"/>
        <v>-6.25</v>
      </c>
      <c r="H2362" s="126" t="s">
        <v>1339</v>
      </c>
      <c r="I2362" s="127" t="s">
        <v>1236</v>
      </c>
      <c r="J2362" s="126">
        <v>13</v>
      </c>
      <c r="K2362" s="126">
        <v>10</v>
      </c>
      <c r="L2362" s="129">
        <f>INT(base[[#This Row],[Data de liquidação]])</f>
        <v>46162</v>
      </c>
      <c r="M2362" s="126">
        <f>base[[#This Row],[L/P Bruto]]-base[[#This Row],[L/P Líquido]]</f>
        <v>0</v>
      </c>
      <c r="N2362" s="126">
        <f>base[[#This Row],[L/P Líquido]]/base[[#This Row],[Stake/Responsabilidade]]</f>
        <v>-0.625</v>
      </c>
      <c r="O2362" s="132">
        <f>IF(base[[#This Row],[L/P Líquido]]&gt;0,1,0)</f>
        <v>0</v>
      </c>
      <c r="P2362" s="132"/>
      <c r="Q2362" s="132" t="str">
        <f>LEFT(base[[#This Row],[Evento / Mercado]],FIND("vs",base[[#This Row],[Evento / Mercado]])-2)</f>
        <v>Aalesunds FK</v>
      </c>
      <c r="R23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2362" s="132" t="str">
        <f>LEFT(base[[#This Row],[Evento / Mercado]],FIND("/",base[[#This Row],[Evento / Mercado]])-2)</f>
        <v>Aalesunds FK vs Brann</v>
      </c>
    </row>
    <row r="2363" spans="2:21" ht="15" customHeight="1">
      <c r="B2363" s="128" t="s">
        <v>2334</v>
      </c>
      <c r="C2363" s="128" t="s">
        <v>2982</v>
      </c>
      <c r="D2363" s="129">
        <v>46162.691574074073</v>
      </c>
      <c r="E2363" s="130">
        <v>22.44</v>
      </c>
      <c r="F2363" s="136">
        <v>4.4999999999999998E-2</v>
      </c>
      <c r="G2363" s="126">
        <f t="shared" si="37"/>
        <v>23.497382198952881</v>
      </c>
      <c r="H2363" s="126" t="s">
        <v>1784</v>
      </c>
      <c r="I2363" s="127" t="s">
        <v>1448</v>
      </c>
      <c r="J2363" s="126">
        <v>1.47</v>
      </c>
      <c r="K2363" s="126">
        <v>50</v>
      </c>
      <c r="L2363" s="129">
        <f>INT(base[[#This Row],[Data de liquidação]])</f>
        <v>46162</v>
      </c>
      <c r="M2363" s="126">
        <f>base[[#This Row],[L/P Bruto]]-base[[#This Row],[L/P Líquido]]</f>
        <v>1.0573821989528795</v>
      </c>
      <c r="N2363" s="126">
        <f>base[[#This Row],[L/P Líquido]]/base[[#This Row],[Stake/Responsabilidade]]</f>
        <v>0.44880000000000003</v>
      </c>
      <c r="O2363" s="132">
        <f>IF(base[[#This Row],[L/P Líquido]]&gt;0,1,0)</f>
        <v>1</v>
      </c>
      <c r="P2363" s="132"/>
      <c r="Q2363" s="132" t="str">
        <f>LEFT(base[[#This Row],[Evento / Mercado]],FIND("vs",base[[#This Row],[Evento / Mercado]])-2)</f>
        <v>CR Belouizdad</v>
      </c>
      <c r="R23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MC Oran</v>
      </c>
      <c r="S2363" s="132" t="str">
        <f>LEFT(base[[#This Row],[Evento / Mercado]],FIND("/",base[[#This Row],[Evento / Mercado]])-2)</f>
        <v>CR Belouizdad vs MC Oran</v>
      </c>
    </row>
    <row r="2364" spans="2:21" ht="15" customHeight="1">
      <c r="B2364" s="128" t="s">
        <v>2333</v>
      </c>
      <c r="C2364" s="128" t="s">
        <v>2982</v>
      </c>
      <c r="D2364" s="129">
        <v>46162.69630787037</v>
      </c>
      <c r="E2364" s="130">
        <v>22.21</v>
      </c>
      <c r="F2364" s="136">
        <v>4.4999999999999998E-2</v>
      </c>
      <c r="G2364" s="126">
        <f t="shared" si="37"/>
        <v>23.256544502617803</v>
      </c>
      <c r="H2364" s="126" t="s">
        <v>1784</v>
      </c>
      <c r="I2364" s="127" t="s">
        <v>1448</v>
      </c>
      <c r="J2364" s="126">
        <v>1.47</v>
      </c>
      <c r="K2364" s="126">
        <v>50</v>
      </c>
      <c r="L2364" s="129">
        <f>INT(base[[#This Row],[Data de liquidação]])</f>
        <v>46162</v>
      </c>
      <c r="M2364" s="126">
        <f>base[[#This Row],[L/P Bruto]]-base[[#This Row],[L/P Líquido]]</f>
        <v>1.0465445026178024</v>
      </c>
      <c r="N2364" s="126">
        <f>base[[#This Row],[L/P Líquido]]/base[[#This Row],[Stake/Responsabilidade]]</f>
        <v>0.44420000000000004</v>
      </c>
      <c r="O2364" s="132">
        <f>IF(base[[#This Row],[L/P Líquido]]&gt;0,1,0)</f>
        <v>1</v>
      </c>
      <c r="P2364" s="132"/>
      <c r="Q2364" s="132" t="str">
        <f>LEFT(base[[#This Row],[Evento / Mercado]],FIND("vs",base[[#This Row],[Evento / Mercado]])-2)</f>
        <v>SC Freiburg</v>
      </c>
      <c r="R23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2364" s="132" t="str">
        <f>LEFT(base[[#This Row],[Evento / Mercado]],FIND("/",base[[#This Row],[Evento / Mercado]])-2)</f>
        <v>SC Freiburg vs Aston Villa</v>
      </c>
    </row>
    <row r="2365" spans="2:21" ht="15" customHeight="1">
      <c r="B2365" s="128" t="s">
        <v>2332</v>
      </c>
      <c r="C2365" s="128" t="s">
        <v>2982</v>
      </c>
      <c r="D2365" s="129">
        <v>46162.698680555557</v>
      </c>
      <c r="E2365" s="130">
        <v>-390.02</v>
      </c>
      <c r="F2365" s="136">
        <v>4.4999999999999998E-2</v>
      </c>
      <c r="G2365" s="126">
        <f t="shared" si="37"/>
        <v>-390.02</v>
      </c>
      <c r="H2365" s="126" t="s">
        <v>145</v>
      </c>
      <c r="I2365" s="127" t="s">
        <v>301</v>
      </c>
      <c r="J2365" s="126">
        <v>7.4</v>
      </c>
      <c r="K2365" s="126">
        <v>390.02</v>
      </c>
      <c r="L2365" s="129">
        <f>INT(base[[#This Row],[Data de liquidação]])</f>
        <v>46162</v>
      </c>
      <c r="M2365" s="126">
        <f>base[[#This Row],[L/P Bruto]]-base[[#This Row],[L/P Líquido]]</f>
        <v>0</v>
      </c>
      <c r="N2365" s="126">
        <f>base[[#This Row],[L/P Líquido]]/base[[#This Row],[Stake/Responsabilidade]]</f>
        <v>-1</v>
      </c>
      <c r="O2365" s="132">
        <f>IF(base[[#This Row],[L/P Líquido]]&gt;0,1,0)</f>
        <v>0</v>
      </c>
      <c r="P2365" s="132" t="s">
        <v>1668</v>
      </c>
      <c r="Q2365" s="132" t="str">
        <f>LEFT(base[[#This Row],[Evento / Mercado]],FIND("vs",base[[#This Row],[Evento / Mercado]])-2)</f>
        <v>Lillestrøm SK</v>
      </c>
      <c r="R23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Kristiansund BK</v>
      </c>
      <c r="S2365" s="132" t="str">
        <f>LEFT(base[[#This Row],[Evento / Mercado]],FIND("/",base[[#This Row],[Evento / Mercado]])-2)</f>
        <v>Lillestrøm SK vs Kristiansund BK</v>
      </c>
    </row>
    <row r="2366" spans="2:21" ht="15" customHeight="1">
      <c r="B2366" s="128" t="s">
        <v>2332</v>
      </c>
      <c r="C2366" s="128" t="s">
        <v>2982</v>
      </c>
      <c r="D2366" s="129">
        <v>46162.698680555557</v>
      </c>
      <c r="E2366" s="130">
        <v>-50</v>
      </c>
      <c r="F2366" s="136">
        <v>4.4999999999999998E-2</v>
      </c>
      <c r="G2366" s="126">
        <f t="shared" si="37"/>
        <v>-50</v>
      </c>
      <c r="H2366" s="126" t="s">
        <v>1784</v>
      </c>
      <c r="I2366" s="127" t="s">
        <v>1787</v>
      </c>
      <c r="J2366" s="126">
        <v>1.47</v>
      </c>
      <c r="K2366" s="126">
        <v>50</v>
      </c>
      <c r="L2366" s="129">
        <f>INT(base[[#This Row],[Data de liquidação]])</f>
        <v>46162</v>
      </c>
      <c r="M2366" s="126">
        <f>base[[#This Row],[L/P Bruto]]-base[[#This Row],[L/P Líquido]]</f>
        <v>0</v>
      </c>
      <c r="N2366" s="126">
        <f>base[[#This Row],[L/P Líquido]]/base[[#This Row],[Stake/Responsabilidade]]</f>
        <v>-1</v>
      </c>
      <c r="O2366" s="132">
        <f>IF(base[[#This Row],[L/P Líquido]]&gt;0,1,0)</f>
        <v>0</v>
      </c>
      <c r="P2366" s="132"/>
      <c r="Q2366" s="132" t="str">
        <f>LEFT(base[[#This Row],[Evento / Mercado]],FIND("vs",base[[#This Row],[Evento / Mercado]])-2)</f>
        <v>Lillestrøm SK</v>
      </c>
      <c r="R23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Kristiansund BK</v>
      </c>
      <c r="S2366" s="132" t="str">
        <f>LEFT(base[[#This Row],[Evento / Mercado]],FIND("/",base[[#This Row],[Evento / Mercado]])-2)</f>
        <v>Lillestrøm SK vs Kristiansund BK</v>
      </c>
    </row>
    <row r="2367" spans="2:21" ht="15" customHeight="1">
      <c r="B2367" s="128" t="s">
        <v>2331</v>
      </c>
      <c r="C2367" s="128" t="s">
        <v>2982</v>
      </c>
      <c r="D2367" s="129">
        <v>46162.704282407409</v>
      </c>
      <c r="E2367" s="130">
        <v>-9.4</v>
      </c>
      <c r="F2367" s="136">
        <v>4.4999999999999998E-2</v>
      </c>
      <c r="G2367" s="126">
        <f t="shared" si="37"/>
        <v>-9.4</v>
      </c>
      <c r="H2367" s="126" t="s">
        <v>1339</v>
      </c>
      <c r="I2367" s="127" t="s">
        <v>1236</v>
      </c>
      <c r="J2367" s="126">
        <v>10.09</v>
      </c>
      <c r="K2367" s="126">
        <v>10</v>
      </c>
      <c r="L2367" s="129">
        <f>INT(base[[#This Row],[Data de liquidação]])</f>
        <v>46162</v>
      </c>
      <c r="M2367" s="126">
        <f>base[[#This Row],[L/P Bruto]]-base[[#This Row],[L/P Líquido]]</f>
        <v>0</v>
      </c>
      <c r="N2367" s="126">
        <f>base[[#This Row],[L/P Líquido]]/base[[#This Row],[Stake/Responsabilidade]]</f>
        <v>-0.94000000000000006</v>
      </c>
      <c r="O2367" s="132">
        <f>IF(base[[#This Row],[L/P Líquido]]&gt;0,1,0)</f>
        <v>0</v>
      </c>
      <c r="P2367" s="132"/>
      <c r="Q2367" s="132" t="str">
        <f>LEFT(base[[#This Row],[Evento / Mercado]],FIND("vs",base[[#This Row],[Evento / Mercado]])-2)</f>
        <v>Palermo</v>
      </c>
      <c r="R23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2367" s="132" t="str">
        <f>LEFT(base[[#This Row],[Evento / Mercado]],FIND("/",base[[#This Row],[Evento / Mercado]])-2)</f>
        <v>Palermo vs Catanzaro</v>
      </c>
    </row>
    <row r="2368" spans="2:21" ht="15" customHeight="1">
      <c r="B2368" s="128" t="s">
        <v>2330</v>
      </c>
      <c r="C2368" s="128" t="s">
        <v>2982</v>
      </c>
      <c r="D2368" s="129">
        <v>46162.706944444442</v>
      </c>
      <c r="E2368" s="130">
        <v>45.36</v>
      </c>
      <c r="F2368" s="136">
        <v>4.4999999999999998E-2</v>
      </c>
      <c r="G2368" s="126">
        <f t="shared" si="37"/>
        <v>47.497382198952884</v>
      </c>
      <c r="H2368" s="126" t="s">
        <v>1784</v>
      </c>
      <c r="I2368" s="127" t="s">
        <v>2362</v>
      </c>
      <c r="J2368" s="126">
        <v>1.95</v>
      </c>
      <c r="K2368" s="126">
        <v>50</v>
      </c>
      <c r="L2368" s="129">
        <f>INT(base[[#This Row],[Data de liquidação]])</f>
        <v>46162</v>
      </c>
      <c r="M2368" s="126">
        <f>base[[#This Row],[L/P Bruto]]-base[[#This Row],[L/P Líquido]]</f>
        <v>2.1373821989528849</v>
      </c>
      <c r="N2368" s="126">
        <f>base[[#This Row],[L/P Líquido]]/base[[#This Row],[Stake/Responsabilidade]]</f>
        <v>0.90720000000000001</v>
      </c>
      <c r="O2368" s="132">
        <f>IF(base[[#This Row],[L/P Líquido]]&gt;0,1,0)</f>
        <v>1</v>
      </c>
      <c r="P2368" s="132"/>
      <c r="Q2368" s="132" t="str">
        <f>LEFT(base[[#This Row],[Evento / Mercado]],FIND("vs",base[[#This Row],[Evento / Mercado]])-2)</f>
        <v>Aalesunds FK</v>
      </c>
      <c r="R23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2368" s="132" t="str">
        <f>LEFT(base[[#This Row],[Evento / Mercado]],FIND("/",base[[#This Row],[Evento / Mercado]])-2)</f>
        <v>Aalesunds FK vs Brann</v>
      </c>
    </row>
    <row r="2369" spans="2:19" ht="15" customHeight="1">
      <c r="B2369" s="128" t="s">
        <v>2329</v>
      </c>
      <c r="C2369" s="128" t="s">
        <v>2982</v>
      </c>
      <c r="D2369" s="129">
        <v>46162.707974537036</v>
      </c>
      <c r="E2369" s="130">
        <v>9.2799999999999994</v>
      </c>
      <c r="F2369" s="136">
        <v>4.4999999999999998E-2</v>
      </c>
      <c r="G2369" s="126">
        <f t="shared" si="37"/>
        <v>9.7172774869109944</v>
      </c>
      <c r="H2369" s="126" t="s">
        <v>1339</v>
      </c>
      <c r="I2369" s="127" t="s">
        <v>1430</v>
      </c>
      <c r="J2369" s="126">
        <v>7.8</v>
      </c>
      <c r="K2369" s="126">
        <v>66.099999999999994</v>
      </c>
      <c r="L2369" s="129">
        <f>INT(base[[#This Row],[Data de liquidação]])</f>
        <v>46162</v>
      </c>
      <c r="M2369" s="126">
        <f>base[[#This Row],[L/P Bruto]]-base[[#This Row],[L/P Líquido]]</f>
        <v>0.43727748691099499</v>
      </c>
      <c r="N2369" s="126">
        <f>base[[#This Row],[L/P Líquido]]/base[[#This Row],[Stake/Responsabilidade]]</f>
        <v>0.14039334341906204</v>
      </c>
      <c r="O2369" s="132">
        <f>IF(base[[#This Row],[L/P Líquido]]&gt;0,1,0)</f>
        <v>1</v>
      </c>
      <c r="P2369" s="132"/>
      <c r="Q2369" s="132" t="str">
        <f>LEFT(base[[#This Row],[Evento / Mercado]],FIND("vs",base[[#This Row],[Evento / Mercado]])-2)</f>
        <v>Al Najma Club</v>
      </c>
      <c r="R23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Al-Shabab Riyadh</v>
      </c>
      <c r="S2369" s="132" t="str">
        <f>LEFT(base[[#This Row],[Evento / Mercado]],FIND("/",base[[#This Row],[Evento / Mercado]])-2)</f>
        <v>Al Najma Club vs Al-Shabab Riyadh</v>
      </c>
    </row>
    <row r="2370" spans="2:19" ht="15" customHeight="1">
      <c r="B2370" s="128" t="s">
        <v>2328</v>
      </c>
      <c r="C2370" s="128" t="s">
        <v>2982</v>
      </c>
      <c r="D2370" s="129">
        <v>46162.708020833335</v>
      </c>
      <c r="E2370" s="130">
        <v>6.49</v>
      </c>
      <c r="F2370" s="136">
        <v>4.4999999999999998E-2</v>
      </c>
      <c r="G2370" s="126">
        <f t="shared" si="37"/>
        <v>6.7958115183246077</v>
      </c>
      <c r="H2370" s="126" t="s">
        <v>1339</v>
      </c>
      <c r="I2370" s="127" t="s">
        <v>1338</v>
      </c>
      <c r="J2370" s="126">
        <v>2.36</v>
      </c>
      <c r="K2370" s="126">
        <v>5</v>
      </c>
      <c r="L2370" s="129">
        <f>INT(base[[#This Row],[Data de liquidação]])</f>
        <v>46162</v>
      </c>
      <c r="M2370" s="126">
        <f>base[[#This Row],[L/P Bruto]]-base[[#This Row],[L/P Líquido]]</f>
        <v>0.30581151832460751</v>
      </c>
      <c r="N2370" s="126">
        <f>base[[#This Row],[L/P Líquido]]/base[[#This Row],[Stake/Responsabilidade]]</f>
        <v>1.298</v>
      </c>
      <c r="O2370" s="132">
        <f>IF(base[[#This Row],[L/P Líquido]]&gt;0,1,0)</f>
        <v>1</v>
      </c>
      <c r="P2370" s="132"/>
      <c r="Q2370" s="132" t="str">
        <f>LEFT(base[[#This Row],[Evento / Mercado]],FIND("vs",base[[#This Row],[Evento / Mercado]])-2)</f>
        <v>Al Najma Club</v>
      </c>
      <c r="R23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Al-Shabab Riyadh</v>
      </c>
      <c r="S2370" s="132" t="str">
        <f>LEFT(base[[#This Row],[Evento / Mercado]],FIND("/",base[[#This Row],[Evento / Mercado]])-2)</f>
        <v>Al Najma Club vs Al-Shabab Riyadh</v>
      </c>
    </row>
    <row r="2371" spans="2:19" ht="15" customHeight="1">
      <c r="B2371" s="128" t="s">
        <v>1585</v>
      </c>
      <c r="C2371" s="128" t="s">
        <v>2982</v>
      </c>
      <c r="D2371" s="129">
        <v>46162.718449074076</v>
      </c>
      <c r="E2371" s="130">
        <v>-50</v>
      </c>
      <c r="F2371" s="136">
        <v>4.4999999999999998E-2</v>
      </c>
      <c r="G2371" s="126">
        <f t="shared" ref="G2371:G2434" si="38">IF(E2371&gt;0,E2371/(1-F2371),E2371)</f>
        <v>-50</v>
      </c>
      <c r="H2371" s="126" t="s">
        <v>1784</v>
      </c>
      <c r="I2371" s="127" t="s">
        <v>266</v>
      </c>
      <c r="J2371" s="126">
        <v>1.8</v>
      </c>
      <c r="K2371" s="126">
        <v>50</v>
      </c>
      <c r="L2371" s="129">
        <f>INT(base[[#This Row],[Data de liquidação]])</f>
        <v>46162</v>
      </c>
      <c r="M2371" s="126">
        <f>base[[#This Row],[L/P Bruto]]-base[[#This Row],[L/P Líquido]]</f>
        <v>0</v>
      </c>
      <c r="N2371" s="126">
        <f>base[[#This Row],[L/P Líquido]]/base[[#This Row],[Stake/Responsabilidade]]</f>
        <v>-1</v>
      </c>
      <c r="O2371" s="132">
        <f>IF(base[[#This Row],[L/P Líquido]]&gt;0,1,0)</f>
        <v>0</v>
      </c>
      <c r="P2371" s="132"/>
      <c r="Q2371" s="132" t="str">
        <f>LEFT(base[[#This Row],[Evento / Mercado]],FIND("vs",base[[#This Row],[Evento / Mercado]])-2)</f>
        <v>Palermo</v>
      </c>
      <c r="R23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2371" s="132" t="str">
        <f>LEFT(base[[#This Row],[Evento / Mercado]],FIND("/",base[[#This Row],[Evento / Mercado]])-2)</f>
        <v>Palermo vs Catanzaro</v>
      </c>
    </row>
    <row r="2372" spans="2:19" ht="15" customHeight="1">
      <c r="B2372" s="128" t="s">
        <v>2327</v>
      </c>
      <c r="C2372" s="128" t="s">
        <v>2982</v>
      </c>
      <c r="D2372" s="129">
        <v>46162.744513888887</v>
      </c>
      <c r="E2372" s="130">
        <v>-50</v>
      </c>
      <c r="F2372" s="136">
        <v>4.4999999999999998E-2</v>
      </c>
      <c r="G2372" s="126">
        <f t="shared" si="38"/>
        <v>-50</v>
      </c>
      <c r="H2372" s="126" t="s">
        <v>1784</v>
      </c>
      <c r="I2372" s="127" t="s">
        <v>266</v>
      </c>
      <c r="J2372" s="126">
        <v>2.04</v>
      </c>
      <c r="K2372" s="126">
        <v>50</v>
      </c>
      <c r="L2372" s="129">
        <f>INT(base[[#This Row],[Data de liquidação]])</f>
        <v>46162</v>
      </c>
      <c r="M2372" s="126">
        <f>base[[#This Row],[L/P Bruto]]-base[[#This Row],[L/P Líquido]]</f>
        <v>0</v>
      </c>
      <c r="N2372" s="126">
        <f>base[[#This Row],[L/P Líquido]]/base[[#This Row],[Stake/Responsabilidade]]</f>
        <v>-1</v>
      </c>
      <c r="O2372" s="132">
        <f>IF(base[[#This Row],[L/P Líquido]]&gt;0,1,0)</f>
        <v>0</v>
      </c>
      <c r="P2372" s="132"/>
      <c r="Q2372" s="132" t="str">
        <f>LEFT(base[[#This Row],[Evento / Mercado]],FIND("vs",base[[#This Row],[Evento / Mercado]])-2)</f>
        <v>SC Freiburg</v>
      </c>
      <c r="R23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2372" s="132" t="str">
        <f>LEFT(base[[#This Row],[Evento / Mercado]],FIND("/",base[[#This Row],[Evento / Mercado]])-2)</f>
        <v>SC Freiburg vs Aston Villa</v>
      </c>
    </row>
    <row r="2373" spans="2:19" ht="15" customHeight="1">
      <c r="B2373" s="128" t="s">
        <v>2326</v>
      </c>
      <c r="C2373" s="128" t="s">
        <v>2982</v>
      </c>
      <c r="D2373" s="129">
        <v>46162.78565972222</v>
      </c>
      <c r="E2373" s="130">
        <v>-10</v>
      </c>
      <c r="F2373" s="136">
        <v>4.4999999999999998E-2</v>
      </c>
      <c r="G2373" s="126">
        <f t="shared" si="38"/>
        <v>-10</v>
      </c>
      <c r="H2373" s="127" t="s">
        <v>2314</v>
      </c>
      <c r="I2373" s="127" t="s">
        <v>1785</v>
      </c>
      <c r="J2373" s="126">
        <v>3.3</v>
      </c>
      <c r="K2373" s="126">
        <v>10</v>
      </c>
      <c r="L2373" s="129">
        <f>INT(base[[#This Row],[Data de liquidação]])</f>
        <v>46162</v>
      </c>
      <c r="M2373" s="126">
        <f>base[[#This Row],[L/P Bruto]]-base[[#This Row],[L/P Líquido]]</f>
        <v>0</v>
      </c>
      <c r="N2373" s="126">
        <f>base[[#This Row],[L/P Líquido]]/base[[#This Row],[Stake/Responsabilidade]]</f>
        <v>-1</v>
      </c>
      <c r="O2373" s="132">
        <f>IF(base[[#This Row],[L/P Líquido]]&gt;0,1,0)</f>
        <v>0</v>
      </c>
      <c r="P2373" s="132"/>
      <c r="Q2373" s="132" t="str">
        <f>LEFT(base[[#This Row],[Evento / Mercado]],FIND("vs",base[[#This Row],[Evento / Mercado]])-2)</f>
        <v>Talleres de Córdoba</v>
      </c>
      <c r="R23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Tucumán</v>
      </c>
      <c r="S2373" s="132" t="str">
        <f>LEFT(base[[#This Row],[Evento / Mercado]],FIND("/",base[[#This Row],[Evento / Mercado]])-2)</f>
        <v>Talleres de Córdoba vs Atlético Tucumán</v>
      </c>
    </row>
    <row r="2374" spans="2:19" ht="15" customHeight="1">
      <c r="B2374" s="128" t="s">
        <v>2325</v>
      </c>
      <c r="C2374" s="128" t="s">
        <v>2982</v>
      </c>
      <c r="D2374" s="129">
        <v>46162.789525462962</v>
      </c>
      <c r="E2374" s="130">
        <v>-9.99</v>
      </c>
      <c r="F2374" s="136">
        <v>4.4999999999999998E-2</v>
      </c>
      <c r="G2374" s="126">
        <f t="shared" si="38"/>
        <v>-9.99</v>
      </c>
      <c r="H2374" s="127" t="s">
        <v>2314</v>
      </c>
      <c r="I2374" s="127" t="s">
        <v>1233</v>
      </c>
      <c r="J2374" s="126">
        <v>4.8</v>
      </c>
      <c r="K2374" s="126">
        <v>9.99</v>
      </c>
      <c r="L2374" s="129">
        <f>INT(base[[#This Row],[Data de liquidação]])</f>
        <v>46162</v>
      </c>
      <c r="M2374" s="126">
        <f>base[[#This Row],[L/P Bruto]]-base[[#This Row],[L/P Líquido]]</f>
        <v>0</v>
      </c>
      <c r="N2374" s="126">
        <f>base[[#This Row],[L/P Líquido]]/base[[#This Row],[Stake/Responsabilidade]]</f>
        <v>-1</v>
      </c>
      <c r="O2374" s="132">
        <f>IF(base[[#This Row],[L/P Líquido]]&gt;0,1,0)</f>
        <v>0</v>
      </c>
      <c r="P2374" s="132"/>
      <c r="Q2374" s="132" t="str">
        <f>LEFT(base[[#This Row],[Evento / Mercado]],FIND("vs",base[[#This Row],[Evento / Mercado]])-2)</f>
        <v>Fortaleza FC</v>
      </c>
      <c r="R23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Orsomarso SC</v>
      </c>
      <c r="S2374" s="132" t="str">
        <f>LEFT(base[[#This Row],[Evento / Mercado]],FIND("/",base[[#This Row],[Evento / Mercado]])-2)</f>
        <v>Fortaleza FC vs Orsomarso SC</v>
      </c>
    </row>
    <row r="2375" spans="2:19" ht="15" customHeight="1">
      <c r="B2375" s="128" t="s">
        <v>2324</v>
      </c>
      <c r="C2375" s="128" t="s">
        <v>2982</v>
      </c>
      <c r="D2375" s="129">
        <v>46162.871724537035</v>
      </c>
      <c r="E2375" s="130">
        <v>4.4400000000000004</v>
      </c>
      <c r="F2375" s="136">
        <v>4.4999999999999998E-2</v>
      </c>
      <c r="G2375" s="126">
        <f t="shared" si="38"/>
        <v>4.6492146596858648</v>
      </c>
      <c r="H2375" s="127" t="s">
        <v>2314</v>
      </c>
      <c r="I2375" s="127" t="s">
        <v>1233</v>
      </c>
      <c r="J2375" s="126">
        <v>3.15</v>
      </c>
      <c r="K2375" s="126">
        <v>10</v>
      </c>
      <c r="L2375" s="129">
        <f>INT(base[[#This Row],[Data de liquidação]])</f>
        <v>46162</v>
      </c>
      <c r="M2375" s="126">
        <f>base[[#This Row],[L/P Bruto]]-base[[#This Row],[L/P Líquido]]</f>
        <v>0.20921465968586439</v>
      </c>
      <c r="N2375" s="126">
        <f>base[[#This Row],[L/P Líquido]]/base[[#This Row],[Stake/Responsabilidade]]</f>
        <v>0.44400000000000006</v>
      </c>
      <c r="O2375" s="132">
        <f>IF(base[[#This Row],[L/P Líquido]]&gt;0,1,0)</f>
        <v>1</v>
      </c>
      <c r="P2375" s="132"/>
      <c r="Q2375" s="132" t="str">
        <f>LEFT(base[[#This Row],[Evento / Mercado]],FIND("vs",base[[#This Row],[Evento / Mercado]])-2)</f>
        <v>Gremio Novorizontino</v>
      </c>
      <c r="R23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2375" s="132" t="str">
        <f>LEFT(base[[#This Row],[Evento / Mercado]],FIND("/",base[[#This Row],[Evento / Mercado]])-2)</f>
        <v>Gremio Novorizontino vs Chapecoense</v>
      </c>
    </row>
    <row r="2376" spans="2:19" ht="15" customHeight="1">
      <c r="B2376" s="128" t="s">
        <v>2323</v>
      </c>
      <c r="C2376" s="128" t="s">
        <v>2982</v>
      </c>
      <c r="D2376" s="129">
        <v>46162.977384259262</v>
      </c>
      <c r="E2376" s="130">
        <v>5.55</v>
      </c>
      <c r="F2376" s="136">
        <v>4.4999999999999998E-2</v>
      </c>
      <c r="G2376" s="126">
        <f t="shared" si="38"/>
        <v>5.8115183246073299</v>
      </c>
      <c r="H2376" s="126" t="s">
        <v>1784</v>
      </c>
      <c r="I2376" s="127" t="s">
        <v>1785</v>
      </c>
      <c r="J2376" s="126">
        <v>9.6</v>
      </c>
      <c r="K2376" s="126">
        <v>49.97</v>
      </c>
      <c r="L2376" s="129">
        <f>INT(base[[#This Row],[Data de liquidação]])</f>
        <v>46162</v>
      </c>
      <c r="M2376" s="126">
        <f>base[[#This Row],[L/P Bruto]]-base[[#This Row],[L/P Líquido]]</f>
        <v>0.26151832460733004</v>
      </c>
      <c r="N2376" s="126">
        <f>base[[#This Row],[L/P Líquido]]/base[[#This Row],[Stake/Responsabilidade]]</f>
        <v>0.1110666399839904</v>
      </c>
      <c r="O2376" s="132">
        <f>IF(base[[#This Row],[L/P Líquido]]&gt;0,1,0)</f>
        <v>1</v>
      </c>
      <c r="P2376" s="132"/>
      <c r="Q2376" s="132" t="str">
        <f>LEFT(base[[#This Row],[Evento / Mercado]],FIND("vs",base[[#This Row],[Evento / Mercado]])-2)</f>
        <v>Flamengo</v>
      </c>
      <c r="R23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Estudiantes de La Plata</v>
      </c>
      <c r="S2376" s="132" t="str">
        <f>LEFT(base[[#This Row],[Evento / Mercado]],FIND("/",base[[#This Row],[Evento / Mercado]])-2)</f>
        <v>Flamengo vs Estudiantes de La Plata</v>
      </c>
    </row>
    <row r="2377" spans="2:19" ht="15" customHeight="1">
      <c r="B2377" s="128" t="s">
        <v>2322</v>
      </c>
      <c r="C2377" s="128" t="s">
        <v>2982</v>
      </c>
      <c r="D2377" s="129">
        <v>46162.980358796296</v>
      </c>
      <c r="E2377" s="130">
        <v>-379.99</v>
      </c>
      <c r="F2377" s="136">
        <v>4.4999999999999998E-2</v>
      </c>
      <c r="G2377" s="126">
        <f t="shared" si="38"/>
        <v>-379.99</v>
      </c>
      <c r="H2377" s="126" t="s">
        <v>145</v>
      </c>
      <c r="I2377" s="127" t="s">
        <v>301</v>
      </c>
      <c r="J2377" s="126">
        <v>14</v>
      </c>
      <c r="K2377" s="126">
        <v>379.99</v>
      </c>
      <c r="L2377" s="129">
        <f>INT(base[[#This Row],[Data de liquidação]])</f>
        <v>46162</v>
      </c>
      <c r="M2377" s="126">
        <f>base[[#This Row],[L/P Bruto]]-base[[#This Row],[L/P Líquido]]</f>
        <v>0</v>
      </c>
      <c r="N2377" s="126">
        <f>base[[#This Row],[L/P Líquido]]/base[[#This Row],[Stake/Responsabilidade]]</f>
        <v>-1</v>
      </c>
      <c r="O2377" s="132">
        <f>IF(base[[#This Row],[L/P Líquido]]&gt;0,1,0)</f>
        <v>0</v>
      </c>
      <c r="P2377" s="132" t="s">
        <v>2365</v>
      </c>
      <c r="Q2377" s="132" t="str">
        <f>LEFT(base[[#This Row],[Evento / Mercado]],FIND("vs",base[[#This Row],[Evento / Mercado]])-2)</f>
        <v>Palmeiras</v>
      </c>
      <c r="R23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Cerro Porteño</v>
      </c>
      <c r="S2377" s="132" t="str">
        <f>LEFT(base[[#This Row],[Evento / Mercado]],FIND("/",base[[#This Row],[Evento / Mercado]])-2)</f>
        <v>Palmeiras vs Cerro Porteño</v>
      </c>
    </row>
    <row r="2378" spans="2:19" ht="15" customHeight="1">
      <c r="B2378" s="128" t="s">
        <v>2321</v>
      </c>
      <c r="C2378" s="128" t="s">
        <v>2982</v>
      </c>
      <c r="D2378" s="129">
        <v>46162.980451388888</v>
      </c>
      <c r="E2378" s="130">
        <v>-115</v>
      </c>
      <c r="F2378" s="136">
        <v>4.4999999999999998E-2</v>
      </c>
      <c r="G2378" s="126">
        <f t="shared" si="38"/>
        <v>-115</v>
      </c>
      <c r="H2378" s="126" t="s">
        <v>231</v>
      </c>
      <c r="I2378" s="127" t="s">
        <v>232</v>
      </c>
      <c r="J2378" s="126">
        <v>2.16</v>
      </c>
      <c r="K2378" s="126">
        <v>115</v>
      </c>
      <c r="L2378" s="129">
        <f>INT(base[[#This Row],[Data de liquidação]])</f>
        <v>46162</v>
      </c>
      <c r="M2378" s="126">
        <f>base[[#This Row],[L/P Bruto]]-base[[#This Row],[L/P Líquido]]</f>
        <v>0</v>
      </c>
      <c r="N2378" s="126">
        <f>base[[#This Row],[L/P Líquido]]/base[[#This Row],[Stake/Responsabilidade]]</f>
        <v>-1</v>
      </c>
      <c r="O2378" s="132">
        <f>IF(base[[#This Row],[L/P Líquido]]&gt;0,1,0)</f>
        <v>0</v>
      </c>
      <c r="P2378" s="132"/>
      <c r="Q2378" s="132" t="str">
        <f>LEFT(base[[#This Row],[Evento / Mercado]],FIND("vs",base[[#This Row],[Evento / Mercado]])-2)</f>
        <v>Palmeiras</v>
      </c>
      <c r="R23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Cerro Porteño</v>
      </c>
      <c r="S2378" s="132" t="str">
        <f>LEFT(base[[#This Row],[Evento / Mercado]],FIND("/",base[[#This Row],[Evento / Mercado]])-2)</f>
        <v>Palmeiras vs Cerro Porteño</v>
      </c>
    </row>
    <row r="2379" spans="2:19" ht="15" customHeight="1">
      <c r="B2379" s="128" t="s">
        <v>2389</v>
      </c>
      <c r="C2379" s="128" t="s">
        <v>2982</v>
      </c>
      <c r="D2379" s="129">
        <v>46163.399062500001</v>
      </c>
      <c r="E2379" s="130">
        <v>14.14</v>
      </c>
      <c r="F2379" s="136">
        <v>0</v>
      </c>
      <c r="G2379" s="126">
        <f t="shared" si="38"/>
        <v>14.14</v>
      </c>
      <c r="H2379" s="126" t="s">
        <v>1784</v>
      </c>
      <c r="I2379" s="127" t="s">
        <v>1785</v>
      </c>
      <c r="J2379" s="126">
        <v>1.282</v>
      </c>
      <c r="K2379" s="126">
        <v>50</v>
      </c>
      <c r="L2379" s="129">
        <f>INT(base[[#This Row],[Data de liquidação]])</f>
        <v>46163</v>
      </c>
      <c r="M2379" s="126">
        <f>base[[#This Row],[L/P Bruto]]-base[[#This Row],[L/P Líquido]]</f>
        <v>0</v>
      </c>
      <c r="N2379" s="126">
        <f>base[[#This Row],[L/P Líquido]]/base[[#This Row],[Stake/Responsabilidade]]</f>
        <v>0.2828</v>
      </c>
      <c r="O2379" s="132">
        <f>IF(base[[#This Row],[L/P Líquido]]&gt;0,1,0)</f>
        <v>1</v>
      </c>
      <c r="P2379" s="132"/>
      <c r="Q2379" s="132" t="str">
        <f>LEFT(base[[#This Row],[Evento / Mercado]],FIND("vs",base[[#This Row],[Evento / Mercado]])-2)</f>
        <v>Metallurg Rustavi FC</v>
      </c>
      <c r="R23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Samgurali FC</v>
      </c>
      <c r="S2379" s="132" t="e">
        <f>LEFT(base[[#This Row],[Evento / Mercado]],FIND("/",base[[#This Row],[Evento / Mercado]])-2)</f>
        <v>#VALUE!</v>
      </c>
    </row>
    <row r="2380" spans="2:19" ht="15" customHeight="1">
      <c r="B2380" s="128" t="s">
        <v>2388</v>
      </c>
      <c r="C2380" s="128" t="s">
        <v>2982</v>
      </c>
      <c r="D2380" s="129">
        <v>46163.47892361111</v>
      </c>
      <c r="E2380" s="130">
        <v>-10</v>
      </c>
      <c r="F2380" s="136">
        <v>4.4999999999999998E-2</v>
      </c>
      <c r="G2380" s="126">
        <f t="shared" si="38"/>
        <v>-10</v>
      </c>
      <c r="H2380" s="126" t="s">
        <v>1339</v>
      </c>
      <c r="I2380" s="127" t="s">
        <v>1446</v>
      </c>
      <c r="J2380" s="126">
        <v>2.2000000000000002</v>
      </c>
      <c r="K2380" s="126">
        <v>10</v>
      </c>
      <c r="L2380" s="129">
        <f>INT(base[[#This Row],[Data de liquidação]])</f>
        <v>46163</v>
      </c>
      <c r="M2380" s="126">
        <f>base[[#This Row],[L/P Bruto]]-base[[#This Row],[L/P Líquido]]</f>
        <v>0</v>
      </c>
      <c r="N2380" s="126">
        <f>base[[#This Row],[L/P Líquido]]/base[[#This Row],[Stake/Responsabilidade]]</f>
        <v>-1</v>
      </c>
      <c r="O2380" s="132">
        <f>IF(base[[#This Row],[L/P Líquido]]&gt;0,1,0)</f>
        <v>0</v>
      </c>
      <c r="P2380" s="132"/>
      <c r="Q2380" s="132" t="str">
        <f>LEFT(base[[#This Row],[Evento / Mercado]],FIND("vs",base[[#This Row],[Evento / Mercado]])-2)</f>
        <v>Shakhtar Donetsk</v>
      </c>
      <c r="R23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Kolos Kovalyovka</v>
      </c>
      <c r="S2380" s="132" t="str">
        <f>LEFT(base[[#This Row],[Evento / Mercado]],FIND("/",base[[#This Row],[Evento / Mercado]])-2)</f>
        <v>Shakhtar Donetsk vs Kolos Kovalyovka</v>
      </c>
    </row>
    <row r="2381" spans="2:19" ht="15" customHeight="1">
      <c r="B2381" s="128" t="s">
        <v>2387</v>
      </c>
      <c r="C2381" s="128" t="s">
        <v>2982</v>
      </c>
      <c r="D2381" s="129">
        <v>46163.573842592596</v>
      </c>
      <c r="E2381" s="130">
        <v>8.5299999999999994</v>
      </c>
      <c r="F2381" s="136">
        <v>4.4999999999999998E-2</v>
      </c>
      <c r="G2381" s="126">
        <f t="shared" si="38"/>
        <v>8.9319371727748695</v>
      </c>
      <c r="H2381" s="126" t="s">
        <v>1784</v>
      </c>
      <c r="I2381" s="127" t="s">
        <v>1785</v>
      </c>
      <c r="J2381" s="126">
        <v>6.6</v>
      </c>
      <c r="K2381" s="126">
        <v>50.01</v>
      </c>
      <c r="L2381" s="129">
        <f>INT(base[[#This Row],[Data de liquidação]])</f>
        <v>46163</v>
      </c>
      <c r="M2381" s="126">
        <f>base[[#This Row],[L/P Bruto]]-base[[#This Row],[L/P Líquido]]</f>
        <v>0.40193717277487018</v>
      </c>
      <c r="N2381" s="126">
        <f>base[[#This Row],[L/P Líquido]]/base[[#This Row],[Stake/Responsabilidade]]</f>
        <v>0.17056588682263546</v>
      </c>
      <c r="O2381" s="132">
        <f>IF(base[[#This Row],[L/P Líquido]]&gt;0,1,0)</f>
        <v>1</v>
      </c>
      <c r="P2381" s="132"/>
      <c r="Q2381" s="132" t="str">
        <f>LEFT(base[[#This Row],[Evento / Mercado]],FIND("vs",base[[#This Row],[Evento / Mercado]])-2)</f>
        <v>Atromitos Athens</v>
      </c>
      <c r="R23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Panserraikos</v>
      </c>
      <c r="S2381" s="132" t="str">
        <f>LEFT(base[[#This Row],[Evento / Mercado]],FIND("/",base[[#This Row],[Evento / Mercado]])-2)</f>
        <v>Atromitos Athens vs Panserraikos</v>
      </c>
    </row>
    <row r="2382" spans="2:19" ht="15" customHeight="1">
      <c r="B2382" s="128" t="s">
        <v>2386</v>
      </c>
      <c r="C2382" s="128" t="s">
        <v>2982</v>
      </c>
      <c r="D2382" s="129">
        <v>46163.590370370373</v>
      </c>
      <c r="E2382" s="130">
        <v>14.8</v>
      </c>
      <c r="F2382" s="136">
        <v>4.4999999999999998E-2</v>
      </c>
      <c r="G2382" s="126">
        <f t="shared" si="38"/>
        <v>15.497382198952881</v>
      </c>
      <c r="H2382" s="126" t="s">
        <v>1784</v>
      </c>
      <c r="I2382" s="127" t="s">
        <v>1448</v>
      </c>
      <c r="J2382" s="126">
        <v>1.31</v>
      </c>
      <c r="K2382" s="126">
        <v>50</v>
      </c>
      <c r="L2382" s="129">
        <f>INT(base[[#This Row],[Data de liquidação]])</f>
        <v>46163</v>
      </c>
      <c r="M2382" s="126">
        <f>base[[#This Row],[L/P Bruto]]-base[[#This Row],[L/P Líquido]]</f>
        <v>0.69738219895288012</v>
      </c>
      <c r="N2382" s="126">
        <f>base[[#This Row],[L/P Líquido]]/base[[#This Row],[Stake/Responsabilidade]]</f>
        <v>0.29600000000000004</v>
      </c>
      <c r="O2382" s="132">
        <f>IF(base[[#This Row],[L/P Líquido]]&gt;0,1,0)</f>
        <v>1</v>
      </c>
      <c r="P2382" s="132"/>
      <c r="Q2382" s="132" t="str">
        <f>LEFT(base[[#This Row],[Evento / Mercado]],FIND("vs",base[[#This Row],[Evento / Mercado]])-2)</f>
        <v>Ajax</v>
      </c>
      <c r="R23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Groningen</v>
      </c>
      <c r="S2382" s="132" t="str">
        <f>LEFT(base[[#This Row],[Evento / Mercado]],FIND("/",base[[#This Row],[Evento / Mercado]])-2)</f>
        <v>Ajax vs FC Groningen</v>
      </c>
    </row>
    <row r="2383" spans="2:19" ht="15" customHeight="1">
      <c r="B2383" s="128" t="s">
        <v>2385</v>
      </c>
      <c r="C2383" s="128" t="s">
        <v>2982</v>
      </c>
      <c r="D2383" s="129">
        <v>46163.628495370373</v>
      </c>
      <c r="E2383" s="130">
        <v>11.46</v>
      </c>
      <c r="F2383" s="136">
        <v>4.4999999999999998E-2</v>
      </c>
      <c r="G2383" s="126">
        <f t="shared" si="38"/>
        <v>12.000000000000002</v>
      </c>
      <c r="H2383" s="126" t="s">
        <v>1784</v>
      </c>
      <c r="I2383" s="127" t="s">
        <v>1448</v>
      </c>
      <c r="J2383" s="126">
        <v>1.24</v>
      </c>
      <c r="K2383" s="126">
        <v>50</v>
      </c>
      <c r="L2383" s="129">
        <f>INT(base[[#This Row],[Data de liquidação]])</f>
        <v>46163</v>
      </c>
      <c r="M2383" s="126">
        <f>base[[#This Row],[L/P Bruto]]-base[[#This Row],[L/P Líquido]]</f>
        <v>0.54000000000000092</v>
      </c>
      <c r="N2383" s="126">
        <f>base[[#This Row],[L/P Líquido]]/base[[#This Row],[Stake/Responsabilidade]]</f>
        <v>0.22920000000000001</v>
      </c>
      <c r="O2383" s="132">
        <f>IF(base[[#This Row],[L/P Líquido]]&gt;0,1,0)</f>
        <v>1</v>
      </c>
      <c r="P2383" s="132"/>
      <c r="Q2383" s="132" t="str">
        <f>LEFT(base[[#This Row],[Evento / Mercado]],FIND("vs",base[[#This Row],[Evento / Mercado]])-2)</f>
        <v>Al-Fayha FC</v>
      </c>
      <c r="R23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2383" s="132" t="str">
        <f>LEFT(base[[#This Row],[Evento / Mercado]],FIND("/",base[[#This Row],[Evento / Mercado]])-2)</f>
        <v>Al-Fayha FC vs Al-Hilal Riyadh</v>
      </c>
    </row>
    <row r="2384" spans="2:19" ht="15" customHeight="1">
      <c r="B2384" s="128" t="s">
        <v>2384</v>
      </c>
      <c r="C2384" s="128" t="s">
        <v>2982</v>
      </c>
      <c r="D2384" s="129">
        <v>46163.652627314812</v>
      </c>
      <c r="E2384" s="130">
        <v>-115</v>
      </c>
      <c r="F2384" s="136">
        <v>4.4999999999999998E-2</v>
      </c>
      <c r="G2384" s="126">
        <f t="shared" si="38"/>
        <v>-115</v>
      </c>
      <c r="H2384" s="126" t="s">
        <v>231</v>
      </c>
      <c r="I2384" s="127" t="s">
        <v>266</v>
      </c>
      <c r="J2384" s="126">
        <v>1.62</v>
      </c>
      <c r="K2384" s="126">
        <v>115</v>
      </c>
      <c r="L2384" s="129">
        <f>INT(base[[#This Row],[Data de liquidação]])</f>
        <v>46163</v>
      </c>
      <c r="M2384" s="126">
        <f>base[[#This Row],[L/P Bruto]]-base[[#This Row],[L/P Líquido]]</f>
        <v>0</v>
      </c>
      <c r="N2384" s="126">
        <f>base[[#This Row],[L/P Líquido]]/base[[#This Row],[Stake/Responsabilidade]]</f>
        <v>-1</v>
      </c>
      <c r="O2384" s="132">
        <f>IF(base[[#This Row],[L/P Líquido]]&gt;0,1,0)</f>
        <v>0</v>
      </c>
      <c r="P2384" s="132"/>
      <c r="Q2384" s="132" t="str">
        <f>LEFT(base[[#This Row],[Evento / Mercado]],FIND("vs",base[[#This Row],[Evento / Mercado]])-2)</f>
        <v>Ajax</v>
      </c>
      <c r="R23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Groningen</v>
      </c>
      <c r="S2384" s="132" t="str">
        <f>LEFT(base[[#This Row],[Evento / Mercado]],FIND("/",base[[#This Row],[Evento / Mercado]])-2)</f>
        <v>Ajax vs FC Groningen</v>
      </c>
    </row>
    <row r="2385" spans="2:19" ht="15" customHeight="1">
      <c r="B2385" s="128" t="s">
        <v>2383</v>
      </c>
      <c r="C2385" s="128" t="s">
        <v>2982</v>
      </c>
      <c r="D2385" s="129">
        <v>46163.659687500003</v>
      </c>
      <c r="E2385" s="130">
        <v>11.37</v>
      </c>
      <c r="F2385" s="136">
        <v>4.4999999999999998E-2</v>
      </c>
      <c r="G2385" s="126">
        <f t="shared" si="38"/>
        <v>11.905759162303665</v>
      </c>
      <c r="H2385" s="126" t="s">
        <v>1784</v>
      </c>
      <c r="I2385" s="127" t="s">
        <v>1448</v>
      </c>
      <c r="J2385" s="126">
        <v>1.24</v>
      </c>
      <c r="K2385" s="126">
        <v>50</v>
      </c>
      <c r="L2385" s="129">
        <f>INT(base[[#This Row],[Data de liquidação]])</f>
        <v>46163</v>
      </c>
      <c r="M2385" s="126">
        <f>base[[#This Row],[L/P Bruto]]-base[[#This Row],[L/P Líquido]]</f>
        <v>0.53575916230366616</v>
      </c>
      <c r="N2385" s="126">
        <f>base[[#This Row],[L/P Líquido]]/base[[#This Row],[Stake/Responsabilidade]]</f>
        <v>0.22739999999999999</v>
      </c>
      <c r="O2385" s="132">
        <f>IF(base[[#This Row],[L/P Líquido]]&gt;0,1,0)</f>
        <v>1</v>
      </c>
      <c r="P2385" s="132"/>
      <c r="Q2385" s="132" t="str">
        <f>LEFT(base[[#This Row],[Evento / Mercado]],FIND("vs",base[[#This Row],[Evento / Mercado]])-2)</f>
        <v>KV Mechelen</v>
      </c>
      <c r="R23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Brugge</v>
      </c>
      <c r="S2385" s="132" t="str">
        <f>LEFT(base[[#This Row],[Evento / Mercado]],FIND("/",base[[#This Row],[Evento / Mercado]])-2)</f>
        <v>KV Mechelen vs Club Brugge</v>
      </c>
    </row>
    <row r="2386" spans="2:19" ht="15" customHeight="1">
      <c r="B2386" s="128" t="s">
        <v>2382</v>
      </c>
      <c r="C2386" s="128" t="s">
        <v>2982</v>
      </c>
      <c r="D2386" s="129">
        <v>46163.677071759259</v>
      </c>
      <c r="E2386" s="130">
        <v>-8.42</v>
      </c>
      <c r="F2386" s="136">
        <v>4.4999999999999998E-2</v>
      </c>
      <c r="G2386" s="126">
        <f t="shared" si="38"/>
        <v>-8.42</v>
      </c>
      <c r="H2386" s="126" t="s">
        <v>1339</v>
      </c>
      <c r="I2386" s="127" t="s">
        <v>1236</v>
      </c>
      <c r="J2386" s="126">
        <v>10.5</v>
      </c>
      <c r="K2386" s="126">
        <v>10</v>
      </c>
      <c r="L2386" s="129">
        <f>INT(base[[#This Row],[Data de liquidação]])</f>
        <v>46163</v>
      </c>
      <c r="M2386" s="126">
        <f>base[[#This Row],[L/P Bruto]]-base[[#This Row],[L/P Líquido]]</f>
        <v>0</v>
      </c>
      <c r="N2386" s="126">
        <f>base[[#This Row],[L/P Líquido]]/base[[#This Row],[Stake/Responsabilidade]]</f>
        <v>-0.84199999999999997</v>
      </c>
      <c r="O2386" s="132">
        <f>IF(base[[#This Row],[L/P Líquido]]&gt;0,1,0)</f>
        <v>0</v>
      </c>
      <c r="P2386" s="132"/>
      <c r="Q2386" s="132" t="str">
        <f>LEFT(base[[#This Row],[Evento / Mercado]],FIND("vs",base[[#This Row],[Evento / Mercado]])-2)</f>
        <v>Al-Nassr Riyadh</v>
      </c>
      <c r="R23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Dhamk</v>
      </c>
      <c r="S2386" s="132" t="str">
        <f>LEFT(base[[#This Row],[Evento / Mercado]],FIND("/",base[[#This Row],[Evento / Mercado]])-2)</f>
        <v>Al-Nassr Riyadh vs Dhamk</v>
      </c>
    </row>
    <row r="2387" spans="2:19" ht="15" customHeight="1">
      <c r="B2387" s="128" t="s">
        <v>2381</v>
      </c>
      <c r="C2387" s="128" t="s">
        <v>2982</v>
      </c>
      <c r="D2387" s="129">
        <v>46163.694016203706</v>
      </c>
      <c r="E2387" s="130">
        <v>9.5500000000000007</v>
      </c>
      <c r="F2387" s="136">
        <v>4.4999999999999998E-2</v>
      </c>
      <c r="G2387" s="126">
        <f t="shared" si="38"/>
        <v>10.000000000000002</v>
      </c>
      <c r="H2387" s="126" t="s">
        <v>1339</v>
      </c>
      <c r="I2387" s="127" t="s">
        <v>1236</v>
      </c>
      <c r="J2387" s="126">
        <v>9</v>
      </c>
      <c r="K2387" s="126">
        <v>10</v>
      </c>
      <c r="L2387" s="129">
        <f>INT(base[[#This Row],[Data de liquidação]])</f>
        <v>46163</v>
      </c>
      <c r="M2387" s="126">
        <f>base[[#This Row],[L/P Bruto]]-base[[#This Row],[L/P Líquido]]</f>
        <v>0.45000000000000107</v>
      </c>
      <c r="N2387" s="126">
        <f>base[[#This Row],[L/P Líquido]]/base[[#This Row],[Stake/Responsabilidade]]</f>
        <v>0.95500000000000007</v>
      </c>
      <c r="O2387" s="132">
        <f>IF(base[[#This Row],[L/P Líquido]]&gt;0,1,0)</f>
        <v>1</v>
      </c>
      <c r="P2387" s="132"/>
      <c r="Q2387" s="132" t="str">
        <f>LEFT(base[[#This Row],[Evento / Mercado]],FIND("vs",base[[#This Row],[Evento / Mercado]])-2)</f>
        <v>KV Mechelen</v>
      </c>
      <c r="R23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Brugge</v>
      </c>
      <c r="S2387" s="132" t="str">
        <f>LEFT(base[[#This Row],[Evento / Mercado]],FIND("/",base[[#This Row],[Evento / Mercado]])-2)</f>
        <v>KV Mechelen vs Club Brugge</v>
      </c>
    </row>
    <row r="2388" spans="2:19" ht="15" customHeight="1">
      <c r="B2388" s="128" t="s">
        <v>2380</v>
      </c>
      <c r="C2388" s="128" t="s">
        <v>2982</v>
      </c>
      <c r="D2388" s="129">
        <v>46163.697291666664</v>
      </c>
      <c r="E2388" s="130">
        <v>-2</v>
      </c>
      <c r="F2388" s="136">
        <v>4.4999999999999998E-2</v>
      </c>
      <c r="G2388" s="126">
        <f t="shared" si="38"/>
        <v>-2</v>
      </c>
      <c r="H2388" s="126" t="s">
        <v>1339</v>
      </c>
      <c r="I2388" s="127" t="s">
        <v>1994</v>
      </c>
      <c r="J2388" s="126">
        <v>4.33</v>
      </c>
      <c r="K2388" s="126">
        <v>2</v>
      </c>
      <c r="L2388" s="129">
        <f>INT(base[[#This Row],[Data de liquidação]])</f>
        <v>46163</v>
      </c>
      <c r="M2388" s="126">
        <f>base[[#This Row],[L/P Bruto]]-base[[#This Row],[L/P Líquido]]</f>
        <v>0</v>
      </c>
      <c r="N2388" s="126">
        <f>base[[#This Row],[L/P Líquido]]/base[[#This Row],[Stake/Responsabilidade]]</f>
        <v>-1</v>
      </c>
      <c r="O2388" s="132">
        <f>IF(base[[#This Row],[L/P Líquido]]&gt;0,1,0)</f>
        <v>0</v>
      </c>
      <c r="P2388" s="132"/>
      <c r="Q2388" s="132" t="str">
        <f>LEFT(base[[#This Row],[Evento / Mercado]],FIND("vs",base[[#This Row],[Evento / Mercado]])-2)</f>
        <v>Neom SC</v>
      </c>
      <c r="R23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Al-Ettifaq</v>
      </c>
      <c r="S2388" s="132" t="str">
        <f>LEFT(base[[#This Row],[Evento / Mercado]],FIND("/",base[[#This Row],[Evento / Mercado]])-2)</f>
        <v>Neom SC vs Al-Ettifaq</v>
      </c>
    </row>
    <row r="2389" spans="2:19" ht="15" customHeight="1">
      <c r="B2389" s="128" t="s">
        <v>2379</v>
      </c>
      <c r="C2389" s="128" t="s">
        <v>2982</v>
      </c>
      <c r="D2389" s="129">
        <v>46163.701666666668</v>
      </c>
      <c r="E2389" s="130">
        <v>-50</v>
      </c>
      <c r="F2389" s="136">
        <v>4.4999999999999998E-2</v>
      </c>
      <c r="G2389" s="126">
        <f t="shared" si="38"/>
        <v>-50</v>
      </c>
      <c r="H2389" s="126" t="s">
        <v>1784</v>
      </c>
      <c r="I2389" s="127" t="s">
        <v>1448</v>
      </c>
      <c r="J2389" s="126">
        <v>1.31</v>
      </c>
      <c r="K2389" s="126">
        <v>50</v>
      </c>
      <c r="L2389" s="129">
        <f>INT(base[[#This Row],[Data de liquidação]])</f>
        <v>46163</v>
      </c>
      <c r="M2389" s="126">
        <f>base[[#This Row],[L/P Bruto]]-base[[#This Row],[L/P Líquido]]</f>
        <v>0</v>
      </c>
      <c r="N2389" s="126">
        <f>base[[#This Row],[L/P Líquido]]/base[[#This Row],[Stake/Responsabilidade]]</f>
        <v>-1</v>
      </c>
      <c r="O2389" s="132">
        <f>IF(base[[#This Row],[L/P Líquido]]&gt;0,1,0)</f>
        <v>0</v>
      </c>
      <c r="P2389" s="132"/>
      <c r="Q2389" s="132" t="str">
        <f>LEFT(base[[#This Row],[Evento / Mercado]],FIND("vs",base[[#This Row],[Evento / Mercado]])-2)</f>
        <v>FC Utrecht</v>
      </c>
      <c r="R23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2389" s="132" t="str">
        <f>LEFT(base[[#This Row],[Evento / Mercado]],FIND("/",base[[#This Row],[Evento / Mercado]])-2)</f>
        <v>FC Utrecht vs Heerenveen</v>
      </c>
    </row>
    <row r="2390" spans="2:19" ht="15" customHeight="1">
      <c r="B2390" s="128" t="s">
        <v>2378</v>
      </c>
      <c r="C2390" s="128" t="s">
        <v>2982</v>
      </c>
      <c r="D2390" s="129">
        <v>46163.705682870372</v>
      </c>
      <c r="E2390" s="130">
        <v>39.07</v>
      </c>
      <c r="F2390" s="136">
        <v>4.4999999999999998E-2</v>
      </c>
      <c r="G2390" s="126">
        <f t="shared" si="38"/>
        <v>40.910994764397905</v>
      </c>
      <c r="H2390" s="126" t="s">
        <v>122</v>
      </c>
      <c r="I2390" s="127" t="s">
        <v>477</v>
      </c>
      <c r="J2390" s="126">
        <v>12</v>
      </c>
      <c r="K2390" s="126">
        <v>450.01</v>
      </c>
      <c r="L2390" s="129">
        <f>INT(base[[#This Row],[Data de liquidação]])</f>
        <v>46163</v>
      </c>
      <c r="M2390" s="126">
        <f>base[[#This Row],[L/P Bruto]]-base[[#This Row],[L/P Líquido]]</f>
        <v>1.8409947643979052</v>
      </c>
      <c r="N2390" s="126">
        <f>base[[#This Row],[L/P Líquido]]/base[[#This Row],[Stake/Responsabilidade]]</f>
        <v>8.6820292882380398E-2</v>
      </c>
      <c r="O2390" s="132">
        <f>IF(base[[#This Row],[L/P Líquido]]&gt;0,1,0)</f>
        <v>1</v>
      </c>
      <c r="P2390" s="132" t="s">
        <v>973</v>
      </c>
      <c r="Q2390" s="132" t="str">
        <f>LEFT(base[[#This Row],[Evento / Mercado]],FIND("vs",base[[#This Row],[Evento / Mercado]])-2)</f>
        <v>Al-Nassr Riyadh</v>
      </c>
      <c r="R23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Dhamk</v>
      </c>
      <c r="S2390" s="132" t="str">
        <f>LEFT(base[[#This Row],[Evento / Mercado]],FIND("/",base[[#This Row],[Evento / Mercado]])-2)</f>
        <v>Al-Nassr Riyadh vs Dhamk</v>
      </c>
    </row>
    <row r="2391" spans="2:19" ht="15" customHeight="1">
      <c r="B2391" s="128" t="s">
        <v>2377</v>
      </c>
      <c r="C2391" s="128" t="s">
        <v>2982</v>
      </c>
      <c r="D2391" s="129">
        <v>46163.70579861111</v>
      </c>
      <c r="E2391" s="130">
        <v>20.16</v>
      </c>
      <c r="F2391" s="136">
        <v>4.4999999999999998E-2</v>
      </c>
      <c r="G2391" s="126">
        <f t="shared" si="38"/>
        <v>21.109947643979059</v>
      </c>
      <c r="H2391" s="126" t="s">
        <v>145</v>
      </c>
      <c r="I2391" s="127" t="s">
        <v>301</v>
      </c>
      <c r="J2391" s="126">
        <v>19</v>
      </c>
      <c r="K2391" s="126">
        <v>379.98</v>
      </c>
      <c r="L2391" s="129">
        <f>INT(base[[#This Row],[Data de liquidação]])</f>
        <v>46163</v>
      </c>
      <c r="M2391" s="126">
        <f>base[[#This Row],[L/P Bruto]]-base[[#This Row],[L/P Líquido]]</f>
        <v>0.9499476439790584</v>
      </c>
      <c r="N2391" s="126">
        <f>base[[#This Row],[L/P Líquido]]/base[[#This Row],[Stake/Responsabilidade]]</f>
        <v>5.3055423969682609E-2</v>
      </c>
      <c r="O2391" s="132">
        <f>IF(base[[#This Row],[L/P Líquido]]&gt;0,1,0)</f>
        <v>1</v>
      </c>
      <c r="P2391" s="132" t="s">
        <v>973</v>
      </c>
      <c r="Q2391" s="132" t="str">
        <f>LEFT(base[[#This Row],[Evento / Mercado]],FIND("vs",base[[#This Row],[Evento / Mercado]])-2)</f>
        <v>Al-Nassr Riyadh</v>
      </c>
      <c r="R23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Dhamk</v>
      </c>
      <c r="S2391" s="132" t="str">
        <f>LEFT(base[[#This Row],[Evento / Mercado]],FIND("/",base[[#This Row],[Evento / Mercado]])-2)</f>
        <v>Al-Nassr Riyadh vs Dhamk</v>
      </c>
    </row>
    <row r="2392" spans="2:19" ht="15" customHeight="1">
      <c r="B2392" s="128" t="s">
        <v>2376</v>
      </c>
      <c r="C2392" s="128" t="s">
        <v>2982</v>
      </c>
      <c r="D2392" s="129">
        <v>46163.705995370372</v>
      </c>
      <c r="E2392" s="130">
        <v>4.6100000000000003</v>
      </c>
      <c r="F2392" s="136">
        <v>4.4999999999999998E-2</v>
      </c>
      <c r="G2392" s="126">
        <f t="shared" si="38"/>
        <v>4.8272251308900529</v>
      </c>
      <c r="H2392" s="126" t="s">
        <v>1339</v>
      </c>
      <c r="I2392" s="127" t="s">
        <v>1388</v>
      </c>
      <c r="J2392" s="126">
        <v>15</v>
      </c>
      <c r="K2392" s="126">
        <v>67.62</v>
      </c>
      <c r="L2392" s="129">
        <f>INT(base[[#This Row],[Data de liquidação]])</f>
        <v>46163</v>
      </c>
      <c r="M2392" s="126">
        <f>base[[#This Row],[L/P Bruto]]-base[[#This Row],[L/P Líquido]]</f>
        <v>0.21722513089005258</v>
      </c>
      <c r="N2392" s="126">
        <f>base[[#This Row],[L/P Líquido]]/base[[#This Row],[Stake/Responsabilidade]]</f>
        <v>6.817509612540669E-2</v>
      </c>
      <c r="O2392" s="132">
        <f>IF(base[[#This Row],[L/P Líquido]]&gt;0,1,0)</f>
        <v>1</v>
      </c>
      <c r="P2392" s="132"/>
      <c r="Q2392" s="132" t="str">
        <f>LEFT(base[[#This Row],[Evento / Mercado]],FIND("vs",base[[#This Row],[Evento / Mercado]])-2)</f>
        <v>Neom SC</v>
      </c>
      <c r="R23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Al-Ettifaq</v>
      </c>
      <c r="S2392" s="132" t="str">
        <f>LEFT(base[[#This Row],[Evento / Mercado]],FIND("/",base[[#This Row],[Evento / Mercado]])-2)</f>
        <v>Neom SC vs Al-Ettifaq</v>
      </c>
    </row>
    <row r="2393" spans="2:19" ht="15" customHeight="1">
      <c r="B2393" s="128" t="s">
        <v>2375</v>
      </c>
      <c r="C2393" s="128" t="s">
        <v>2982</v>
      </c>
      <c r="D2393" s="129">
        <v>46163.706064814818</v>
      </c>
      <c r="E2393" s="130">
        <v>27.91</v>
      </c>
      <c r="F2393" s="136">
        <v>4.4999999999999998E-2</v>
      </c>
      <c r="G2393" s="126">
        <f t="shared" si="38"/>
        <v>29.225130890052359</v>
      </c>
      <c r="H2393" s="126" t="s">
        <v>145</v>
      </c>
      <c r="I2393" s="127" t="s">
        <v>300</v>
      </c>
      <c r="J2393" s="126">
        <v>14</v>
      </c>
      <c r="K2393" s="126">
        <v>379.99</v>
      </c>
      <c r="L2393" s="129">
        <f>INT(base[[#This Row],[Data de liquidação]])</f>
        <v>46163</v>
      </c>
      <c r="M2393" s="126">
        <f>base[[#This Row],[L/P Bruto]]-base[[#This Row],[L/P Líquido]]</f>
        <v>1.3151308900523588</v>
      </c>
      <c r="N2393" s="126">
        <f>base[[#This Row],[L/P Líquido]]/base[[#This Row],[Stake/Responsabilidade]]</f>
        <v>7.3449301297402556E-2</v>
      </c>
      <c r="O2393" s="132">
        <f>IF(base[[#This Row],[L/P Líquido]]&gt;0,1,0)</f>
        <v>1</v>
      </c>
      <c r="P2393" s="132" t="s">
        <v>973</v>
      </c>
      <c r="Q2393" s="132" t="str">
        <f>LEFT(base[[#This Row],[Evento / Mercado]],FIND("vs",base[[#This Row],[Evento / Mercado]])-2)</f>
        <v>Al-Fayha FC</v>
      </c>
      <c r="R23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2393" s="132" t="str">
        <f>LEFT(base[[#This Row],[Evento / Mercado]],FIND("/",base[[#This Row],[Evento / Mercado]])-2)</f>
        <v>Al-Fayha FC vs Al-Hilal Riyadh</v>
      </c>
    </row>
    <row r="2394" spans="2:19" ht="15" customHeight="1">
      <c r="B2394" s="128" t="s">
        <v>2374</v>
      </c>
      <c r="C2394" s="128" t="s">
        <v>2982</v>
      </c>
      <c r="D2394" s="129">
        <v>46163.725949074076</v>
      </c>
      <c r="E2394" s="130">
        <v>-114.89</v>
      </c>
      <c r="F2394" s="136">
        <v>4.4999999999999998E-2</v>
      </c>
      <c r="G2394" s="126">
        <f t="shared" si="38"/>
        <v>-114.89</v>
      </c>
      <c r="H2394" s="126" t="s">
        <v>231</v>
      </c>
      <c r="I2394" s="127" t="s">
        <v>232</v>
      </c>
      <c r="J2394" s="126">
        <v>1.84</v>
      </c>
      <c r="K2394" s="126">
        <v>114.89</v>
      </c>
      <c r="L2394" s="129">
        <f>INT(base[[#This Row],[Data de liquidação]])</f>
        <v>46163</v>
      </c>
      <c r="M2394" s="126">
        <f>base[[#This Row],[L/P Bruto]]-base[[#This Row],[L/P Líquido]]</f>
        <v>0</v>
      </c>
      <c r="N2394" s="126">
        <f>base[[#This Row],[L/P Líquido]]/base[[#This Row],[Stake/Responsabilidade]]</f>
        <v>-1</v>
      </c>
      <c r="O2394" s="132">
        <f>IF(base[[#This Row],[L/P Líquido]]&gt;0,1,0)</f>
        <v>0</v>
      </c>
      <c r="P2394" s="132"/>
      <c r="Q2394" s="132" t="str">
        <f>LEFT(base[[#This Row],[Evento / Mercado]],FIND("vs",base[[#This Row],[Evento / Mercado]])-2)</f>
        <v>VfL Wolfsburg</v>
      </c>
      <c r="R23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Paderborn 07</v>
      </c>
      <c r="S2394" s="132" t="str">
        <f>LEFT(base[[#This Row],[Evento / Mercado]],FIND("/",base[[#This Row],[Evento / Mercado]])-2)</f>
        <v>VfL Wolfsburg vs SC Paderborn 07</v>
      </c>
    </row>
    <row r="2395" spans="2:19" ht="15" customHeight="1">
      <c r="B2395" s="128" t="s">
        <v>2373</v>
      </c>
      <c r="C2395" s="128" t="s">
        <v>2982</v>
      </c>
      <c r="D2395" s="129">
        <v>46163.726990740739</v>
      </c>
      <c r="E2395" s="130">
        <v>2.65</v>
      </c>
      <c r="F2395" s="136">
        <v>4.4999999999999998E-2</v>
      </c>
      <c r="G2395" s="126">
        <f t="shared" si="38"/>
        <v>2.7748691099476441</v>
      </c>
      <c r="H2395" s="126" t="s">
        <v>1339</v>
      </c>
      <c r="I2395" s="127" t="s">
        <v>1336</v>
      </c>
      <c r="J2395" s="126">
        <v>1.41</v>
      </c>
      <c r="K2395" s="126">
        <v>15</v>
      </c>
      <c r="L2395" s="129">
        <f>INT(base[[#This Row],[Data de liquidação]])</f>
        <v>46163</v>
      </c>
      <c r="M2395" s="126">
        <f>base[[#This Row],[L/P Bruto]]-base[[#This Row],[L/P Líquido]]</f>
        <v>0.12486910994764422</v>
      </c>
      <c r="N2395" s="126">
        <f>base[[#This Row],[L/P Líquido]]/base[[#This Row],[Stake/Responsabilidade]]</f>
        <v>0.17666666666666667</v>
      </c>
      <c r="O2395" s="132">
        <f>IF(base[[#This Row],[L/P Líquido]]&gt;0,1,0)</f>
        <v>1</v>
      </c>
      <c r="P2395" s="132"/>
      <c r="Q2395" s="132" t="str">
        <f>LEFT(base[[#This Row],[Evento / Mercado]],FIND("vs",base[[#This Row],[Evento / Mercado]])-2)</f>
        <v>Anderlecht</v>
      </c>
      <c r="R23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Sint-Truidense VV</v>
      </c>
      <c r="S2395" s="132" t="str">
        <f>LEFT(base[[#This Row],[Evento / Mercado]],FIND("/",base[[#This Row],[Evento / Mercado]])-2)</f>
        <v>Anderlecht vs Sint-Truidense VV</v>
      </c>
    </row>
    <row r="2396" spans="2:19" ht="15" customHeight="1">
      <c r="B2396" s="128" t="s">
        <v>2372</v>
      </c>
      <c r="C2396" s="128" t="s">
        <v>2982</v>
      </c>
      <c r="D2396" s="129">
        <v>46163.747488425928</v>
      </c>
      <c r="E2396" s="130">
        <v>3.61</v>
      </c>
      <c r="F2396" s="136">
        <v>4.4999999999999998E-2</v>
      </c>
      <c r="G2396" s="126">
        <f t="shared" si="38"/>
        <v>3.7801047120418847</v>
      </c>
      <c r="H2396" s="126" t="s">
        <v>1339</v>
      </c>
      <c r="I2396" s="127" t="s">
        <v>1388</v>
      </c>
      <c r="J2396" s="126">
        <v>19.5</v>
      </c>
      <c r="K2396" s="126">
        <v>69.930000000000007</v>
      </c>
      <c r="L2396" s="129">
        <f>INT(base[[#This Row],[Data de liquidação]])</f>
        <v>46163</v>
      </c>
      <c r="M2396" s="126">
        <f>base[[#This Row],[L/P Bruto]]-base[[#This Row],[L/P Líquido]]</f>
        <v>0.17010471204188482</v>
      </c>
      <c r="N2396" s="126">
        <f>base[[#This Row],[L/P Líquido]]/base[[#This Row],[Stake/Responsabilidade]]</f>
        <v>5.1623051623051613E-2</v>
      </c>
      <c r="O2396" s="132">
        <f>IF(base[[#This Row],[L/P Líquido]]&gt;0,1,0)</f>
        <v>1</v>
      </c>
      <c r="P2396" s="132"/>
      <c r="Q2396" s="132" t="str">
        <f>LEFT(base[[#This Row],[Evento / Mercado]],FIND("vs",base[[#This Row],[Evento / Mercado]])-2)</f>
        <v>FC Utrecht</v>
      </c>
      <c r="R23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2396" s="132" t="str">
        <f>LEFT(base[[#This Row],[Evento / Mercado]],FIND("/",base[[#This Row],[Evento / Mercado]])-2)</f>
        <v>FC Utrecht vs Heerenveen</v>
      </c>
    </row>
    <row r="2397" spans="2:19" ht="15" customHeight="1">
      <c r="B2397" s="128" t="s">
        <v>2371</v>
      </c>
      <c r="C2397" s="128" t="s">
        <v>2982</v>
      </c>
      <c r="D2397" s="129">
        <v>46163.747627314813</v>
      </c>
      <c r="E2397" s="130">
        <v>14.47</v>
      </c>
      <c r="F2397" s="136">
        <v>4.4999999999999998E-2</v>
      </c>
      <c r="G2397" s="126">
        <f t="shared" si="38"/>
        <v>15.151832460732985</v>
      </c>
      <c r="H2397" s="126" t="s">
        <v>1784</v>
      </c>
      <c r="I2397" s="127" t="s">
        <v>1785</v>
      </c>
      <c r="J2397" s="126">
        <v>4.3</v>
      </c>
      <c r="K2397" s="126">
        <v>50</v>
      </c>
      <c r="L2397" s="129">
        <f>INT(base[[#This Row],[Data de liquidação]])</f>
        <v>46163</v>
      </c>
      <c r="M2397" s="126">
        <f>base[[#This Row],[L/P Bruto]]-base[[#This Row],[L/P Líquido]]</f>
        <v>0.6818324607329842</v>
      </c>
      <c r="N2397" s="126">
        <f>base[[#This Row],[L/P Líquido]]/base[[#This Row],[Stake/Responsabilidade]]</f>
        <v>0.28939999999999999</v>
      </c>
      <c r="O2397" s="132">
        <f>IF(base[[#This Row],[L/P Líquido]]&gt;0,1,0)</f>
        <v>1</v>
      </c>
      <c r="P2397" s="132"/>
      <c r="Q2397" s="132" t="str">
        <f>LEFT(base[[#This Row],[Evento / Mercado]],FIND("vs",base[[#This Row],[Evento / Mercado]])-2)</f>
        <v>FC Utrecht</v>
      </c>
      <c r="R23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2397" s="132" t="str">
        <f>LEFT(base[[#This Row],[Evento / Mercado]],FIND("/",base[[#This Row],[Evento / Mercado]])-2)</f>
        <v>FC Utrecht vs Heerenveen</v>
      </c>
    </row>
    <row r="2398" spans="2:19" ht="15" customHeight="1">
      <c r="B2398" s="128" t="s">
        <v>2370</v>
      </c>
      <c r="C2398" s="128" t="s">
        <v>2982</v>
      </c>
      <c r="D2398" s="129">
        <v>46163.810567129629</v>
      </c>
      <c r="E2398" s="130">
        <v>98.84</v>
      </c>
      <c r="F2398" s="136">
        <v>4.4999999999999998E-2</v>
      </c>
      <c r="G2398" s="126">
        <f t="shared" si="38"/>
        <v>103.49738219895289</v>
      </c>
      <c r="H2398" s="126" t="s">
        <v>231</v>
      </c>
      <c r="I2398" s="127" t="s">
        <v>266</v>
      </c>
      <c r="J2398" s="126">
        <v>1.9</v>
      </c>
      <c r="K2398" s="126">
        <v>115</v>
      </c>
      <c r="L2398" s="129">
        <f>INT(base[[#This Row],[Data de liquidação]])</f>
        <v>46163</v>
      </c>
      <c r="M2398" s="126">
        <f>base[[#This Row],[L/P Bruto]]-base[[#This Row],[L/P Líquido]]</f>
        <v>4.6573821989528881</v>
      </c>
      <c r="N2398" s="126">
        <f>base[[#This Row],[L/P Líquido]]/base[[#This Row],[Stake/Responsabilidade]]</f>
        <v>0.85947826086956525</v>
      </c>
      <c r="O2398" s="132">
        <f>IF(base[[#This Row],[L/P Líquido]]&gt;0,1,0)</f>
        <v>1</v>
      </c>
      <c r="P2398" s="132"/>
      <c r="Q2398" s="132" t="str">
        <f>LEFT(base[[#This Row],[Evento / Mercado]],FIND("vs",base[[#This Row],[Evento / Mercado]])-2)</f>
        <v>Academia Puerto Cabello</v>
      </c>
      <c r="R23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Juventud de Las Piedras</v>
      </c>
      <c r="S2398" s="132" t="str">
        <f>LEFT(base[[#This Row],[Evento / Mercado]],FIND("/",base[[#This Row],[Evento / Mercado]])-2)</f>
        <v>Academia Puerto Cabello vs Juventud de Las Piedras</v>
      </c>
    </row>
    <row r="2399" spans="2:19" ht="15" customHeight="1">
      <c r="B2399" s="128" t="s">
        <v>2369</v>
      </c>
      <c r="C2399" s="128" t="s">
        <v>2982</v>
      </c>
      <c r="D2399" s="129">
        <v>46163.97587962963</v>
      </c>
      <c r="E2399" s="130">
        <v>10.38</v>
      </c>
      <c r="F2399" s="136">
        <v>4.4999999999999998E-2</v>
      </c>
      <c r="G2399" s="126">
        <f t="shared" si="38"/>
        <v>10.869109947643981</v>
      </c>
      <c r="H2399" s="126" t="s">
        <v>1784</v>
      </c>
      <c r="I2399" s="127" t="s">
        <v>1785</v>
      </c>
      <c r="J2399" s="126">
        <v>5.6</v>
      </c>
      <c r="K2399" s="126">
        <v>50</v>
      </c>
      <c r="L2399" s="129">
        <f>INT(base[[#This Row],[Data de liquidação]])</f>
        <v>46163</v>
      </c>
      <c r="M2399" s="126">
        <f>base[[#This Row],[L/P Bruto]]-base[[#This Row],[L/P Líquido]]</f>
        <v>0.48910994764398019</v>
      </c>
      <c r="N2399" s="126">
        <f>base[[#This Row],[L/P Líquido]]/base[[#This Row],[Stake/Responsabilidade]]</f>
        <v>0.20760000000000001</v>
      </c>
      <c r="O2399" s="132">
        <f>IF(base[[#This Row],[L/P Líquido]]&gt;0,1,0)</f>
        <v>1</v>
      </c>
      <c r="P2399" s="132"/>
      <c r="Q2399" s="132" t="str">
        <f>LEFT(base[[#This Row],[Evento / Mercado]],FIND("vs",base[[#This Row],[Evento / Mercado]])-2)</f>
        <v>Universidad Católica</v>
      </c>
      <c r="R23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Barcelona SC</v>
      </c>
      <c r="S2399" s="132" t="str">
        <f>LEFT(base[[#This Row],[Evento / Mercado]],FIND("/",base[[#This Row],[Evento / Mercado]])-2)</f>
        <v>Universidad Católica vs Barcelona SC</v>
      </c>
    </row>
    <row r="2400" spans="2:19" ht="15" customHeight="1">
      <c r="B2400" s="128" t="s">
        <v>2368</v>
      </c>
      <c r="C2400" s="128" t="s">
        <v>2982</v>
      </c>
      <c r="D2400" s="129">
        <v>46163.998020833336</v>
      </c>
      <c r="E2400" s="130">
        <v>-50</v>
      </c>
      <c r="F2400" s="136">
        <v>4.4999999999999998E-2</v>
      </c>
      <c r="G2400" s="126">
        <f t="shared" si="38"/>
        <v>-50</v>
      </c>
      <c r="H2400" s="126" t="s">
        <v>1784</v>
      </c>
      <c r="I2400" s="127" t="s">
        <v>1448</v>
      </c>
      <c r="J2400" s="126">
        <v>1.38</v>
      </c>
      <c r="K2400" s="126">
        <v>50</v>
      </c>
      <c r="L2400" s="129">
        <f>INT(base[[#This Row],[Data de liquidação]])</f>
        <v>46163</v>
      </c>
      <c r="M2400" s="126">
        <f>base[[#This Row],[L/P Bruto]]-base[[#This Row],[L/P Líquido]]</f>
        <v>0</v>
      </c>
      <c r="N2400" s="126">
        <f>base[[#This Row],[L/P Líquido]]/base[[#This Row],[Stake/Responsabilidade]]</f>
        <v>-1</v>
      </c>
      <c r="O2400" s="132">
        <f>IF(base[[#This Row],[L/P Líquido]]&gt;0,1,0)</f>
        <v>0</v>
      </c>
      <c r="P2400" s="132"/>
      <c r="Q2400" s="132" t="str">
        <f>LEFT(base[[#This Row],[Evento / Mercado]],FIND("vs",base[[#This Row],[Evento / Mercado]])-2)</f>
        <v>Cruz Azul</v>
      </c>
      <c r="R24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Pumas UNAM</v>
      </c>
      <c r="S2400" s="132" t="str">
        <f>LEFT(base[[#This Row],[Evento / Mercado]],FIND("/",base[[#This Row],[Evento / Mercado]])-2)</f>
        <v>Cruz Azul vs Pumas UNAM</v>
      </c>
    </row>
    <row r="2401" spans="2:19" ht="15" customHeight="1">
      <c r="B2401" s="128" t="s">
        <v>2402</v>
      </c>
      <c r="C2401" s="128" t="s">
        <v>2982</v>
      </c>
      <c r="D2401" s="129">
        <v>46164.046990740739</v>
      </c>
      <c r="E2401" s="130">
        <v>-115</v>
      </c>
      <c r="F2401" s="136">
        <v>4.4999999999999998E-2</v>
      </c>
      <c r="G2401" s="126">
        <f t="shared" si="38"/>
        <v>-115</v>
      </c>
      <c r="H2401" s="126" t="s">
        <v>231</v>
      </c>
      <c r="I2401" s="127" t="s">
        <v>266</v>
      </c>
      <c r="J2401" s="126">
        <v>1.85</v>
      </c>
      <c r="K2401" s="126">
        <v>115</v>
      </c>
      <c r="L2401" s="129">
        <f>INT(base[[#This Row],[Data de liquidação]])</f>
        <v>46164</v>
      </c>
      <c r="M2401" s="126">
        <f>base[[#This Row],[L/P Bruto]]-base[[#This Row],[L/P Líquido]]</f>
        <v>0</v>
      </c>
      <c r="N2401" s="126">
        <f>base[[#This Row],[L/P Líquido]]/base[[#This Row],[Stake/Responsabilidade]]</f>
        <v>-1</v>
      </c>
      <c r="O2401" s="132">
        <f>IF(base[[#This Row],[L/P Líquido]]&gt;0,1,0)</f>
        <v>0</v>
      </c>
      <c r="P2401" s="132"/>
      <c r="Q2401" s="132" t="str">
        <f>LEFT(base[[#This Row],[Evento / Mercado]],FIND("vs",base[[#This Row],[Evento / Mercado]])-2)</f>
        <v>Cruz Azul</v>
      </c>
      <c r="R24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Pumas UNAM</v>
      </c>
      <c r="S2401" s="132" t="str">
        <f>LEFT(base[[#This Row],[Evento / Mercado]],FIND("/",base[[#This Row],[Evento / Mercado]])-2)</f>
        <v>Cruz Azul vs Pumas UNAM</v>
      </c>
    </row>
    <row r="2402" spans="2:19" ht="15" customHeight="1">
      <c r="B2402" s="128" t="s">
        <v>2401</v>
      </c>
      <c r="C2402" s="128" t="s">
        <v>2982</v>
      </c>
      <c r="D2402" s="129">
        <v>46164.470983796295</v>
      </c>
      <c r="E2402" s="130">
        <v>5.83</v>
      </c>
      <c r="F2402" s="136">
        <v>4.4999999999999998E-2</v>
      </c>
      <c r="G2402" s="126">
        <f t="shared" si="38"/>
        <v>6.1047120418848166</v>
      </c>
      <c r="H2402" s="126" t="s">
        <v>1339</v>
      </c>
      <c r="I2402" s="127" t="s">
        <v>1446</v>
      </c>
      <c r="J2402" s="126">
        <v>2.64</v>
      </c>
      <c r="K2402" s="126">
        <v>10</v>
      </c>
      <c r="L2402" s="129">
        <f>INT(base[[#This Row],[Data de liquidação]])</f>
        <v>46164</v>
      </c>
      <c r="M2402" s="126">
        <f>base[[#This Row],[L/P Bruto]]-base[[#This Row],[L/P Líquido]]</f>
        <v>0.27471204188481657</v>
      </c>
      <c r="N2402" s="126">
        <f>base[[#This Row],[L/P Líquido]]/base[[#This Row],[Stake/Responsabilidade]]</f>
        <v>0.58299999999999996</v>
      </c>
      <c r="O2402" s="132">
        <f>IF(base[[#This Row],[L/P Líquido]]&gt;0,1,0)</f>
        <v>1</v>
      </c>
      <c r="P2402" s="132"/>
      <c r="Q2402" s="132" t="str">
        <f>LEFT(base[[#This Row],[Evento / Mercado]],FIND("vs",base[[#This Row],[Evento / Mercado]])-2)</f>
        <v>Viettel</v>
      </c>
      <c r="R24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PVF-Cong An Nhan Dan FC</v>
      </c>
      <c r="S2402" s="132" t="str">
        <f>LEFT(base[[#This Row],[Evento / Mercado]],FIND("/",base[[#This Row],[Evento / Mercado]])-2)</f>
        <v>Viettel vs PVF-Cong An Nhan Dan FC</v>
      </c>
    </row>
    <row r="2403" spans="2:19" ht="15" customHeight="1">
      <c r="B2403" s="128" t="s">
        <v>2400</v>
      </c>
      <c r="C2403" s="128" t="s">
        <v>2982</v>
      </c>
      <c r="D2403" s="129">
        <v>46164.534421296295</v>
      </c>
      <c r="E2403" s="130">
        <v>1.91</v>
      </c>
      <c r="F2403" s="136">
        <v>4.4999999999999998E-2</v>
      </c>
      <c r="G2403" s="126">
        <f t="shared" si="38"/>
        <v>2</v>
      </c>
      <c r="H2403" s="126" t="s">
        <v>1339</v>
      </c>
      <c r="I2403" s="127" t="s">
        <v>1963</v>
      </c>
      <c r="J2403" s="126">
        <v>1.04</v>
      </c>
      <c r="K2403" s="126">
        <v>50</v>
      </c>
      <c r="L2403" s="129">
        <f>INT(base[[#This Row],[Data de liquidação]])</f>
        <v>46164</v>
      </c>
      <c r="M2403" s="126">
        <f>base[[#This Row],[L/P Bruto]]-base[[#This Row],[L/P Líquido]]</f>
        <v>9.000000000000008E-2</v>
      </c>
      <c r="N2403" s="126">
        <f>base[[#This Row],[L/P Líquido]]/base[[#This Row],[Stake/Responsabilidade]]</f>
        <v>3.8199999999999998E-2</v>
      </c>
      <c r="O2403" s="132">
        <f>IF(base[[#This Row],[L/P Líquido]]&gt;0,1,0)</f>
        <v>1</v>
      </c>
      <c r="P2403" s="132"/>
      <c r="Q2403" s="132" t="str">
        <f>LEFT(base[[#This Row],[Evento / Mercado]],FIND("vs",base[[#This Row],[Evento / Mercado]])-2)</f>
        <v>NK Osijek</v>
      </c>
      <c r="R24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Slaven Belupo</v>
      </c>
      <c r="S2403" s="132" t="str">
        <f>LEFT(base[[#This Row],[Evento / Mercado]],FIND("/",base[[#This Row],[Evento / Mercado]])-2)</f>
        <v>NK Osijek vs NK Slaven Belupo</v>
      </c>
    </row>
    <row r="2404" spans="2:19" ht="15" customHeight="1">
      <c r="B2404" s="128" t="s">
        <v>2399</v>
      </c>
      <c r="C2404" s="128" t="s">
        <v>2982</v>
      </c>
      <c r="D2404" s="129">
        <v>46164.676921296297</v>
      </c>
      <c r="E2404" s="130">
        <v>2.6</v>
      </c>
      <c r="F2404" s="136">
        <v>4.4999999999999998E-2</v>
      </c>
      <c r="G2404" s="126">
        <f t="shared" si="38"/>
        <v>2.7225130890052358</v>
      </c>
      <c r="H2404" s="126" t="s">
        <v>1339</v>
      </c>
      <c r="I2404" s="127" t="s">
        <v>1933</v>
      </c>
      <c r="J2404" s="126">
        <v>1.54</v>
      </c>
      <c r="K2404" s="126">
        <v>5</v>
      </c>
      <c r="L2404" s="129">
        <f>INT(base[[#This Row],[Data de liquidação]])</f>
        <v>46164</v>
      </c>
      <c r="M2404" s="126">
        <f>base[[#This Row],[L/P Bruto]]-base[[#This Row],[L/P Líquido]]</f>
        <v>0.12251308900523572</v>
      </c>
      <c r="N2404" s="126">
        <f>base[[#This Row],[L/P Líquido]]/base[[#This Row],[Stake/Responsabilidade]]</f>
        <v>0.52</v>
      </c>
      <c r="O2404" s="132">
        <f>IF(base[[#This Row],[L/P Líquido]]&gt;0,1,0)</f>
        <v>1</v>
      </c>
      <c r="P2404" s="132"/>
      <c r="Q2404" s="132" t="str">
        <f>LEFT(base[[#This Row],[Evento / Mercado]],FIND("vs",base[[#This Row],[Evento / Mercado]])-2)</f>
        <v>CFR Cluj</v>
      </c>
      <c r="R24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Arges Pitesti</v>
      </c>
      <c r="S2404" s="132" t="str">
        <f>LEFT(base[[#This Row],[Evento / Mercado]],FIND("/",base[[#This Row],[Evento / Mercado]])-2)</f>
        <v>CFR Cluj vs FC Arges Pitesti</v>
      </c>
    </row>
    <row r="2405" spans="2:19" ht="15" customHeight="1">
      <c r="B2405" s="128" t="s">
        <v>2398</v>
      </c>
      <c r="C2405" s="128" t="s">
        <v>2982</v>
      </c>
      <c r="D2405" s="129">
        <v>46164.700312499997</v>
      </c>
      <c r="E2405" s="130">
        <v>9.5500000000000007</v>
      </c>
      <c r="F2405" s="136">
        <v>4.4999999999999998E-2</v>
      </c>
      <c r="G2405" s="126">
        <f t="shared" si="38"/>
        <v>10.000000000000002</v>
      </c>
      <c r="H2405" s="126" t="s">
        <v>1339</v>
      </c>
      <c r="I2405" s="127" t="s">
        <v>1236</v>
      </c>
      <c r="J2405" s="126">
        <v>9.4</v>
      </c>
      <c r="K2405" s="126">
        <v>10</v>
      </c>
      <c r="L2405" s="129">
        <f>INT(base[[#This Row],[Data de liquidação]])</f>
        <v>46164</v>
      </c>
      <c r="M2405" s="126">
        <f>base[[#This Row],[L/P Bruto]]-base[[#This Row],[L/P Líquido]]</f>
        <v>0.45000000000000107</v>
      </c>
      <c r="N2405" s="126">
        <f>base[[#This Row],[L/P Líquido]]/base[[#This Row],[Stake/Responsabilidade]]</f>
        <v>0.95500000000000007</v>
      </c>
      <c r="O2405" s="132">
        <f>IF(base[[#This Row],[L/P Líquido]]&gt;0,1,0)</f>
        <v>1</v>
      </c>
      <c r="P2405" s="132"/>
      <c r="Q2405" s="132" t="str">
        <f>LEFT(base[[#This Row],[Evento / Mercado]],FIND("vs",base[[#This Row],[Evento / Mercado]])-2)</f>
        <v>RC Lens</v>
      </c>
      <c r="R24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OGC Nice</v>
      </c>
      <c r="S2405" s="132" t="str">
        <f>LEFT(base[[#This Row],[Evento / Mercado]],FIND("/",base[[#This Row],[Evento / Mercado]])-2)</f>
        <v>RC Lens vs OGC Nice</v>
      </c>
    </row>
    <row r="2406" spans="2:19" ht="15" customHeight="1">
      <c r="B2406" s="128" t="s">
        <v>2397</v>
      </c>
      <c r="C2406" s="128" t="s">
        <v>2982</v>
      </c>
      <c r="D2406" s="129">
        <v>46164.721006944441</v>
      </c>
      <c r="E2406" s="130">
        <v>2.46</v>
      </c>
      <c r="F2406" s="136">
        <v>4.4999999999999998E-2</v>
      </c>
      <c r="G2406" s="126">
        <f t="shared" si="38"/>
        <v>2.5759162303664924</v>
      </c>
      <c r="H2406" s="126" t="s">
        <v>1339</v>
      </c>
      <c r="I2406" s="127" t="s">
        <v>1933</v>
      </c>
      <c r="J2406" s="126">
        <v>1.52</v>
      </c>
      <c r="K2406" s="126">
        <v>5</v>
      </c>
      <c r="L2406" s="129">
        <f>INT(base[[#This Row],[Data de liquidação]])</f>
        <v>46164</v>
      </c>
      <c r="M2406" s="126">
        <f>base[[#This Row],[L/P Bruto]]-base[[#This Row],[L/P Líquido]]</f>
        <v>0.11591623036649246</v>
      </c>
      <c r="N2406" s="126">
        <f>base[[#This Row],[L/P Líquido]]/base[[#This Row],[Stake/Responsabilidade]]</f>
        <v>0.49199999999999999</v>
      </c>
      <c r="O2406" s="132">
        <f>IF(base[[#This Row],[L/P Líquido]]&gt;0,1,0)</f>
        <v>1</v>
      </c>
      <c r="P2406" s="132"/>
      <c r="Q2406" s="132" t="str">
        <f>LEFT(base[[#This Row],[Evento / Mercado]],FIND("vs",base[[#This Row],[Evento / Mercado]])-2)</f>
        <v>Everton de Viña del Mar</v>
      </c>
      <c r="R24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Coquimbo Unido</v>
      </c>
      <c r="S2406" s="132" t="str">
        <f>LEFT(base[[#This Row],[Evento / Mercado]],FIND("/",base[[#This Row],[Evento / Mercado]])-2)</f>
        <v>Everton de Viña del Mar vs Coquimbo Unido</v>
      </c>
    </row>
    <row r="2407" spans="2:19" ht="15" customHeight="1">
      <c r="B2407" s="128" t="s">
        <v>2396</v>
      </c>
      <c r="C2407" s="128" t="s">
        <v>2982</v>
      </c>
      <c r="D2407" s="129">
        <v>46164.726354166669</v>
      </c>
      <c r="E2407" s="130">
        <v>-1.86</v>
      </c>
      <c r="F2407" s="136">
        <v>4.4999999999999998E-2</v>
      </c>
      <c r="G2407" s="126">
        <f t="shared" si="38"/>
        <v>-1.86</v>
      </c>
      <c r="H2407" s="126" t="s">
        <v>1339</v>
      </c>
      <c r="I2407" s="127" t="s">
        <v>1236</v>
      </c>
      <c r="J2407" s="126">
        <v>7</v>
      </c>
      <c r="K2407" s="126">
        <v>10</v>
      </c>
      <c r="L2407" s="129">
        <f>INT(base[[#This Row],[Data de liquidação]])</f>
        <v>46164</v>
      </c>
      <c r="M2407" s="126">
        <f>base[[#This Row],[L/P Bruto]]-base[[#This Row],[L/P Líquido]]</f>
        <v>0</v>
      </c>
      <c r="N2407" s="126">
        <f>base[[#This Row],[L/P Líquido]]/base[[#This Row],[Stake/Responsabilidade]]</f>
        <v>-0.186</v>
      </c>
      <c r="O2407" s="132">
        <f>IF(base[[#This Row],[L/P Líquido]]&gt;0,1,0)</f>
        <v>0</v>
      </c>
      <c r="P2407" s="132"/>
      <c r="Q2407" s="132" t="str">
        <f>LEFT(base[[#This Row],[Evento / Mercado]],FIND("vs",base[[#This Row],[Evento / Mercado]])-2)</f>
        <v>Fiorentina</v>
      </c>
      <c r="R24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Atalanta</v>
      </c>
      <c r="S2407" s="132" t="str">
        <f>LEFT(base[[#This Row],[Evento / Mercado]],FIND("/",base[[#This Row],[Evento / Mercado]])-2)</f>
        <v>Fiorentina vs Atalanta</v>
      </c>
    </row>
    <row r="2408" spans="2:19" ht="15" customHeight="1">
      <c r="B2408" s="128" t="s">
        <v>2395</v>
      </c>
      <c r="C2408" s="128" t="s">
        <v>2982</v>
      </c>
      <c r="D2408" s="129">
        <v>46164.733819444446</v>
      </c>
      <c r="E2408" s="130">
        <v>9.2799999999999994</v>
      </c>
      <c r="F2408" s="136">
        <v>4.4999999999999998E-2</v>
      </c>
      <c r="G2408" s="126">
        <f t="shared" si="38"/>
        <v>9.7172774869109944</v>
      </c>
      <c r="H2408" s="126" t="s">
        <v>1339</v>
      </c>
      <c r="I2408" s="127" t="s">
        <v>1430</v>
      </c>
      <c r="J2408" s="126">
        <v>8.52</v>
      </c>
      <c r="K2408" s="126">
        <v>73.06</v>
      </c>
      <c r="L2408" s="129">
        <f>INT(base[[#This Row],[Data de liquidação]])</f>
        <v>46164</v>
      </c>
      <c r="M2408" s="126">
        <f>base[[#This Row],[L/P Bruto]]-base[[#This Row],[L/P Líquido]]</f>
        <v>0.43727748691099499</v>
      </c>
      <c r="N2408" s="126">
        <f>base[[#This Row],[L/P Líquido]]/base[[#This Row],[Stake/Responsabilidade]]</f>
        <v>0.12701888858472488</v>
      </c>
      <c r="O2408" s="132">
        <f>IF(base[[#This Row],[L/P Líquido]]&gt;0,1,0)</f>
        <v>1</v>
      </c>
      <c r="P2408" s="132"/>
      <c r="Q2408" s="132" t="str">
        <f>LEFT(base[[#This Row],[Evento / Mercado]],FIND("vs",base[[#This Row],[Evento / Mercado]])-2)</f>
        <v>Fiorentina</v>
      </c>
      <c r="R24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Atalanta</v>
      </c>
      <c r="S2408" s="132" t="str">
        <f>LEFT(base[[#This Row],[Evento / Mercado]],FIND("/",base[[#This Row],[Evento / Mercado]])-2)</f>
        <v>Fiorentina vs Atalanta</v>
      </c>
    </row>
    <row r="2409" spans="2:19" ht="15" customHeight="1">
      <c r="B2409" s="128" t="s">
        <v>2394</v>
      </c>
      <c r="C2409" s="128" t="s">
        <v>2982</v>
      </c>
      <c r="D2409" s="129">
        <v>46164.733935185184</v>
      </c>
      <c r="E2409" s="130">
        <v>2.5499999999999998</v>
      </c>
      <c r="F2409" s="136">
        <v>4.4999999999999998E-2</v>
      </c>
      <c r="G2409" s="126">
        <f t="shared" si="38"/>
        <v>2.670157068062827</v>
      </c>
      <c r="H2409" s="126" t="s">
        <v>1339</v>
      </c>
      <c r="I2409" s="127" t="s">
        <v>1336</v>
      </c>
      <c r="J2409" s="126">
        <v>1.4</v>
      </c>
      <c r="K2409" s="126">
        <v>15</v>
      </c>
      <c r="L2409" s="129">
        <f>INT(base[[#This Row],[Data de liquidação]])</f>
        <v>46164</v>
      </c>
      <c r="M2409" s="126">
        <f>base[[#This Row],[L/P Bruto]]-base[[#This Row],[L/P Líquido]]</f>
        <v>0.12015706806282722</v>
      </c>
      <c r="N2409" s="126">
        <f>base[[#This Row],[L/P Líquido]]/base[[#This Row],[Stake/Responsabilidade]]</f>
        <v>0.16999999999999998</v>
      </c>
      <c r="O2409" s="132">
        <f>IF(base[[#This Row],[L/P Líquido]]&gt;0,1,0)</f>
        <v>1</v>
      </c>
      <c r="P2409" s="132"/>
      <c r="Q2409" s="132" t="str">
        <f>LEFT(base[[#This Row],[Evento / Mercado]],FIND("vs",base[[#This Row],[Evento / Mercado]])-2)</f>
        <v>Fiorentina</v>
      </c>
      <c r="R24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Atalanta</v>
      </c>
      <c r="S2409" s="132" t="str">
        <f>LEFT(base[[#This Row],[Evento / Mercado]],FIND("/",base[[#This Row],[Evento / Mercado]])-2)</f>
        <v>Fiorentina vs Atalanta</v>
      </c>
    </row>
    <row r="2410" spans="2:19" ht="15" customHeight="1">
      <c r="B2410" s="128" t="s">
        <v>2393</v>
      </c>
      <c r="C2410" s="128" t="s">
        <v>2982</v>
      </c>
      <c r="D2410" s="129">
        <v>46164.74722222222</v>
      </c>
      <c r="E2410" s="130">
        <v>-425.04</v>
      </c>
      <c r="F2410" s="136">
        <v>4.4999999999999998E-2</v>
      </c>
      <c r="G2410" s="126">
        <f t="shared" si="38"/>
        <v>-425.04</v>
      </c>
      <c r="H2410" s="126" t="s">
        <v>145</v>
      </c>
      <c r="I2410" s="127" t="s">
        <v>301</v>
      </c>
      <c r="J2410" s="126">
        <v>12</v>
      </c>
      <c r="K2410" s="126">
        <v>425.04</v>
      </c>
      <c r="L2410" s="129">
        <f>INT(base[[#This Row],[Data de liquidação]])</f>
        <v>46164</v>
      </c>
      <c r="M2410" s="126">
        <f>base[[#This Row],[L/P Bruto]]-base[[#This Row],[L/P Líquido]]</f>
        <v>0</v>
      </c>
      <c r="N2410" s="126">
        <f>base[[#This Row],[L/P Líquido]]/base[[#This Row],[Stake/Responsabilidade]]</f>
        <v>-1</v>
      </c>
      <c r="O2410" s="132">
        <f>IF(base[[#This Row],[L/P Líquido]]&gt;0,1,0)</f>
        <v>0</v>
      </c>
      <c r="P2410" s="132" t="s">
        <v>1788</v>
      </c>
      <c r="Q2410" s="132" t="str">
        <f>LEFT(base[[#This Row],[Evento / Mercado]],FIND("vs",base[[#This Row],[Evento / Mercado]])-2)</f>
        <v>Shamrock Rovers</v>
      </c>
      <c r="R24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Sligo Rovers</v>
      </c>
      <c r="S2410" s="132" t="str">
        <f>LEFT(base[[#This Row],[Evento / Mercado]],FIND("/",base[[#This Row],[Evento / Mercado]])-2)</f>
        <v>Shamrock Rovers vs Sligo Rovers</v>
      </c>
    </row>
    <row r="2411" spans="2:19" ht="15" customHeight="1">
      <c r="B2411" s="128" t="s">
        <v>2392</v>
      </c>
      <c r="C2411" s="128" t="s">
        <v>2982</v>
      </c>
      <c r="D2411" s="129">
        <v>46164.75277777778</v>
      </c>
      <c r="E2411" s="130">
        <v>-44.87</v>
      </c>
      <c r="F2411" s="136">
        <v>4.4999999999999998E-2</v>
      </c>
      <c r="G2411" s="126">
        <f t="shared" si="38"/>
        <v>-44.87</v>
      </c>
      <c r="H2411" s="126" t="s">
        <v>2403</v>
      </c>
      <c r="I2411" s="127"/>
      <c r="J2411" s="126">
        <v>2.58</v>
      </c>
      <c r="K2411" s="126">
        <v>44.87</v>
      </c>
      <c r="L2411" s="129">
        <f>INT(base[[#This Row],[Data de liquidação]])</f>
        <v>46164</v>
      </c>
      <c r="M2411" s="126">
        <f>base[[#This Row],[L/P Bruto]]-base[[#This Row],[L/P Líquido]]</f>
        <v>0</v>
      </c>
      <c r="N2411" s="126">
        <f>base[[#This Row],[L/P Líquido]]/base[[#This Row],[Stake/Responsabilidade]]</f>
        <v>-1</v>
      </c>
      <c r="O2411" s="132">
        <f>IF(base[[#This Row],[L/P Líquido]]&gt;0,1,0)</f>
        <v>0</v>
      </c>
      <c r="P2411" s="132"/>
      <c r="Q2411" s="132" t="str">
        <f>LEFT(base[[#This Row],[Evento / Mercado]],FIND("vs",base[[#This Row],[Evento / Mercado]])-2)</f>
        <v>RC Lens</v>
      </c>
      <c r="R24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OGC Nice</v>
      </c>
      <c r="S2411" s="132" t="str">
        <f>LEFT(base[[#This Row],[Evento / Mercado]],FIND("/",base[[#This Row],[Evento / Mercado]])-2)</f>
        <v>RC Lens vs OGC Nice</v>
      </c>
    </row>
    <row r="2412" spans="2:19" ht="15" customHeight="1">
      <c r="B2412" s="128" t="s">
        <v>2391</v>
      </c>
      <c r="C2412" s="128" t="s">
        <v>2982</v>
      </c>
      <c r="D2412" s="129">
        <v>46164.760439814818</v>
      </c>
      <c r="E2412" s="130">
        <v>1.43</v>
      </c>
      <c r="F2412" s="136">
        <v>4.4999999999999998E-2</v>
      </c>
      <c r="G2412" s="126">
        <f t="shared" si="38"/>
        <v>1.4973821989528795</v>
      </c>
      <c r="H2412" s="126" t="s">
        <v>1339</v>
      </c>
      <c r="I2412" s="127" t="s">
        <v>2404</v>
      </c>
      <c r="J2412" s="126">
        <v>1.75</v>
      </c>
      <c r="K2412" s="126">
        <v>2</v>
      </c>
      <c r="L2412" s="129">
        <f>INT(base[[#This Row],[Data de liquidação]])</f>
        <v>46164</v>
      </c>
      <c r="M2412" s="126">
        <f>base[[#This Row],[L/P Bruto]]-base[[#This Row],[L/P Líquido]]</f>
        <v>6.7382198952879557E-2</v>
      </c>
      <c r="N2412" s="126">
        <f>base[[#This Row],[L/P Líquido]]/base[[#This Row],[Stake/Responsabilidade]]</f>
        <v>0.71499999999999997</v>
      </c>
      <c r="O2412" s="132">
        <f>IF(base[[#This Row],[L/P Líquido]]&gt;0,1,0)</f>
        <v>1</v>
      </c>
      <c r="P2412" s="132"/>
      <c r="Q2412" s="132" t="str">
        <f>LEFT(base[[#This Row],[Evento / Mercado]],FIND("vs",base[[#This Row],[Evento / Mercado]])-2)</f>
        <v>Juan Pablo II College</v>
      </c>
      <c r="R24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FBC Melgar</v>
      </c>
      <c r="S2412" s="132" t="str">
        <f>LEFT(base[[#This Row],[Evento / Mercado]],FIND("/",base[[#This Row],[Evento / Mercado]])-2)</f>
        <v>Juan Pablo II College vs FBC Melgar</v>
      </c>
    </row>
    <row r="2413" spans="2:19" ht="15" customHeight="1">
      <c r="B2413" s="128" t="s">
        <v>2390</v>
      </c>
      <c r="C2413" s="128" t="s">
        <v>2982</v>
      </c>
      <c r="D2413" s="129">
        <v>46164.761053240742</v>
      </c>
      <c r="E2413" s="130">
        <v>27.06</v>
      </c>
      <c r="F2413" s="136">
        <v>4.4999999999999998E-2</v>
      </c>
      <c r="G2413" s="126">
        <f t="shared" si="38"/>
        <v>28.335078534031414</v>
      </c>
      <c r="H2413" s="126" t="s">
        <v>145</v>
      </c>
      <c r="I2413" s="127" t="s">
        <v>301</v>
      </c>
      <c r="J2413" s="126">
        <v>16</v>
      </c>
      <c r="K2413" s="126">
        <v>424.94</v>
      </c>
      <c r="L2413" s="129">
        <f>INT(base[[#This Row],[Data de liquidação]])</f>
        <v>46164</v>
      </c>
      <c r="M2413" s="126">
        <f>base[[#This Row],[L/P Bruto]]-base[[#This Row],[L/P Líquido]]</f>
        <v>1.2750785340314152</v>
      </c>
      <c r="N2413" s="126">
        <f>base[[#This Row],[L/P Líquido]]/base[[#This Row],[Stake/Responsabilidade]]</f>
        <v>6.3679578293406119E-2</v>
      </c>
      <c r="O2413" s="132">
        <f>IF(base[[#This Row],[L/P Líquido]]&gt;0,1,0)</f>
        <v>1</v>
      </c>
      <c r="P2413" s="132" t="s">
        <v>1668</v>
      </c>
      <c r="Q2413" s="132" t="str">
        <f>LEFT(base[[#This Row],[Evento / Mercado]],FIND("vs",base[[#This Row],[Evento / Mercado]])-2)</f>
        <v>Víkingur</v>
      </c>
      <c r="R24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FH Hafnarfjördur</v>
      </c>
      <c r="S2413" s="132" t="str">
        <f>LEFT(base[[#This Row],[Evento / Mercado]],FIND("/",base[[#This Row],[Evento / Mercado]])-2)</f>
        <v>Víkingur vs FH Hafnarfjördur</v>
      </c>
    </row>
    <row r="2414" spans="2:19" ht="15" customHeight="1">
      <c r="B2414" s="128" t="s">
        <v>2468</v>
      </c>
      <c r="C2414" s="128" t="s">
        <v>2982</v>
      </c>
      <c r="D2414" s="129">
        <v>46165.372025462966</v>
      </c>
      <c r="E2414" s="130">
        <v>3.04</v>
      </c>
      <c r="F2414" s="136">
        <v>4.4999999999999998E-2</v>
      </c>
      <c r="G2414" s="126">
        <f t="shared" si="38"/>
        <v>3.1832460732984296</v>
      </c>
      <c r="H2414" s="126" t="s">
        <v>1339</v>
      </c>
      <c r="I2414" s="127" t="s">
        <v>1430</v>
      </c>
      <c r="J2414" s="126">
        <v>23</v>
      </c>
      <c r="K2414" s="126">
        <v>69.959999999999994</v>
      </c>
      <c r="L2414" s="129">
        <f>INT(base[[#This Row],[Data de liquidação]])</f>
        <v>46165</v>
      </c>
      <c r="M2414" s="126">
        <f>base[[#This Row],[L/P Bruto]]-base[[#This Row],[L/P Líquido]]</f>
        <v>0.14324607329842953</v>
      </c>
      <c r="N2414" s="126">
        <f>base[[#This Row],[L/P Líquido]]/base[[#This Row],[Stake/Responsabilidade]]</f>
        <v>4.3453401943967983E-2</v>
      </c>
      <c r="O2414" s="132">
        <f>IF(base[[#This Row],[L/P Líquido]]&gt;0,1,0)</f>
        <v>1</v>
      </c>
      <c r="P2414" s="132"/>
      <c r="Q2414" s="132" t="str">
        <f>LEFT(base[[#This Row],[Evento / Mercado]],FIND("vs",base[[#This Row],[Evento / Mercado]])-2)</f>
        <v>Kyoto Sanga</v>
      </c>
      <c r="R24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V-Varen Nagasaki</v>
      </c>
      <c r="S2414" s="132" t="str">
        <f>LEFT(base[[#This Row],[Evento / Mercado]],FIND("/",base[[#This Row],[Evento / Mercado]])-2)</f>
        <v>Kyoto Sanga vs V-Varen Nagasaki</v>
      </c>
    </row>
    <row r="2415" spans="2:19" ht="15" customHeight="1">
      <c r="B2415" s="128" t="s">
        <v>2467</v>
      </c>
      <c r="C2415" s="128" t="s">
        <v>2982</v>
      </c>
      <c r="D2415" s="129">
        <v>46165.372037037036</v>
      </c>
      <c r="E2415" s="130">
        <v>2.81</v>
      </c>
      <c r="F2415" s="136">
        <v>4.4999999999999998E-2</v>
      </c>
      <c r="G2415" s="126">
        <f t="shared" si="38"/>
        <v>2.9424083769633511</v>
      </c>
      <c r="H2415" s="126" t="s">
        <v>1339</v>
      </c>
      <c r="I2415" s="127" t="s">
        <v>1389</v>
      </c>
      <c r="J2415" s="126">
        <v>1.59</v>
      </c>
      <c r="K2415" s="126">
        <v>5</v>
      </c>
      <c r="L2415" s="129">
        <f>INT(base[[#This Row],[Data de liquidação]])</f>
        <v>46165</v>
      </c>
      <c r="M2415" s="126">
        <f>base[[#This Row],[L/P Bruto]]-base[[#This Row],[L/P Líquido]]</f>
        <v>0.13240837696335106</v>
      </c>
      <c r="N2415" s="126">
        <f>base[[#This Row],[L/P Líquido]]/base[[#This Row],[Stake/Responsabilidade]]</f>
        <v>0.56200000000000006</v>
      </c>
      <c r="O2415" s="132">
        <f>IF(base[[#This Row],[L/P Líquido]]&gt;0,1,0)</f>
        <v>1</v>
      </c>
      <c r="P2415" s="132"/>
      <c r="Q2415" s="132" t="str">
        <f>LEFT(base[[#This Row],[Evento / Mercado]],FIND("vs",base[[#This Row],[Evento / Mercado]])-2)</f>
        <v>Kyoto Sanga</v>
      </c>
      <c r="R24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V-Varen Nagasaki</v>
      </c>
      <c r="S2415" s="132" t="str">
        <f>LEFT(base[[#This Row],[Evento / Mercado]],FIND("/",base[[#This Row],[Evento / Mercado]])-2)</f>
        <v>Kyoto Sanga vs V-Varen Nagasaki</v>
      </c>
    </row>
    <row r="2416" spans="2:19" ht="15" customHeight="1">
      <c r="B2416" s="128" t="s">
        <v>2466</v>
      </c>
      <c r="C2416" s="128" t="s">
        <v>2982</v>
      </c>
      <c r="D2416" s="129">
        <v>46165.373749999999</v>
      </c>
      <c r="E2416" s="130">
        <v>6.82</v>
      </c>
      <c r="F2416" s="136">
        <v>4.4999999999999998E-2</v>
      </c>
      <c r="G2416" s="126">
        <f t="shared" si="38"/>
        <v>7.1413612565445028</v>
      </c>
      <c r="H2416" s="126" t="s">
        <v>1339</v>
      </c>
      <c r="I2416" s="127" t="s">
        <v>2469</v>
      </c>
      <c r="J2416" s="126">
        <v>8</v>
      </c>
      <c r="K2416" s="126">
        <v>49.98</v>
      </c>
      <c r="L2416" s="129">
        <f>INT(base[[#This Row],[Data de liquidação]])</f>
        <v>46165</v>
      </c>
      <c r="M2416" s="126">
        <f>base[[#This Row],[L/P Bruto]]-base[[#This Row],[L/P Líquido]]</f>
        <v>0.32136125654450254</v>
      </c>
      <c r="N2416" s="126">
        <f>base[[#This Row],[L/P Líquido]]/base[[#This Row],[Stake/Responsabilidade]]</f>
        <v>0.1364545818327331</v>
      </c>
      <c r="O2416" s="132">
        <f>IF(base[[#This Row],[L/P Líquido]]&gt;0,1,0)</f>
        <v>1</v>
      </c>
      <c r="P2416" s="132"/>
      <c r="Q2416" s="132" t="str">
        <f>LEFT(base[[#This Row],[Evento / Mercado]],FIND("vs",base[[#This Row],[Evento / Mercado]])-2)</f>
        <v>PFC Oleksandria</v>
      </c>
      <c r="R24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Kryvbas Kryvyi Rih</v>
      </c>
      <c r="S2416" s="132" t="str">
        <f>LEFT(base[[#This Row],[Evento / Mercado]],FIND("/",base[[#This Row],[Evento / Mercado]])-2)</f>
        <v>PFC Oleksandria vs Kryvbas Kryvyi Rih</v>
      </c>
    </row>
    <row r="2417" spans="2:21" ht="15" customHeight="1">
      <c r="B2417" s="128" t="s">
        <v>2465</v>
      </c>
      <c r="C2417" s="128" t="s">
        <v>2982</v>
      </c>
      <c r="D2417" s="129">
        <v>46165.41547453704</v>
      </c>
      <c r="E2417" s="130">
        <v>5.31</v>
      </c>
      <c r="F2417" s="136">
        <v>4.4999999999999998E-2</v>
      </c>
      <c r="G2417" s="126">
        <f t="shared" si="38"/>
        <v>5.5602094240837694</v>
      </c>
      <c r="H2417" s="126" t="s">
        <v>1339</v>
      </c>
      <c r="I2417" s="127" t="s">
        <v>2470</v>
      </c>
      <c r="J2417" s="126">
        <v>10</v>
      </c>
      <c r="K2417" s="126">
        <v>50.04</v>
      </c>
      <c r="L2417" s="129">
        <f>INT(base[[#This Row],[Data de liquidação]])</f>
        <v>46165</v>
      </c>
      <c r="M2417" s="126">
        <f>base[[#This Row],[L/P Bruto]]-base[[#This Row],[L/P Líquido]]</f>
        <v>0.25020942408376978</v>
      </c>
      <c r="N2417" s="126">
        <f>base[[#This Row],[L/P Líquido]]/base[[#This Row],[Stake/Responsabilidade]]</f>
        <v>0.10611510791366906</v>
      </c>
      <c r="O2417" s="132">
        <f>IF(base[[#This Row],[L/P Líquido]]&gt;0,1,0)</f>
        <v>1</v>
      </c>
      <c r="P2417" s="132"/>
      <c r="Q2417" s="132" t="str">
        <f>LEFT(base[[#This Row],[Evento / Mercado]],FIND("vs",base[[#This Row],[Evento / Mercado]])-2)</f>
        <v>Shanghai Port</v>
      </c>
      <c r="R24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2417" s="132" t="str">
        <f>LEFT(base[[#This Row],[Evento / Mercado]],FIND("/",base[[#This Row],[Evento / Mercado]])-2)</f>
        <v>Shanghai Port vs Tianjin Jinmenhu</v>
      </c>
    </row>
    <row r="2418" spans="2:21" ht="15" customHeight="1">
      <c r="B2418" s="128" t="s">
        <v>2464</v>
      </c>
      <c r="C2418" s="128" t="s">
        <v>2982</v>
      </c>
      <c r="D2418" s="129">
        <v>46165.427847222221</v>
      </c>
      <c r="E2418" s="130">
        <v>-6.8</v>
      </c>
      <c r="F2418" s="136">
        <v>4.4999999999999998E-2</v>
      </c>
      <c r="G2418" s="126">
        <f t="shared" si="38"/>
        <v>-6.8</v>
      </c>
      <c r="H2418" s="126" t="s">
        <v>1339</v>
      </c>
      <c r="I2418" s="127" t="s">
        <v>1236</v>
      </c>
      <c r="J2418" s="126">
        <v>8.4</v>
      </c>
      <c r="K2418" s="126">
        <v>10</v>
      </c>
      <c r="L2418" s="129">
        <f>INT(base[[#This Row],[Data de liquidação]])</f>
        <v>46165</v>
      </c>
      <c r="M2418" s="126">
        <f>base[[#This Row],[L/P Bruto]]-base[[#This Row],[L/P Líquido]]</f>
        <v>0</v>
      </c>
      <c r="N2418" s="126">
        <f>base[[#This Row],[L/P Líquido]]/base[[#This Row],[Stake/Responsabilidade]]</f>
        <v>-0.67999999999999994</v>
      </c>
      <c r="O2418" s="132">
        <f>IF(base[[#This Row],[L/P Líquido]]&gt;0,1,0)</f>
        <v>0</v>
      </c>
      <c r="P2418" s="132"/>
      <c r="Q2418" s="132" t="str">
        <f>LEFT(base[[#This Row],[Evento / Mercado]],FIND("vs",base[[#This Row],[Evento / Mercado]])-2)</f>
        <v>Beijing Guoan</v>
      </c>
      <c r="R24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Henan Songshan Longmen</v>
      </c>
      <c r="S2418" s="132" t="str">
        <f>LEFT(base[[#This Row],[Evento / Mercado]],FIND("/",base[[#This Row],[Evento / Mercado]])-2)</f>
        <v>Beijing Guoan vs Henan Songshan Longmen</v>
      </c>
    </row>
    <row r="2419" spans="2:21" ht="15" customHeight="1">
      <c r="B2419" s="128" t="s">
        <v>2463</v>
      </c>
      <c r="C2419" s="128" t="s">
        <v>2982</v>
      </c>
      <c r="D2419" s="129">
        <v>46165.455057870371</v>
      </c>
      <c r="E2419" s="130">
        <v>3.0369000000000002</v>
      </c>
      <c r="F2419" s="136">
        <v>4.4999999999999998E-2</v>
      </c>
      <c r="G2419" s="126">
        <f t="shared" si="38"/>
        <v>3.18</v>
      </c>
      <c r="H2419" s="126" t="s">
        <v>1339</v>
      </c>
      <c r="I2419" s="127" t="s">
        <v>1388</v>
      </c>
      <c r="J2419" s="126">
        <v>24</v>
      </c>
      <c r="K2419" s="126">
        <v>73.14</v>
      </c>
      <c r="L2419" s="129">
        <f>INT(base[[#This Row],[Data de liquidação]])</f>
        <v>46165</v>
      </c>
      <c r="M2419" s="126">
        <f>base[[#This Row],[L/P Bruto]]-base[[#This Row],[L/P Líquido]]</f>
        <v>0.1431</v>
      </c>
      <c r="N2419" s="126">
        <f>base[[#This Row],[L/P Líquido]]/base[[#This Row],[Stake/Responsabilidade]]</f>
        <v>4.1521739130434783E-2</v>
      </c>
      <c r="O2419" s="132">
        <f>IF(base[[#This Row],[L/P Líquido]]&gt;0,1,0)</f>
        <v>1</v>
      </c>
      <c r="P2419" s="132"/>
      <c r="Q2419" s="132" t="str">
        <f>LEFT(base[[#This Row],[Evento / Mercado]],FIND("vs",base[[#This Row],[Evento / Mercado]])-2)</f>
        <v>Dalian Yingbo</v>
      </c>
      <c r="R24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2419" s="132" t="str">
        <f>LEFT(base[[#This Row],[Evento / Mercado]],FIND("/",base[[#This Row],[Evento / Mercado]])-2)</f>
        <v>Dalian Yingbo vs Chengdu Rongcheng</v>
      </c>
      <c r="T2419" s="8">
        <v>3.18</v>
      </c>
      <c r="U2419" s="9">
        <f>T2419*0.955</f>
        <v>3.0369000000000002</v>
      </c>
    </row>
    <row r="2420" spans="2:21" ht="15" customHeight="1">
      <c r="B2420" s="128" t="s">
        <v>2463</v>
      </c>
      <c r="C2420" s="128" t="s">
        <v>2982</v>
      </c>
      <c r="D2420" s="129">
        <v>46165.455057870371</v>
      </c>
      <c r="E2420" s="130">
        <v>6.8186999999999998</v>
      </c>
      <c r="F2420" s="136">
        <v>4.4999999999999998E-2</v>
      </c>
      <c r="G2420" s="126">
        <f t="shared" si="38"/>
        <v>7.14</v>
      </c>
      <c r="H2420" s="126" t="s">
        <v>1339</v>
      </c>
      <c r="I2420" s="127" t="s">
        <v>2470</v>
      </c>
      <c r="J2420" s="126">
        <v>8</v>
      </c>
      <c r="K2420" s="126">
        <v>49.98</v>
      </c>
      <c r="L2420" s="129">
        <f>INT(base[[#This Row],[Data de liquidação]])</f>
        <v>46165</v>
      </c>
      <c r="M2420" s="126">
        <f>base[[#This Row],[L/P Bruto]]-base[[#This Row],[L/P Líquido]]</f>
        <v>0.32129999999999992</v>
      </c>
      <c r="N2420" s="126">
        <f>base[[#This Row],[L/P Líquido]]/base[[#This Row],[Stake/Responsabilidade]]</f>
        <v>0.13642857142857143</v>
      </c>
      <c r="O2420" s="132">
        <f>IF(base[[#This Row],[L/P Líquido]]&gt;0,1,0)</f>
        <v>1</v>
      </c>
      <c r="P2420" s="132"/>
      <c r="Q2420" s="132" t="str">
        <f>LEFT(base[[#This Row],[Evento / Mercado]],FIND("vs",base[[#This Row],[Evento / Mercado]])-2)</f>
        <v>Dalian Yingbo</v>
      </c>
      <c r="R24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2420" s="132" t="str">
        <f>LEFT(base[[#This Row],[Evento / Mercado]],FIND("/",base[[#This Row],[Evento / Mercado]])-2)</f>
        <v>Dalian Yingbo vs Chengdu Rongcheng</v>
      </c>
      <c r="T2420" s="8">
        <v>7.14</v>
      </c>
      <c r="U2420" s="9">
        <f>T2420*0.955</f>
        <v>6.8186999999999998</v>
      </c>
    </row>
    <row r="2421" spans="2:21" ht="15" customHeight="1">
      <c r="B2421" s="128" t="s">
        <v>2462</v>
      </c>
      <c r="C2421" s="128" t="s">
        <v>2982</v>
      </c>
      <c r="D2421" s="129">
        <v>46165.466458333336</v>
      </c>
      <c r="E2421" s="130">
        <v>-6.19</v>
      </c>
      <c r="F2421" s="136">
        <v>4.4999999999999998E-2</v>
      </c>
      <c r="G2421" s="126">
        <f t="shared" si="38"/>
        <v>-6.19</v>
      </c>
      <c r="H2421" s="126" t="s">
        <v>1339</v>
      </c>
      <c r="I2421" s="127" t="s">
        <v>1236</v>
      </c>
      <c r="J2421" s="126">
        <v>6.8</v>
      </c>
      <c r="K2421" s="126">
        <v>10</v>
      </c>
      <c r="L2421" s="129">
        <f>INT(base[[#This Row],[Data de liquidação]])</f>
        <v>46165</v>
      </c>
      <c r="M2421" s="126">
        <f>base[[#This Row],[L/P Bruto]]-base[[#This Row],[L/P Líquido]]</f>
        <v>0</v>
      </c>
      <c r="N2421" s="126">
        <f>base[[#This Row],[L/P Líquido]]/base[[#This Row],[Stake/Responsabilidade]]</f>
        <v>-0.61899999999999999</v>
      </c>
      <c r="O2421" s="132">
        <f>IF(base[[#This Row],[L/P Líquido]]&gt;0,1,0)</f>
        <v>0</v>
      </c>
      <c r="P2421" s="132"/>
      <c r="Q2421" s="132" t="str">
        <f>LEFT(base[[#This Row],[Evento / Mercado]],FIND("vs",base[[#This Row],[Evento / Mercado]])-2)</f>
        <v>Halmstads BK</v>
      </c>
      <c r="R24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2421" s="132" t="str">
        <f>LEFT(base[[#This Row],[Evento / Mercado]],FIND("/",base[[#This Row],[Evento / Mercado]])-2)</f>
        <v>Halmstads BK vs Örgryte IS</v>
      </c>
    </row>
    <row r="2422" spans="2:21" ht="15" customHeight="1">
      <c r="B2422" s="128" t="s">
        <v>2461</v>
      </c>
      <c r="C2422" s="128" t="s">
        <v>2982</v>
      </c>
      <c r="D2422" s="129">
        <v>46165.495000000003</v>
      </c>
      <c r="E2422" s="130">
        <v>1.91</v>
      </c>
      <c r="F2422" s="136">
        <v>4.4999999999999998E-2</v>
      </c>
      <c r="G2422" s="126">
        <f t="shared" si="38"/>
        <v>2</v>
      </c>
      <c r="H2422" s="126" t="s">
        <v>1339</v>
      </c>
      <c r="I2422" s="127" t="s">
        <v>1963</v>
      </c>
      <c r="J2422" s="126">
        <v>1.04</v>
      </c>
      <c r="K2422" s="126">
        <v>50</v>
      </c>
      <c r="L2422" s="129">
        <f>INT(base[[#This Row],[Data de liquidação]])</f>
        <v>46165</v>
      </c>
      <c r="M2422" s="126">
        <f>base[[#This Row],[L/P Bruto]]-base[[#This Row],[L/P Líquido]]</f>
        <v>9.000000000000008E-2</v>
      </c>
      <c r="N2422" s="126">
        <f>base[[#This Row],[L/P Líquido]]/base[[#This Row],[Stake/Responsabilidade]]</f>
        <v>3.8199999999999998E-2</v>
      </c>
      <c r="O2422" s="132">
        <f>IF(base[[#This Row],[L/P Líquido]]&gt;0,1,0)</f>
        <v>1</v>
      </c>
      <c r="P2422" s="132"/>
      <c r="Q2422" s="132" t="str">
        <f>LEFT(base[[#This Row],[Evento / Mercado]],FIND("vs",base[[#This Row],[Evento / Mercado]])-2)</f>
        <v>Halmstads BK</v>
      </c>
      <c r="R24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2422" s="132" t="str">
        <f>LEFT(base[[#This Row],[Evento / Mercado]],FIND("/",base[[#This Row],[Evento / Mercado]])-2)</f>
        <v>Halmstads BK vs Örgryte IS</v>
      </c>
    </row>
    <row r="2423" spans="2:21" ht="15" customHeight="1">
      <c r="B2423" s="128" t="s">
        <v>2460</v>
      </c>
      <c r="C2423" s="128" t="s">
        <v>2982</v>
      </c>
      <c r="D2423" s="129">
        <v>46165.495081018518</v>
      </c>
      <c r="E2423" s="130">
        <v>-2</v>
      </c>
      <c r="F2423" s="136">
        <v>4.4999999999999998E-2</v>
      </c>
      <c r="G2423" s="126">
        <f t="shared" si="38"/>
        <v>-2</v>
      </c>
      <c r="H2423" s="126" t="s">
        <v>1339</v>
      </c>
      <c r="I2423" s="127" t="s">
        <v>2404</v>
      </c>
      <c r="J2423" s="126">
        <v>1.75</v>
      </c>
      <c r="K2423" s="126">
        <v>2</v>
      </c>
      <c r="L2423" s="129">
        <f>INT(base[[#This Row],[Data de liquidação]])</f>
        <v>46165</v>
      </c>
      <c r="M2423" s="126">
        <f>base[[#This Row],[L/P Bruto]]-base[[#This Row],[L/P Líquido]]</f>
        <v>0</v>
      </c>
      <c r="N2423" s="126">
        <f>base[[#This Row],[L/P Líquido]]/base[[#This Row],[Stake/Responsabilidade]]</f>
        <v>-1</v>
      </c>
      <c r="O2423" s="132">
        <f>IF(base[[#This Row],[L/P Líquido]]&gt;0,1,0)</f>
        <v>0</v>
      </c>
      <c r="P2423" s="132"/>
      <c r="Q2423" s="132" t="str">
        <f>LEFT(base[[#This Row],[Evento / Mercado]],FIND("vs",base[[#This Row],[Evento / Mercado]])-2)</f>
        <v>IK Oddevold</v>
      </c>
      <c r="R24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Östersunds FK</v>
      </c>
      <c r="S2423" s="132" t="str">
        <f>LEFT(base[[#This Row],[Evento / Mercado]],FIND("/",base[[#This Row],[Evento / Mercado]])-2)</f>
        <v>IK Oddevold vs Östersunds FK</v>
      </c>
    </row>
    <row r="2424" spans="2:21" ht="15" customHeight="1">
      <c r="B2424" s="128" t="s">
        <v>2459</v>
      </c>
      <c r="C2424" s="128" t="s">
        <v>2982</v>
      </c>
      <c r="D2424" s="129">
        <v>46165.495127314818</v>
      </c>
      <c r="E2424" s="130">
        <v>-115</v>
      </c>
      <c r="F2424" s="136">
        <v>4.4999999999999998E-2</v>
      </c>
      <c r="G2424" s="126">
        <f t="shared" si="38"/>
        <v>-115</v>
      </c>
      <c r="H2424" s="126" t="s">
        <v>231</v>
      </c>
      <c r="I2424" s="127" t="s">
        <v>232</v>
      </c>
      <c r="J2424" s="126">
        <v>1.93</v>
      </c>
      <c r="K2424" s="126">
        <v>115</v>
      </c>
      <c r="L2424" s="129">
        <f>INT(base[[#This Row],[Data de liquidação]])</f>
        <v>46165</v>
      </c>
      <c r="M2424" s="126">
        <f>base[[#This Row],[L/P Bruto]]-base[[#This Row],[L/P Líquido]]</f>
        <v>0</v>
      </c>
      <c r="N2424" s="126">
        <f>base[[#This Row],[L/P Líquido]]/base[[#This Row],[Stake/Responsabilidade]]</f>
        <v>-1</v>
      </c>
      <c r="O2424" s="132">
        <f>IF(base[[#This Row],[L/P Líquido]]&gt;0,1,0)</f>
        <v>0</v>
      </c>
      <c r="P2424" s="132"/>
      <c r="Q2424" s="132" t="str">
        <f>LEFT(base[[#This Row],[Evento / Mercado]],FIND("vs",base[[#This Row],[Evento / Mercado]])-2)</f>
        <v>IK Oddevold</v>
      </c>
      <c r="R24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Östersunds FK</v>
      </c>
      <c r="S2424" s="132" t="str">
        <f>LEFT(base[[#This Row],[Evento / Mercado]],FIND("/",base[[#This Row],[Evento / Mercado]])-2)</f>
        <v>IK Oddevold vs Östersunds FK</v>
      </c>
    </row>
    <row r="2425" spans="2:21" ht="15" customHeight="1">
      <c r="B2425" s="128" t="s">
        <v>2458</v>
      </c>
      <c r="C2425" s="128" t="s">
        <v>2982</v>
      </c>
      <c r="D2425" s="129">
        <v>46165.496759259258</v>
      </c>
      <c r="E2425" s="130">
        <v>1.43</v>
      </c>
      <c r="F2425" s="136">
        <v>4.4999999999999998E-2</v>
      </c>
      <c r="G2425" s="126">
        <f t="shared" si="38"/>
        <v>1.4973821989528795</v>
      </c>
      <c r="H2425" s="126" t="s">
        <v>1339</v>
      </c>
      <c r="I2425" s="127" t="s">
        <v>1963</v>
      </c>
      <c r="J2425" s="126">
        <v>1.03</v>
      </c>
      <c r="K2425" s="126">
        <v>50</v>
      </c>
      <c r="L2425" s="129">
        <f>INT(base[[#This Row],[Data de liquidação]])</f>
        <v>46165</v>
      </c>
      <c r="M2425" s="126">
        <f>base[[#This Row],[L/P Bruto]]-base[[#This Row],[L/P Líquido]]</f>
        <v>6.7382198952879557E-2</v>
      </c>
      <c r="N2425" s="126">
        <f>base[[#This Row],[L/P Líquido]]/base[[#This Row],[Stake/Responsabilidade]]</f>
        <v>2.86E-2</v>
      </c>
      <c r="O2425" s="132">
        <f>IF(base[[#This Row],[L/P Líquido]]&gt;0,1,0)</f>
        <v>1</v>
      </c>
      <c r="P2425" s="132"/>
      <c r="Q2425" s="132" t="str">
        <f>LEFT(base[[#This Row],[Evento / Mercado]],FIND("vs",base[[#This Row],[Evento / Mercado]])-2)</f>
        <v>Kalmar FF</v>
      </c>
      <c r="R24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2425" s="132" t="str">
        <f>LEFT(base[[#This Row],[Evento / Mercado]],FIND("/",base[[#This Row],[Evento / Mercado]])-2)</f>
        <v>Kalmar FF vs Degerfors IF</v>
      </c>
    </row>
    <row r="2426" spans="2:21" ht="15" customHeight="1">
      <c r="B2426" s="128" t="s">
        <v>2457</v>
      </c>
      <c r="C2426" s="128" t="s">
        <v>2982</v>
      </c>
      <c r="D2426" s="129">
        <v>46165.53765046296</v>
      </c>
      <c r="E2426" s="130">
        <v>1.43</v>
      </c>
      <c r="F2426" s="136">
        <v>4.4999999999999998E-2</v>
      </c>
      <c r="G2426" s="126">
        <f t="shared" si="38"/>
        <v>1.4973821989528795</v>
      </c>
      <c r="H2426" s="126" t="s">
        <v>1339</v>
      </c>
      <c r="I2426" s="127" t="s">
        <v>1963</v>
      </c>
      <c r="J2426" s="126">
        <v>1.03</v>
      </c>
      <c r="K2426" s="126">
        <v>50</v>
      </c>
      <c r="L2426" s="129">
        <f>INT(base[[#This Row],[Data de liquidação]])</f>
        <v>46165</v>
      </c>
      <c r="M2426" s="126">
        <f>base[[#This Row],[L/P Bruto]]-base[[#This Row],[L/P Líquido]]</f>
        <v>6.7382198952879557E-2</v>
      </c>
      <c r="N2426" s="126">
        <f>base[[#This Row],[L/P Líquido]]/base[[#This Row],[Stake/Responsabilidade]]</f>
        <v>2.86E-2</v>
      </c>
      <c r="O2426" s="132">
        <f>IF(base[[#This Row],[L/P Líquido]]&gt;0,1,0)</f>
        <v>1</v>
      </c>
      <c r="P2426" s="132"/>
      <c r="Q2426" s="132" t="str">
        <f>LEFT(base[[#This Row],[Evento / Mercado]],FIND("vs",base[[#This Row],[Evento / Mercado]])-2)</f>
        <v>NK Varaždin</v>
      </c>
      <c r="R24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Istra 1961</v>
      </c>
      <c r="S2426" s="132" t="str">
        <f>LEFT(base[[#This Row],[Evento / Mercado]],FIND("/",base[[#This Row],[Evento / Mercado]])-2)</f>
        <v>NK Varaždin vs Istra 1961</v>
      </c>
    </row>
    <row r="2427" spans="2:21" ht="15" customHeight="1">
      <c r="B2427" s="128" t="s">
        <v>2456</v>
      </c>
      <c r="C2427" s="128" t="s">
        <v>2982</v>
      </c>
      <c r="D2427" s="129">
        <v>46165.538553240738</v>
      </c>
      <c r="E2427" s="130">
        <v>4.82</v>
      </c>
      <c r="F2427" s="136">
        <v>4.4999999999999998E-2</v>
      </c>
      <c r="G2427" s="126">
        <f t="shared" si="38"/>
        <v>5.0471204188481682</v>
      </c>
      <c r="H2427" s="126" t="s">
        <v>1339</v>
      </c>
      <c r="I2427" s="127" t="s">
        <v>1446</v>
      </c>
      <c r="J2427" s="126">
        <v>2.96</v>
      </c>
      <c r="K2427" s="126">
        <v>9.9</v>
      </c>
      <c r="L2427" s="129">
        <f>INT(base[[#This Row],[Data de liquidação]])</f>
        <v>46165</v>
      </c>
      <c r="M2427" s="126">
        <f>base[[#This Row],[L/P Bruto]]-base[[#This Row],[L/P Líquido]]</f>
        <v>0.22712041884816792</v>
      </c>
      <c r="N2427" s="126">
        <f>base[[#This Row],[L/P Líquido]]/base[[#This Row],[Stake/Responsabilidade]]</f>
        <v>0.4868686868686869</v>
      </c>
      <c r="O2427" s="132">
        <f>IF(base[[#This Row],[L/P Líquido]]&gt;0,1,0)</f>
        <v>1</v>
      </c>
      <c r="P2427" s="132"/>
      <c r="Q2427" s="132" t="str">
        <f>LEFT(base[[#This Row],[Evento / Mercado]],FIND("vs",base[[#This Row],[Evento / Mercado]])-2)</f>
        <v>KuPS</v>
      </c>
      <c r="R24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Lahti</v>
      </c>
      <c r="S2427" s="132" t="str">
        <f>LEFT(base[[#This Row],[Evento / Mercado]],FIND("/",base[[#This Row],[Evento / Mercado]])-2)</f>
        <v>KuPS vs FC Lahti</v>
      </c>
    </row>
    <row r="2428" spans="2:21" ht="15" customHeight="1">
      <c r="B2428" s="128" t="s">
        <v>2455</v>
      </c>
      <c r="C2428" s="128" t="s">
        <v>2982</v>
      </c>
      <c r="D2428" s="129">
        <v>46165.549293981479</v>
      </c>
      <c r="E2428" s="130">
        <v>9.5500000000000007</v>
      </c>
      <c r="F2428" s="136">
        <v>4.4999999999999998E-2</v>
      </c>
      <c r="G2428" s="126">
        <f t="shared" si="38"/>
        <v>10.000000000000002</v>
      </c>
      <c r="H2428" s="126" t="s">
        <v>1339</v>
      </c>
      <c r="I2428" s="127" t="s">
        <v>1236</v>
      </c>
      <c r="J2428" s="126">
        <v>9.33</v>
      </c>
      <c r="K2428" s="126">
        <v>10</v>
      </c>
      <c r="L2428" s="129">
        <f>INT(base[[#This Row],[Data de liquidação]])</f>
        <v>46165</v>
      </c>
      <c r="M2428" s="126">
        <f>base[[#This Row],[L/P Bruto]]-base[[#This Row],[L/P Líquido]]</f>
        <v>0.45000000000000107</v>
      </c>
      <c r="N2428" s="126">
        <f>base[[#This Row],[L/P Líquido]]/base[[#This Row],[Stake/Responsabilidade]]</f>
        <v>0.95500000000000007</v>
      </c>
      <c r="O2428" s="132">
        <f>IF(base[[#This Row],[L/P Líquido]]&gt;0,1,0)</f>
        <v>1</v>
      </c>
      <c r="P2428" s="132"/>
      <c r="Q2428" s="132" t="str">
        <f>LEFT(base[[#This Row],[Evento / Mercado]],FIND("vs",base[[#This Row],[Evento / Mercado]])-2)</f>
        <v>Legia Warszawa</v>
      </c>
      <c r="R24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Motor Lublin</v>
      </c>
      <c r="S2428" s="132" t="str">
        <f>LEFT(base[[#This Row],[Evento / Mercado]],FIND("/",base[[#This Row],[Evento / Mercado]])-2)</f>
        <v>Legia Warszawa vs Motor Lublin</v>
      </c>
    </row>
    <row r="2429" spans="2:21" ht="15" customHeight="1">
      <c r="B2429" s="128" t="s">
        <v>2454</v>
      </c>
      <c r="C2429" s="128" t="s">
        <v>2982</v>
      </c>
      <c r="D2429" s="129">
        <v>46165.576203703706</v>
      </c>
      <c r="E2429" s="130">
        <v>-15</v>
      </c>
      <c r="F2429" s="136">
        <v>4.4999999999999998E-2</v>
      </c>
      <c r="G2429" s="126">
        <f t="shared" si="38"/>
        <v>-15</v>
      </c>
      <c r="H2429" s="126" t="s">
        <v>1339</v>
      </c>
      <c r="I2429" s="127" t="s">
        <v>1336</v>
      </c>
      <c r="J2429" s="126">
        <v>1.47</v>
      </c>
      <c r="K2429" s="126">
        <v>15</v>
      </c>
      <c r="L2429" s="129">
        <f>INT(base[[#This Row],[Data de liquidação]])</f>
        <v>46165</v>
      </c>
      <c r="M2429" s="126">
        <f>base[[#This Row],[L/P Bruto]]-base[[#This Row],[L/P Líquido]]</f>
        <v>0</v>
      </c>
      <c r="N2429" s="126">
        <f>base[[#This Row],[L/P Líquido]]/base[[#This Row],[Stake/Responsabilidade]]</f>
        <v>-1</v>
      </c>
      <c r="O2429" s="132">
        <f>IF(base[[#This Row],[L/P Líquido]]&gt;0,1,0)</f>
        <v>0</v>
      </c>
      <c r="P2429" s="132"/>
      <c r="Q2429" s="132" t="str">
        <f>LEFT(base[[#This Row],[Evento / Mercado]],FIND("vs",base[[#This Row],[Evento / Mercado]])-2)</f>
        <v>Termalica Bruk-Bet Nieciecza</v>
      </c>
      <c r="R24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Lechia Gdansk</v>
      </c>
      <c r="S2429" s="132" t="str">
        <f>LEFT(base[[#This Row],[Evento / Mercado]],FIND("/",base[[#This Row],[Evento / Mercado]])-2)</f>
        <v>Termalica Bruk-Bet Nieciecza vs Lechia Gdansk</v>
      </c>
    </row>
    <row r="2430" spans="2:21" ht="15" customHeight="1">
      <c r="B2430" s="128" t="s">
        <v>2453</v>
      </c>
      <c r="C2430" s="128" t="s">
        <v>2982</v>
      </c>
      <c r="D2430" s="129">
        <v>46165.586168981485</v>
      </c>
      <c r="E2430" s="130">
        <v>-2.44</v>
      </c>
      <c r="F2430" s="136">
        <v>4.4999999999999998E-2</v>
      </c>
      <c r="G2430" s="126">
        <f t="shared" si="38"/>
        <v>-2.44</v>
      </c>
      <c r="H2430" s="126" t="s">
        <v>1339</v>
      </c>
      <c r="I2430" s="127" t="s">
        <v>1236</v>
      </c>
      <c r="J2430" s="126">
        <v>5.6</v>
      </c>
      <c r="K2430" s="126">
        <v>10</v>
      </c>
      <c r="L2430" s="129">
        <f>INT(base[[#This Row],[Data de liquidação]])</f>
        <v>46165</v>
      </c>
      <c r="M2430" s="126">
        <f>base[[#This Row],[L/P Bruto]]-base[[#This Row],[L/P Líquido]]</f>
        <v>0</v>
      </c>
      <c r="N2430" s="126">
        <f>base[[#This Row],[L/P Líquido]]/base[[#This Row],[Stake/Responsabilidade]]</f>
        <v>-0.24399999999999999</v>
      </c>
      <c r="O2430" s="132">
        <f>IF(base[[#This Row],[L/P Líquido]]&gt;0,1,0)</f>
        <v>0</v>
      </c>
      <c r="P2430" s="132"/>
      <c r="Q2430" s="132" t="str">
        <f>LEFT(base[[#This Row],[Evento / Mercado]],FIND("vs",base[[#This Row],[Evento / Mercado]])-2)</f>
        <v>Rakow Czestochowa</v>
      </c>
      <c r="R24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Arka Gdynia</v>
      </c>
      <c r="S2430" s="132" t="str">
        <f>LEFT(base[[#This Row],[Evento / Mercado]],FIND("/",base[[#This Row],[Evento / Mercado]])-2)</f>
        <v>Rakow Czestochowa vs Arka Gdynia</v>
      </c>
    </row>
    <row r="2431" spans="2:21" ht="15" customHeight="1">
      <c r="B2431" s="128" t="s">
        <v>2452</v>
      </c>
      <c r="C2431" s="128" t="s">
        <v>2982</v>
      </c>
      <c r="D2431" s="129">
        <v>46165.601157407407</v>
      </c>
      <c r="E2431" s="130">
        <v>-6.58</v>
      </c>
      <c r="F2431" s="136">
        <v>4.4999999999999998E-2</v>
      </c>
      <c r="G2431" s="126">
        <f t="shared" si="38"/>
        <v>-6.58</v>
      </c>
      <c r="H2431" s="126" t="s">
        <v>1339</v>
      </c>
      <c r="I2431" s="127" t="s">
        <v>1236</v>
      </c>
      <c r="J2431" s="126">
        <v>8.69</v>
      </c>
      <c r="K2431" s="126">
        <v>9.7799999999999994</v>
      </c>
      <c r="L2431" s="129">
        <f>INT(base[[#This Row],[Data de liquidação]])</f>
        <v>46165</v>
      </c>
      <c r="M2431" s="126">
        <f>base[[#This Row],[L/P Bruto]]-base[[#This Row],[L/P Líquido]]</f>
        <v>0</v>
      </c>
      <c r="N2431" s="126">
        <f>base[[#This Row],[L/P Líquido]]/base[[#This Row],[Stake/Responsabilidade]]</f>
        <v>-0.67280163599182008</v>
      </c>
      <c r="O2431" s="132">
        <f>IF(base[[#This Row],[L/P Líquido]]&gt;0,1,0)</f>
        <v>0</v>
      </c>
      <c r="P2431" s="132"/>
      <c r="Q2431" s="132" t="str">
        <f>LEFT(base[[#This Row],[Evento / Mercado]],FIND("vs",base[[#This Row],[Evento / Mercado]])-2)</f>
        <v>Jagiellonia Bialystok</v>
      </c>
      <c r="R24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Zaglebie Lubin</v>
      </c>
      <c r="S2431" s="132" t="str">
        <f>LEFT(base[[#This Row],[Evento / Mercado]],FIND("/",base[[#This Row],[Evento / Mercado]])-2)</f>
        <v>Jagiellonia Bialystok vs Zaglebie Lubin</v>
      </c>
    </row>
    <row r="2432" spans="2:21" ht="15" customHeight="1">
      <c r="B2432" s="128" t="s">
        <v>2451</v>
      </c>
      <c r="C2432" s="128" t="s">
        <v>2982</v>
      </c>
      <c r="D2432" s="129">
        <v>46165.605439814812</v>
      </c>
      <c r="E2432" s="130">
        <v>-2</v>
      </c>
      <c r="F2432" s="136">
        <v>4.4999999999999998E-2</v>
      </c>
      <c r="G2432" s="126">
        <f t="shared" si="38"/>
        <v>-2</v>
      </c>
      <c r="H2432" s="126" t="s">
        <v>1339</v>
      </c>
      <c r="I2432" s="127" t="s">
        <v>1448</v>
      </c>
      <c r="J2432" s="126">
        <v>1.79</v>
      </c>
      <c r="K2432" s="126">
        <v>2</v>
      </c>
      <c r="L2432" s="129">
        <f>INT(base[[#This Row],[Data de liquidação]])</f>
        <v>46165</v>
      </c>
      <c r="M2432" s="126">
        <f>base[[#This Row],[L/P Bruto]]-base[[#This Row],[L/P Líquido]]</f>
        <v>0</v>
      </c>
      <c r="N2432" s="126">
        <f>base[[#This Row],[L/P Líquido]]/base[[#This Row],[Stake/Responsabilidade]]</f>
        <v>-1</v>
      </c>
      <c r="O2432" s="132">
        <f>IF(base[[#This Row],[L/P Líquido]]&gt;0,1,0)</f>
        <v>0</v>
      </c>
      <c r="P2432" s="132"/>
      <c r="Q2432" s="132" t="str">
        <f>LEFT(base[[#This Row],[Evento / Mercado]],FIND("vs",base[[#This Row],[Evento / Mercado]])-2)</f>
        <v>Dinamo Zagreb</v>
      </c>
      <c r="R24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Lokomotiva</v>
      </c>
      <c r="S2432" s="132" t="str">
        <f>LEFT(base[[#This Row],[Evento / Mercado]],FIND("/",base[[#This Row],[Evento / Mercado]])-2)</f>
        <v>Dinamo Zagreb vs NK Lokomotiva</v>
      </c>
    </row>
    <row r="2433" spans="2:21" ht="15" customHeight="1">
      <c r="B2433" s="128" t="s">
        <v>2450</v>
      </c>
      <c r="C2433" s="128" t="s">
        <v>2982</v>
      </c>
      <c r="D2433" s="129">
        <v>46165.60696759259</v>
      </c>
      <c r="E2433" s="130">
        <v>2.79</v>
      </c>
      <c r="F2433" s="136">
        <v>4.4999999999999998E-2</v>
      </c>
      <c r="G2433" s="126">
        <f t="shared" si="38"/>
        <v>2.9214659685863875</v>
      </c>
      <c r="H2433" s="126" t="s">
        <v>1339</v>
      </c>
      <c r="I2433" s="127" t="s">
        <v>1388</v>
      </c>
      <c r="J2433" s="126">
        <v>25</v>
      </c>
      <c r="K2433" s="126">
        <v>70.08</v>
      </c>
      <c r="L2433" s="129">
        <f>INT(base[[#This Row],[Data de liquidação]])</f>
        <v>46165</v>
      </c>
      <c r="M2433" s="126">
        <f>base[[#This Row],[L/P Bruto]]-base[[#This Row],[L/P Líquido]]</f>
        <v>0.13146596858638748</v>
      </c>
      <c r="N2433" s="126">
        <f>base[[#This Row],[L/P Líquido]]/base[[#This Row],[Stake/Responsabilidade]]</f>
        <v>3.9811643835616438E-2</v>
      </c>
      <c r="O2433" s="132">
        <f>IF(base[[#This Row],[L/P Líquido]]&gt;0,1,0)</f>
        <v>1</v>
      </c>
      <c r="P2433" s="132"/>
      <c r="Q2433" s="132" t="str">
        <f>LEFT(base[[#This Row],[Evento / Mercado]],FIND("vs",base[[#This Row],[Evento / Mercado]])-2)</f>
        <v>Pogon Szczecin</v>
      </c>
      <c r="R24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GKS Katowice</v>
      </c>
      <c r="S2433" s="132" t="str">
        <f>LEFT(base[[#This Row],[Evento / Mercado]],FIND("/",base[[#This Row],[Evento / Mercado]])-2)</f>
        <v>Pogon Szczecin vs GKS Katowice</v>
      </c>
    </row>
    <row r="2434" spans="2:21" ht="15" customHeight="1">
      <c r="B2434" s="128" t="s">
        <v>2449</v>
      </c>
      <c r="C2434" s="128" t="s">
        <v>2982</v>
      </c>
      <c r="D2434" s="129">
        <v>46165.607071759259</v>
      </c>
      <c r="E2434" s="130">
        <v>4.6100000000000003</v>
      </c>
      <c r="F2434" s="136">
        <v>4.4999999999999998E-2</v>
      </c>
      <c r="G2434" s="126">
        <f t="shared" si="38"/>
        <v>4.8272251308900529</v>
      </c>
      <c r="H2434" s="126" t="s">
        <v>1339</v>
      </c>
      <c r="I2434" s="127" t="s">
        <v>1430</v>
      </c>
      <c r="J2434" s="126">
        <v>16</v>
      </c>
      <c r="K2434" s="126">
        <v>72.45</v>
      </c>
      <c r="L2434" s="129">
        <f>INT(base[[#This Row],[Data de liquidação]])</f>
        <v>46165</v>
      </c>
      <c r="M2434" s="126">
        <f>base[[#This Row],[L/P Bruto]]-base[[#This Row],[L/P Líquido]]</f>
        <v>0.21722513089005258</v>
      </c>
      <c r="N2434" s="126">
        <f>base[[#This Row],[L/P Líquido]]/base[[#This Row],[Stake/Responsabilidade]]</f>
        <v>6.3630089717046243E-2</v>
      </c>
      <c r="O2434" s="132">
        <f>IF(base[[#This Row],[L/P Líquido]]&gt;0,1,0)</f>
        <v>1</v>
      </c>
      <c r="P2434" s="132"/>
      <c r="Q2434" s="132" t="str">
        <f>LEFT(base[[#This Row],[Evento / Mercado]],FIND("vs",base[[#This Row],[Evento / Mercado]])-2)</f>
        <v>Pogon Szczecin</v>
      </c>
      <c r="R24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GKS Katowice</v>
      </c>
      <c r="S2434" s="132" t="str">
        <f>LEFT(base[[#This Row],[Evento / Mercado]],FIND("/",base[[#This Row],[Evento / Mercado]])-2)</f>
        <v>Pogon Szczecin vs GKS Katowice</v>
      </c>
    </row>
    <row r="2435" spans="2:21" ht="15" customHeight="1">
      <c r="B2435" s="128" t="s">
        <v>2448</v>
      </c>
      <c r="C2435" s="128" t="s">
        <v>2982</v>
      </c>
      <c r="D2435" s="129">
        <v>46165.683599537035</v>
      </c>
      <c r="E2435" s="130">
        <v>3.34</v>
      </c>
      <c r="F2435" s="136">
        <v>4.4999999999999998E-2</v>
      </c>
      <c r="G2435" s="126">
        <f t="shared" ref="G2435:G2498" si="39">IF(E2435&gt;0,E2435/(1-F2435),E2435)</f>
        <v>3.4973821989528795</v>
      </c>
      <c r="H2435" s="126" t="s">
        <v>1339</v>
      </c>
      <c r="I2435" s="127" t="s">
        <v>1430</v>
      </c>
      <c r="J2435" s="126">
        <v>20</v>
      </c>
      <c r="K2435" s="126">
        <v>66.5</v>
      </c>
      <c r="L2435" s="129">
        <f>INT(base[[#This Row],[Data de liquidação]])</f>
        <v>46165</v>
      </c>
      <c r="M2435" s="126">
        <f>base[[#This Row],[L/P Bruto]]-base[[#This Row],[L/P Líquido]]</f>
        <v>0.15738219895287964</v>
      </c>
      <c r="N2435" s="126">
        <f>base[[#This Row],[L/P Líquido]]/base[[#This Row],[Stake/Responsabilidade]]</f>
        <v>5.0225563909774437E-2</v>
      </c>
      <c r="O2435" s="132">
        <f>IF(base[[#This Row],[L/P Líquido]]&gt;0,1,0)</f>
        <v>1</v>
      </c>
      <c r="P2435" s="132"/>
      <c r="Q2435" s="132" t="str">
        <f>LEFT(base[[#This Row],[Evento / Mercado]],FIND("vs",base[[#This Row],[Evento / Mercado]])-2)</f>
        <v>Universitatea Cluj</v>
      </c>
      <c r="R24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Dinamo Bucuresti</v>
      </c>
      <c r="S2435" s="132" t="str">
        <f>LEFT(base[[#This Row],[Evento / Mercado]],FIND("/",base[[#This Row],[Evento / Mercado]])-2)</f>
        <v>Universitatea Cluj vs Dinamo Bucuresti</v>
      </c>
    </row>
    <row r="2436" spans="2:21" ht="15" customHeight="1">
      <c r="B2436" s="128" t="s">
        <v>2447</v>
      </c>
      <c r="C2436" s="128" t="s">
        <v>2982</v>
      </c>
      <c r="D2436" s="129">
        <v>46165.695960648147</v>
      </c>
      <c r="E2436" s="130">
        <v>17.61</v>
      </c>
      <c r="F2436" s="136">
        <v>4.4999999999999998E-2</v>
      </c>
      <c r="G2436" s="126">
        <f t="shared" si="39"/>
        <v>18.439790575916231</v>
      </c>
      <c r="H2436" s="126" t="s">
        <v>211</v>
      </c>
      <c r="I2436" s="127" t="s">
        <v>1480</v>
      </c>
      <c r="J2436" s="126">
        <v>1.53</v>
      </c>
      <c r="K2436" s="126">
        <v>35</v>
      </c>
      <c r="L2436" s="129">
        <f>INT(base[[#This Row],[Data de liquidação]])</f>
        <v>46165</v>
      </c>
      <c r="M2436" s="126">
        <f>base[[#This Row],[L/P Bruto]]-base[[#This Row],[L/P Líquido]]</f>
        <v>0.82979057591623118</v>
      </c>
      <c r="N2436" s="126">
        <f>base[[#This Row],[L/P Líquido]]/base[[#This Row],[Stake/Responsabilidade]]</f>
        <v>0.50314285714285711</v>
      </c>
      <c r="O2436" s="132">
        <f>IF(base[[#This Row],[L/P Líquido]]&gt;0,1,0)</f>
        <v>1</v>
      </c>
      <c r="P2436" s="132"/>
      <c r="Q2436" s="132" t="str">
        <f>LEFT(base[[#This Row],[Evento / Mercado]],FIND("vs",base[[#This Row],[Evento / Mercado]])-2)</f>
        <v>FC Bayern München</v>
      </c>
      <c r="R24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2436" s="132" t="str">
        <f>LEFT(base[[#This Row],[Evento / Mercado]],FIND("/",base[[#This Row],[Evento / Mercado]])-2)</f>
        <v>FC Bayern München vs VfB Stuttgart</v>
      </c>
    </row>
    <row r="2437" spans="2:21" ht="15" customHeight="1">
      <c r="B2437" s="128" t="s">
        <v>2446</v>
      </c>
      <c r="C2437" s="128" t="s">
        <v>2982</v>
      </c>
      <c r="D2437" s="129">
        <v>46165.69734953704</v>
      </c>
      <c r="E2437" s="130">
        <v>0.18</v>
      </c>
      <c r="F2437" s="136">
        <v>4.4999999999999998E-2</v>
      </c>
      <c r="G2437" s="126">
        <f t="shared" si="39"/>
        <v>0.18848167539267016</v>
      </c>
      <c r="H2437" s="126" t="s">
        <v>1339</v>
      </c>
      <c r="I2437" s="127" t="s">
        <v>1993</v>
      </c>
      <c r="J2437" s="126">
        <v>1.1000000000000001</v>
      </c>
      <c r="K2437" s="126">
        <v>2</v>
      </c>
      <c r="L2437" s="129">
        <f>INT(base[[#This Row],[Data de liquidação]])</f>
        <v>46165</v>
      </c>
      <c r="M2437" s="126">
        <f>base[[#This Row],[L/P Bruto]]-base[[#This Row],[L/P Líquido]]</f>
        <v>8.4816753926701682E-3</v>
      </c>
      <c r="N2437" s="126">
        <f>base[[#This Row],[L/P Líquido]]/base[[#This Row],[Stake/Responsabilidade]]</f>
        <v>0.09</v>
      </c>
      <c r="O2437" s="132">
        <f>IF(base[[#This Row],[L/P Líquido]]&gt;0,1,0)</f>
        <v>1</v>
      </c>
      <c r="P2437" s="132"/>
      <c r="Q2437" s="132" t="str">
        <f>LEFT(base[[#This Row],[Evento / Mercado]],FIND("vs",base[[#This Row],[Evento / Mercado]])-2)</f>
        <v>Real Mallorca</v>
      </c>
      <c r="R24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Oviedo</v>
      </c>
      <c r="S2437" s="132" t="str">
        <f>LEFT(base[[#This Row],[Evento / Mercado]],FIND("/",base[[#This Row],[Evento / Mercado]])-2)</f>
        <v>Real Mallorca vs Real Oviedo</v>
      </c>
    </row>
    <row r="2438" spans="2:21" ht="15" customHeight="1">
      <c r="B2438" s="128" t="s">
        <v>2445</v>
      </c>
      <c r="C2438" s="128" t="s">
        <v>2982</v>
      </c>
      <c r="D2438" s="129">
        <v>46165.697453703702</v>
      </c>
      <c r="E2438" s="130">
        <v>6.82</v>
      </c>
      <c r="F2438" s="136">
        <v>4.4999999999999998E-2</v>
      </c>
      <c r="G2438" s="126">
        <f t="shared" si="39"/>
        <v>7.1413612565445028</v>
      </c>
      <c r="H2438" s="126" t="s">
        <v>1339</v>
      </c>
      <c r="I2438" s="127" t="s">
        <v>2469</v>
      </c>
      <c r="J2438" s="126">
        <v>8</v>
      </c>
      <c r="K2438" s="126">
        <v>49.98</v>
      </c>
      <c r="L2438" s="129">
        <f>INT(base[[#This Row],[Data de liquidação]])</f>
        <v>46165</v>
      </c>
      <c r="M2438" s="126">
        <f>base[[#This Row],[L/P Bruto]]-base[[#This Row],[L/P Líquido]]</f>
        <v>0.32136125654450254</v>
      </c>
      <c r="N2438" s="126">
        <f>base[[#This Row],[L/P Líquido]]/base[[#This Row],[Stake/Responsabilidade]]</f>
        <v>0.1364545818327331</v>
      </c>
      <c r="O2438" s="132">
        <f>IF(base[[#This Row],[L/P Líquido]]&gt;0,1,0)</f>
        <v>1</v>
      </c>
      <c r="P2438" s="132"/>
      <c r="Q2438" s="132" t="str">
        <f>LEFT(base[[#This Row],[Evento / Mercado]],FIND("vs",base[[#This Row],[Evento / Mercado]])-2)</f>
        <v>Deportivo Moquegua</v>
      </c>
      <c r="R24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Deportes</v>
      </c>
      <c r="S2438" s="132" t="str">
        <f>LEFT(base[[#This Row],[Evento / Mercado]],FIND("/",base[[#This Row],[Evento / Mercado]])-2)</f>
        <v>Deportivo Moquegua vs Universitario de Deportes</v>
      </c>
    </row>
    <row r="2439" spans="2:21" ht="15" customHeight="1">
      <c r="B2439" s="128" t="s">
        <v>2444</v>
      </c>
      <c r="C2439" s="128" t="s">
        <v>2982</v>
      </c>
      <c r="D2439" s="129">
        <v>46165.698449074072</v>
      </c>
      <c r="E2439" s="130">
        <v>-2</v>
      </c>
      <c r="F2439" s="136">
        <v>4.4999999999999998E-2</v>
      </c>
      <c r="G2439" s="126">
        <f t="shared" si="39"/>
        <v>-2</v>
      </c>
      <c r="H2439" s="126" t="s">
        <v>1339</v>
      </c>
      <c r="I2439" s="127" t="s">
        <v>2404</v>
      </c>
      <c r="J2439" s="126">
        <v>1.86</v>
      </c>
      <c r="K2439" s="126">
        <v>2</v>
      </c>
      <c r="L2439" s="129">
        <f>INT(base[[#This Row],[Data de liquidação]])</f>
        <v>46165</v>
      </c>
      <c r="M2439" s="126">
        <f>base[[#This Row],[L/P Bruto]]-base[[#This Row],[L/P Líquido]]</f>
        <v>0</v>
      </c>
      <c r="N2439" s="126">
        <f>base[[#This Row],[L/P Líquido]]/base[[#This Row],[Stake/Responsabilidade]]</f>
        <v>-1</v>
      </c>
      <c r="O2439" s="132">
        <f>IF(base[[#This Row],[L/P Líquido]]&gt;0,1,0)</f>
        <v>0</v>
      </c>
      <c r="P2439" s="132"/>
      <c r="Q2439" s="132" t="str">
        <f>LEFT(base[[#This Row],[Evento / Mercado]],FIND("vs",base[[#This Row],[Evento / Mercado]])-2)</f>
        <v>Deportivo Moquegua</v>
      </c>
      <c r="R24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Deportes</v>
      </c>
      <c r="S2439" s="132" t="str">
        <f>LEFT(base[[#This Row],[Evento / Mercado]],FIND("/",base[[#This Row],[Evento / Mercado]])-2)</f>
        <v>Deportivo Moquegua vs Universitario de Deportes</v>
      </c>
    </row>
    <row r="2440" spans="2:21" ht="15" customHeight="1">
      <c r="B2440" s="128" t="s">
        <v>2443</v>
      </c>
      <c r="C2440" s="128" t="s">
        <v>2982</v>
      </c>
      <c r="D2440" s="129">
        <v>46165.69939814815</v>
      </c>
      <c r="E2440" s="130">
        <v>1.0900000000000001</v>
      </c>
      <c r="F2440" s="136">
        <v>4.4999999999999998E-2</v>
      </c>
      <c r="G2440" s="126">
        <f t="shared" si="39"/>
        <v>1.1413612565445028</v>
      </c>
      <c r="H2440" s="126" t="s">
        <v>1339</v>
      </c>
      <c r="I2440" s="127" t="s">
        <v>2404</v>
      </c>
      <c r="J2440" s="126">
        <v>1.57</v>
      </c>
      <c r="K2440" s="126">
        <v>2</v>
      </c>
      <c r="L2440" s="129">
        <f>INT(base[[#This Row],[Data de liquidação]])</f>
        <v>46165</v>
      </c>
      <c r="M2440" s="126">
        <f>base[[#This Row],[L/P Bruto]]-base[[#This Row],[L/P Líquido]]</f>
        <v>5.1361256544502742E-2</v>
      </c>
      <c r="N2440" s="126">
        <f>base[[#This Row],[L/P Líquido]]/base[[#This Row],[Stake/Responsabilidade]]</f>
        <v>0.54500000000000004</v>
      </c>
      <c r="O2440" s="132">
        <f>IF(base[[#This Row],[L/P Líquido]]&gt;0,1,0)</f>
        <v>1</v>
      </c>
      <c r="P2440" s="132"/>
      <c r="Q2440" s="132" t="str">
        <f>LEFT(base[[#This Row],[Evento / Mercado]],FIND("vs",base[[#This Row],[Evento / Mercado]])-2)</f>
        <v>Real Madrid</v>
      </c>
      <c r="R24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Bilbao</v>
      </c>
      <c r="S2440" s="132" t="str">
        <f>LEFT(base[[#This Row],[Evento / Mercado]],FIND("/",base[[#This Row],[Evento / Mercado]])-2)</f>
        <v>Real Madrid vs Athletic Bilbao</v>
      </c>
    </row>
    <row r="2441" spans="2:21" ht="15" customHeight="1">
      <c r="B2441" s="128" t="s">
        <v>1259</v>
      </c>
      <c r="C2441" s="128" t="s">
        <v>2982</v>
      </c>
      <c r="D2441" s="129">
        <v>46165.706828703704</v>
      </c>
      <c r="E2441" s="130">
        <v>20.34</v>
      </c>
      <c r="F2441" s="136">
        <v>4.4999999999999998E-2</v>
      </c>
      <c r="G2441" s="126">
        <f t="shared" si="39"/>
        <v>21.298429319371728</v>
      </c>
      <c r="H2441" s="126" t="s">
        <v>122</v>
      </c>
      <c r="I2441" s="127" t="s">
        <v>477</v>
      </c>
      <c r="J2441" s="126">
        <v>24</v>
      </c>
      <c r="K2441" s="126">
        <v>489.9</v>
      </c>
      <c r="L2441" s="129">
        <f>INT(base[[#This Row],[Data de liquidação]])</f>
        <v>46165</v>
      </c>
      <c r="M2441" s="126">
        <f>base[[#This Row],[L/P Bruto]]-base[[#This Row],[L/P Líquido]]</f>
        <v>0.95842931937172793</v>
      </c>
      <c r="N2441" s="126">
        <f>base[[#This Row],[L/P Líquido]]/base[[#This Row],[Stake/Responsabilidade]]</f>
        <v>4.1518677281077776E-2</v>
      </c>
      <c r="O2441" s="132">
        <f>IF(base[[#This Row],[L/P Líquido]]&gt;0,1,0)</f>
        <v>1</v>
      </c>
      <c r="P2441" s="132" t="s">
        <v>962</v>
      </c>
      <c r="Q2441" s="132" t="str">
        <f>LEFT(base[[#This Row],[Evento / Mercado]],FIND("vs",base[[#This Row],[Evento / Mercado]])-2)</f>
        <v>FC Bayern München</v>
      </c>
      <c r="R24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2441" s="132" t="str">
        <f>LEFT(base[[#This Row],[Evento / Mercado]],FIND("/",base[[#This Row],[Evento / Mercado]])-2)</f>
        <v>FC Bayern München vs VfB Stuttgart</v>
      </c>
    </row>
    <row r="2442" spans="2:21" ht="15" customHeight="1">
      <c r="B2442" s="128" t="s">
        <v>1258</v>
      </c>
      <c r="C2442" s="128" t="s">
        <v>2982</v>
      </c>
      <c r="D2442" s="129">
        <v>46165.706979166665</v>
      </c>
      <c r="E2442" s="130">
        <v>53.365400000000001</v>
      </c>
      <c r="F2442" s="136">
        <v>4.4999999999999998E-2</v>
      </c>
      <c r="G2442" s="126">
        <f t="shared" si="39"/>
        <v>55.88</v>
      </c>
      <c r="H2442" s="126" t="s">
        <v>145</v>
      </c>
      <c r="I2442" s="127" t="s">
        <v>301</v>
      </c>
      <c r="J2442" s="126">
        <v>7.8</v>
      </c>
      <c r="K2442" s="126">
        <v>379.88</v>
      </c>
      <c r="L2442" s="129">
        <f>INT(base[[#This Row],[Data de liquidação]])</f>
        <v>46165</v>
      </c>
      <c r="M2442" s="126">
        <f>base[[#This Row],[L/P Bruto]]-base[[#This Row],[L/P Líquido]]</f>
        <v>2.5146000000000015</v>
      </c>
      <c r="N2442" s="126">
        <f>base[[#This Row],[L/P Líquido]]/base[[#This Row],[Stake/Responsabilidade]]</f>
        <v>0.14047962514478257</v>
      </c>
      <c r="O2442" s="132">
        <f>IF(base[[#This Row],[L/P Líquido]]&gt;0,1,0)</f>
        <v>1</v>
      </c>
      <c r="P2442" s="132" t="s">
        <v>962</v>
      </c>
      <c r="Q2442" s="132" t="str">
        <f>LEFT(base[[#This Row],[Evento / Mercado]],FIND("vs",base[[#This Row],[Evento / Mercado]])-2)</f>
        <v>FC Bayern München</v>
      </c>
      <c r="R24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2442" s="132" t="str">
        <f>LEFT(base[[#This Row],[Evento / Mercado]],FIND("/",base[[#This Row],[Evento / Mercado]])-2)</f>
        <v>FC Bayern München vs VfB Stuttgart</v>
      </c>
      <c r="T2442" s="8">
        <v>55.88</v>
      </c>
      <c r="U2442" s="9">
        <f>T2442*0.955</f>
        <v>53.365400000000001</v>
      </c>
    </row>
    <row r="2443" spans="2:21" ht="15" customHeight="1">
      <c r="B2443" s="128" t="s">
        <v>1258</v>
      </c>
      <c r="C2443" s="128" t="s">
        <v>2982</v>
      </c>
      <c r="D2443" s="129">
        <v>46165.706979166665</v>
      </c>
      <c r="E2443" s="130">
        <v>18.364650000000001</v>
      </c>
      <c r="F2443" s="136">
        <v>4.4999999999999998E-2</v>
      </c>
      <c r="G2443" s="126">
        <f t="shared" si="39"/>
        <v>19.23</v>
      </c>
      <c r="H2443" s="126" t="s">
        <v>1233</v>
      </c>
      <c r="I2443" s="127"/>
      <c r="J2443" s="126">
        <v>6.2</v>
      </c>
      <c r="K2443" s="126">
        <v>100</v>
      </c>
      <c r="L2443" s="129">
        <f>INT(base[[#This Row],[Data de liquidação]])</f>
        <v>46165</v>
      </c>
      <c r="M2443" s="126">
        <f>base[[#This Row],[L/P Bruto]]-base[[#This Row],[L/P Líquido]]</f>
        <v>0.8653499999999994</v>
      </c>
      <c r="N2443" s="126">
        <f>base[[#This Row],[L/P Líquido]]/base[[#This Row],[Stake/Responsabilidade]]</f>
        <v>0.18364650000000002</v>
      </c>
      <c r="O2443" s="132">
        <f>IF(base[[#This Row],[L/P Líquido]]&gt;0,1,0)</f>
        <v>1</v>
      </c>
      <c r="P2443" s="132"/>
      <c r="Q2443" s="132" t="str">
        <f>LEFT(base[[#This Row],[Evento / Mercado]],FIND("vs",base[[#This Row],[Evento / Mercado]])-2)</f>
        <v>FC Bayern München</v>
      </c>
      <c r="R24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2443" s="132" t="str">
        <f>LEFT(base[[#This Row],[Evento / Mercado]],FIND("/",base[[#This Row],[Evento / Mercado]])-2)</f>
        <v>FC Bayern München vs VfB Stuttgart</v>
      </c>
      <c r="T2443" s="8">
        <v>19.23</v>
      </c>
      <c r="U2443" s="9">
        <f>T2443*0.955</f>
        <v>18.364650000000001</v>
      </c>
    </row>
    <row r="2444" spans="2:21" ht="15" customHeight="1">
      <c r="B2444" s="128" t="s">
        <v>2442</v>
      </c>
      <c r="C2444" s="128" t="s">
        <v>2982</v>
      </c>
      <c r="D2444" s="129">
        <v>46165.715648148151</v>
      </c>
      <c r="E2444" s="130">
        <v>9.5500000000000007</v>
      </c>
      <c r="F2444" s="136">
        <v>4.4999999999999998E-2</v>
      </c>
      <c r="G2444" s="126">
        <f t="shared" si="39"/>
        <v>10.000000000000002</v>
      </c>
      <c r="H2444" s="126" t="s">
        <v>1339</v>
      </c>
      <c r="I2444" s="127" t="s">
        <v>1236</v>
      </c>
      <c r="J2444" s="126">
        <v>6.2</v>
      </c>
      <c r="K2444" s="126">
        <v>10</v>
      </c>
      <c r="L2444" s="129">
        <f>INT(base[[#This Row],[Data de liquidação]])</f>
        <v>46165</v>
      </c>
      <c r="M2444" s="126">
        <f>base[[#This Row],[L/P Bruto]]-base[[#This Row],[L/P Líquido]]</f>
        <v>0.45000000000000107</v>
      </c>
      <c r="N2444" s="126">
        <f>base[[#This Row],[L/P Líquido]]/base[[#This Row],[Stake/Responsabilidade]]</f>
        <v>0.95500000000000007</v>
      </c>
      <c r="O2444" s="132">
        <f>IF(base[[#This Row],[L/P Líquido]]&gt;0,1,0)</f>
        <v>1</v>
      </c>
      <c r="P2444" s="132"/>
      <c r="Q2444" s="132" t="str">
        <f>LEFT(base[[#This Row],[Evento / Mercado]],FIND("vs",base[[#This Row],[Evento / Mercado]])-2)</f>
        <v>Saint Louis City SC</v>
      </c>
      <c r="R24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2444" s="132" t="str">
        <f>LEFT(base[[#This Row],[Evento / Mercado]],FIND("/",base[[#This Row],[Evento / Mercado]])-2)</f>
        <v>Saint Louis City SC vs Austin FC</v>
      </c>
    </row>
    <row r="2445" spans="2:21" ht="15" customHeight="1">
      <c r="B2445" s="128" t="s">
        <v>2441</v>
      </c>
      <c r="C2445" s="128" t="s">
        <v>2982</v>
      </c>
      <c r="D2445" s="129">
        <v>46165.716550925928</v>
      </c>
      <c r="E2445" s="130">
        <v>76.88</v>
      </c>
      <c r="F2445" s="136">
        <v>4.4999999999999998E-2</v>
      </c>
      <c r="G2445" s="126">
        <f t="shared" si="39"/>
        <v>80.502617801047123</v>
      </c>
      <c r="H2445" s="126" t="s">
        <v>231</v>
      </c>
      <c r="I2445" s="127" t="s">
        <v>266</v>
      </c>
      <c r="J2445" s="126">
        <v>1.7</v>
      </c>
      <c r="K2445" s="126">
        <v>115</v>
      </c>
      <c r="L2445" s="129">
        <f>INT(base[[#This Row],[Data de liquidação]])</f>
        <v>46165</v>
      </c>
      <c r="M2445" s="126">
        <f>base[[#This Row],[L/P Bruto]]-base[[#This Row],[L/P Líquido]]</f>
        <v>3.6226178010471273</v>
      </c>
      <c r="N2445" s="126">
        <f>base[[#This Row],[L/P Líquido]]/base[[#This Row],[Stake/Responsabilidade]]</f>
        <v>0.66852173913043478</v>
      </c>
      <c r="O2445" s="132">
        <f>IF(base[[#This Row],[L/P Líquido]]&gt;0,1,0)</f>
        <v>1</v>
      </c>
      <c r="P2445" s="132"/>
      <c r="Q2445" s="132" t="str">
        <f>LEFT(base[[#This Row],[Evento / Mercado]],FIND("vs",base[[#This Row],[Evento / Mercado]])-2)</f>
        <v>Girona</v>
      </c>
      <c r="R24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2445" s="132" t="str">
        <f>LEFT(base[[#This Row],[Evento / Mercado]],FIND("/",base[[#This Row],[Evento / Mercado]])-2)</f>
        <v>Girona vs Elche CF</v>
      </c>
    </row>
    <row r="2446" spans="2:21" ht="15" customHeight="1">
      <c r="B2446" s="128" t="s">
        <v>2440</v>
      </c>
      <c r="C2446" s="128" t="s">
        <v>2982</v>
      </c>
      <c r="D2446" s="129">
        <v>46165.72446759259</v>
      </c>
      <c r="E2446" s="130">
        <v>0.55000000000000004</v>
      </c>
      <c r="F2446" s="136">
        <v>4.4999999999999998E-2</v>
      </c>
      <c r="G2446" s="126">
        <f t="shared" si="39"/>
        <v>0.5759162303664922</v>
      </c>
      <c r="H2446" s="126" t="s">
        <v>1339</v>
      </c>
      <c r="I2446" s="127" t="s">
        <v>1993</v>
      </c>
      <c r="J2446" s="126">
        <v>1.29</v>
      </c>
      <c r="K2446" s="126">
        <v>2</v>
      </c>
      <c r="L2446" s="129">
        <f>INT(base[[#This Row],[Data de liquidação]])</f>
        <v>46165</v>
      </c>
      <c r="M2446" s="126">
        <f>base[[#This Row],[L/P Bruto]]-base[[#This Row],[L/P Líquido]]</f>
        <v>2.5916230366492155E-2</v>
      </c>
      <c r="N2446" s="126">
        <f>base[[#This Row],[L/P Líquido]]/base[[#This Row],[Stake/Responsabilidade]]</f>
        <v>0.27500000000000002</v>
      </c>
      <c r="O2446" s="132">
        <f>IF(base[[#This Row],[L/P Líquido]]&gt;0,1,0)</f>
        <v>1</v>
      </c>
      <c r="P2446" s="132"/>
      <c r="Q2446" s="132" t="str">
        <f>LEFT(base[[#This Row],[Evento / Mercado]],FIND("vs",base[[#This Row],[Evento / Mercado]])-2)</f>
        <v>Getafe</v>
      </c>
      <c r="R24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2446" s="132" t="str">
        <f>LEFT(base[[#This Row],[Evento / Mercado]],FIND("/",base[[#This Row],[Evento / Mercado]])-2)</f>
        <v>Getafe vs Osasuna</v>
      </c>
    </row>
    <row r="2447" spans="2:21" ht="15" customHeight="1">
      <c r="B2447" s="128" t="s">
        <v>2439</v>
      </c>
      <c r="C2447" s="128" t="s">
        <v>2982</v>
      </c>
      <c r="D2447" s="129">
        <v>46165.729467592595</v>
      </c>
      <c r="E2447" s="130">
        <v>-8.52</v>
      </c>
      <c r="F2447" s="136">
        <v>4.4999999999999998E-2</v>
      </c>
      <c r="G2447" s="126">
        <f t="shared" si="39"/>
        <v>-8.52</v>
      </c>
      <c r="H2447" s="126" t="s">
        <v>1339</v>
      </c>
      <c r="I2447" s="127" t="s">
        <v>1236</v>
      </c>
      <c r="J2447" s="126">
        <v>10</v>
      </c>
      <c r="K2447" s="126">
        <v>10</v>
      </c>
      <c r="L2447" s="129">
        <f>INT(base[[#This Row],[Data de liquidação]])</f>
        <v>46165</v>
      </c>
      <c r="M2447" s="126">
        <f>base[[#This Row],[L/P Bruto]]-base[[#This Row],[L/P Líquido]]</f>
        <v>0</v>
      </c>
      <c r="N2447" s="126">
        <f>base[[#This Row],[L/P Líquido]]/base[[#This Row],[Stake/Responsabilidade]]</f>
        <v>-0.85199999999999998</v>
      </c>
      <c r="O2447" s="132">
        <f>IF(base[[#This Row],[L/P Líquido]]&gt;0,1,0)</f>
        <v>0</v>
      </c>
      <c r="P2447" s="132"/>
      <c r="Q2447" s="132" t="str">
        <f>LEFT(base[[#This Row],[Evento / Mercado]],FIND("vs",base[[#This Row],[Evento / Mercado]])-2)</f>
        <v>Espanyol</v>
      </c>
      <c r="R24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2447" s="132" t="str">
        <f>LEFT(base[[#This Row],[Evento / Mercado]],FIND("/",base[[#This Row],[Evento / Mercado]])-2)</f>
        <v>Espanyol vs Real Sociedad</v>
      </c>
    </row>
    <row r="2448" spans="2:21" ht="15" customHeight="1">
      <c r="B2448" s="128" t="s">
        <v>2438</v>
      </c>
      <c r="C2448" s="128" t="s">
        <v>2982</v>
      </c>
      <c r="D2448" s="129">
        <v>46165.733067129629</v>
      </c>
      <c r="E2448" s="130">
        <v>79.069999999999993</v>
      </c>
      <c r="F2448" s="136">
        <v>4.4999999999999998E-2</v>
      </c>
      <c r="G2448" s="126">
        <f t="shared" si="39"/>
        <v>82.795811518324598</v>
      </c>
      <c r="H2448" s="126" t="s">
        <v>231</v>
      </c>
      <c r="I2448" s="127" t="s">
        <v>232</v>
      </c>
      <c r="J2448" s="126">
        <v>1.72</v>
      </c>
      <c r="K2448" s="126">
        <v>115</v>
      </c>
      <c r="L2448" s="129">
        <f>INT(base[[#This Row],[Data de liquidação]])</f>
        <v>46165</v>
      </c>
      <c r="M2448" s="126">
        <f>base[[#This Row],[L/P Bruto]]-base[[#This Row],[L/P Líquido]]</f>
        <v>3.7258115183246048</v>
      </c>
      <c r="N2448" s="126">
        <f>base[[#This Row],[L/P Líquido]]/base[[#This Row],[Stake/Responsabilidade]]</f>
        <v>0.68756521739130427</v>
      </c>
      <c r="O2448" s="132">
        <f>IF(base[[#This Row],[L/P Líquido]]&gt;0,1,0)</f>
        <v>1</v>
      </c>
      <c r="P2448" s="132"/>
      <c r="Q2448" s="132" t="str">
        <f>LEFT(base[[#This Row],[Evento / Mercado]],FIND("vs",base[[#This Row],[Evento / Mercado]])-2)</f>
        <v>Real Betis</v>
      </c>
      <c r="R24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2448" s="132" t="str">
        <f>LEFT(base[[#This Row],[Evento / Mercado]],FIND("/",base[[#This Row],[Evento / Mercado]])-2)</f>
        <v>Real Betis vs Levante UD</v>
      </c>
    </row>
    <row r="2449" spans="2:19" ht="15" customHeight="1">
      <c r="B2449" s="128" t="s">
        <v>2437</v>
      </c>
      <c r="C2449" s="128" t="s">
        <v>2982</v>
      </c>
      <c r="D2449" s="129">
        <v>46165.737233796295</v>
      </c>
      <c r="E2449" s="130">
        <v>5.14</v>
      </c>
      <c r="F2449" s="136">
        <v>4.4999999999999998E-2</v>
      </c>
      <c r="G2449" s="126">
        <f t="shared" si="39"/>
        <v>5.3821989528795813</v>
      </c>
      <c r="H2449" s="126" t="s">
        <v>1339</v>
      </c>
      <c r="I2449" s="127" t="s">
        <v>1388</v>
      </c>
      <c r="J2449" s="126">
        <v>14</v>
      </c>
      <c r="K2449" s="126">
        <v>69.94</v>
      </c>
      <c r="L2449" s="129">
        <f>INT(base[[#This Row],[Data de liquidação]])</f>
        <v>46165</v>
      </c>
      <c r="M2449" s="126">
        <f>base[[#This Row],[L/P Bruto]]-base[[#This Row],[L/P Líquido]]</f>
        <v>0.2421989528795816</v>
      </c>
      <c r="N2449" s="126">
        <f>base[[#This Row],[L/P Líquido]]/base[[#This Row],[Stake/Responsabilidade]]</f>
        <v>7.3491564197883899E-2</v>
      </c>
      <c r="O2449" s="132">
        <f>IF(base[[#This Row],[L/P Líquido]]&gt;0,1,0)</f>
        <v>1</v>
      </c>
      <c r="P2449" s="132"/>
      <c r="Q2449" s="132" t="str">
        <f>LEFT(base[[#This Row],[Evento / Mercado]],FIND("vs",base[[#This Row],[Evento / Mercado]])-2)</f>
        <v>Royal Antwerp</v>
      </c>
      <c r="R24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Westerlo</v>
      </c>
      <c r="S2449" s="132" t="str">
        <f>LEFT(base[[#This Row],[Evento / Mercado]],FIND("/",base[[#This Row],[Evento / Mercado]])-2)</f>
        <v>Royal Antwerp vs Westerlo</v>
      </c>
    </row>
    <row r="2450" spans="2:19" ht="15" customHeight="1">
      <c r="B2450" s="128" t="s">
        <v>2436</v>
      </c>
      <c r="C2450" s="128" t="s">
        <v>2982</v>
      </c>
      <c r="D2450" s="129">
        <v>46165.737430555557</v>
      </c>
      <c r="E2450" s="130">
        <v>0.2</v>
      </c>
      <c r="F2450" s="136">
        <v>4.4999999999999998E-2</v>
      </c>
      <c r="G2450" s="126">
        <f t="shared" si="39"/>
        <v>0.20942408376963353</v>
      </c>
      <c r="H2450" s="126" t="s">
        <v>1339</v>
      </c>
      <c r="I2450" s="127" t="s">
        <v>2471</v>
      </c>
      <c r="J2450" s="126">
        <v>1.28</v>
      </c>
      <c r="K2450" s="126">
        <v>2</v>
      </c>
      <c r="L2450" s="129">
        <f>INT(base[[#This Row],[Data de liquidação]])</f>
        <v>46165</v>
      </c>
      <c r="M2450" s="126">
        <f>base[[#This Row],[L/P Bruto]]-base[[#This Row],[L/P Líquido]]</f>
        <v>9.4240837696335233E-3</v>
      </c>
      <c r="N2450" s="126">
        <f>base[[#This Row],[L/P Líquido]]/base[[#This Row],[Stake/Responsabilidade]]</f>
        <v>0.1</v>
      </c>
      <c r="O2450" s="132">
        <f>IF(base[[#This Row],[L/P Líquido]]&gt;0,1,0)</f>
        <v>1</v>
      </c>
      <c r="P2450" s="132"/>
      <c r="Q2450" s="132" t="str">
        <f>LEFT(base[[#This Row],[Evento / Mercado]],FIND("vs",base[[#This Row],[Evento / Mercado]])-2)</f>
        <v>Royal Antwerp</v>
      </c>
      <c r="R24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Westerlo</v>
      </c>
      <c r="S2450" s="132" t="str">
        <f>LEFT(base[[#This Row],[Evento / Mercado]],FIND("/",base[[#This Row],[Evento / Mercado]])-2)</f>
        <v>Royal Antwerp vs Westerlo</v>
      </c>
    </row>
    <row r="2451" spans="2:19" ht="15" customHeight="1">
      <c r="B2451" s="128" t="s">
        <v>2435</v>
      </c>
      <c r="C2451" s="128" t="s">
        <v>2982</v>
      </c>
      <c r="D2451" s="129">
        <v>46165.741909722223</v>
      </c>
      <c r="E2451" s="130">
        <v>3.18</v>
      </c>
      <c r="F2451" s="136">
        <v>4.4999999999999998E-2</v>
      </c>
      <c r="G2451" s="126">
        <f t="shared" si="39"/>
        <v>3.329842931937173</v>
      </c>
      <c r="H2451" s="126" t="s">
        <v>1339</v>
      </c>
      <c r="I2451" s="127" t="s">
        <v>1388</v>
      </c>
      <c r="J2451" s="126">
        <v>18.5</v>
      </c>
      <c r="K2451" s="126">
        <v>58.28</v>
      </c>
      <c r="L2451" s="129">
        <f>INT(base[[#This Row],[Data de liquidação]])</f>
        <v>46165</v>
      </c>
      <c r="M2451" s="126">
        <f>base[[#This Row],[L/P Bruto]]-base[[#This Row],[L/P Líquido]]</f>
        <v>0.1498429319371728</v>
      </c>
      <c r="N2451" s="126">
        <f>base[[#This Row],[L/P Líquido]]/base[[#This Row],[Stake/Responsabilidade]]</f>
        <v>5.456417295813315E-2</v>
      </c>
      <c r="O2451" s="132">
        <f>IF(base[[#This Row],[L/P Líquido]]&gt;0,1,0)</f>
        <v>1</v>
      </c>
      <c r="P2451" s="132"/>
      <c r="Q2451" s="132" t="str">
        <f>LEFT(base[[#This Row],[Evento / Mercado]],FIND("vs",base[[#This Row],[Evento / Mercado]])-2)</f>
        <v>Saint Louis City SC</v>
      </c>
      <c r="R24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2451" s="132" t="str">
        <f>LEFT(base[[#This Row],[Evento / Mercado]],FIND("/",base[[#This Row],[Evento / Mercado]])-2)</f>
        <v>Saint Louis City SC vs Austin FC</v>
      </c>
    </row>
    <row r="2452" spans="2:19" ht="15" customHeight="1">
      <c r="B2452" s="128" t="s">
        <v>2434</v>
      </c>
      <c r="C2452" s="128" t="s">
        <v>2982</v>
      </c>
      <c r="D2452" s="129">
        <v>46165.742071759261</v>
      </c>
      <c r="E2452" s="130">
        <v>2.39</v>
      </c>
      <c r="F2452" s="136">
        <v>4.4999999999999998E-2</v>
      </c>
      <c r="G2452" s="126">
        <f t="shared" si="39"/>
        <v>2.5026178010471205</v>
      </c>
      <c r="H2452" s="126" t="s">
        <v>1339</v>
      </c>
      <c r="I2452" s="127" t="s">
        <v>1963</v>
      </c>
      <c r="J2452" s="126">
        <v>1.05</v>
      </c>
      <c r="K2452" s="126">
        <v>50</v>
      </c>
      <c r="L2452" s="129">
        <f>INT(base[[#This Row],[Data de liquidação]])</f>
        <v>46165</v>
      </c>
      <c r="M2452" s="126">
        <f>base[[#This Row],[L/P Bruto]]-base[[#This Row],[L/P Líquido]]</f>
        <v>0.11261780104712038</v>
      </c>
      <c r="N2452" s="126">
        <f>base[[#This Row],[L/P Líquido]]/base[[#This Row],[Stake/Responsabilidade]]</f>
        <v>4.7800000000000002E-2</v>
      </c>
      <c r="O2452" s="132">
        <f>IF(base[[#This Row],[L/P Líquido]]&gt;0,1,0)</f>
        <v>1</v>
      </c>
      <c r="P2452" s="132"/>
      <c r="Q2452" s="132" t="str">
        <f>LEFT(base[[#This Row],[Evento / Mercado]],FIND("vs",base[[#This Row],[Evento / Mercado]])-2)</f>
        <v>Saint Louis City SC</v>
      </c>
      <c r="R24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2452" s="132" t="str">
        <f>LEFT(base[[#This Row],[Evento / Mercado]],FIND("/",base[[#This Row],[Evento / Mercado]])-2)</f>
        <v>Saint Louis City SC vs Austin FC</v>
      </c>
    </row>
    <row r="2453" spans="2:19" ht="15" customHeight="1">
      <c r="B2453" s="128" t="s">
        <v>2433</v>
      </c>
      <c r="C2453" s="128" t="s">
        <v>2982</v>
      </c>
      <c r="D2453" s="129">
        <v>46165.742094907408</v>
      </c>
      <c r="E2453" s="130">
        <v>-114.81</v>
      </c>
      <c r="F2453" s="136">
        <v>4.4999999999999998E-2</v>
      </c>
      <c r="G2453" s="126">
        <f t="shared" si="39"/>
        <v>-114.81</v>
      </c>
      <c r="H2453" s="126" t="s">
        <v>231</v>
      </c>
      <c r="I2453" s="127" t="s">
        <v>266</v>
      </c>
      <c r="J2453" s="126">
        <v>1.65</v>
      </c>
      <c r="K2453" s="126">
        <v>114.81</v>
      </c>
      <c r="L2453" s="129">
        <f>INT(base[[#This Row],[Data de liquidação]])</f>
        <v>46165</v>
      </c>
      <c r="M2453" s="126">
        <f>base[[#This Row],[L/P Bruto]]-base[[#This Row],[L/P Líquido]]</f>
        <v>0</v>
      </c>
      <c r="N2453" s="126">
        <f>base[[#This Row],[L/P Líquido]]/base[[#This Row],[Stake/Responsabilidade]]</f>
        <v>-1</v>
      </c>
      <c r="O2453" s="132">
        <f>IF(base[[#This Row],[L/P Líquido]]&gt;0,1,0)</f>
        <v>0</v>
      </c>
      <c r="P2453" s="132"/>
      <c r="Q2453" s="132" t="str">
        <f>LEFT(base[[#This Row],[Evento / Mercado]],FIND("vs",base[[#This Row],[Evento / Mercado]])-2)</f>
        <v>Saint Louis City SC</v>
      </c>
      <c r="R24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2453" s="132" t="str">
        <f>LEFT(base[[#This Row],[Evento / Mercado]],FIND("/",base[[#This Row],[Evento / Mercado]])-2)</f>
        <v>Saint Louis City SC vs Austin FC</v>
      </c>
    </row>
    <row r="2454" spans="2:19" ht="15" customHeight="1">
      <c r="B2454" s="128" t="s">
        <v>2433</v>
      </c>
      <c r="C2454" s="128" t="s">
        <v>2982</v>
      </c>
      <c r="D2454" s="129">
        <v>46165.742094907408</v>
      </c>
      <c r="E2454" s="130">
        <v>-2</v>
      </c>
      <c r="F2454" s="136">
        <v>4.4999999999999998E-2</v>
      </c>
      <c r="G2454" s="126">
        <f t="shared" si="39"/>
        <v>-2</v>
      </c>
      <c r="H2454" s="126" t="s">
        <v>1339</v>
      </c>
      <c r="I2454" s="127" t="s">
        <v>2404</v>
      </c>
      <c r="J2454" s="126">
        <v>1.62</v>
      </c>
      <c r="K2454" s="126">
        <v>2</v>
      </c>
      <c r="L2454" s="129">
        <f>INT(base[[#This Row],[Data de liquidação]])</f>
        <v>46165</v>
      </c>
      <c r="M2454" s="126">
        <f>base[[#This Row],[L/P Bruto]]-base[[#This Row],[L/P Líquido]]</f>
        <v>0</v>
      </c>
      <c r="N2454" s="126">
        <f>base[[#This Row],[L/P Líquido]]/base[[#This Row],[Stake/Responsabilidade]]</f>
        <v>-1</v>
      </c>
      <c r="O2454" s="132">
        <f>IF(base[[#This Row],[L/P Líquido]]&gt;0,1,0)</f>
        <v>0</v>
      </c>
      <c r="P2454" s="132"/>
      <c r="Q2454" s="132" t="str">
        <f>LEFT(base[[#This Row],[Evento / Mercado]],FIND("vs",base[[#This Row],[Evento / Mercado]])-2)</f>
        <v>Saint Louis City SC</v>
      </c>
      <c r="R24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2454" s="132" t="str">
        <f>LEFT(base[[#This Row],[Evento / Mercado]],FIND("/",base[[#This Row],[Evento / Mercado]])-2)</f>
        <v>Saint Louis City SC vs Austin FC</v>
      </c>
    </row>
    <row r="2455" spans="2:19" ht="15" customHeight="1">
      <c r="B2455" s="128" t="s">
        <v>2432</v>
      </c>
      <c r="C2455" s="128" t="s">
        <v>2982</v>
      </c>
      <c r="D2455" s="129">
        <v>46165.747141203705</v>
      </c>
      <c r="E2455" s="130">
        <v>6.46</v>
      </c>
      <c r="F2455" s="136">
        <v>4.4999999999999998E-2</v>
      </c>
      <c r="G2455" s="126">
        <f t="shared" si="39"/>
        <v>6.7643979057591626</v>
      </c>
      <c r="H2455" s="126" t="s">
        <v>1339</v>
      </c>
      <c r="I2455" s="127" t="s">
        <v>1390</v>
      </c>
      <c r="J2455" s="126">
        <v>8.6</v>
      </c>
      <c r="K2455" s="126">
        <v>51.38</v>
      </c>
      <c r="L2455" s="129">
        <f>INT(base[[#This Row],[Data de liquidação]])</f>
        <v>46165</v>
      </c>
      <c r="M2455" s="126">
        <f>base[[#This Row],[L/P Bruto]]-base[[#This Row],[L/P Líquido]]</f>
        <v>0.30439790575916259</v>
      </c>
      <c r="N2455" s="126">
        <f>base[[#This Row],[L/P Líquido]]/base[[#This Row],[Stake/Responsabilidade]]</f>
        <v>0.12572985597508757</v>
      </c>
      <c r="O2455" s="132">
        <f>IF(base[[#This Row],[L/P Líquido]]&gt;0,1,0)</f>
        <v>1</v>
      </c>
      <c r="P2455" s="132"/>
      <c r="Q2455" s="132" t="str">
        <f>LEFT(base[[#This Row],[Evento / Mercado]],FIND("vs",base[[#This Row],[Evento / Mercado]])-2)</f>
        <v>Real Mallorca</v>
      </c>
      <c r="R24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Oviedo</v>
      </c>
      <c r="S2455" s="132" t="str">
        <f>LEFT(base[[#This Row],[Evento / Mercado]],FIND("/",base[[#This Row],[Evento / Mercado]])-2)</f>
        <v>Real Mallorca vs Real Oviedo</v>
      </c>
    </row>
    <row r="2456" spans="2:19" ht="15" customHeight="1">
      <c r="B2456" s="128" t="s">
        <v>2431</v>
      </c>
      <c r="C2456" s="128" t="s">
        <v>2982</v>
      </c>
      <c r="D2456" s="129">
        <v>46165.748229166667</v>
      </c>
      <c r="E2456" s="130">
        <v>6.82</v>
      </c>
      <c r="F2456" s="136">
        <v>4.4999999999999998E-2</v>
      </c>
      <c r="G2456" s="126">
        <f t="shared" si="39"/>
        <v>7.1413612565445028</v>
      </c>
      <c r="H2456" s="126" t="s">
        <v>1339</v>
      </c>
      <c r="I2456" s="127" t="s">
        <v>2470</v>
      </c>
      <c r="J2456" s="126">
        <v>8</v>
      </c>
      <c r="K2456" s="126">
        <v>49.98</v>
      </c>
      <c r="L2456" s="129">
        <f>INT(base[[#This Row],[Data de liquidação]])</f>
        <v>46165</v>
      </c>
      <c r="M2456" s="126">
        <f>base[[#This Row],[L/P Bruto]]-base[[#This Row],[L/P Líquido]]</f>
        <v>0.32136125654450254</v>
      </c>
      <c r="N2456" s="126">
        <f>base[[#This Row],[L/P Líquido]]/base[[#This Row],[Stake/Responsabilidade]]</f>
        <v>0.1364545818327331</v>
      </c>
      <c r="O2456" s="132">
        <f>IF(base[[#This Row],[L/P Líquido]]&gt;0,1,0)</f>
        <v>1</v>
      </c>
      <c r="P2456" s="132"/>
      <c r="Q2456" s="132" t="str">
        <f>LEFT(base[[#This Row],[Evento / Mercado]],FIND("vs",base[[#This Row],[Evento / Mercado]])-2)</f>
        <v>Celta de Vigo</v>
      </c>
      <c r="R24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</v>
      </c>
      <c r="S2456" s="132" t="str">
        <f>LEFT(base[[#This Row],[Evento / Mercado]],FIND("/",base[[#This Row],[Evento / Mercado]])-2)</f>
        <v>Celta de Vigo vs Sevilla</v>
      </c>
    </row>
    <row r="2457" spans="2:19" ht="15" customHeight="1">
      <c r="B2457" s="128" t="s">
        <v>2430</v>
      </c>
      <c r="C2457" s="128" t="s">
        <v>2982</v>
      </c>
      <c r="D2457" s="129">
        <v>46165.748379629629</v>
      </c>
      <c r="E2457" s="130">
        <v>0.19</v>
      </c>
      <c r="F2457" s="136">
        <v>4.4999999999999998E-2</v>
      </c>
      <c r="G2457" s="126">
        <f t="shared" si="39"/>
        <v>0.19895287958115185</v>
      </c>
      <c r="H2457" s="126" t="s">
        <v>1339</v>
      </c>
      <c r="I2457" s="127" t="s">
        <v>2471</v>
      </c>
      <c r="J2457" s="126">
        <v>1.24</v>
      </c>
      <c r="K2457" s="126">
        <v>2</v>
      </c>
      <c r="L2457" s="129">
        <f>INT(base[[#This Row],[Data de liquidação]])</f>
        <v>46165</v>
      </c>
      <c r="M2457" s="126">
        <f>base[[#This Row],[L/P Bruto]]-base[[#This Row],[L/P Líquido]]</f>
        <v>8.9528795811518458E-3</v>
      </c>
      <c r="N2457" s="126">
        <f>base[[#This Row],[L/P Líquido]]/base[[#This Row],[Stake/Responsabilidade]]</f>
        <v>9.5000000000000001E-2</v>
      </c>
      <c r="O2457" s="132">
        <f>IF(base[[#This Row],[L/P Líquido]]&gt;0,1,0)</f>
        <v>1</v>
      </c>
      <c r="P2457" s="132"/>
      <c r="Q2457" s="132" t="str">
        <f>LEFT(base[[#This Row],[Evento / Mercado]],FIND("vs",base[[#This Row],[Evento / Mercado]])-2)</f>
        <v>Real Betis</v>
      </c>
      <c r="R24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2457" s="132" t="str">
        <f>LEFT(base[[#This Row],[Evento / Mercado]],FIND("/",base[[#This Row],[Evento / Mercado]])-2)</f>
        <v>Real Betis vs Levante UD</v>
      </c>
    </row>
    <row r="2458" spans="2:19" ht="15" customHeight="1">
      <c r="B2458" s="128" t="s">
        <v>2429</v>
      </c>
      <c r="C2458" s="128" t="s">
        <v>2982</v>
      </c>
      <c r="D2458" s="129">
        <v>46165.748449074075</v>
      </c>
      <c r="E2458" s="130">
        <v>2.06</v>
      </c>
      <c r="F2458" s="136">
        <v>4.4999999999999998E-2</v>
      </c>
      <c r="G2458" s="126">
        <f t="shared" si="39"/>
        <v>2.1570680628272254</v>
      </c>
      <c r="H2458" s="126" t="s">
        <v>1339</v>
      </c>
      <c r="I2458" s="127" t="s">
        <v>1429</v>
      </c>
      <c r="J2458" s="126">
        <v>2.08</v>
      </c>
      <c r="K2458" s="126">
        <v>2</v>
      </c>
      <c r="L2458" s="129">
        <f>INT(base[[#This Row],[Data de liquidação]])</f>
        <v>46165</v>
      </c>
      <c r="M2458" s="126">
        <f>base[[#This Row],[L/P Bruto]]-base[[#This Row],[L/P Líquido]]</f>
        <v>9.7068062827225354E-2</v>
      </c>
      <c r="N2458" s="126">
        <f>base[[#This Row],[L/P Líquido]]/base[[#This Row],[Stake/Responsabilidade]]</f>
        <v>1.03</v>
      </c>
      <c r="O2458" s="132">
        <f>IF(base[[#This Row],[L/P Líquido]]&gt;0,1,0)</f>
        <v>1</v>
      </c>
      <c r="P2458" s="132"/>
      <c r="Q2458" s="132" t="str">
        <f>LEFT(base[[#This Row],[Evento / Mercado]],FIND("vs",base[[#This Row],[Evento / Mercado]])-2)</f>
        <v>Celta de Vigo</v>
      </c>
      <c r="R24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</v>
      </c>
      <c r="S2458" s="132" t="str">
        <f>LEFT(base[[#This Row],[Evento / Mercado]],FIND("/",base[[#This Row],[Evento / Mercado]])-2)</f>
        <v>Celta de Vigo vs Sevilla</v>
      </c>
    </row>
    <row r="2459" spans="2:19" ht="15" customHeight="1">
      <c r="B2459" s="128" t="s">
        <v>2428</v>
      </c>
      <c r="C2459" s="128" t="s">
        <v>2982</v>
      </c>
      <c r="D2459" s="129">
        <v>46165.751435185186</v>
      </c>
      <c r="E2459" s="130">
        <v>5.83</v>
      </c>
      <c r="F2459" s="136">
        <v>4.4999999999999998E-2</v>
      </c>
      <c r="G2459" s="126">
        <f t="shared" si="39"/>
        <v>6.1047120418848166</v>
      </c>
      <c r="H2459" s="126" t="s">
        <v>1339</v>
      </c>
      <c r="I2459" s="127" t="s">
        <v>2469</v>
      </c>
      <c r="J2459" s="126">
        <v>9</v>
      </c>
      <c r="K2459" s="126">
        <v>48.8</v>
      </c>
      <c r="L2459" s="129">
        <f>INT(base[[#This Row],[Data de liquidação]])</f>
        <v>46165</v>
      </c>
      <c r="M2459" s="126">
        <f>base[[#This Row],[L/P Bruto]]-base[[#This Row],[L/P Líquido]]</f>
        <v>0.27471204188481657</v>
      </c>
      <c r="N2459" s="126">
        <f>base[[#This Row],[L/P Líquido]]/base[[#This Row],[Stake/Responsabilidade]]</f>
        <v>0.11946721311475411</v>
      </c>
      <c r="O2459" s="132">
        <f>IF(base[[#This Row],[L/P Líquido]]&gt;0,1,0)</f>
        <v>1</v>
      </c>
      <c r="P2459" s="132"/>
      <c r="Q2459" s="132" t="str">
        <f>LEFT(base[[#This Row],[Evento / Mercado]],FIND("vs",base[[#This Row],[Evento / Mercado]])-2)</f>
        <v>Valencia</v>
      </c>
      <c r="R24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2459" s="132" t="str">
        <f>LEFT(base[[#This Row],[Evento / Mercado]],FIND("/",base[[#This Row],[Evento / Mercado]])-2)</f>
        <v>Valencia vs FC Barcelona</v>
      </c>
    </row>
    <row r="2460" spans="2:19" ht="15" customHeight="1">
      <c r="B2460" s="128" t="s">
        <v>2427</v>
      </c>
      <c r="C2460" s="128" t="s">
        <v>2982</v>
      </c>
      <c r="D2460" s="129">
        <v>46165.751793981479</v>
      </c>
      <c r="E2460" s="130">
        <v>3.17</v>
      </c>
      <c r="F2460" s="136">
        <v>4.4999999999999998E-2</v>
      </c>
      <c r="G2460" s="126">
        <f t="shared" si="39"/>
        <v>3.3193717277486914</v>
      </c>
      <c r="H2460" s="126" t="s">
        <v>1339</v>
      </c>
      <c r="I2460" s="127" t="s">
        <v>1336</v>
      </c>
      <c r="J2460" s="126">
        <v>1.49</v>
      </c>
      <c r="K2460" s="126">
        <v>15</v>
      </c>
      <c r="L2460" s="129">
        <f>INT(base[[#This Row],[Data de liquidação]])</f>
        <v>46165</v>
      </c>
      <c r="M2460" s="126">
        <f>base[[#This Row],[L/P Bruto]]-base[[#This Row],[L/P Líquido]]</f>
        <v>0.14937172774869145</v>
      </c>
      <c r="N2460" s="126">
        <f>base[[#This Row],[L/P Líquido]]/base[[#This Row],[Stake/Responsabilidade]]</f>
        <v>0.21133333333333332</v>
      </c>
      <c r="O2460" s="132">
        <f>IF(base[[#This Row],[L/P Líquido]]&gt;0,1,0)</f>
        <v>1</v>
      </c>
      <c r="P2460" s="132"/>
      <c r="Q2460" s="132" t="str">
        <f>LEFT(base[[#This Row],[Evento / Mercado]],FIND("vs",base[[#This Row],[Evento / Mercado]])-2)</f>
        <v>Valencia</v>
      </c>
      <c r="R24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2460" s="132" t="str">
        <f>LEFT(base[[#This Row],[Evento / Mercado]],FIND("/",base[[#This Row],[Evento / Mercado]])-2)</f>
        <v>Valencia vs FC Barcelona</v>
      </c>
    </row>
    <row r="2461" spans="2:19" ht="15" customHeight="1">
      <c r="B2461" s="128" t="s">
        <v>2426</v>
      </c>
      <c r="C2461" s="128" t="s">
        <v>2982</v>
      </c>
      <c r="D2461" s="129">
        <v>46165.791307870371</v>
      </c>
      <c r="E2461" s="130">
        <v>-5</v>
      </c>
      <c r="F2461" s="136">
        <v>4.4999999999999998E-2</v>
      </c>
      <c r="G2461" s="126">
        <f t="shared" si="39"/>
        <v>-5</v>
      </c>
      <c r="H2461" s="126" t="s">
        <v>1339</v>
      </c>
      <c r="I2461" s="127" t="s">
        <v>1389</v>
      </c>
      <c r="J2461" s="126">
        <v>1.6</v>
      </c>
      <c r="K2461" s="126">
        <v>5</v>
      </c>
      <c r="L2461" s="129">
        <f>INT(base[[#This Row],[Data de liquidação]])</f>
        <v>46165</v>
      </c>
      <c r="M2461" s="126">
        <f>base[[#This Row],[L/P Bruto]]-base[[#This Row],[L/P Líquido]]</f>
        <v>0</v>
      </c>
      <c r="N2461" s="126">
        <f>base[[#This Row],[L/P Líquido]]/base[[#This Row],[Stake/Responsabilidade]]</f>
        <v>-1</v>
      </c>
      <c r="O2461" s="132">
        <f>IF(base[[#This Row],[L/P Líquido]]&gt;0,1,0)</f>
        <v>0</v>
      </c>
      <c r="P2461" s="132"/>
      <c r="Q2461" s="132" t="str">
        <f>LEFT(base[[#This Row],[Evento / Mercado]],FIND("vs",base[[#This Row],[Evento / Mercado]])-2)</f>
        <v>São Paulo</v>
      </c>
      <c r="R24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2461" s="132" t="str">
        <f>LEFT(base[[#This Row],[Evento / Mercado]],FIND("/",base[[#This Row],[Evento / Mercado]])-2)</f>
        <v>São Paulo vs Botafogo FR</v>
      </c>
    </row>
    <row r="2462" spans="2:19" ht="15" customHeight="1">
      <c r="B2462" s="128" t="s">
        <v>2425</v>
      </c>
      <c r="C2462" s="128" t="s">
        <v>2982</v>
      </c>
      <c r="D2462" s="129">
        <v>46165.792905092596</v>
      </c>
      <c r="E2462" s="130">
        <v>44.96</v>
      </c>
      <c r="F2462" s="136">
        <v>4.4999999999999998E-2</v>
      </c>
      <c r="G2462" s="126">
        <f t="shared" si="39"/>
        <v>47.078534031413618</v>
      </c>
      <c r="H2462" s="126" t="s">
        <v>145</v>
      </c>
      <c r="I2462" s="127" t="s">
        <v>1268</v>
      </c>
      <c r="J2462" s="126">
        <f>+(10.5*215.17+10*109.91+10*109.91)/base[[#This Row],[Stake/Responsabilidade]]</f>
        <v>10.247327524770684</v>
      </c>
      <c r="K2462" s="126">
        <f>215.17+109.91+109.91</f>
        <v>434.99</v>
      </c>
      <c r="L2462" s="129">
        <f>INT(base[[#This Row],[Data de liquidação]])</f>
        <v>46165</v>
      </c>
      <c r="M2462" s="126">
        <f>base[[#This Row],[L/P Bruto]]-base[[#This Row],[L/P Líquido]]</f>
        <v>2.118534031413617</v>
      </c>
      <c r="N2462" s="126">
        <f>base[[#This Row],[L/P Líquido]]/base[[#This Row],[Stake/Responsabilidade]]</f>
        <v>0.10335869790110118</v>
      </c>
      <c r="O2462" s="132">
        <f>IF(base[[#This Row],[L/P Líquido]]&gt;0,1,0)</f>
        <v>1</v>
      </c>
      <c r="P2462" s="132" t="s">
        <v>1058</v>
      </c>
      <c r="Q2462" s="132" t="str">
        <f>LEFT(base[[#This Row],[Evento / Mercado]],FIND("vs",base[[#This Row],[Evento / Mercado]])-2)</f>
        <v>São Paulo</v>
      </c>
      <c r="R24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2462" s="132" t="str">
        <f>LEFT(base[[#This Row],[Evento / Mercado]],FIND("/",base[[#This Row],[Evento / Mercado]])-2)</f>
        <v>São Paulo vs Botafogo FR</v>
      </c>
    </row>
    <row r="2463" spans="2:19" ht="15" customHeight="1">
      <c r="B2463" s="128" t="s">
        <v>2424</v>
      </c>
      <c r="C2463" s="128" t="s">
        <v>2982</v>
      </c>
      <c r="D2463" s="129">
        <v>46165.793506944443</v>
      </c>
      <c r="E2463" s="130">
        <v>-115</v>
      </c>
      <c r="F2463" s="136">
        <v>4.4999999999999998E-2</v>
      </c>
      <c r="G2463" s="126">
        <f t="shared" si="39"/>
        <v>-115</v>
      </c>
      <c r="H2463" s="126" t="s">
        <v>231</v>
      </c>
      <c r="I2463" s="127" t="s">
        <v>266</v>
      </c>
      <c r="J2463" s="126">
        <v>1.96</v>
      </c>
      <c r="K2463" s="126">
        <v>115</v>
      </c>
      <c r="L2463" s="129">
        <f>INT(base[[#This Row],[Data de liquidação]])</f>
        <v>46165</v>
      </c>
      <c r="M2463" s="126">
        <f>base[[#This Row],[L/P Bruto]]-base[[#This Row],[L/P Líquido]]</f>
        <v>0</v>
      </c>
      <c r="N2463" s="126">
        <f>base[[#This Row],[L/P Líquido]]/base[[#This Row],[Stake/Responsabilidade]]</f>
        <v>-1</v>
      </c>
      <c r="O2463" s="132">
        <f>IF(base[[#This Row],[L/P Líquido]]&gt;0,1,0)</f>
        <v>0</v>
      </c>
      <c r="P2463" s="132"/>
      <c r="Q2463" s="132" t="str">
        <f>LEFT(base[[#This Row],[Evento / Mercado]],FIND("vs",base[[#This Row],[Evento / Mercado]])-2)</f>
        <v>EC Vitória</v>
      </c>
      <c r="R24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2463" s="132" t="str">
        <f>LEFT(base[[#This Row],[Evento / Mercado]],FIND("/",base[[#This Row],[Evento / Mercado]])-2)</f>
        <v>EC Vitória vs SC Internacional</v>
      </c>
    </row>
    <row r="2464" spans="2:19" ht="15" customHeight="1">
      <c r="B2464" s="128" t="s">
        <v>2423</v>
      </c>
      <c r="C2464" s="128" t="s">
        <v>2982</v>
      </c>
      <c r="D2464" s="129">
        <v>46165.820081018515</v>
      </c>
      <c r="E2464" s="130">
        <v>2.57</v>
      </c>
      <c r="F2464" s="136">
        <v>4.4999999999999998E-2</v>
      </c>
      <c r="G2464" s="126">
        <f t="shared" si="39"/>
        <v>2.6910994764397906</v>
      </c>
      <c r="H2464" s="126" t="s">
        <v>1339</v>
      </c>
      <c r="I2464" s="127" t="s">
        <v>1388</v>
      </c>
      <c r="J2464" s="126">
        <v>27</v>
      </c>
      <c r="K2464" s="126">
        <v>69.94</v>
      </c>
      <c r="L2464" s="129">
        <f>INT(base[[#This Row],[Data de liquidação]])</f>
        <v>46165</v>
      </c>
      <c r="M2464" s="126">
        <f>base[[#This Row],[L/P Bruto]]-base[[#This Row],[L/P Líquido]]</f>
        <v>0.1210994764397908</v>
      </c>
      <c r="N2464" s="126">
        <f>base[[#This Row],[L/P Líquido]]/base[[#This Row],[Stake/Responsabilidade]]</f>
        <v>3.674578209894195E-2</v>
      </c>
      <c r="O2464" s="132">
        <f>IF(base[[#This Row],[L/P Líquido]]&gt;0,1,0)</f>
        <v>1</v>
      </c>
      <c r="P2464" s="132"/>
      <c r="Q2464" s="132" t="str">
        <f>LEFT(base[[#This Row],[Evento / Mercado]],FIND("vs",base[[#This Row],[Evento / Mercado]])-2)</f>
        <v>Minnesota United</v>
      </c>
      <c r="R24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Salt Lake</v>
      </c>
      <c r="S2464" s="132" t="str">
        <f>LEFT(base[[#This Row],[Evento / Mercado]],FIND("/",base[[#This Row],[Evento / Mercado]])-2)</f>
        <v>Minnesota United vs Real Salt Lake</v>
      </c>
    </row>
    <row r="2465" spans="2:19" ht="15" customHeight="1">
      <c r="B2465" s="128" t="s">
        <v>2422</v>
      </c>
      <c r="C2465" s="128" t="s">
        <v>2982</v>
      </c>
      <c r="D2465" s="129">
        <v>46165.855324074073</v>
      </c>
      <c r="E2465" s="130">
        <v>71.63</v>
      </c>
      <c r="F2465" s="136">
        <v>4.4999999999999998E-2</v>
      </c>
      <c r="G2465" s="126">
        <f t="shared" si="39"/>
        <v>75.005235602094245</v>
      </c>
      <c r="H2465" s="126" t="s">
        <v>145</v>
      </c>
      <c r="I2465" s="127" t="s">
        <v>301</v>
      </c>
      <c r="J2465" s="126">
        <v>7.4</v>
      </c>
      <c r="K2465" s="126">
        <v>480</v>
      </c>
      <c r="L2465" s="129">
        <f>INT(base[[#This Row],[Data de liquidação]])</f>
        <v>46165</v>
      </c>
      <c r="M2465" s="126">
        <f>base[[#This Row],[L/P Bruto]]-base[[#This Row],[L/P Líquido]]</f>
        <v>3.37523560209425</v>
      </c>
      <c r="N2465" s="126">
        <f>base[[#This Row],[L/P Líquido]]/base[[#This Row],[Stake/Responsabilidade]]</f>
        <v>0.14922916666666666</v>
      </c>
      <c r="O2465" s="132">
        <f>IF(base[[#This Row],[L/P Líquido]]&gt;0,1,0)</f>
        <v>1</v>
      </c>
      <c r="P2465" s="132" t="s">
        <v>2474</v>
      </c>
      <c r="Q2465" s="132" t="str">
        <f>LEFT(base[[#This Row],[Evento / Mercado]],FIND("vs",base[[#This Row],[Evento / Mercado]])-2)</f>
        <v>Fortaleza EC</v>
      </c>
      <c r="R24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Londrina</v>
      </c>
      <c r="S2465" s="132" t="str">
        <f>LEFT(base[[#This Row],[Evento / Mercado]],FIND("/",base[[#This Row],[Evento / Mercado]])-2)</f>
        <v>Fortaleza EC vs Londrina</v>
      </c>
    </row>
    <row r="2466" spans="2:19" ht="15" customHeight="1">
      <c r="B2466" s="128" t="s">
        <v>2421</v>
      </c>
      <c r="C2466" s="128" t="s">
        <v>2982</v>
      </c>
      <c r="D2466" s="129">
        <v>46165.874432870369</v>
      </c>
      <c r="E2466" s="130">
        <v>73.94</v>
      </c>
      <c r="F2466" s="136">
        <v>4.4999999999999998E-2</v>
      </c>
      <c r="G2466" s="126">
        <f t="shared" si="39"/>
        <v>77.424083769633512</v>
      </c>
      <c r="H2466" s="126" t="s">
        <v>145</v>
      </c>
      <c r="I2466" s="127" t="s">
        <v>1268</v>
      </c>
      <c r="J2466" s="126">
        <v>7.2</v>
      </c>
      <c r="K2466" s="126">
        <v>480</v>
      </c>
      <c r="L2466" s="129">
        <f>INT(base[[#This Row],[Data de liquidação]])</f>
        <v>46165</v>
      </c>
      <c r="M2466" s="126">
        <f>base[[#This Row],[L/P Bruto]]-base[[#This Row],[L/P Líquido]]</f>
        <v>3.4840837696335143</v>
      </c>
      <c r="N2466" s="126">
        <f>base[[#This Row],[L/P Líquido]]/base[[#This Row],[Stake/Responsabilidade]]</f>
        <v>0.15404166666666666</v>
      </c>
      <c r="O2466" s="132">
        <f>IF(base[[#This Row],[L/P Líquido]]&gt;0,1,0)</f>
        <v>1</v>
      </c>
      <c r="P2466" s="132" t="s">
        <v>1058</v>
      </c>
      <c r="Q2466" s="132" t="str">
        <f>LEFT(base[[#This Row],[Evento / Mercado]],FIND("vs",base[[#This Row],[Evento / Mercado]])-2)</f>
        <v>Grêmio FBPA</v>
      </c>
      <c r="R24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2466" s="132" t="str">
        <f>LEFT(base[[#This Row],[Evento / Mercado]],FIND("/",base[[#This Row],[Evento / Mercado]])-2)</f>
        <v>Grêmio FBPA vs Santos FC</v>
      </c>
    </row>
    <row r="2467" spans="2:19" ht="15" customHeight="1">
      <c r="B2467" s="128" t="s">
        <v>2420</v>
      </c>
      <c r="C2467" s="128" t="s">
        <v>2982</v>
      </c>
      <c r="D2467" s="129">
        <v>46165.875694444447</v>
      </c>
      <c r="E2467" s="130">
        <v>54.42</v>
      </c>
      <c r="F2467" s="136">
        <v>4.4999999999999998E-2</v>
      </c>
      <c r="G2467" s="126">
        <f t="shared" si="39"/>
        <v>56.984293193717285</v>
      </c>
      <c r="H2467" s="126" t="s">
        <v>122</v>
      </c>
      <c r="I2467" s="127" t="s">
        <v>75</v>
      </c>
      <c r="J2467" s="126">
        <v>9.6</v>
      </c>
      <c r="K2467" s="126">
        <v>490.03</v>
      </c>
      <c r="L2467" s="129">
        <f>INT(base[[#This Row],[Data de liquidação]])</f>
        <v>46165</v>
      </c>
      <c r="M2467" s="126">
        <f>base[[#This Row],[L/P Bruto]]-base[[#This Row],[L/P Líquido]]</f>
        <v>2.5642931937172833</v>
      </c>
      <c r="N2467" s="126">
        <f>base[[#This Row],[L/P Líquido]]/base[[#This Row],[Stake/Responsabilidade]]</f>
        <v>0.11105442523927107</v>
      </c>
      <c r="O2467" s="132">
        <f>IF(base[[#This Row],[L/P Líquido]]&gt;0,1,0)</f>
        <v>1</v>
      </c>
      <c r="P2467" s="132" t="s">
        <v>1058</v>
      </c>
      <c r="Q2467" s="132" t="str">
        <f>LEFT(base[[#This Row],[Evento / Mercado]],FIND("vs",base[[#This Row],[Evento / Mercado]])-2)</f>
        <v>Mirassol FC</v>
      </c>
      <c r="R24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2467" s="132" t="str">
        <f>LEFT(base[[#This Row],[Evento / Mercado]],FIND("/",base[[#This Row],[Evento / Mercado]])-2)</f>
        <v>Mirassol FC vs Fluminense FC</v>
      </c>
    </row>
    <row r="2468" spans="2:19" ht="15" customHeight="1">
      <c r="B2468" s="128" t="s">
        <v>2419</v>
      </c>
      <c r="C2468" s="128" t="s">
        <v>2982</v>
      </c>
      <c r="D2468" s="129">
        <v>46165.875914351855</v>
      </c>
      <c r="E2468" s="130">
        <v>-115</v>
      </c>
      <c r="F2468" s="136">
        <v>4.4999999999999998E-2</v>
      </c>
      <c r="G2468" s="126">
        <f t="shared" si="39"/>
        <v>-115</v>
      </c>
      <c r="H2468" s="126" t="s">
        <v>231</v>
      </c>
      <c r="I2468" s="127" t="s">
        <v>232</v>
      </c>
      <c r="J2468" s="126">
        <v>2.46</v>
      </c>
      <c r="K2468" s="126">
        <v>115</v>
      </c>
      <c r="L2468" s="129">
        <f>INT(base[[#This Row],[Data de liquidação]])</f>
        <v>46165</v>
      </c>
      <c r="M2468" s="126">
        <f>base[[#This Row],[L/P Bruto]]-base[[#This Row],[L/P Líquido]]</f>
        <v>0</v>
      </c>
      <c r="N2468" s="126">
        <f>base[[#This Row],[L/P Líquido]]/base[[#This Row],[Stake/Responsabilidade]]</f>
        <v>-1</v>
      </c>
      <c r="O2468" s="132">
        <f>IF(base[[#This Row],[L/P Líquido]]&gt;0,1,0)</f>
        <v>0</v>
      </c>
      <c r="P2468" s="132"/>
      <c r="Q2468" s="132" t="str">
        <f>LEFT(base[[#This Row],[Evento / Mercado]],FIND("vs",base[[#This Row],[Evento / Mercado]])-2)</f>
        <v>Mirassol FC</v>
      </c>
      <c r="R24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2468" s="132" t="str">
        <f>LEFT(base[[#This Row],[Evento / Mercado]],FIND("/",base[[#This Row],[Evento / Mercado]])-2)</f>
        <v>Mirassol FC vs Fluminense FC</v>
      </c>
    </row>
    <row r="2469" spans="2:19" ht="15" customHeight="1">
      <c r="B2469" s="128" t="s">
        <v>2418</v>
      </c>
      <c r="C2469" s="128" t="s">
        <v>2982</v>
      </c>
      <c r="D2469" s="129">
        <v>46165.87945601852</v>
      </c>
      <c r="E2469" s="130">
        <v>2.79</v>
      </c>
      <c r="F2469" s="136">
        <v>4.4999999999999998E-2</v>
      </c>
      <c r="G2469" s="126">
        <f t="shared" si="39"/>
        <v>2.9214659685863875</v>
      </c>
      <c r="H2469" s="126" t="s">
        <v>1339</v>
      </c>
      <c r="I2469" s="127" t="s">
        <v>1388</v>
      </c>
      <c r="J2469" s="126">
        <v>25</v>
      </c>
      <c r="K2469" s="126">
        <v>70.08</v>
      </c>
      <c r="L2469" s="129">
        <f>INT(base[[#This Row],[Data de liquidação]])</f>
        <v>46165</v>
      </c>
      <c r="M2469" s="126">
        <f>base[[#This Row],[L/P Bruto]]-base[[#This Row],[L/P Líquido]]</f>
        <v>0.13146596858638748</v>
      </c>
      <c r="N2469" s="126">
        <f>base[[#This Row],[L/P Líquido]]/base[[#This Row],[Stake/Responsabilidade]]</f>
        <v>3.9811643835616438E-2</v>
      </c>
      <c r="O2469" s="132">
        <f>IF(base[[#This Row],[L/P Líquido]]&gt;0,1,0)</f>
        <v>1</v>
      </c>
      <c r="P2469" s="132"/>
      <c r="Q2469" s="132" t="str">
        <f>LEFT(base[[#This Row],[Evento / Mercado]],FIND("vs",base[[#This Row],[Evento / Mercado]])-2)</f>
        <v>Vancouver FC</v>
      </c>
      <c r="R24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Supra du Quebec</v>
      </c>
      <c r="S2469" s="132" t="str">
        <f>LEFT(base[[#This Row],[Evento / Mercado]],FIND("/",base[[#This Row],[Evento / Mercado]])-2)</f>
        <v>Vancouver FC vs FC Supra du Quebec</v>
      </c>
    </row>
    <row r="2470" spans="2:19" ht="15" customHeight="1">
      <c r="B2470" s="128" t="s">
        <v>2417</v>
      </c>
      <c r="C2470" s="128" t="s">
        <v>2982</v>
      </c>
      <c r="D2470" s="129">
        <v>46165.891180555554</v>
      </c>
      <c r="E2470" s="130">
        <v>9.5500000000000007</v>
      </c>
      <c r="F2470" s="136">
        <v>4.4999999999999998E-2</v>
      </c>
      <c r="G2470" s="126">
        <f t="shared" si="39"/>
        <v>10.000000000000002</v>
      </c>
      <c r="H2470" s="126" t="s">
        <v>1339</v>
      </c>
      <c r="I2470" s="127" t="s">
        <v>1236</v>
      </c>
      <c r="J2470" s="126">
        <v>17.5</v>
      </c>
      <c r="K2470" s="126">
        <v>10</v>
      </c>
      <c r="L2470" s="129">
        <f>INT(base[[#This Row],[Data de liquidação]])</f>
        <v>46165</v>
      </c>
      <c r="M2470" s="126">
        <f>base[[#This Row],[L/P Bruto]]-base[[#This Row],[L/P Líquido]]</f>
        <v>0.45000000000000107</v>
      </c>
      <c r="N2470" s="126">
        <f>base[[#This Row],[L/P Líquido]]/base[[#This Row],[Stake/Responsabilidade]]</f>
        <v>0.95500000000000007</v>
      </c>
      <c r="O2470" s="132">
        <f>IF(base[[#This Row],[L/P Líquido]]&gt;0,1,0)</f>
        <v>1</v>
      </c>
      <c r="P2470" s="132"/>
      <c r="Q2470" s="132" t="str">
        <f>LEFT(base[[#This Row],[Evento / Mercado]],FIND("vs",base[[#This Row],[Evento / Mercado]])-2)</f>
        <v>FC Cincinnati</v>
      </c>
      <c r="R24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2470" s="132" t="str">
        <f>LEFT(base[[#This Row],[Evento / Mercado]],FIND("/",base[[#This Row],[Evento / Mercado]])-2)</f>
        <v>FC Cincinnati vs Orlando City</v>
      </c>
    </row>
    <row r="2471" spans="2:19" ht="15" customHeight="1">
      <c r="B2471" s="128" t="s">
        <v>2416</v>
      </c>
      <c r="C2471" s="128" t="s">
        <v>2982</v>
      </c>
      <c r="D2471" s="129">
        <v>46165.893541666665</v>
      </c>
      <c r="E2471" s="130">
        <v>75.78</v>
      </c>
      <c r="F2471" s="136">
        <v>4.4999999999999998E-2</v>
      </c>
      <c r="G2471" s="126">
        <f t="shared" si="39"/>
        <v>79.350785340314147</v>
      </c>
      <c r="H2471" s="126" t="s">
        <v>231</v>
      </c>
      <c r="I2471" s="127" t="s">
        <v>266</v>
      </c>
      <c r="J2471" s="126">
        <v>1.69</v>
      </c>
      <c r="K2471" s="126">
        <v>115</v>
      </c>
      <c r="L2471" s="129">
        <f>INT(base[[#This Row],[Data de liquidação]])</f>
        <v>46165</v>
      </c>
      <c r="M2471" s="126">
        <f>base[[#This Row],[L/P Bruto]]-base[[#This Row],[L/P Líquido]]</f>
        <v>3.5707853403141456</v>
      </c>
      <c r="N2471" s="126">
        <f>base[[#This Row],[L/P Líquido]]/base[[#This Row],[Stake/Responsabilidade]]</f>
        <v>0.65895652173913044</v>
      </c>
      <c r="O2471" s="132">
        <f>IF(base[[#This Row],[L/P Líquido]]&gt;0,1,0)</f>
        <v>1</v>
      </c>
      <c r="P2471" s="132"/>
      <c r="Q2471" s="132" t="str">
        <f>LEFT(base[[#This Row],[Evento / Mercado]],FIND("vs",base[[#This Row],[Evento / Mercado]])-2)</f>
        <v>DC United</v>
      </c>
      <c r="R24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CF Montreal</v>
      </c>
      <c r="S2471" s="132" t="str">
        <f>LEFT(base[[#This Row],[Evento / Mercado]],FIND("/",base[[#This Row],[Evento / Mercado]])-2)</f>
        <v>DC United vs CF Montreal</v>
      </c>
    </row>
    <row r="2472" spans="2:19" ht="15" customHeight="1">
      <c r="B2472" s="128" t="s">
        <v>2415</v>
      </c>
      <c r="C2472" s="128" t="s">
        <v>2982</v>
      </c>
      <c r="D2472" s="129">
        <v>46165.918611111112</v>
      </c>
      <c r="E2472" s="130">
        <v>1.1399999999999999</v>
      </c>
      <c r="F2472" s="136">
        <v>4.4999999999999998E-2</v>
      </c>
      <c r="G2472" s="126">
        <f t="shared" si="39"/>
        <v>1.1937172774869109</v>
      </c>
      <c r="H2472" s="126" t="s">
        <v>1339</v>
      </c>
      <c r="I2472" s="127" t="s">
        <v>1448</v>
      </c>
      <c r="J2472" s="126">
        <v>1.6</v>
      </c>
      <c r="K2472" s="126">
        <v>2</v>
      </c>
      <c r="L2472" s="129">
        <f>INT(base[[#This Row],[Data de liquidação]])</f>
        <v>46165</v>
      </c>
      <c r="M2472" s="126">
        <f>base[[#This Row],[L/P Bruto]]-base[[#This Row],[L/P Líquido]]</f>
        <v>5.3717277486911019E-2</v>
      </c>
      <c r="N2472" s="126">
        <f>base[[#This Row],[L/P Líquido]]/base[[#This Row],[Stake/Responsabilidade]]</f>
        <v>0.56999999999999995</v>
      </c>
      <c r="O2472" s="132">
        <f>IF(base[[#This Row],[L/P Líquido]]&gt;0,1,0)</f>
        <v>1</v>
      </c>
      <c r="P2472" s="132"/>
      <c r="Q2472" s="132" t="str">
        <f>LEFT(base[[#This Row],[Evento / Mercado]],FIND("vs",base[[#This Row],[Evento / Mercado]])-2)</f>
        <v>Chicago Fire</v>
      </c>
      <c r="R24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2472" s="132" t="str">
        <f>LEFT(base[[#This Row],[Evento / Mercado]],FIND("/",base[[#This Row],[Evento / Mercado]])-2)</f>
        <v>Chicago Fire vs Toronto FC</v>
      </c>
    </row>
    <row r="2473" spans="2:19" ht="15" customHeight="1">
      <c r="B2473" s="128" t="s">
        <v>2413</v>
      </c>
      <c r="C2473" s="128" t="s">
        <v>2982</v>
      </c>
      <c r="D2473" s="129">
        <v>46165.940104166664</v>
      </c>
      <c r="E2473" s="130">
        <v>1.87</v>
      </c>
      <c r="F2473" s="136">
        <v>4.4999999999999998E-2</v>
      </c>
      <c r="G2473" s="126">
        <f t="shared" si="39"/>
        <v>1.9581151832460735</v>
      </c>
      <c r="H2473" s="126" t="s">
        <v>1339</v>
      </c>
      <c r="I2473" s="127" t="s">
        <v>1429</v>
      </c>
      <c r="J2473" s="126">
        <v>1.98</v>
      </c>
      <c r="K2473" s="126">
        <v>2</v>
      </c>
      <c r="L2473" s="129">
        <f>INT(base[[#This Row],[Data de liquidação]])</f>
        <v>46165</v>
      </c>
      <c r="M2473" s="126">
        <f>base[[#This Row],[L/P Bruto]]-base[[#This Row],[L/P Líquido]]</f>
        <v>8.811518324607337E-2</v>
      </c>
      <c r="N2473" s="126">
        <f>base[[#This Row],[L/P Líquido]]/base[[#This Row],[Stake/Responsabilidade]]</f>
        <v>0.93500000000000005</v>
      </c>
      <c r="O2473" s="132">
        <f>IF(base[[#This Row],[L/P Líquido]]&gt;0,1,0)</f>
        <v>1</v>
      </c>
      <c r="P2473" s="132"/>
      <c r="Q2473" s="132" t="str">
        <f>LEFT(base[[#This Row],[Evento / Mercado]],FIND("vs",base[[#This Row],[Evento / Mercado]])-2)</f>
        <v>Charlotte FC</v>
      </c>
      <c r="R24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England Revolution</v>
      </c>
      <c r="S2473" s="132" t="str">
        <f>LEFT(base[[#This Row],[Evento / Mercado]],FIND("/",base[[#This Row],[Evento / Mercado]])-2)</f>
        <v>Charlotte FC vs New England Revolution</v>
      </c>
    </row>
    <row r="2474" spans="2:19" ht="15" customHeight="1">
      <c r="B2474" s="128" t="s">
        <v>2414</v>
      </c>
      <c r="C2474" s="128" t="s">
        <v>2982</v>
      </c>
      <c r="D2474" s="129">
        <v>46165.940104166664</v>
      </c>
      <c r="E2474" s="130">
        <v>-2</v>
      </c>
      <c r="F2474" s="136">
        <v>4.4999999999999998E-2</v>
      </c>
      <c r="G2474" s="126">
        <f t="shared" si="39"/>
        <v>-2</v>
      </c>
      <c r="H2474" s="126" t="s">
        <v>1339</v>
      </c>
      <c r="I2474" s="127" t="s">
        <v>2404</v>
      </c>
      <c r="J2474" s="126">
        <v>1.7</v>
      </c>
      <c r="K2474" s="126">
        <v>2</v>
      </c>
      <c r="L2474" s="129">
        <f>INT(base[[#This Row],[Data de liquidação]])</f>
        <v>46165</v>
      </c>
      <c r="M2474" s="126">
        <f>base[[#This Row],[L/P Bruto]]-base[[#This Row],[L/P Líquido]]</f>
        <v>0</v>
      </c>
      <c r="N2474" s="126">
        <f>base[[#This Row],[L/P Líquido]]/base[[#This Row],[Stake/Responsabilidade]]</f>
        <v>-1</v>
      </c>
      <c r="O2474" s="132">
        <f>IF(base[[#This Row],[L/P Líquido]]&gt;0,1,0)</f>
        <v>0</v>
      </c>
      <c r="P2474" s="132"/>
      <c r="Q2474" s="132" t="str">
        <f>LEFT(base[[#This Row],[Evento / Mercado]],FIND("vs",base[[#This Row],[Evento / Mercado]])-2)</f>
        <v>Charlotte FC</v>
      </c>
      <c r="R24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England Revolution</v>
      </c>
      <c r="S2474" s="132" t="str">
        <f>LEFT(base[[#This Row],[Evento / Mercado]],FIND("/",base[[#This Row],[Evento / Mercado]])-2)</f>
        <v>Charlotte FC vs New England Revolution</v>
      </c>
    </row>
    <row r="2475" spans="2:19" ht="15" customHeight="1">
      <c r="B2475" s="128" t="s">
        <v>2412</v>
      </c>
      <c r="C2475" s="128" t="s">
        <v>2982</v>
      </c>
      <c r="D2475" s="129">
        <v>46165.940138888887</v>
      </c>
      <c r="E2475" s="130">
        <f>-76+66.67</f>
        <v>-9.3299999999999983</v>
      </c>
      <c r="F2475" s="136">
        <v>4.4999999999999998E-2</v>
      </c>
      <c r="G2475" s="126">
        <f t="shared" si="39"/>
        <v>-9.3299999999999983</v>
      </c>
      <c r="H2475" s="126" t="s">
        <v>1339</v>
      </c>
      <c r="I2475" s="127" t="s">
        <v>1236</v>
      </c>
      <c r="J2475" s="126">
        <v>4.33</v>
      </c>
      <c r="K2475" s="126">
        <v>10</v>
      </c>
      <c r="L2475" s="129">
        <f>INT(base[[#This Row],[Data de liquidação]])</f>
        <v>46165</v>
      </c>
      <c r="M2475" s="126">
        <f>base[[#This Row],[L/P Bruto]]-base[[#This Row],[L/P Líquido]]</f>
        <v>0</v>
      </c>
      <c r="N2475" s="126">
        <f>base[[#This Row],[L/P Líquido]]/base[[#This Row],[Stake/Responsabilidade]]</f>
        <v>-0.93299999999999983</v>
      </c>
      <c r="O2475" s="132">
        <f>IF(base[[#This Row],[L/P Líquido]]&gt;0,1,0)</f>
        <v>0</v>
      </c>
      <c r="P2475" s="132"/>
      <c r="Q2475" s="132" t="str">
        <f>LEFT(base[[#This Row],[Evento / Mercado]],FIND("vs",base[[#This Row],[Evento / Mercado]])-2)</f>
        <v>Charlotte FC</v>
      </c>
      <c r="R24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England Revolution</v>
      </c>
      <c r="S2475" s="132" t="str">
        <f>LEFT(base[[#This Row],[Evento / Mercado]],FIND("/",base[[#This Row],[Evento / Mercado]])-2)</f>
        <v>Charlotte FC vs New England Revolution</v>
      </c>
    </row>
    <row r="2476" spans="2:19" ht="15" customHeight="1">
      <c r="B2476" s="128" t="s">
        <v>2412</v>
      </c>
      <c r="C2476" s="128" t="s">
        <v>2982</v>
      </c>
      <c r="D2476" s="129">
        <v>46165.940138888887</v>
      </c>
      <c r="E2476" s="130">
        <v>2.33</v>
      </c>
      <c r="F2476" s="136">
        <v>0</v>
      </c>
      <c r="G2476" s="126">
        <f t="shared" si="39"/>
        <v>2.33</v>
      </c>
      <c r="H2476" s="126" t="s">
        <v>1339</v>
      </c>
      <c r="I2476" s="127" t="s">
        <v>1389</v>
      </c>
      <c r="J2476" s="126">
        <v>1.47</v>
      </c>
      <c r="K2476" s="126">
        <v>5</v>
      </c>
      <c r="L2476" s="129">
        <f>INT(base[[#This Row],[Data de liquidação]])</f>
        <v>46165</v>
      </c>
      <c r="M2476" s="126">
        <f>base[[#This Row],[L/P Bruto]]-base[[#This Row],[L/P Líquido]]</f>
        <v>0</v>
      </c>
      <c r="N2476" s="126">
        <f>base[[#This Row],[L/P Líquido]]/base[[#This Row],[Stake/Responsabilidade]]</f>
        <v>0.46600000000000003</v>
      </c>
      <c r="O2476" s="132">
        <f>IF(base[[#This Row],[L/P Líquido]]&gt;0,1,0)</f>
        <v>1</v>
      </c>
      <c r="P2476" s="132"/>
      <c r="Q2476" s="132" t="str">
        <f>LEFT(base[[#This Row],[Evento / Mercado]],FIND("vs",base[[#This Row],[Evento / Mercado]])-2)</f>
        <v>Charlotte FC</v>
      </c>
      <c r="R24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England Revolution</v>
      </c>
      <c r="S2476" s="132" t="str">
        <f>LEFT(base[[#This Row],[Evento / Mercado]],FIND("/",base[[#This Row],[Evento / Mercado]])-2)</f>
        <v>Charlotte FC vs New England Revolution</v>
      </c>
    </row>
    <row r="2477" spans="2:19" ht="15" customHeight="1">
      <c r="B2477" s="128" t="s">
        <v>2411</v>
      </c>
      <c r="C2477" s="128" t="s">
        <v>2982</v>
      </c>
      <c r="D2477" s="129">
        <v>46165.961168981485</v>
      </c>
      <c r="E2477" s="130">
        <v>7.84</v>
      </c>
      <c r="F2477" s="136">
        <v>4.4999999999999998E-2</v>
      </c>
      <c r="G2477" s="126">
        <f t="shared" si="39"/>
        <v>8.2094240837696333</v>
      </c>
      <c r="H2477" s="126" t="s">
        <v>211</v>
      </c>
      <c r="I2477" s="127" t="s">
        <v>1480</v>
      </c>
      <c r="J2477" s="126">
        <v>1.42</v>
      </c>
      <c r="K2477" s="126">
        <v>19.54</v>
      </c>
      <c r="L2477" s="129">
        <f>INT(base[[#This Row],[Data de liquidação]])</f>
        <v>46165</v>
      </c>
      <c r="M2477" s="126">
        <f>base[[#This Row],[L/P Bruto]]-base[[#This Row],[L/P Líquido]]</f>
        <v>0.36942408376963343</v>
      </c>
      <c r="N2477" s="126">
        <f>base[[#This Row],[L/P Líquido]]/base[[#This Row],[Stake/Responsabilidade]]</f>
        <v>0.40122824974411464</v>
      </c>
      <c r="O2477" s="132">
        <f>IF(base[[#This Row],[L/P Líquido]]&gt;0,1,0)</f>
        <v>1</v>
      </c>
      <c r="P2477" s="132"/>
      <c r="Q2477" s="132" t="str">
        <f>LEFT(base[[#This Row],[Evento / Mercado]],FIND("vs",base[[#This Row],[Evento / Mercado]])-2)</f>
        <v>Chicago Fire</v>
      </c>
      <c r="R24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2477" s="132" t="str">
        <f>LEFT(base[[#This Row],[Evento / Mercado]],FIND("/",base[[#This Row],[Evento / Mercado]])-2)</f>
        <v>Chicago Fire vs Toronto FC</v>
      </c>
    </row>
    <row r="2478" spans="2:19" ht="15" customHeight="1">
      <c r="B2478" s="128" t="s">
        <v>2410</v>
      </c>
      <c r="C2478" s="128" t="s">
        <v>2982</v>
      </c>
      <c r="D2478" s="129">
        <v>46165.9765625</v>
      </c>
      <c r="E2478" s="130">
        <v>9.5500000000000007</v>
      </c>
      <c r="F2478" s="136">
        <v>4.4999999999999998E-2</v>
      </c>
      <c r="G2478" s="126">
        <f t="shared" si="39"/>
        <v>10.000000000000002</v>
      </c>
      <c r="H2478" s="126" t="s">
        <v>1339</v>
      </c>
      <c r="I2478" s="127" t="s">
        <v>1236</v>
      </c>
      <c r="J2478" s="126">
        <v>12</v>
      </c>
      <c r="K2478" s="126">
        <v>10</v>
      </c>
      <c r="L2478" s="129">
        <f>INT(base[[#This Row],[Data de liquidação]])</f>
        <v>46165</v>
      </c>
      <c r="M2478" s="126">
        <f>base[[#This Row],[L/P Bruto]]-base[[#This Row],[L/P Líquido]]</f>
        <v>0.45000000000000107</v>
      </c>
      <c r="N2478" s="126">
        <f>base[[#This Row],[L/P Líquido]]/base[[#This Row],[Stake/Responsabilidade]]</f>
        <v>0.95500000000000007</v>
      </c>
      <c r="O2478" s="132">
        <f>IF(base[[#This Row],[L/P Líquido]]&gt;0,1,0)</f>
        <v>1</v>
      </c>
      <c r="P2478" s="132"/>
      <c r="Q2478" s="132" t="str">
        <f>LEFT(base[[#This Row],[Evento / Mercado]],FIND("vs",base[[#This Row],[Evento / Mercado]])-2)</f>
        <v>San Diego FC</v>
      </c>
      <c r="R24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2478" s="132" t="str">
        <f>LEFT(base[[#This Row],[Evento / Mercado]],FIND("/",base[[#This Row],[Evento / Mercado]])-2)</f>
        <v>San Diego FC vs Vancouver Whitecaps</v>
      </c>
    </row>
    <row r="2479" spans="2:19" ht="15" customHeight="1">
      <c r="B2479" s="128" t="s">
        <v>2539</v>
      </c>
      <c r="C2479" s="128" t="s">
        <v>2982</v>
      </c>
      <c r="D2479" s="129">
        <v>46166.005254629628</v>
      </c>
      <c r="E2479" s="130">
        <v>-15</v>
      </c>
      <c r="F2479" s="136">
        <v>4.4999999999999998E-2</v>
      </c>
      <c r="G2479" s="126">
        <f t="shared" si="39"/>
        <v>-15</v>
      </c>
      <c r="H2479" s="126" t="s">
        <v>1339</v>
      </c>
      <c r="I2479" s="127" t="s">
        <v>1336</v>
      </c>
      <c r="J2479" s="126">
        <v>1.45</v>
      </c>
      <c r="K2479" s="126">
        <v>15</v>
      </c>
      <c r="L2479" s="129">
        <f>INT(base[[#This Row],[Data de liquidação]])</f>
        <v>46166</v>
      </c>
      <c r="M2479" s="126">
        <f>base[[#This Row],[L/P Bruto]]-base[[#This Row],[L/P Líquido]]</f>
        <v>0</v>
      </c>
      <c r="N2479" s="126">
        <f>base[[#This Row],[L/P Líquido]]/base[[#This Row],[Stake/Responsabilidade]]</f>
        <v>-1</v>
      </c>
      <c r="O2479" s="132">
        <f>IF(base[[#This Row],[L/P Líquido]]&gt;0,1,0)</f>
        <v>0</v>
      </c>
      <c r="P2479" s="132"/>
      <c r="Q2479" s="132" t="str">
        <f>LEFT(base[[#This Row],[Evento / Mercado]],FIND("vs",base[[#This Row],[Evento / Mercado]])-2)</f>
        <v>San Diego FC</v>
      </c>
      <c r="R24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2479" s="132" t="str">
        <f>LEFT(base[[#This Row],[Evento / Mercado]],FIND("/",base[[#This Row],[Evento / Mercado]])-2)</f>
        <v>San Diego FC vs Vancouver Whitecaps</v>
      </c>
    </row>
    <row r="2480" spans="2:19" ht="15" customHeight="1">
      <c r="B2480" s="128" t="s">
        <v>2538</v>
      </c>
      <c r="C2480" s="128" t="s">
        <v>2982</v>
      </c>
      <c r="D2480" s="129">
        <v>46166.009560185186</v>
      </c>
      <c r="E2480" s="130">
        <v>0.17</v>
      </c>
      <c r="F2480" s="136">
        <v>4.4999999999999998E-2</v>
      </c>
      <c r="G2480" s="126">
        <f t="shared" si="39"/>
        <v>0.1780104712041885</v>
      </c>
      <c r="H2480" s="126" t="s">
        <v>1339</v>
      </c>
      <c r="I2480" s="127" t="s">
        <v>1993</v>
      </c>
      <c r="J2480" s="126">
        <v>1.0900000000000001</v>
      </c>
      <c r="K2480" s="126">
        <v>2</v>
      </c>
      <c r="L2480" s="129">
        <f>INT(base[[#This Row],[Data de liquidação]])</f>
        <v>46166</v>
      </c>
      <c r="M2480" s="126">
        <f>base[[#This Row],[L/P Bruto]]-base[[#This Row],[L/P Líquido]]</f>
        <v>8.0104712041884907E-3</v>
      </c>
      <c r="N2480" s="126">
        <f>base[[#This Row],[L/P Líquido]]/base[[#This Row],[Stake/Responsabilidade]]</f>
        <v>8.5000000000000006E-2</v>
      </c>
      <c r="O2480" s="132">
        <f>IF(base[[#This Row],[L/P Líquido]]&gt;0,1,0)</f>
        <v>1</v>
      </c>
      <c r="P2480" s="132"/>
      <c r="Q2480" s="132" t="str">
        <f>LEFT(base[[#This Row],[Evento / Mercado]],FIND("vs",base[[#This Row],[Evento / Mercado]])-2)</f>
        <v>Los Angeles Galaxy</v>
      </c>
      <c r="R24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Houston Dynamo</v>
      </c>
      <c r="S2480" s="132" t="str">
        <f>LEFT(base[[#This Row],[Evento / Mercado]],FIND("/",base[[#This Row],[Evento / Mercado]])-2)</f>
        <v>Los Angeles Galaxy vs Houston Dynamo</v>
      </c>
    </row>
    <row r="2481" spans="2:19" ht="15" customHeight="1">
      <c r="B2481" s="128" t="s">
        <v>2537</v>
      </c>
      <c r="C2481" s="128" t="s">
        <v>2982</v>
      </c>
      <c r="D2481" s="129">
        <v>46166.01489583333</v>
      </c>
      <c r="E2481" s="130">
        <v>9.5500000000000007</v>
      </c>
      <c r="F2481" s="136">
        <v>4.4999999999999998E-2</v>
      </c>
      <c r="G2481" s="126">
        <f t="shared" si="39"/>
        <v>10.000000000000002</v>
      </c>
      <c r="H2481" s="126" t="s">
        <v>1339</v>
      </c>
      <c r="I2481" s="127" t="s">
        <v>1236</v>
      </c>
      <c r="J2481" s="126">
        <v>8.8000000000000007</v>
      </c>
      <c r="K2481" s="126">
        <v>10</v>
      </c>
      <c r="L2481" s="129">
        <f>INT(base[[#This Row],[Data de liquidação]])</f>
        <v>46166</v>
      </c>
      <c r="M2481" s="126">
        <f>base[[#This Row],[L/P Bruto]]-base[[#This Row],[L/P Líquido]]</f>
        <v>0.45000000000000107</v>
      </c>
      <c r="N2481" s="126">
        <f>base[[#This Row],[L/P Líquido]]/base[[#This Row],[Stake/Responsabilidade]]</f>
        <v>0.95500000000000007</v>
      </c>
      <c r="O2481" s="132">
        <f>IF(base[[#This Row],[L/P Líquido]]&gt;0,1,0)</f>
        <v>1</v>
      </c>
      <c r="P2481" s="132"/>
      <c r="Q2481" s="132" t="str">
        <f>LEFT(base[[#This Row],[Evento / Mercado]],FIND("vs",base[[#This Row],[Evento / Mercado]])-2)</f>
        <v>Los Angeles Galaxy</v>
      </c>
      <c r="R24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Houston Dynamo</v>
      </c>
      <c r="S2481" s="132" t="str">
        <f>LEFT(base[[#This Row],[Evento / Mercado]],FIND("/",base[[#This Row],[Evento / Mercado]])-2)</f>
        <v>Los Angeles Galaxy vs Houston Dynamo</v>
      </c>
    </row>
    <row r="2482" spans="2:19" ht="15" customHeight="1">
      <c r="B2482" s="128" t="s">
        <v>2536</v>
      </c>
      <c r="C2482" s="128" t="s">
        <v>2982</v>
      </c>
      <c r="D2482" s="129">
        <v>46166.305879629632</v>
      </c>
      <c r="E2482" s="130">
        <v>2.46</v>
      </c>
      <c r="F2482" s="136">
        <v>4.4999999999999998E-2</v>
      </c>
      <c r="G2482" s="126">
        <f t="shared" si="39"/>
        <v>2.5759162303664924</v>
      </c>
      <c r="H2482" s="126" t="s">
        <v>1339</v>
      </c>
      <c r="I2482" s="127" t="s">
        <v>1933</v>
      </c>
      <c r="J2482" s="126">
        <v>1.52</v>
      </c>
      <c r="K2482" s="126">
        <v>5</v>
      </c>
      <c r="L2482" s="129">
        <f>INT(base[[#This Row],[Data de liquidação]])</f>
        <v>46166</v>
      </c>
      <c r="M2482" s="126">
        <f>base[[#This Row],[L/P Bruto]]-base[[#This Row],[L/P Líquido]]</f>
        <v>0.11591623036649246</v>
      </c>
      <c r="N2482" s="126">
        <f>base[[#This Row],[L/P Líquido]]/base[[#This Row],[Stake/Responsabilidade]]</f>
        <v>0.49199999999999999</v>
      </c>
      <c r="O2482" s="132">
        <f>IF(base[[#This Row],[L/P Líquido]]&gt;0,1,0)</f>
        <v>1</v>
      </c>
      <c r="P2482" s="132"/>
      <c r="Q2482" s="132" t="str">
        <f>LEFT(base[[#This Row],[Evento / Mercado]],FIND("vs",base[[#This Row],[Evento / Mercado]])-2)</f>
        <v>Qingdao Hainiu</v>
      </c>
      <c r="R24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2482" s="132" t="str">
        <f>LEFT(base[[#This Row],[Evento / Mercado]],FIND("/",base[[#This Row],[Evento / Mercado]])-2)</f>
        <v>Qingdao Hainiu vs Chongqing Tonglianglong</v>
      </c>
    </row>
    <row r="2483" spans="2:19" ht="15" customHeight="1">
      <c r="B2483" s="128" t="s">
        <v>2535</v>
      </c>
      <c r="C2483" s="128" t="s">
        <v>2982</v>
      </c>
      <c r="D2483" s="129">
        <v>46166.3281712963</v>
      </c>
      <c r="E2483" s="130">
        <v>-50.02</v>
      </c>
      <c r="F2483" s="136">
        <v>4.4999999999999998E-2</v>
      </c>
      <c r="G2483" s="126">
        <f t="shared" si="39"/>
        <v>-50.02</v>
      </c>
      <c r="H2483" s="126" t="s">
        <v>1339</v>
      </c>
      <c r="I2483" s="127" t="s">
        <v>2470</v>
      </c>
      <c r="J2483" s="126">
        <v>8.4</v>
      </c>
      <c r="K2483" s="126">
        <v>50.02</v>
      </c>
      <c r="L2483" s="129">
        <f>INT(base[[#This Row],[Data de liquidação]])</f>
        <v>46166</v>
      </c>
      <c r="M2483" s="126">
        <f>base[[#This Row],[L/P Bruto]]-base[[#This Row],[L/P Líquido]]</f>
        <v>0</v>
      </c>
      <c r="N2483" s="126">
        <f>base[[#This Row],[L/P Líquido]]/base[[#This Row],[Stake/Responsabilidade]]</f>
        <v>-1</v>
      </c>
      <c r="O2483" s="132">
        <f>IF(base[[#This Row],[L/P Líquido]]&gt;0,1,0)</f>
        <v>0</v>
      </c>
      <c r="P2483" s="132"/>
      <c r="Q2483" s="132" t="str">
        <f>LEFT(base[[#This Row],[Evento / Mercado]],FIND("vs",base[[#This Row],[Evento / Mercado]])-2)</f>
        <v>Qingdao Hainiu</v>
      </c>
      <c r="R24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2483" s="132" t="str">
        <f>LEFT(base[[#This Row],[Evento / Mercado]],FIND("/",base[[#This Row],[Evento / Mercado]])-2)</f>
        <v>Qingdao Hainiu vs Chongqing Tonglianglong</v>
      </c>
    </row>
    <row r="2484" spans="2:19" ht="15" customHeight="1">
      <c r="B2484" s="128" t="s">
        <v>2534</v>
      </c>
      <c r="C2484" s="128" t="s">
        <v>2982</v>
      </c>
      <c r="D2484" s="129">
        <v>46166.366203703707</v>
      </c>
      <c r="E2484" s="130">
        <v>9.5500000000000007</v>
      </c>
      <c r="F2484" s="136">
        <v>4.4999999999999998E-2</v>
      </c>
      <c r="G2484" s="126">
        <f t="shared" si="39"/>
        <v>10.000000000000002</v>
      </c>
      <c r="H2484" s="126" t="s">
        <v>1339</v>
      </c>
      <c r="I2484" s="127" t="s">
        <v>1236</v>
      </c>
      <c r="J2484" s="126">
        <v>6.6</v>
      </c>
      <c r="K2484" s="126">
        <v>10</v>
      </c>
      <c r="L2484" s="129">
        <f>INT(base[[#This Row],[Data de liquidação]])</f>
        <v>46166</v>
      </c>
      <c r="M2484" s="126">
        <f>base[[#This Row],[L/P Bruto]]-base[[#This Row],[L/P Líquido]]</f>
        <v>0.45000000000000107</v>
      </c>
      <c r="N2484" s="126">
        <f>base[[#This Row],[L/P Líquido]]/base[[#This Row],[Stake/Responsabilidade]]</f>
        <v>0.95500000000000007</v>
      </c>
      <c r="O2484" s="132">
        <f>IF(base[[#This Row],[L/P Líquido]]&gt;0,1,0)</f>
        <v>1</v>
      </c>
      <c r="P2484" s="132"/>
      <c r="Q2484" s="132" t="str">
        <f>LEFT(base[[#This Row],[Evento / Mercado]],FIND("vs",base[[#This Row],[Evento / Mercado]])-2)</f>
        <v>Yunnan Yukun</v>
      </c>
      <c r="R24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West Coast</v>
      </c>
      <c r="S2484" s="132" t="str">
        <f>LEFT(base[[#This Row],[Evento / Mercado]],FIND("/",base[[#This Row],[Evento / Mercado]])-2)</f>
        <v>Yunnan Yukun vs Qingdao West Coast</v>
      </c>
    </row>
    <row r="2485" spans="2:19" ht="15" customHeight="1">
      <c r="B2485" s="128" t="s">
        <v>2533</v>
      </c>
      <c r="C2485" s="128" t="s">
        <v>2982</v>
      </c>
      <c r="D2485" s="129">
        <v>46166.366990740738</v>
      </c>
      <c r="E2485" s="130">
        <v>1.22</v>
      </c>
      <c r="F2485" s="136">
        <v>4.4999999999999998E-2</v>
      </c>
      <c r="G2485" s="126">
        <f t="shared" si="39"/>
        <v>1.2774869109947644</v>
      </c>
      <c r="H2485" s="126" t="s">
        <v>1339</v>
      </c>
      <c r="I2485" s="127" t="s">
        <v>2404</v>
      </c>
      <c r="J2485" s="126">
        <v>1.64</v>
      </c>
      <c r="K2485" s="126">
        <v>2</v>
      </c>
      <c r="L2485" s="129">
        <f>INT(base[[#This Row],[Data de liquidação]])</f>
        <v>46166</v>
      </c>
      <c r="M2485" s="126">
        <f>base[[#This Row],[L/P Bruto]]-base[[#This Row],[L/P Líquido]]</f>
        <v>5.748691099476444E-2</v>
      </c>
      <c r="N2485" s="126">
        <f>base[[#This Row],[L/P Líquido]]/base[[#This Row],[Stake/Responsabilidade]]</f>
        <v>0.61</v>
      </c>
      <c r="O2485" s="132">
        <f>IF(base[[#This Row],[L/P Líquido]]&gt;0,1,0)</f>
        <v>1</v>
      </c>
      <c r="P2485" s="132"/>
      <c r="Q2485" s="132" t="str">
        <f>LEFT(base[[#This Row],[Evento / Mercado]],FIND("vs",base[[#This Row],[Evento / Mercado]])-2)</f>
        <v>Shandong Taishan</v>
      </c>
      <c r="R24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2485" s="132" t="str">
        <f>LEFT(base[[#This Row],[Evento / Mercado]],FIND("/",base[[#This Row],[Evento / Mercado]])-2)</f>
        <v>Shandong Taishan vs Wuhan Three Towns</v>
      </c>
    </row>
    <row r="2486" spans="2:19" ht="15" customHeight="1">
      <c r="B2486" s="128" t="s">
        <v>2532</v>
      </c>
      <c r="C2486" s="128" t="s">
        <v>2982</v>
      </c>
      <c r="D2486" s="129">
        <v>46166.446979166663</v>
      </c>
      <c r="E2486" s="130">
        <v>-5</v>
      </c>
      <c r="F2486" s="136">
        <v>4.4999999999999998E-2</v>
      </c>
      <c r="G2486" s="126">
        <f t="shared" si="39"/>
        <v>-5</v>
      </c>
      <c r="H2486" s="126" t="s">
        <v>1339</v>
      </c>
      <c r="I2486" s="127" t="s">
        <v>1338</v>
      </c>
      <c r="J2486" s="126">
        <v>2.33</v>
      </c>
      <c r="K2486" s="126">
        <v>5</v>
      </c>
      <c r="L2486" s="129">
        <f>INT(base[[#This Row],[Data de liquidação]])</f>
        <v>46166</v>
      </c>
      <c r="M2486" s="126">
        <f>base[[#This Row],[L/P Bruto]]-base[[#This Row],[L/P Líquido]]</f>
        <v>0</v>
      </c>
      <c r="N2486" s="126">
        <f>base[[#This Row],[L/P Líquido]]/base[[#This Row],[Stake/Responsabilidade]]</f>
        <v>-1</v>
      </c>
      <c r="O2486" s="132">
        <f>IF(base[[#This Row],[L/P Líquido]]&gt;0,1,0)</f>
        <v>0</v>
      </c>
      <c r="P2486" s="132"/>
      <c r="Q2486" s="132" t="str">
        <f>LEFT(base[[#This Row],[Evento / Mercado]],FIND("vs",base[[#This Row],[Evento / Mercado]])-2)</f>
        <v>Hammarby IF</v>
      </c>
      <c r="R24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AIK</v>
      </c>
      <c r="S2486" s="132" t="str">
        <f>LEFT(base[[#This Row],[Evento / Mercado]],FIND("/",base[[#This Row],[Evento / Mercado]])-2)</f>
        <v>Hammarby IF vs AIK</v>
      </c>
    </row>
    <row r="2487" spans="2:19" ht="15" customHeight="1">
      <c r="B2487" s="128" t="s">
        <v>2531</v>
      </c>
      <c r="C2487" s="128" t="s">
        <v>2982</v>
      </c>
      <c r="D2487" s="129">
        <v>46166.490416666667</v>
      </c>
      <c r="E2487" s="130">
        <v>9.5500000000000007</v>
      </c>
      <c r="F2487" s="136">
        <v>4.4999999999999998E-2</v>
      </c>
      <c r="G2487" s="126">
        <f t="shared" si="39"/>
        <v>10.000000000000002</v>
      </c>
      <c r="H2487" s="126" t="s">
        <v>1339</v>
      </c>
      <c r="I2487" s="127" t="s">
        <v>1236</v>
      </c>
      <c r="J2487" s="126">
        <v>14.5</v>
      </c>
      <c r="K2487" s="126">
        <v>10</v>
      </c>
      <c r="L2487" s="129">
        <f>INT(base[[#This Row],[Data de liquidação]])</f>
        <v>46166</v>
      </c>
      <c r="M2487" s="126">
        <f>base[[#This Row],[L/P Bruto]]-base[[#This Row],[L/P Líquido]]</f>
        <v>0.45000000000000107</v>
      </c>
      <c r="N2487" s="126">
        <f>base[[#This Row],[L/P Líquido]]/base[[#This Row],[Stake/Responsabilidade]]</f>
        <v>0.95500000000000007</v>
      </c>
      <c r="O2487" s="132">
        <f>IF(base[[#This Row],[L/P Líquido]]&gt;0,1,0)</f>
        <v>1</v>
      </c>
      <c r="P2487" s="132"/>
      <c r="Q2487" s="132" t="str">
        <f>LEFT(base[[#This Row],[Evento / Mercado]],FIND("vs",base[[#This Row],[Evento / Mercado]])-2)</f>
        <v>Bodø/Glimt</v>
      </c>
      <c r="R2487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487" s="132" t="str">
        <f>LEFT(base[[#This Row],[Evento / Mercado]],FIND("/",base[[#This Row],[Evento / Mercado]])-2)</f>
        <v>Bod</v>
      </c>
    </row>
    <row r="2488" spans="2:19" ht="15" customHeight="1">
      <c r="B2488" s="128" t="s">
        <v>2530</v>
      </c>
      <c r="C2488" s="128" t="s">
        <v>2982</v>
      </c>
      <c r="D2488" s="129">
        <v>46166.493750000001</v>
      </c>
      <c r="E2488" s="130">
        <v>1.24</v>
      </c>
      <c r="F2488" s="136">
        <v>4.4999999999999998E-2</v>
      </c>
      <c r="G2488" s="126">
        <f t="shared" si="39"/>
        <v>1.2984293193717278</v>
      </c>
      <c r="H2488" s="126" t="s">
        <v>1339</v>
      </c>
      <c r="I2488" s="127" t="s">
        <v>2404</v>
      </c>
      <c r="J2488" s="126">
        <v>1.65</v>
      </c>
      <c r="K2488" s="126">
        <v>2</v>
      </c>
      <c r="L2488" s="129">
        <f>INT(base[[#This Row],[Data de liquidação]])</f>
        <v>46166</v>
      </c>
      <c r="M2488" s="126">
        <f>base[[#This Row],[L/P Bruto]]-base[[#This Row],[L/P Líquido]]</f>
        <v>5.8429319371727795E-2</v>
      </c>
      <c r="N2488" s="126">
        <f>base[[#This Row],[L/P Líquido]]/base[[#This Row],[Stake/Responsabilidade]]</f>
        <v>0.62</v>
      </c>
      <c r="O2488" s="132">
        <f>IF(base[[#This Row],[L/P Líquido]]&gt;0,1,0)</f>
        <v>1</v>
      </c>
      <c r="P2488" s="132"/>
      <c r="Q2488" s="132" t="str">
        <f>LEFT(base[[#This Row],[Evento / Mercado]],FIND("vs",base[[#This Row],[Evento / Mercado]])-2)</f>
        <v>GKS Tychy</v>
      </c>
      <c r="R24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Stal Rzeszów</v>
      </c>
      <c r="S2488" s="132" t="str">
        <f>LEFT(base[[#This Row],[Evento / Mercado]],FIND("/",base[[#This Row],[Evento / Mercado]])-2)</f>
        <v>GKS Tychy vs Stal Rzeszów</v>
      </c>
    </row>
    <row r="2489" spans="2:19" ht="15" customHeight="1">
      <c r="B2489" s="128" t="s">
        <v>2529</v>
      </c>
      <c r="C2489" s="128" t="s">
        <v>2982</v>
      </c>
      <c r="D2489" s="129">
        <v>46166.497997685183</v>
      </c>
      <c r="E2489" s="130">
        <v>5.73</v>
      </c>
      <c r="F2489" s="136">
        <v>4.4999999999999998E-2</v>
      </c>
      <c r="G2489" s="126">
        <f t="shared" si="39"/>
        <v>6.0000000000000009</v>
      </c>
      <c r="H2489" s="126" t="s">
        <v>1339</v>
      </c>
      <c r="I2489" s="127" t="s">
        <v>1338</v>
      </c>
      <c r="J2489" s="126">
        <v>2.2000000000000002</v>
      </c>
      <c r="K2489" s="126">
        <v>5</v>
      </c>
      <c r="L2489" s="129">
        <f>INT(base[[#This Row],[Data de liquidação]])</f>
        <v>46166</v>
      </c>
      <c r="M2489" s="126">
        <f>base[[#This Row],[L/P Bruto]]-base[[#This Row],[L/P Líquido]]</f>
        <v>0.27000000000000046</v>
      </c>
      <c r="N2489" s="126">
        <f>base[[#This Row],[L/P Líquido]]/base[[#This Row],[Stake/Responsabilidade]]</f>
        <v>1.1460000000000001</v>
      </c>
      <c r="O2489" s="132">
        <f>IF(base[[#This Row],[L/P Líquido]]&gt;0,1,0)</f>
        <v>1</v>
      </c>
      <c r="P2489" s="132"/>
      <c r="Q2489" s="132" t="str">
        <f>LEFT(base[[#This Row],[Evento / Mercado]],FIND("vs",base[[#This Row],[Evento / Mercado]])-2)</f>
        <v>Parma</v>
      </c>
      <c r="R24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Sassuolo</v>
      </c>
      <c r="S2489" s="132" t="str">
        <f>LEFT(base[[#This Row],[Evento / Mercado]],FIND("/",base[[#This Row],[Evento / Mercado]])-2)</f>
        <v>Parma vs Sassuolo</v>
      </c>
    </row>
    <row r="2490" spans="2:19" ht="15" customHeight="1">
      <c r="B2490" s="128" t="s">
        <v>2528</v>
      </c>
      <c r="C2490" s="128" t="s">
        <v>2982</v>
      </c>
      <c r="D2490" s="129">
        <v>46166.518564814818</v>
      </c>
      <c r="E2490" s="130">
        <v>1.19</v>
      </c>
      <c r="F2490" s="136">
        <v>4.4999999999999998E-2</v>
      </c>
      <c r="G2490" s="126">
        <f t="shared" si="39"/>
        <v>1.2460732984293195</v>
      </c>
      <c r="H2490" s="126" t="s">
        <v>1339</v>
      </c>
      <c r="I2490" s="127" t="s">
        <v>1448</v>
      </c>
      <c r="J2490" s="126">
        <v>1.63</v>
      </c>
      <c r="K2490" s="126">
        <v>2</v>
      </c>
      <c r="L2490" s="129">
        <f>INT(base[[#This Row],[Data de liquidação]])</f>
        <v>46166</v>
      </c>
      <c r="M2490" s="126">
        <f>base[[#This Row],[L/P Bruto]]-base[[#This Row],[L/P Líquido]]</f>
        <v>5.6073298429319518E-2</v>
      </c>
      <c r="N2490" s="126">
        <f>base[[#This Row],[L/P Líquido]]/base[[#This Row],[Stake/Responsabilidade]]</f>
        <v>0.59499999999999997</v>
      </c>
      <c r="O2490" s="132">
        <f>IF(base[[#This Row],[L/P Líquido]]&gt;0,1,0)</f>
        <v>1</v>
      </c>
      <c r="P2490" s="132"/>
      <c r="Q2490" s="132" t="str">
        <f>LEFT(base[[#This Row],[Evento / Mercado]],FIND("vs",base[[#This Row],[Evento / Mercado]])-2)</f>
        <v>Manchester City</v>
      </c>
      <c r="R24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2490" s="132" t="str">
        <f>LEFT(base[[#This Row],[Evento / Mercado]],FIND("/",base[[#This Row],[Evento / Mercado]])-2)</f>
        <v>Manchester City vs Aston Villa</v>
      </c>
    </row>
    <row r="2491" spans="2:19" ht="15" customHeight="1">
      <c r="B2491" s="128" t="s">
        <v>2527</v>
      </c>
      <c r="C2491" s="128" t="s">
        <v>2982</v>
      </c>
      <c r="D2491" s="129">
        <v>46166.532164351855</v>
      </c>
      <c r="E2491" s="130">
        <v>9.5500000000000007</v>
      </c>
      <c r="F2491" s="136">
        <v>4.4999999999999998E-2</v>
      </c>
      <c r="G2491" s="126">
        <f t="shared" si="39"/>
        <v>10.000000000000002</v>
      </c>
      <c r="H2491" s="126" t="s">
        <v>1339</v>
      </c>
      <c r="I2491" s="127" t="s">
        <v>1236</v>
      </c>
      <c r="J2491" s="126">
        <v>10</v>
      </c>
      <c r="K2491" s="126">
        <v>10</v>
      </c>
      <c r="L2491" s="129">
        <f>INT(base[[#This Row],[Data de liquidação]])</f>
        <v>46166</v>
      </c>
      <c r="M2491" s="126">
        <f>base[[#This Row],[L/P Bruto]]-base[[#This Row],[L/P Líquido]]</f>
        <v>0.45000000000000107</v>
      </c>
      <c r="N2491" s="126">
        <f>base[[#This Row],[L/P Líquido]]/base[[#This Row],[Stake/Responsabilidade]]</f>
        <v>0.95500000000000007</v>
      </c>
      <c r="O2491" s="132">
        <f>IF(base[[#This Row],[L/P Líquido]]&gt;0,1,0)</f>
        <v>1</v>
      </c>
      <c r="P2491" s="132"/>
      <c r="Q2491" s="132" t="str">
        <f>LEFT(base[[#This Row],[Evento / Mercado]],FIND("vs",base[[#This Row],[Evento / Mercado]])-2)</f>
        <v>Brighton &amp; Hove Albion</v>
      </c>
      <c r="R24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2491" s="132" t="str">
        <f>LEFT(base[[#This Row],[Evento / Mercado]],FIND("/",base[[#This Row],[Evento / Mercado]])-2)</f>
        <v>Brighton &amp; Hove Albion vs Manchester United</v>
      </c>
    </row>
    <row r="2492" spans="2:19" ht="15" customHeight="1">
      <c r="B2492" s="128" t="s">
        <v>2526</v>
      </c>
      <c r="C2492" s="128" t="s">
        <v>2982</v>
      </c>
      <c r="D2492" s="129">
        <v>46166.547442129631</v>
      </c>
      <c r="E2492" s="130">
        <v>9.5500000000000007</v>
      </c>
      <c r="F2492" s="136">
        <v>4.4999999999999998E-2</v>
      </c>
      <c r="G2492" s="126">
        <f t="shared" si="39"/>
        <v>10.000000000000002</v>
      </c>
      <c r="H2492" s="126" t="s">
        <v>1339</v>
      </c>
      <c r="I2492" s="127" t="s">
        <v>1236</v>
      </c>
      <c r="J2492" s="126">
        <v>8.65</v>
      </c>
      <c r="K2492" s="126">
        <v>10</v>
      </c>
      <c r="L2492" s="129">
        <f>INT(base[[#This Row],[Data de liquidação]])</f>
        <v>46166</v>
      </c>
      <c r="M2492" s="126">
        <f>base[[#This Row],[L/P Bruto]]-base[[#This Row],[L/P Líquido]]</f>
        <v>0.45000000000000107</v>
      </c>
      <c r="N2492" s="126">
        <f>base[[#This Row],[L/P Líquido]]/base[[#This Row],[Stake/Responsabilidade]]</f>
        <v>0.95500000000000007</v>
      </c>
      <c r="O2492" s="132">
        <f>IF(base[[#This Row],[L/P Líquido]]&gt;0,1,0)</f>
        <v>1</v>
      </c>
      <c r="P2492" s="132"/>
      <c r="Q2492" s="132" t="str">
        <f>LEFT(base[[#This Row],[Evento / Mercado]],FIND("vs",base[[#This Row],[Evento / Mercado]])-2)</f>
        <v>Manchester City</v>
      </c>
      <c r="R24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2492" s="132" t="str">
        <f>LEFT(base[[#This Row],[Evento / Mercado]],FIND("/",base[[#This Row],[Evento / Mercado]])-2)</f>
        <v>Manchester City vs Aston Villa</v>
      </c>
    </row>
    <row r="2493" spans="2:19" ht="15" customHeight="1">
      <c r="B2493" s="128" t="s">
        <v>2525</v>
      </c>
      <c r="C2493" s="128" t="s">
        <v>2982</v>
      </c>
      <c r="D2493" s="129">
        <v>46166.549074074072</v>
      </c>
      <c r="E2493" s="130">
        <v>9.5500000000000007</v>
      </c>
      <c r="F2493" s="136">
        <v>4.4999999999999998E-2</v>
      </c>
      <c r="G2493" s="126">
        <f t="shared" si="39"/>
        <v>10.000000000000002</v>
      </c>
      <c r="H2493" s="126" t="s">
        <v>1339</v>
      </c>
      <c r="I2493" s="127" t="s">
        <v>1236</v>
      </c>
      <c r="J2493" s="126">
        <v>9</v>
      </c>
      <c r="K2493" s="126">
        <v>10</v>
      </c>
      <c r="L2493" s="129">
        <f>INT(base[[#This Row],[Data de liquidação]])</f>
        <v>46166</v>
      </c>
      <c r="M2493" s="126">
        <f>base[[#This Row],[L/P Bruto]]-base[[#This Row],[L/P Líquido]]</f>
        <v>0.45000000000000107</v>
      </c>
      <c r="N2493" s="126">
        <f>base[[#This Row],[L/P Líquido]]/base[[#This Row],[Stake/Responsabilidade]]</f>
        <v>0.95500000000000007</v>
      </c>
      <c r="O2493" s="132">
        <f>IF(base[[#This Row],[L/P Líquido]]&gt;0,1,0)</f>
        <v>1</v>
      </c>
      <c r="P2493" s="132"/>
      <c r="Q2493" s="132" t="str">
        <f>LEFT(base[[#This Row],[Evento / Mercado]],FIND("vs",base[[#This Row],[Evento / Mercado]])-2)</f>
        <v>Sunderland</v>
      </c>
      <c r="R24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2493" s="132" t="str">
        <f>LEFT(base[[#This Row],[Evento / Mercado]],FIND("/",base[[#This Row],[Evento / Mercado]])-2)</f>
        <v>Sunderland vs Chelsea</v>
      </c>
    </row>
    <row r="2494" spans="2:19" ht="15" customHeight="1">
      <c r="B2494" s="128" t="s">
        <v>2524</v>
      </c>
      <c r="C2494" s="128" t="s">
        <v>2982</v>
      </c>
      <c r="D2494" s="129">
        <v>46166.549386574072</v>
      </c>
      <c r="E2494" s="130">
        <v>-5</v>
      </c>
      <c r="F2494" s="136">
        <v>4.4999999999999998E-2</v>
      </c>
      <c r="G2494" s="126">
        <f t="shared" si="39"/>
        <v>-5</v>
      </c>
      <c r="H2494" s="126" t="s">
        <v>1339</v>
      </c>
      <c r="I2494" s="127" t="s">
        <v>1338</v>
      </c>
      <c r="J2494" s="126">
        <v>2.35</v>
      </c>
      <c r="K2494" s="126">
        <v>5</v>
      </c>
      <c r="L2494" s="129">
        <f>INT(base[[#This Row],[Data de liquidação]])</f>
        <v>46166</v>
      </c>
      <c r="M2494" s="126">
        <f>base[[#This Row],[L/P Bruto]]-base[[#This Row],[L/P Líquido]]</f>
        <v>0</v>
      </c>
      <c r="N2494" s="126">
        <f>base[[#This Row],[L/P Líquido]]/base[[#This Row],[Stake/Responsabilidade]]</f>
        <v>-1</v>
      </c>
      <c r="O2494" s="132">
        <f>IF(base[[#This Row],[L/P Líquido]]&gt;0,1,0)</f>
        <v>0</v>
      </c>
      <c r="P2494" s="132"/>
      <c r="Q2494" s="132" t="str">
        <f>LEFT(base[[#This Row],[Evento / Mercado]],FIND("vs",base[[#This Row],[Evento / Mercado]])-2)</f>
        <v>Brighton &amp; Hove Albion</v>
      </c>
      <c r="R24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2494" s="132" t="str">
        <f>LEFT(base[[#This Row],[Evento / Mercado]],FIND("/",base[[#This Row],[Evento / Mercado]])-2)</f>
        <v>Brighton &amp; Hove Albion vs Manchester United</v>
      </c>
    </row>
    <row r="2495" spans="2:19" ht="15" customHeight="1">
      <c r="B2495" s="128" t="s">
        <v>2523</v>
      </c>
      <c r="C2495" s="128" t="s">
        <v>2982</v>
      </c>
      <c r="D2495" s="129">
        <v>46166.552407407406</v>
      </c>
      <c r="E2495" s="130">
        <v>-49.97</v>
      </c>
      <c r="F2495" s="136">
        <v>4.4999999999999998E-2</v>
      </c>
      <c r="G2495" s="126">
        <f t="shared" si="39"/>
        <v>-49.97</v>
      </c>
      <c r="H2495" s="126" t="s">
        <v>1339</v>
      </c>
      <c r="I2495" s="127" t="s">
        <v>1390</v>
      </c>
      <c r="J2495" s="126">
        <v>10.5</v>
      </c>
      <c r="K2495" s="126">
        <v>49.97</v>
      </c>
      <c r="L2495" s="129">
        <f>INT(base[[#This Row],[Data de liquidação]])</f>
        <v>46166</v>
      </c>
      <c r="M2495" s="126">
        <f>base[[#This Row],[L/P Bruto]]-base[[#This Row],[L/P Líquido]]</f>
        <v>0</v>
      </c>
      <c r="N2495" s="126">
        <f>base[[#This Row],[L/P Líquido]]/base[[#This Row],[Stake/Responsabilidade]]</f>
        <v>-1</v>
      </c>
      <c r="O2495" s="132">
        <f>IF(base[[#This Row],[L/P Líquido]]&gt;0,1,0)</f>
        <v>0</v>
      </c>
      <c r="P2495" s="132"/>
      <c r="Q2495" s="132" t="str">
        <f>LEFT(base[[#This Row],[Evento / Mercado]],FIND("vs",base[[#This Row],[Evento / Mercado]])-2)</f>
        <v>Andorra FC</v>
      </c>
      <c r="R24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 Ceuta FC</v>
      </c>
      <c r="S2495" s="132" t="str">
        <f>LEFT(base[[#This Row],[Evento / Mercado]],FIND("/",base[[#This Row],[Evento / Mercado]])-2)</f>
        <v>Andorra FC vs AD Ceuta FC</v>
      </c>
    </row>
    <row r="2496" spans="2:19" ht="15" customHeight="1">
      <c r="B2496" s="128" t="s">
        <v>2522</v>
      </c>
      <c r="C2496" s="128" t="s">
        <v>2982</v>
      </c>
      <c r="D2496" s="129">
        <v>46166.552581018521</v>
      </c>
      <c r="E2496" s="130">
        <v>-6.98</v>
      </c>
      <c r="F2496" s="136">
        <v>4.4999999999999998E-2</v>
      </c>
      <c r="G2496" s="126">
        <f t="shared" si="39"/>
        <v>-6.98</v>
      </c>
      <c r="H2496" s="126" t="s">
        <v>1339</v>
      </c>
      <c r="I2496" s="127" t="s">
        <v>1236</v>
      </c>
      <c r="J2496" s="126">
        <v>8.32</v>
      </c>
      <c r="K2496" s="126">
        <v>10</v>
      </c>
      <c r="L2496" s="129">
        <f>INT(base[[#This Row],[Data de liquidação]])</f>
        <v>46166</v>
      </c>
      <c r="M2496" s="126">
        <f>base[[#This Row],[L/P Bruto]]-base[[#This Row],[L/P Líquido]]</f>
        <v>0</v>
      </c>
      <c r="N2496" s="126">
        <f>base[[#This Row],[L/P Líquido]]/base[[#This Row],[Stake/Responsabilidade]]</f>
        <v>-0.69800000000000006</v>
      </c>
      <c r="O2496" s="132">
        <f>IF(base[[#This Row],[L/P Líquido]]&gt;0,1,0)</f>
        <v>0</v>
      </c>
      <c r="P2496" s="132"/>
      <c r="Q2496" s="132" t="str">
        <f>LEFT(base[[#This Row],[Evento / Mercado]],FIND("vs",base[[#This Row],[Evento / Mercado]])-2)</f>
        <v>Nottingham Forest</v>
      </c>
      <c r="R24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2496" s="132" t="str">
        <f>LEFT(base[[#This Row],[Evento / Mercado]],FIND("/",base[[#This Row],[Evento / Mercado]])-2)</f>
        <v>Nottingham Forest vs AFC Bournemouth</v>
      </c>
    </row>
    <row r="2497" spans="2:19" ht="15" customHeight="1">
      <c r="B2497" s="128" t="s">
        <v>2521</v>
      </c>
      <c r="C2497" s="128" t="s">
        <v>2982</v>
      </c>
      <c r="D2497" s="129">
        <v>46166.553726851853</v>
      </c>
      <c r="E2497" s="130">
        <v>1.03</v>
      </c>
      <c r="F2497" s="136">
        <v>4.4999999999999998E-2</v>
      </c>
      <c r="G2497" s="126">
        <f t="shared" si="39"/>
        <v>1.0785340314136127</v>
      </c>
      <c r="H2497" s="126" t="s">
        <v>1339</v>
      </c>
      <c r="I2497" s="127" t="s">
        <v>2404</v>
      </c>
      <c r="J2497" s="126">
        <v>1.54</v>
      </c>
      <c r="K2497" s="126">
        <v>2</v>
      </c>
      <c r="L2497" s="129">
        <f>INT(base[[#This Row],[Data de liquidação]])</f>
        <v>46166</v>
      </c>
      <c r="M2497" s="126">
        <f>base[[#This Row],[L/P Bruto]]-base[[#This Row],[L/P Líquido]]</f>
        <v>4.8534031413612677E-2</v>
      </c>
      <c r="N2497" s="126">
        <f>base[[#This Row],[L/P Líquido]]/base[[#This Row],[Stake/Responsabilidade]]</f>
        <v>0.51500000000000001</v>
      </c>
      <c r="O2497" s="132">
        <f>IF(base[[#This Row],[L/P Líquido]]&gt;0,1,0)</f>
        <v>1</v>
      </c>
      <c r="P2497" s="132"/>
      <c r="Q2497" s="132" t="str">
        <f>LEFT(base[[#This Row],[Evento / Mercado]],FIND("vs",base[[#This Row],[Evento / Mercado]])-2)</f>
        <v>Stal Mielec</v>
      </c>
      <c r="R24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Polonia Bytom</v>
      </c>
      <c r="S2497" s="132" t="str">
        <f>LEFT(base[[#This Row],[Evento / Mercado]],FIND("/",base[[#This Row],[Evento / Mercado]])-2)</f>
        <v>Stal Mielec vs Polonia Bytom</v>
      </c>
    </row>
    <row r="2498" spans="2:19" ht="15" customHeight="1">
      <c r="B2498" s="128" t="s">
        <v>2520</v>
      </c>
      <c r="C2498" s="128" t="s">
        <v>2982</v>
      </c>
      <c r="D2498" s="129">
        <v>46166.571238425924</v>
      </c>
      <c r="E2498" s="130">
        <v>-7.74</v>
      </c>
      <c r="F2498" s="136">
        <v>4.4999999999999998E-2</v>
      </c>
      <c r="G2498" s="126">
        <f t="shared" si="39"/>
        <v>-7.74</v>
      </c>
      <c r="H2498" s="126" t="s">
        <v>1339</v>
      </c>
      <c r="I2498" s="127" t="s">
        <v>1236</v>
      </c>
      <c r="J2498" s="126">
        <v>11</v>
      </c>
      <c r="K2498" s="126">
        <v>10</v>
      </c>
      <c r="L2498" s="129">
        <f>INT(base[[#This Row],[Data de liquidação]])</f>
        <v>46166</v>
      </c>
      <c r="M2498" s="126">
        <f>base[[#This Row],[L/P Bruto]]-base[[#This Row],[L/P Líquido]]</f>
        <v>0</v>
      </c>
      <c r="N2498" s="126">
        <f>base[[#This Row],[L/P Líquido]]/base[[#This Row],[Stake/Responsabilidade]]</f>
        <v>-0.77400000000000002</v>
      </c>
      <c r="O2498" s="132">
        <f>IF(base[[#This Row],[L/P Líquido]]&gt;0,1,0)</f>
        <v>0</v>
      </c>
      <c r="P2498" s="132"/>
      <c r="Q2498" s="132" t="str">
        <f>LEFT(base[[#This Row],[Evento / Mercado]],FIND("vs",base[[#This Row],[Evento / Mercado]])-2)</f>
        <v>Fulham</v>
      </c>
      <c r="R24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2498" s="132" t="str">
        <f>LEFT(base[[#This Row],[Evento / Mercado]],FIND("/",base[[#This Row],[Evento / Mercado]])-2)</f>
        <v>Fulham vs Newcastle United</v>
      </c>
    </row>
    <row r="2499" spans="2:19" ht="15" customHeight="1">
      <c r="B2499" s="128" t="s">
        <v>2519</v>
      </c>
      <c r="C2499" s="128" t="s">
        <v>2982</v>
      </c>
      <c r="D2499" s="129">
        <v>46166.580972222226</v>
      </c>
      <c r="E2499" s="130">
        <v>72.48</v>
      </c>
      <c r="F2499" s="136">
        <v>4.4999999999999998E-2</v>
      </c>
      <c r="G2499" s="126">
        <f t="shared" ref="G2499:G2562" si="40">IF(E2499&gt;0,E2499/(1-F2499),E2499)</f>
        <v>75.89528795811519</v>
      </c>
      <c r="H2499" s="126" t="s">
        <v>231</v>
      </c>
      <c r="I2499" s="127" t="s">
        <v>232</v>
      </c>
      <c r="J2499" s="126">
        <v>1.66</v>
      </c>
      <c r="K2499" s="126">
        <v>115</v>
      </c>
      <c r="L2499" s="129">
        <f>INT(base[[#This Row],[Data de liquidação]])</f>
        <v>46166</v>
      </c>
      <c r="M2499" s="126">
        <f>base[[#This Row],[L/P Bruto]]-base[[#This Row],[L/P Líquido]]</f>
        <v>3.4152879581151865</v>
      </c>
      <c r="N2499" s="126">
        <f>base[[#This Row],[L/P Líquido]]/base[[#This Row],[Stake/Responsabilidade]]</f>
        <v>0.63026086956521743</v>
      </c>
      <c r="O2499" s="132">
        <f>IF(base[[#This Row],[L/P Líquido]]&gt;0,1,0)</f>
        <v>1</v>
      </c>
      <c r="P2499" s="132"/>
      <c r="Q2499" s="132" t="str">
        <f>LEFT(base[[#This Row],[Evento / Mercado]],FIND("vs",base[[#This Row],[Evento / Mercado]])-2)</f>
        <v>West Ham</v>
      </c>
      <c r="R24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2499" s="132" t="str">
        <f>LEFT(base[[#This Row],[Evento / Mercado]],FIND("/",base[[#This Row],[Evento / Mercado]])-2)</f>
        <v>West Ham vs Leeds United</v>
      </c>
    </row>
    <row r="2500" spans="2:19" ht="15" customHeight="1">
      <c r="B2500" s="128" t="s">
        <v>2518</v>
      </c>
      <c r="C2500" s="128" t="s">
        <v>2982</v>
      </c>
      <c r="D2500" s="129">
        <v>46166.581296296295</v>
      </c>
      <c r="E2500" s="130">
        <v>2.75</v>
      </c>
      <c r="F2500" s="136">
        <v>4.4999999999999998E-2</v>
      </c>
      <c r="G2500" s="126">
        <f t="shared" si="40"/>
        <v>2.8795811518324608</v>
      </c>
      <c r="H2500" s="126" t="s">
        <v>1339</v>
      </c>
      <c r="I2500" s="127" t="s">
        <v>1336</v>
      </c>
      <c r="J2500" s="126">
        <v>1.48</v>
      </c>
      <c r="K2500" s="126">
        <v>15</v>
      </c>
      <c r="L2500" s="129">
        <f>INT(base[[#This Row],[Data de liquidação]])</f>
        <v>46166</v>
      </c>
      <c r="M2500" s="126">
        <f>base[[#This Row],[L/P Bruto]]-base[[#This Row],[L/P Líquido]]</f>
        <v>0.12958115183246077</v>
      </c>
      <c r="N2500" s="126">
        <f>base[[#This Row],[L/P Líquido]]/base[[#This Row],[Stake/Responsabilidade]]</f>
        <v>0.18333333333333332</v>
      </c>
      <c r="O2500" s="132">
        <f>IF(base[[#This Row],[L/P Líquido]]&gt;0,1,0)</f>
        <v>1</v>
      </c>
      <c r="P2500" s="132"/>
      <c r="Q2500" s="132" t="str">
        <f>LEFT(base[[#This Row],[Evento / Mercado]],FIND("vs",base[[#This Row],[Evento / Mercado]])-2)</f>
        <v>West Ham</v>
      </c>
      <c r="R25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2500" s="132" t="str">
        <f>LEFT(base[[#This Row],[Evento / Mercado]],FIND("/",base[[#This Row],[Evento / Mercado]])-2)</f>
        <v>West Ham vs Leeds United</v>
      </c>
    </row>
    <row r="2501" spans="2:19" ht="15" customHeight="1">
      <c r="B2501" s="128" t="s">
        <v>2517</v>
      </c>
      <c r="C2501" s="128" t="s">
        <v>2982</v>
      </c>
      <c r="D2501" s="129">
        <v>46166.581400462965</v>
      </c>
      <c r="E2501" s="130">
        <v>2.8</v>
      </c>
      <c r="F2501" s="136">
        <v>4.4999999999999998E-2</v>
      </c>
      <c r="G2501" s="126">
        <f t="shared" si="40"/>
        <v>2.9319371727748691</v>
      </c>
      <c r="H2501" s="126" t="s">
        <v>1339</v>
      </c>
      <c r="I2501" s="127" t="s">
        <v>1336</v>
      </c>
      <c r="J2501" s="126">
        <v>1.41</v>
      </c>
      <c r="K2501" s="126">
        <v>15</v>
      </c>
      <c r="L2501" s="129">
        <f>INT(base[[#This Row],[Data de liquidação]])</f>
        <v>46166</v>
      </c>
      <c r="M2501" s="126">
        <f>base[[#This Row],[L/P Bruto]]-base[[#This Row],[L/P Líquido]]</f>
        <v>0.13193717277486927</v>
      </c>
      <c r="N2501" s="126">
        <f>base[[#This Row],[L/P Líquido]]/base[[#This Row],[Stake/Responsabilidade]]</f>
        <v>0.18666666666666665</v>
      </c>
      <c r="O2501" s="132">
        <f>IF(base[[#This Row],[L/P Líquido]]&gt;0,1,0)</f>
        <v>1</v>
      </c>
      <c r="P2501" s="132"/>
      <c r="Q2501" s="132" t="str">
        <f>LEFT(base[[#This Row],[Evento / Mercado]],FIND("vs",base[[#This Row],[Evento / Mercado]])-2)</f>
        <v>Brighton &amp; Hove Albion</v>
      </c>
      <c r="R25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2501" s="132" t="str">
        <f>LEFT(base[[#This Row],[Evento / Mercado]],FIND("/",base[[#This Row],[Evento / Mercado]])-2)</f>
        <v>Brighton &amp; Hove Albion vs Manchester United</v>
      </c>
    </row>
    <row r="2502" spans="2:19" ht="15" customHeight="1">
      <c r="B2502" s="128" t="s">
        <v>2516</v>
      </c>
      <c r="C2502" s="128" t="s">
        <v>2982</v>
      </c>
      <c r="D2502" s="129">
        <v>46166.583194444444</v>
      </c>
      <c r="E2502" s="130">
        <v>2.88</v>
      </c>
      <c r="F2502" s="136">
        <v>4.4999999999999998E-2</v>
      </c>
      <c r="G2502" s="126">
        <f t="shared" si="40"/>
        <v>3.0157068062827226</v>
      </c>
      <c r="H2502" s="126" t="s">
        <v>1339</v>
      </c>
      <c r="I2502" s="127" t="s">
        <v>1336</v>
      </c>
      <c r="J2502" s="126">
        <v>1.45</v>
      </c>
      <c r="K2502" s="126">
        <v>15</v>
      </c>
      <c r="L2502" s="129">
        <f>INT(base[[#This Row],[Data de liquidação]])</f>
        <v>46166</v>
      </c>
      <c r="M2502" s="126">
        <f>base[[#This Row],[L/P Bruto]]-base[[#This Row],[L/P Líquido]]</f>
        <v>0.13570680628272269</v>
      </c>
      <c r="N2502" s="126">
        <f>base[[#This Row],[L/P Líquido]]/base[[#This Row],[Stake/Responsabilidade]]</f>
        <v>0.192</v>
      </c>
      <c r="O2502" s="132">
        <f>IF(base[[#This Row],[L/P Líquido]]&gt;0,1,0)</f>
        <v>1</v>
      </c>
      <c r="P2502" s="132"/>
      <c r="Q2502" s="132" t="str">
        <f>LEFT(base[[#This Row],[Evento / Mercado]],FIND("vs",base[[#This Row],[Evento / Mercado]])-2)</f>
        <v>Fulham</v>
      </c>
      <c r="R25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2502" s="132" t="str">
        <f>LEFT(base[[#This Row],[Evento / Mercado]],FIND("/",base[[#This Row],[Evento / Mercado]])-2)</f>
        <v>Fulham vs Newcastle United</v>
      </c>
    </row>
    <row r="2503" spans="2:19" ht="15" customHeight="1">
      <c r="B2503" s="128" t="s">
        <v>2515</v>
      </c>
      <c r="C2503" s="128" t="s">
        <v>2982</v>
      </c>
      <c r="D2503" s="129">
        <v>46166.583252314813</v>
      </c>
      <c r="E2503" s="130">
        <v>6.43</v>
      </c>
      <c r="F2503" s="136">
        <v>4.4999999999999998E-2</v>
      </c>
      <c r="G2503" s="126">
        <f t="shared" si="40"/>
        <v>6.7329842931937174</v>
      </c>
      <c r="H2503" s="126" t="s">
        <v>1339</v>
      </c>
      <c r="I2503" s="127" t="s">
        <v>1338</v>
      </c>
      <c r="J2503" s="126">
        <v>2.35</v>
      </c>
      <c r="K2503" s="126">
        <v>5</v>
      </c>
      <c r="L2503" s="129">
        <f>INT(base[[#This Row],[Data de liquidação]])</f>
        <v>46166</v>
      </c>
      <c r="M2503" s="126">
        <f>base[[#This Row],[L/P Bruto]]-base[[#This Row],[L/P Líquido]]</f>
        <v>0.30298429319371767</v>
      </c>
      <c r="N2503" s="126">
        <f>base[[#This Row],[L/P Líquido]]/base[[#This Row],[Stake/Responsabilidade]]</f>
        <v>1.286</v>
      </c>
      <c r="O2503" s="132">
        <f>IF(base[[#This Row],[L/P Líquido]]&gt;0,1,0)</f>
        <v>1</v>
      </c>
      <c r="P2503" s="132"/>
      <c r="Q2503" s="132" t="str">
        <f>LEFT(base[[#This Row],[Evento / Mercado]],FIND("vs",base[[#This Row],[Evento / Mercado]])-2)</f>
        <v>Fulham</v>
      </c>
      <c r="R25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2503" s="132" t="str">
        <f>LEFT(base[[#This Row],[Evento / Mercado]],FIND("/",base[[#This Row],[Evento / Mercado]])-2)</f>
        <v>Fulham vs Newcastle United</v>
      </c>
    </row>
    <row r="2504" spans="2:19" ht="15" customHeight="1">
      <c r="B2504" s="128" t="s">
        <v>2514</v>
      </c>
      <c r="C2504" s="128" t="s">
        <v>2982</v>
      </c>
      <c r="D2504" s="129">
        <v>46166.585393518515</v>
      </c>
      <c r="E2504" s="130">
        <v>-115</v>
      </c>
      <c r="F2504" s="136">
        <v>4.4999999999999998E-2</v>
      </c>
      <c r="G2504" s="126">
        <f t="shared" si="40"/>
        <v>-115</v>
      </c>
      <c r="H2504" s="126" t="s">
        <v>231</v>
      </c>
      <c r="I2504" s="127" t="s">
        <v>232</v>
      </c>
      <c r="J2504" s="126">
        <v>1.71</v>
      </c>
      <c r="K2504" s="126">
        <v>115</v>
      </c>
      <c r="L2504" s="129">
        <f>INT(base[[#This Row],[Data de liquidação]])</f>
        <v>46166</v>
      </c>
      <c r="M2504" s="126">
        <f>base[[#This Row],[L/P Bruto]]-base[[#This Row],[L/P Líquido]]</f>
        <v>0</v>
      </c>
      <c r="N2504" s="126">
        <f>base[[#This Row],[L/P Líquido]]/base[[#This Row],[Stake/Responsabilidade]]</f>
        <v>-1</v>
      </c>
      <c r="O2504" s="132">
        <f>IF(base[[#This Row],[L/P Líquido]]&gt;0,1,0)</f>
        <v>0</v>
      </c>
      <c r="P2504" s="132"/>
      <c r="Q2504" s="132" t="str">
        <f>LEFT(base[[#This Row],[Evento / Mercado]],FIND("vs",base[[#This Row],[Evento / Mercado]])-2)</f>
        <v>Nottingham Forest</v>
      </c>
      <c r="R25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2504" s="132" t="str">
        <f>LEFT(base[[#This Row],[Evento / Mercado]],FIND("/",base[[#This Row],[Evento / Mercado]])-2)</f>
        <v>Nottingham Forest vs AFC Bournemouth</v>
      </c>
    </row>
    <row r="2505" spans="2:19" ht="15" customHeight="1">
      <c r="B2505" s="128" t="s">
        <v>2514</v>
      </c>
      <c r="C2505" s="128" t="s">
        <v>2982</v>
      </c>
      <c r="D2505" s="129">
        <v>46166.585393518515</v>
      </c>
      <c r="E2505" s="130">
        <v>6.1</v>
      </c>
      <c r="F2505" s="136">
        <v>0</v>
      </c>
      <c r="G2505" s="126">
        <f t="shared" si="40"/>
        <v>6.1</v>
      </c>
      <c r="H2505" s="126" t="s">
        <v>1339</v>
      </c>
      <c r="I2505" s="127" t="s">
        <v>1338</v>
      </c>
      <c r="J2505" s="126">
        <v>2.2200000000000002</v>
      </c>
      <c r="K2505" s="126">
        <v>5</v>
      </c>
      <c r="L2505" s="129">
        <f>INT(base[[#This Row],[Data de liquidação]])</f>
        <v>46166</v>
      </c>
      <c r="M2505" s="126">
        <f>base[[#This Row],[L/P Bruto]]-base[[#This Row],[L/P Líquido]]</f>
        <v>0</v>
      </c>
      <c r="N2505" s="126">
        <f>base[[#This Row],[L/P Líquido]]/base[[#This Row],[Stake/Responsabilidade]]</f>
        <v>1.22</v>
      </c>
      <c r="O2505" s="132">
        <f>IF(base[[#This Row],[L/P Líquido]]&gt;0,1,0)</f>
        <v>1</v>
      </c>
      <c r="P2505" s="132"/>
      <c r="Q2505" s="132" t="str">
        <f>LEFT(base[[#This Row],[Evento / Mercado]],FIND("vs",base[[#This Row],[Evento / Mercado]])-2)</f>
        <v>Nottingham Forest</v>
      </c>
      <c r="R25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2505" s="132" t="str">
        <f>LEFT(base[[#This Row],[Evento / Mercado]],FIND("/",base[[#This Row],[Evento / Mercado]])-2)</f>
        <v>Nottingham Forest vs AFC Bournemouth</v>
      </c>
    </row>
    <row r="2506" spans="2:19" ht="15" customHeight="1">
      <c r="B2506" s="128" t="s">
        <v>2513</v>
      </c>
      <c r="C2506" s="128" t="s">
        <v>2982</v>
      </c>
      <c r="D2506" s="129">
        <v>46166.585416666669</v>
      </c>
      <c r="E2506" s="130">
        <v>0.16</v>
      </c>
      <c r="F2506" s="136">
        <v>4.4999999999999998E-2</v>
      </c>
      <c r="G2506" s="126">
        <f t="shared" si="40"/>
        <v>0.16753926701570682</v>
      </c>
      <c r="H2506" s="126" t="s">
        <v>1339</v>
      </c>
      <c r="I2506" s="127" t="s">
        <v>2471</v>
      </c>
      <c r="J2506" s="126">
        <v>1.24</v>
      </c>
      <c r="K2506" s="126">
        <v>2</v>
      </c>
      <c r="L2506" s="129">
        <f>INT(base[[#This Row],[Data de liquidação]])</f>
        <v>46166</v>
      </c>
      <c r="M2506" s="126">
        <f>base[[#This Row],[L/P Bruto]]-base[[#This Row],[L/P Líquido]]</f>
        <v>7.5392670157068131E-3</v>
      </c>
      <c r="N2506" s="126">
        <f>base[[#This Row],[L/P Líquido]]/base[[#This Row],[Stake/Responsabilidade]]</f>
        <v>0.08</v>
      </c>
      <c r="O2506" s="132">
        <f>IF(base[[#This Row],[L/P Líquido]]&gt;0,1,0)</f>
        <v>1</v>
      </c>
      <c r="P2506" s="132"/>
      <c r="Q2506" s="132" t="str">
        <f>LEFT(base[[#This Row],[Evento / Mercado]],FIND("vs",base[[#This Row],[Evento / Mercado]])-2)</f>
        <v>Nottingham Forest</v>
      </c>
      <c r="R25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2506" s="132" t="str">
        <f>LEFT(base[[#This Row],[Evento / Mercado]],FIND("/",base[[#This Row],[Evento / Mercado]])-2)</f>
        <v>Nottingham Forest vs AFC Bournemouth</v>
      </c>
    </row>
    <row r="2507" spans="2:19" ht="15" customHeight="1">
      <c r="B2507" s="128" t="s">
        <v>2512</v>
      </c>
      <c r="C2507" s="128" t="s">
        <v>2982</v>
      </c>
      <c r="D2507" s="129">
        <v>46166.597372685188</v>
      </c>
      <c r="E2507" s="130">
        <v>-2</v>
      </c>
      <c r="F2507" s="136">
        <v>4.4999999999999998E-2</v>
      </c>
      <c r="G2507" s="126">
        <f t="shared" si="40"/>
        <v>-2</v>
      </c>
      <c r="H2507" s="126" t="s">
        <v>1339</v>
      </c>
      <c r="I2507" s="127" t="s">
        <v>1994</v>
      </c>
      <c r="J2507" s="126">
        <v>4.9000000000000004</v>
      </c>
      <c r="K2507" s="126">
        <v>2</v>
      </c>
      <c r="L2507" s="129">
        <f>INT(base[[#This Row],[Data de liquidação]])</f>
        <v>46166</v>
      </c>
      <c r="M2507" s="126">
        <f>base[[#This Row],[L/P Bruto]]-base[[#This Row],[L/P Líquido]]</f>
        <v>0</v>
      </c>
      <c r="N2507" s="126">
        <f>base[[#This Row],[L/P Líquido]]/base[[#This Row],[Stake/Responsabilidade]]</f>
        <v>-1</v>
      </c>
      <c r="O2507" s="132">
        <f>IF(base[[#This Row],[L/P Líquido]]&gt;0,1,0)</f>
        <v>0</v>
      </c>
      <c r="P2507" s="132"/>
      <c r="Q2507" s="132" t="str">
        <f>LEFT(base[[#This Row],[Evento / Mercado]],FIND("vs",base[[#This Row],[Evento / Mercado]])-2)</f>
        <v>Sporting Cristal</v>
      </c>
      <c r="R25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Asociacion Deportiva Tarma</v>
      </c>
      <c r="S2507" s="132" t="str">
        <f>LEFT(base[[#This Row],[Evento / Mercado]],FIND("/",base[[#This Row],[Evento / Mercado]])-2)</f>
        <v>Sporting Cristal vs Asociacion Deportiva Tarma</v>
      </c>
    </row>
    <row r="2508" spans="2:19" ht="15" customHeight="1">
      <c r="B2508" s="128" t="s">
        <v>2511</v>
      </c>
      <c r="C2508" s="128" t="s">
        <v>2982</v>
      </c>
      <c r="D2508" s="129">
        <v>46166.599444444444</v>
      </c>
      <c r="E2508" s="130">
        <v>9.5500000000000007</v>
      </c>
      <c r="F2508" s="136">
        <v>4.4999999999999998E-2</v>
      </c>
      <c r="G2508" s="126">
        <f t="shared" si="40"/>
        <v>10.000000000000002</v>
      </c>
      <c r="H2508" s="126" t="s">
        <v>1339</v>
      </c>
      <c r="I2508" s="127" t="s">
        <v>1236</v>
      </c>
      <c r="J2508" s="126">
        <v>7.4</v>
      </c>
      <c r="K2508" s="126">
        <v>10</v>
      </c>
      <c r="L2508" s="129">
        <f>INT(base[[#This Row],[Data de liquidação]])</f>
        <v>46166</v>
      </c>
      <c r="M2508" s="126">
        <f>base[[#This Row],[L/P Bruto]]-base[[#This Row],[L/P Líquido]]</f>
        <v>0.45000000000000107</v>
      </c>
      <c r="N2508" s="126">
        <f>base[[#This Row],[L/P Líquido]]/base[[#This Row],[Stake/Responsabilidade]]</f>
        <v>0.95500000000000007</v>
      </c>
      <c r="O2508" s="132">
        <f>IF(base[[#This Row],[L/P Líquido]]&gt;0,1,0)</f>
        <v>1</v>
      </c>
      <c r="P2508" s="132"/>
      <c r="Q2508" s="132" t="str">
        <f>LEFT(base[[#This Row],[Evento / Mercado]],FIND("vs",base[[#This Row],[Evento / Mercado]])-2)</f>
        <v>Sint-Truidense VV</v>
      </c>
      <c r="R25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KV Mechelen</v>
      </c>
      <c r="S2508" s="132" t="str">
        <f>LEFT(base[[#This Row],[Evento / Mercado]],FIND("/",base[[#This Row],[Evento / Mercado]])-2)</f>
        <v>Sint-Truidense VV vs KV Mechelen</v>
      </c>
    </row>
    <row r="2509" spans="2:19" ht="15" customHeight="1">
      <c r="B2509" s="128" t="s">
        <v>2510</v>
      </c>
      <c r="C2509" s="128" t="s">
        <v>2982</v>
      </c>
      <c r="D2509" s="129">
        <v>46166.604479166665</v>
      </c>
      <c r="E2509" s="130">
        <v>-5.74</v>
      </c>
      <c r="F2509" s="136">
        <v>4.4999999999999998E-2</v>
      </c>
      <c r="G2509" s="126">
        <f t="shared" si="40"/>
        <v>-5.74</v>
      </c>
      <c r="H2509" s="126" t="s">
        <v>1339</v>
      </c>
      <c r="I2509" s="127" t="s">
        <v>1236</v>
      </c>
      <c r="J2509" s="126">
        <v>7.4</v>
      </c>
      <c r="K2509" s="126">
        <v>10</v>
      </c>
      <c r="L2509" s="129">
        <f>INT(base[[#This Row],[Data de liquidação]])</f>
        <v>46166</v>
      </c>
      <c r="M2509" s="126">
        <f>base[[#This Row],[L/P Bruto]]-base[[#This Row],[L/P Líquido]]</f>
        <v>0</v>
      </c>
      <c r="N2509" s="126">
        <f>base[[#This Row],[L/P Líquido]]/base[[#This Row],[Stake/Responsabilidade]]</f>
        <v>-0.57400000000000007</v>
      </c>
      <c r="O2509" s="132">
        <f>IF(base[[#This Row],[L/P Líquido]]&gt;0,1,0)</f>
        <v>0</v>
      </c>
      <c r="P2509" s="132"/>
      <c r="Q2509" s="132" t="str">
        <f>LEFT(base[[#This Row],[Evento / Mercado]],FIND("vs",base[[#This Row],[Evento / Mercado]])-2)</f>
        <v>Kristiansund BK</v>
      </c>
      <c r="R25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Viking FK</v>
      </c>
      <c r="S2509" s="132" t="str">
        <f>LEFT(base[[#This Row],[Evento / Mercado]],FIND("/",base[[#This Row],[Evento / Mercado]])-2)</f>
        <v>Kristiansund BK vs Viking FK</v>
      </c>
    </row>
    <row r="2510" spans="2:19" ht="15" customHeight="1">
      <c r="B2510" s="128" t="s">
        <v>2509</v>
      </c>
      <c r="C2510" s="128" t="s">
        <v>2982</v>
      </c>
      <c r="D2510" s="129">
        <v>46166.620451388888</v>
      </c>
      <c r="E2510" s="130">
        <v>5.0199999999999996</v>
      </c>
      <c r="F2510" s="136">
        <v>4.4999999999999998E-2</v>
      </c>
      <c r="G2510" s="126">
        <f t="shared" si="40"/>
        <v>5.2565445026178006</v>
      </c>
      <c r="H2510" s="126" t="s">
        <v>1339</v>
      </c>
      <c r="I2510" s="127" t="s">
        <v>2469</v>
      </c>
      <c r="J2510" s="126">
        <v>10.5</v>
      </c>
      <c r="K2510" s="126">
        <v>49.97</v>
      </c>
      <c r="L2510" s="129">
        <f>INT(base[[#This Row],[Data de liquidação]])</f>
        <v>46166</v>
      </c>
      <c r="M2510" s="126">
        <f>base[[#This Row],[L/P Bruto]]-base[[#This Row],[L/P Líquido]]</f>
        <v>0.23654450261780102</v>
      </c>
      <c r="N2510" s="126">
        <f>base[[#This Row],[L/P Líquido]]/base[[#This Row],[Stake/Responsabilidade]]</f>
        <v>0.10046027616569941</v>
      </c>
      <c r="O2510" s="132">
        <f>IF(base[[#This Row],[L/P Líquido]]&gt;0,1,0)</f>
        <v>1</v>
      </c>
      <c r="P2510" s="132"/>
      <c r="Q2510" s="132" t="str">
        <f>LEFT(base[[#This Row],[Evento / Mercado]],FIND("vs",base[[#This Row],[Evento / Mercado]])-2)</f>
        <v>Crystal Palace</v>
      </c>
      <c r="R25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2510" s="132" t="str">
        <f>LEFT(base[[#This Row],[Evento / Mercado]],FIND("/",base[[#This Row],[Evento / Mercado]])-2)</f>
        <v>Crystal Palace vs Arsenal</v>
      </c>
    </row>
    <row r="2511" spans="2:19" ht="15" customHeight="1">
      <c r="B2511" s="128" t="s">
        <v>2508</v>
      </c>
      <c r="C2511" s="128" t="s">
        <v>2982</v>
      </c>
      <c r="D2511" s="129">
        <v>46166.62226851852</v>
      </c>
      <c r="E2511" s="130">
        <v>3.06</v>
      </c>
      <c r="F2511" s="136">
        <v>4.4999999999999998E-2</v>
      </c>
      <c r="G2511" s="126">
        <f t="shared" si="40"/>
        <v>3.2041884816753927</v>
      </c>
      <c r="H2511" s="126" t="s">
        <v>1339</v>
      </c>
      <c r="I2511" s="127" t="s">
        <v>1389</v>
      </c>
      <c r="J2511" s="126">
        <v>1.64</v>
      </c>
      <c r="K2511" s="126">
        <v>5</v>
      </c>
      <c r="L2511" s="129">
        <f>INT(base[[#This Row],[Data de liquidação]])</f>
        <v>46166</v>
      </c>
      <c r="M2511" s="126">
        <f>base[[#This Row],[L/P Bruto]]-base[[#This Row],[L/P Líquido]]</f>
        <v>0.14418848167539267</v>
      </c>
      <c r="N2511" s="126">
        <f>base[[#This Row],[L/P Líquido]]/base[[#This Row],[Stake/Responsabilidade]]</f>
        <v>0.61199999999999999</v>
      </c>
      <c r="O2511" s="132">
        <f>IF(base[[#This Row],[L/P Líquido]]&gt;0,1,0)</f>
        <v>1</v>
      </c>
      <c r="P2511" s="132"/>
      <c r="Q2511" s="132" t="str">
        <f>LEFT(base[[#This Row],[Evento / Mercado]],FIND("vs",base[[#This Row],[Evento / Mercado]])-2)</f>
        <v>Napoli</v>
      </c>
      <c r="R25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Udinese</v>
      </c>
      <c r="S2511" s="132" t="str">
        <f>LEFT(base[[#This Row],[Evento / Mercado]],FIND("/",base[[#This Row],[Evento / Mercado]])-2)</f>
        <v>Napoli vs Udinese</v>
      </c>
    </row>
    <row r="2512" spans="2:19" ht="15" customHeight="1">
      <c r="B2512" s="128" t="s">
        <v>2507</v>
      </c>
      <c r="C2512" s="128" t="s">
        <v>2982</v>
      </c>
      <c r="D2512" s="129">
        <v>46166.622835648152</v>
      </c>
      <c r="E2512" s="130">
        <v>4.92</v>
      </c>
      <c r="F2512" s="136">
        <v>4.4999999999999998E-2</v>
      </c>
      <c r="G2512" s="126">
        <f t="shared" si="40"/>
        <v>5.1518324607329848</v>
      </c>
      <c r="H2512" s="126" t="s">
        <v>1339</v>
      </c>
      <c r="I2512" s="127" t="s">
        <v>1446</v>
      </c>
      <c r="J2512" s="126">
        <v>2.96</v>
      </c>
      <c r="K2512" s="126">
        <v>10.09</v>
      </c>
      <c r="L2512" s="129">
        <f>INT(base[[#This Row],[Data de liquidação]])</f>
        <v>46166</v>
      </c>
      <c r="M2512" s="126">
        <f>base[[#This Row],[L/P Bruto]]-base[[#This Row],[L/P Líquido]]</f>
        <v>0.23183246073298491</v>
      </c>
      <c r="N2512" s="126">
        <f>base[[#This Row],[L/P Líquido]]/base[[#This Row],[Stake/Responsabilidade]]</f>
        <v>0.48761149653121905</v>
      </c>
      <c r="O2512" s="132">
        <f>IF(base[[#This Row],[L/P Líquido]]&gt;0,1,0)</f>
        <v>1</v>
      </c>
      <c r="P2512" s="132"/>
      <c r="Q2512" s="132" t="str">
        <f>LEFT(base[[#This Row],[Evento / Mercado]],FIND("vs",base[[#This Row],[Evento / Mercado]])-2)</f>
        <v>Sporting Cristal</v>
      </c>
      <c r="R25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Asociacion Deportiva Tarma</v>
      </c>
      <c r="S2512" s="132" t="str">
        <f>LEFT(base[[#This Row],[Evento / Mercado]],FIND("/",base[[#This Row],[Evento / Mercado]])-2)</f>
        <v>Sporting Cristal vs Asociacion Deportiva Tarma</v>
      </c>
    </row>
    <row r="2513" spans="2:21" ht="15" customHeight="1">
      <c r="B2513" s="128" t="s">
        <v>2506</v>
      </c>
      <c r="C2513" s="128" t="s">
        <v>2982</v>
      </c>
      <c r="D2513" s="129">
        <v>46166.639652777776</v>
      </c>
      <c r="E2513" s="130">
        <v>-35</v>
      </c>
      <c r="F2513" s="136">
        <v>4.4999999999999998E-2</v>
      </c>
      <c r="G2513" s="126">
        <f t="shared" si="40"/>
        <v>-35</v>
      </c>
      <c r="H2513" s="126" t="s">
        <v>211</v>
      </c>
      <c r="I2513" s="127" t="s">
        <v>1480</v>
      </c>
      <c r="J2513" s="126">
        <v>1.65</v>
      </c>
      <c r="K2513" s="126">
        <v>35</v>
      </c>
      <c r="L2513" s="129">
        <f>INT(base[[#This Row],[Data de liquidação]])</f>
        <v>46166</v>
      </c>
      <c r="M2513" s="126">
        <f>base[[#This Row],[L/P Bruto]]-base[[#This Row],[L/P Líquido]]</f>
        <v>0</v>
      </c>
      <c r="N2513" s="126">
        <f>base[[#This Row],[L/P Líquido]]/base[[#This Row],[Stake/Responsabilidade]]</f>
        <v>-1</v>
      </c>
      <c r="O2513" s="132">
        <f>IF(base[[#This Row],[L/P Líquido]]&gt;0,1,0)</f>
        <v>0</v>
      </c>
      <c r="P2513" s="132"/>
      <c r="Q2513" s="132" t="str">
        <f>LEFT(base[[#This Row],[Evento / Mercado]],FIND("vs",base[[#This Row],[Evento / Mercado]])-2)</f>
        <v>Sporting CP</v>
      </c>
      <c r="R25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União Torreense</v>
      </c>
      <c r="S2513" s="132" t="str">
        <f>LEFT(base[[#This Row],[Evento / Mercado]],FIND("/",base[[#This Row],[Evento / Mercado]])-2)</f>
        <v>Sporting CP vs SC União Torreense</v>
      </c>
    </row>
    <row r="2514" spans="2:21" ht="15" customHeight="1">
      <c r="B2514" s="128" t="s">
        <v>2505</v>
      </c>
      <c r="C2514" s="128" t="s">
        <v>2982</v>
      </c>
      <c r="D2514" s="129">
        <v>46166.644097222219</v>
      </c>
      <c r="E2514" s="130">
        <v>1.43</v>
      </c>
      <c r="F2514" s="136">
        <v>4.4999999999999998E-2</v>
      </c>
      <c r="G2514" s="126">
        <f t="shared" si="40"/>
        <v>1.4973821989528795</v>
      </c>
      <c r="H2514" s="126" t="s">
        <v>1339</v>
      </c>
      <c r="I2514" s="127" t="s">
        <v>1963</v>
      </c>
      <c r="J2514" s="126">
        <v>1.03</v>
      </c>
      <c r="K2514" s="126">
        <v>50</v>
      </c>
      <c r="L2514" s="129">
        <f>INT(base[[#This Row],[Data de liquidação]])</f>
        <v>46166</v>
      </c>
      <c r="M2514" s="126">
        <f>base[[#This Row],[L/P Bruto]]-base[[#This Row],[L/P Líquido]]</f>
        <v>6.7382198952879557E-2</v>
      </c>
      <c r="N2514" s="126">
        <f>base[[#This Row],[L/P Líquido]]/base[[#This Row],[Stake/Responsabilidade]]</f>
        <v>2.86E-2</v>
      </c>
      <c r="O2514" s="132">
        <f>IF(base[[#This Row],[L/P Líquido]]&gt;0,1,0)</f>
        <v>1</v>
      </c>
      <c r="P2514" s="132"/>
      <c r="Q2514" s="132" t="str">
        <f>LEFT(base[[#This Row],[Evento / Mercado]],FIND("vs",base[[#This Row],[Evento / Mercado]])-2)</f>
        <v>SD Eibar</v>
      </c>
      <c r="R25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Córdoba CF</v>
      </c>
      <c r="S2514" s="132" t="str">
        <f>LEFT(base[[#This Row],[Evento / Mercado]],FIND("/",base[[#This Row],[Evento / Mercado]])-2)</f>
        <v>SD Eibar vs Córdoba CF</v>
      </c>
    </row>
    <row r="2515" spans="2:21" ht="15" customHeight="1">
      <c r="B2515" s="128" t="s">
        <v>2504</v>
      </c>
      <c r="C2515" s="128" t="s">
        <v>2982</v>
      </c>
      <c r="D2515" s="129">
        <v>46166.644328703704</v>
      </c>
      <c r="E2515" s="130">
        <v>2.3015500000000002</v>
      </c>
      <c r="F2515" s="136">
        <v>4.4999999999999998E-2</v>
      </c>
      <c r="G2515" s="126">
        <f t="shared" si="40"/>
        <v>2.41</v>
      </c>
      <c r="H2515" s="126" t="s">
        <v>1339</v>
      </c>
      <c r="I2515" s="127" t="s">
        <v>1430</v>
      </c>
      <c r="J2515" s="126">
        <v>34</v>
      </c>
      <c r="K2515" s="126">
        <v>79.53</v>
      </c>
      <c r="L2515" s="129">
        <f>INT(base[[#This Row],[Data de liquidação]])</f>
        <v>46166</v>
      </c>
      <c r="M2515" s="126">
        <f>base[[#This Row],[L/P Bruto]]-base[[#This Row],[L/P Líquido]]</f>
        <v>0.10844999999999994</v>
      </c>
      <c r="N2515" s="126">
        <f>base[[#This Row],[L/P Líquido]]/base[[#This Row],[Stake/Responsabilidade]]</f>
        <v>2.8939393939393942E-2</v>
      </c>
      <c r="O2515" s="132">
        <f>IF(base[[#This Row],[L/P Líquido]]&gt;0,1,0)</f>
        <v>1</v>
      </c>
      <c r="P2515" s="132"/>
      <c r="Q2515" s="132" t="str">
        <f>LEFT(base[[#This Row],[Evento / Mercado]],FIND("vs",base[[#This Row],[Evento / Mercado]])-2)</f>
        <v>Deportes Concepción</v>
      </c>
      <c r="R25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Huachipato</v>
      </c>
      <c r="S2515" s="132" t="str">
        <f>LEFT(base[[#This Row],[Evento / Mercado]],FIND("/",base[[#This Row],[Evento / Mercado]])-2)</f>
        <v>Deportes Concepción vs Huachipato</v>
      </c>
      <c r="T2515" s="8">
        <v>2.41</v>
      </c>
      <c r="U2515" s="9">
        <f>T2515*0.955</f>
        <v>2.3015500000000002</v>
      </c>
    </row>
    <row r="2516" spans="2:21" ht="15" customHeight="1">
      <c r="B2516" s="128" t="s">
        <v>2504</v>
      </c>
      <c r="C2516" s="128" t="s">
        <v>2982</v>
      </c>
      <c r="D2516" s="129">
        <v>46166.644328703704</v>
      </c>
      <c r="E2516" s="130">
        <v>2.3874999999999997</v>
      </c>
      <c r="F2516" s="136">
        <v>4.4999999999999998E-2</v>
      </c>
      <c r="G2516" s="126">
        <f t="shared" si="40"/>
        <v>2.5</v>
      </c>
      <c r="H2516" s="126" t="s">
        <v>1339</v>
      </c>
      <c r="I2516" s="127" t="s">
        <v>1963</v>
      </c>
      <c r="J2516" s="126">
        <v>1.05</v>
      </c>
      <c r="K2516" s="126">
        <v>50</v>
      </c>
      <c r="L2516" s="129">
        <f>INT(base[[#This Row],[Data de liquidação]])</f>
        <v>46166</v>
      </c>
      <c r="M2516" s="126">
        <f>base[[#This Row],[L/P Bruto]]-base[[#This Row],[L/P Líquido]]</f>
        <v>0.11250000000000027</v>
      </c>
      <c r="N2516" s="126">
        <f>base[[#This Row],[L/P Líquido]]/base[[#This Row],[Stake/Responsabilidade]]</f>
        <v>4.7749999999999994E-2</v>
      </c>
      <c r="O2516" s="132">
        <f>IF(base[[#This Row],[L/P Líquido]]&gt;0,1,0)</f>
        <v>1</v>
      </c>
      <c r="P2516" s="132"/>
      <c r="Q2516" s="132" t="str">
        <f>LEFT(base[[#This Row],[Evento / Mercado]],FIND("vs",base[[#This Row],[Evento / Mercado]])-2)</f>
        <v>Deportes Concepción</v>
      </c>
      <c r="R25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Huachipato</v>
      </c>
      <c r="S2516" s="132" t="str">
        <f>LEFT(base[[#This Row],[Evento / Mercado]],FIND("/",base[[#This Row],[Evento / Mercado]])-2)</f>
        <v>Deportes Concepción vs Huachipato</v>
      </c>
      <c r="T2516" s="8">
        <v>2.5</v>
      </c>
      <c r="U2516" s="9">
        <f>T2516*0.955</f>
        <v>2.3874999999999997</v>
      </c>
    </row>
    <row r="2517" spans="2:21" ht="15" customHeight="1">
      <c r="B2517" s="128" t="s">
        <v>2503</v>
      </c>
      <c r="C2517" s="128" t="s">
        <v>2982</v>
      </c>
      <c r="D2517" s="129">
        <v>46166.645208333335</v>
      </c>
      <c r="E2517" s="130">
        <v>40.32</v>
      </c>
      <c r="F2517" s="136">
        <v>4.4999999999999998E-2</v>
      </c>
      <c r="G2517" s="126">
        <f t="shared" si="40"/>
        <v>42.219895287958117</v>
      </c>
      <c r="H2517" s="126" t="s">
        <v>145</v>
      </c>
      <c r="I2517" s="127" t="s">
        <v>301</v>
      </c>
      <c r="J2517" s="126">
        <v>10</v>
      </c>
      <c r="K2517" s="126">
        <v>379.98</v>
      </c>
      <c r="L2517" s="129">
        <f>INT(base[[#This Row],[Data de liquidação]])</f>
        <v>46166</v>
      </c>
      <c r="M2517" s="126">
        <f>base[[#This Row],[L/P Bruto]]-base[[#This Row],[L/P Líquido]]</f>
        <v>1.8998952879581168</v>
      </c>
      <c r="N2517" s="126">
        <f>base[[#This Row],[L/P Líquido]]/base[[#This Row],[Stake/Responsabilidade]]</f>
        <v>0.10611084793936522</v>
      </c>
      <c r="O2517" s="132">
        <f>IF(base[[#This Row],[L/P Líquido]]&gt;0,1,0)</f>
        <v>1</v>
      </c>
      <c r="P2517" s="132" t="s">
        <v>977</v>
      </c>
      <c r="Q2517" s="132" t="str">
        <f>LEFT(base[[#This Row],[Evento / Mercado]],FIND("vs",base[[#This Row],[Evento / Mercado]])-2)</f>
        <v>UD Las Palmas</v>
      </c>
      <c r="R25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Zaragoza</v>
      </c>
      <c r="S2517" s="132" t="str">
        <f>LEFT(base[[#This Row],[Evento / Mercado]],FIND("/",base[[#This Row],[Evento / Mercado]])-2)</f>
        <v>UD Las Palmas vs Real Zaragoza</v>
      </c>
    </row>
    <row r="2518" spans="2:21" ht="15" customHeight="1">
      <c r="B2518" s="128" t="s">
        <v>2502</v>
      </c>
      <c r="C2518" s="128" t="s">
        <v>2982</v>
      </c>
      <c r="D2518" s="129">
        <v>46166.645995370367</v>
      </c>
      <c r="E2518" s="130">
        <v>3.34</v>
      </c>
      <c r="F2518" s="136">
        <v>4.4999999999999998E-2</v>
      </c>
      <c r="G2518" s="126">
        <f t="shared" si="40"/>
        <v>3.4973821989528795</v>
      </c>
      <c r="H2518" s="126" t="s">
        <v>1339</v>
      </c>
      <c r="I2518" s="127" t="s">
        <v>1430</v>
      </c>
      <c r="J2518" s="126">
        <v>22</v>
      </c>
      <c r="K2518" s="126">
        <v>73.5</v>
      </c>
      <c r="L2518" s="129">
        <f>INT(base[[#This Row],[Data de liquidação]])</f>
        <v>46166</v>
      </c>
      <c r="M2518" s="126">
        <f>base[[#This Row],[L/P Bruto]]-base[[#This Row],[L/P Líquido]]</f>
        <v>0.15738219895287964</v>
      </c>
      <c r="N2518" s="126">
        <f>base[[#This Row],[L/P Líquido]]/base[[#This Row],[Stake/Responsabilidade]]</f>
        <v>4.5442176870748301E-2</v>
      </c>
      <c r="O2518" s="132">
        <f>IF(base[[#This Row],[L/P Líquido]]&gt;0,1,0)</f>
        <v>1</v>
      </c>
      <c r="P2518" s="132"/>
      <c r="Q2518" s="132" t="str">
        <f>LEFT(base[[#This Row],[Evento / Mercado]],FIND("vs",base[[#This Row],[Evento / Mercado]])-2)</f>
        <v>Málaga</v>
      </c>
      <c r="R25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2518" s="132" t="str">
        <f>LEFT(base[[#This Row],[Evento / Mercado]],FIND("/",base[[#This Row],[Evento / Mercado]])-2)</f>
        <v>Málaga vs Racing Santander</v>
      </c>
    </row>
    <row r="2519" spans="2:21" ht="15" customHeight="1">
      <c r="B2519" s="128" t="s">
        <v>2501</v>
      </c>
      <c r="C2519" s="128" t="s">
        <v>2982</v>
      </c>
      <c r="D2519" s="129">
        <v>46166.646504629629</v>
      </c>
      <c r="E2519" s="130">
        <v>3.98</v>
      </c>
      <c r="F2519" s="136">
        <v>4.4999999999999998E-2</v>
      </c>
      <c r="G2519" s="126">
        <f t="shared" si="40"/>
        <v>4.167539267015707</v>
      </c>
      <c r="H2519" s="126" t="s">
        <v>1339</v>
      </c>
      <c r="I2519" s="127" t="s">
        <v>2469</v>
      </c>
      <c r="J2519" s="126">
        <v>13</v>
      </c>
      <c r="K2519" s="126">
        <v>50.04</v>
      </c>
      <c r="L2519" s="129">
        <f>INT(base[[#This Row],[Data de liquidação]])</f>
        <v>46166</v>
      </c>
      <c r="M2519" s="126">
        <f>base[[#This Row],[L/P Bruto]]-base[[#This Row],[L/P Líquido]]</f>
        <v>0.187539267015707</v>
      </c>
      <c r="N2519" s="126">
        <f>base[[#This Row],[L/P Líquido]]/base[[#This Row],[Stake/Responsabilidade]]</f>
        <v>7.9536370903277379E-2</v>
      </c>
      <c r="O2519" s="132">
        <f>IF(base[[#This Row],[L/P Líquido]]&gt;0,1,0)</f>
        <v>1</v>
      </c>
      <c r="P2519" s="132"/>
      <c r="Q2519" s="132" t="str">
        <f>LEFT(base[[#This Row],[Evento / Mercado]],FIND("vs",base[[#This Row],[Evento / Mercado]])-2)</f>
        <v>Huesca</v>
      </c>
      <c r="R25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Castellon</v>
      </c>
      <c r="S2519" s="132" t="str">
        <f>LEFT(base[[#This Row],[Evento / Mercado]],FIND("/",base[[#This Row],[Evento / Mercado]])-2)</f>
        <v>Huesca vs CD Castellon</v>
      </c>
    </row>
    <row r="2520" spans="2:21" ht="15" customHeight="1">
      <c r="B2520" s="128" t="s">
        <v>2500</v>
      </c>
      <c r="C2520" s="128" t="s">
        <v>2982</v>
      </c>
      <c r="D2520" s="129">
        <v>46166.686192129629</v>
      </c>
      <c r="E2520" s="130">
        <v>1.39</v>
      </c>
      <c r="F2520" s="136">
        <v>4.4999999999999998E-2</v>
      </c>
      <c r="G2520" s="126">
        <f t="shared" si="40"/>
        <v>1.4554973821989527</v>
      </c>
      <c r="H2520" s="126" t="s">
        <v>1339</v>
      </c>
      <c r="I2520" s="127" t="s">
        <v>1448</v>
      </c>
      <c r="J2520" s="126">
        <v>1.73</v>
      </c>
      <c r="K2520" s="126">
        <v>2</v>
      </c>
      <c r="L2520" s="129">
        <f>INT(base[[#This Row],[Data de liquidação]])</f>
        <v>46166</v>
      </c>
      <c r="M2520" s="126">
        <f>base[[#This Row],[L/P Bruto]]-base[[#This Row],[L/P Líquido]]</f>
        <v>6.5497382198952847E-2</v>
      </c>
      <c r="N2520" s="126">
        <f>base[[#This Row],[L/P Líquido]]/base[[#This Row],[Stake/Responsabilidade]]</f>
        <v>0.69499999999999995</v>
      </c>
      <c r="O2520" s="132">
        <f>IF(base[[#This Row],[L/P Líquido]]&gt;0,1,0)</f>
        <v>1</v>
      </c>
      <c r="P2520" s="132"/>
      <c r="Q2520" s="132" t="str">
        <f>LEFT(base[[#This Row],[Evento / Mercado]],FIND("vs",base[[#This Row],[Evento / Mercado]])-2)</f>
        <v>Cruzeiro</v>
      </c>
      <c r="R25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2520" s="132" t="str">
        <f>LEFT(base[[#This Row],[Evento / Mercado]],FIND("/",base[[#This Row],[Evento / Mercado]])-2)</f>
        <v>Cruzeiro vs Chapecoense</v>
      </c>
    </row>
    <row r="2521" spans="2:21" ht="15" customHeight="1">
      <c r="B2521" s="128" t="s">
        <v>2499</v>
      </c>
      <c r="C2521" s="128" t="s">
        <v>2982</v>
      </c>
      <c r="D2521" s="129">
        <v>46166.697152777779</v>
      </c>
      <c r="E2521" s="130">
        <v>-15</v>
      </c>
      <c r="F2521" s="136">
        <v>4.4999999999999998E-2</v>
      </c>
      <c r="G2521" s="126">
        <f t="shared" si="40"/>
        <v>-15</v>
      </c>
      <c r="H2521" s="126" t="s">
        <v>1339</v>
      </c>
      <c r="I2521" s="127" t="s">
        <v>1336</v>
      </c>
      <c r="J2521" s="126">
        <v>1.45</v>
      </c>
      <c r="K2521" s="126">
        <v>15</v>
      </c>
      <c r="L2521" s="129">
        <f>INT(base[[#This Row],[Data de liquidação]])</f>
        <v>46166</v>
      </c>
      <c r="M2521" s="126">
        <f>base[[#This Row],[L/P Bruto]]-base[[#This Row],[L/P Líquido]]</f>
        <v>0</v>
      </c>
      <c r="N2521" s="126">
        <f>base[[#This Row],[L/P Líquido]]/base[[#This Row],[Stake/Responsabilidade]]</f>
        <v>-1</v>
      </c>
      <c r="O2521" s="132">
        <f>IF(base[[#This Row],[L/P Líquido]]&gt;0,1,0)</f>
        <v>0</v>
      </c>
      <c r="P2521" s="132"/>
      <c r="Q2521" s="132" t="str">
        <f>LEFT(base[[#This Row],[Evento / Mercado]],FIND("vs",base[[#This Row],[Evento / Mercado]])-2)</f>
        <v>Villarreal</v>
      </c>
      <c r="R25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2521" s="132" t="str">
        <f>LEFT(base[[#This Row],[Evento / Mercado]],FIND("/",base[[#This Row],[Evento / Mercado]])-2)</f>
        <v>Villarreal vs Atlético de Madrid</v>
      </c>
    </row>
    <row r="2522" spans="2:21" ht="15" customHeight="1">
      <c r="B2522" s="128" t="s">
        <v>2498</v>
      </c>
      <c r="C2522" s="128" t="s">
        <v>2982</v>
      </c>
      <c r="D2522" s="129">
        <v>46166.709236111114</v>
      </c>
      <c r="E2522" s="130">
        <v>95.55</v>
      </c>
      <c r="F2522" s="136">
        <v>4.4999999999999998E-2</v>
      </c>
      <c r="G2522" s="126">
        <f t="shared" si="40"/>
        <v>100.05235602094241</v>
      </c>
      <c r="H2522" s="126" t="s">
        <v>231</v>
      </c>
      <c r="I2522" s="127" t="s">
        <v>266</v>
      </c>
      <c r="J2522" s="126">
        <v>1.87</v>
      </c>
      <c r="K2522" s="126">
        <v>115</v>
      </c>
      <c r="L2522" s="129">
        <f>INT(base[[#This Row],[Data de liquidação]])</f>
        <v>46166</v>
      </c>
      <c r="M2522" s="126">
        <f>base[[#This Row],[L/P Bruto]]-base[[#This Row],[L/P Líquido]]</f>
        <v>4.5023560209424147</v>
      </c>
      <c r="N2522" s="126">
        <f>base[[#This Row],[L/P Líquido]]/base[[#This Row],[Stake/Responsabilidade]]</f>
        <v>0.8308695652173913</v>
      </c>
      <c r="O2522" s="132">
        <f>IF(base[[#This Row],[L/P Líquido]]&gt;0,1,0)</f>
        <v>1</v>
      </c>
      <c r="P2522" s="132"/>
      <c r="Q2522" s="132" t="str">
        <f>LEFT(base[[#This Row],[Evento / Mercado]],FIND("vs",base[[#This Row],[Evento / Mercado]])-2)</f>
        <v>Clube do Remo</v>
      </c>
      <c r="R25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2522" s="132" t="str">
        <f>LEFT(base[[#This Row],[Evento / Mercado]],FIND("/",base[[#This Row],[Evento / Mercado]])-2)</f>
        <v>Clube do Remo vs Athlético Paranaense</v>
      </c>
    </row>
    <row r="2523" spans="2:21" ht="15" customHeight="1">
      <c r="B2523" s="128" t="s">
        <v>2497</v>
      </c>
      <c r="C2523" s="128" t="s">
        <v>2982</v>
      </c>
      <c r="D2523" s="129">
        <v>46166.712476851855</v>
      </c>
      <c r="E2523" s="130">
        <v>9.5500000000000007</v>
      </c>
      <c r="F2523" s="136">
        <v>4.4999999999999998E-2</v>
      </c>
      <c r="G2523" s="126">
        <f t="shared" si="40"/>
        <v>10.000000000000002</v>
      </c>
      <c r="H2523" s="126" t="s">
        <v>1339</v>
      </c>
      <c r="I2523" s="127" t="s">
        <v>1236</v>
      </c>
      <c r="J2523" s="126">
        <v>6</v>
      </c>
      <c r="K2523" s="126">
        <v>10</v>
      </c>
      <c r="L2523" s="129">
        <f>INT(base[[#This Row],[Data de liquidação]])</f>
        <v>46166</v>
      </c>
      <c r="M2523" s="126">
        <f>base[[#This Row],[L/P Bruto]]-base[[#This Row],[L/P Líquido]]</f>
        <v>0.45000000000000107</v>
      </c>
      <c r="N2523" s="126">
        <f>base[[#This Row],[L/P Líquido]]/base[[#This Row],[Stake/Responsabilidade]]</f>
        <v>0.95500000000000007</v>
      </c>
      <c r="O2523" s="132">
        <f>IF(base[[#This Row],[L/P Líquido]]&gt;0,1,0)</f>
        <v>1</v>
      </c>
      <c r="P2523" s="132"/>
      <c r="Q2523" s="132" t="str">
        <f>LEFT(base[[#This Row],[Evento / Mercado]],FIND("vs",base[[#This Row],[Evento / Mercado]])-2)</f>
        <v>Cremonese</v>
      </c>
      <c r="R25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Como</v>
      </c>
      <c r="S2523" s="132" t="str">
        <f>LEFT(base[[#This Row],[Evento / Mercado]],FIND("/",base[[#This Row],[Evento / Mercado]])-2)</f>
        <v>Cremonese vs Como</v>
      </c>
    </row>
    <row r="2524" spans="2:21" ht="15" customHeight="1">
      <c r="B2524" s="128" t="s">
        <v>2496</v>
      </c>
      <c r="C2524" s="128" t="s">
        <v>2982</v>
      </c>
      <c r="D2524" s="129">
        <v>46166.714108796295</v>
      </c>
      <c r="E2524" s="130">
        <v>6.12</v>
      </c>
      <c r="F2524" s="136">
        <v>4.4999999999999998E-2</v>
      </c>
      <c r="G2524" s="126">
        <f t="shared" si="40"/>
        <v>6.4083769633507854</v>
      </c>
      <c r="H2524" s="126" t="s">
        <v>1339</v>
      </c>
      <c r="I2524" s="127" t="s">
        <v>2469</v>
      </c>
      <c r="J2524" s="126">
        <v>8.8000000000000007</v>
      </c>
      <c r="K2524" s="126">
        <v>50</v>
      </c>
      <c r="L2524" s="129">
        <f>INT(base[[#This Row],[Data de liquidação]])</f>
        <v>46166</v>
      </c>
      <c r="M2524" s="126">
        <f>base[[#This Row],[L/P Bruto]]-base[[#This Row],[L/P Líquido]]</f>
        <v>0.28837696335078533</v>
      </c>
      <c r="N2524" s="126">
        <f>base[[#This Row],[L/P Líquido]]/base[[#This Row],[Stake/Responsabilidade]]</f>
        <v>0.12240000000000001</v>
      </c>
      <c r="O2524" s="132">
        <f>IF(base[[#This Row],[L/P Líquido]]&gt;0,1,0)</f>
        <v>1</v>
      </c>
      <c r="P2524" s="132"/>
      <c r="Q2524" s="132" t="str">
        <f>LEFT(base[[#This Row],[Evento / Mercado]],FIND("vs",base[[#This Row],[Evento / Mercado]])-2)</f>
        <v>Atletico Ottawa</v>
      </c>
      <c r="R25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Forge</v>
      </c>
      <c r="S2524" s="132" t="str">
        <f>LEFT(base[[#This Row],[Evento / Mercado]],FIND("/",base[[#This Row],[Evento / Mercado]])-2)</f>
        <v>Atletico Ottawa vs Forge</v>
      </c>
    </row>
    <row r="2525" spans="2:21" ht="15" customHeight="1">
      <c r="B2525" s="128" t="s">
        <v>2495</v>
      </c>
      <c r="C2525" s="128" t="s">
        <v>2982</v>
      </c>
      <c r="D2525" s="129">
        <v>46166.714837962965</v>
      </c>
      <c r="E2525" s="130">
        <v>104.92</v>
      </c>
      <c r="F2525" s="136">
        <v>4.4999999999999998E-2</v>
      </c>
      <c r="G2525" s="126">
        <f t="shared" si="40"/>
        <v>109.86387434554975</v>
      </c>
      <c r="H2525" s="126" t="s">
        <v>231</v>
      </c>
      <c r="I2525" s="127" t="s">
        <v>266</v>
      </c>
      <c r="J2525" s="126">
        <f>+(1.96*12.71+1.95*102.79)/base[[#This Row],[Stake/Responsabilidade]]</f>
        <v>1.9511004329004329</v>
      </c>
      <c r="K2525" s="126">
        <f>102.79+12.71</f>
        <v>115.5</v>
      </c>
      <c r="L2525" s="129">
        <f>INT(base[[#This Row],[Data de liquidação]])</f>
        <v>46166</v>
      </c>
      <c r="M2525" s="126">
        <f>base[[#This Row],[L/P Bruto]]-base[[#This Row],[L/P Líquido]]</f>
        <v>4.9438743455497445</v>
      </c>
      <c r="N2525" s="126">
        <f>base[[#This Row],[L/P Líquido]]/base[[#This Row],[Stake/Responsabilidade]]</f>
        <v>0.90839826839826843</v>
      </c>
      <c r="O2525" s="132">
        <f>IF(base[[#This Row],[L/P Líquido]]&gt;0,1,0)</f>
        <v>1</v>
      </c>
      <c r="P2525" s="132"/>
      <c r="Q2525" s="132" t="str">
        <f>LEFT(base[[#This Row],[Evento / Mercado]],FIND("vs",base[[#This Row],[Evento / Mercado]])-2)</f>
        <v>Cremonese</v>
      </c>
      <c r="R25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Como</v>
      </c>
      <c r="S2525" s="132" t="str">
        <f>LEFT(base[[#This Row],[Evento / Mercado]],FIND("/",base[[#This Row],[Evento / Mercado]])-2)</f>
        <v>Cremonese vs Como</v>
      </c>
    </row>
    <row r="2526" spans="2:21" ht="15" customHeight="1">
      <c r="B2526" s="128" t="s">
        <v>2494</v>
      </c>
      <c r="C2526" s="128" t="s">
        <v>2982</v>
      </c>
      <c r="D2526" s="129">
        <v>46166.717175925929</v>
      </c>
      <c r="E2526" s="130">
        <v>5.97</v>
      </c>
      <c r="F2526" s="136">
        <v>4.4999999999999998E-2</v>
      </c>
      <c r="G2526" s="126">
        <f t="shared" si="40"/>
        <v>6.2513089005235605</v>
      </c>
      <c r="H2526" s="126" t="s">
        <v>1339</v>
      </c>
      <c r="I2526" s="127" t="s">
        <v>2470</v>
      </c>
      <c r="J2526" s="126">
        <v>9</v>
      </c>
      <c r="K2526" s="126">
        <v>50</v>
      </c>
      <c r="L2526" s="129">
        <f>INT(base[[#This Row],[Data de liquidação]])</f>
        <v>46166</v>
      </c>
      <c r="M2526" s="126">
        <f>base[[#This Row],[L/P Bruto]]-base[[#This Row],[L/P Líquido]]</f>
        <v>0.28130890052356072</v>
      </c>
      <c r="N2526" s="126">
        <f>base[[#This Row],[L/P Líquido]]/base[[#This Row],[Stake/Responsabilidade]]</f>
        <v>0.11939999999999999</v>
      </c>
      <c r="O2526" s="132">
        <f>IF(base[[#This Row],[L/P Líquido]]&gt;0,1,0)</f>
        <v>1</v>
      </c>
      <c r="P2526" s="132"/>
      <c r="Q2526" s="132" t="str">
        <f>LEFT(base[[#This Row],[Evento / Mercado]],FIND("vs",base[[#This Row],[Evento / Mercado]])-2)</f>
        <v>Sport Huancayo</v>
      </c>
      <c r="R25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Cienciano del Cuzco</v>
      </c>
      <c r="S2526" s="132" t="str">
        <f>LEFT(base[[#This Row],[Evento / Mercado]],FIND("/",base[[#This Row],[Evento / Mercado]])-2)</f>
        <v>Sport Huancayo vs Cienciano del Cuzco</v>
      </c>
    </row>
    <row r="2527" spans="2:21" ht="15" customHeight="1">
      <c r="B2527" s="128" t="s">
        <v>2493</v>
      </c>
      <c r="C2527" s="128" t="s">
        <v>2982</v>
      </c>
      <c r="D2527" s="129">
        <v>46166.717280092591</v>
      </c>
      <c r="E2527" s="130">
        <v>-50</v>
      </c>
      <c r="F2527" s="136">
        <v>4.4999999999999998E-2</v>
      </c>
      <c r="G2527" s="126">
        <f t="shared" si="40"/>
        <v>-50</v>
      </c>
      <c r="H2527" s="126" t="s">
        <v>1339</v>
      </c>
      <c r="I2527" s="127" t="s">
        <v>1963</v>
      </c>
      <c r="J2527" s="126">
        <v>1.03</v>
      </c>
      <c r="K2527" s="126">
        <v>50</v>
      </c>
      <c r="L2527" s="129">
        <f>INT(base[[#This Row],[Data de liquidação]])</f>
        <v>46166</v>
      </c>
      <c r="M2527" s="126">
        <f>base[[#This Row],[L/P Bruto]]-base[[#This Row],[L/P Líquido]]</f>
        <v>0</v>
      </c>
      <c r="N2527" s="126">
        <f>base[[#This Row],[L/P Líquido]]/base[[#This Row],[Stake/Responsabilidade]]</f>
        <v>-1</v>
      </c>
      <c r="O2527" s="132">
        <f>IF(base[[#This Row],[L/P Líquido]]&gt;0,1,0)</f>
        <v>0</v>
      </c>
      <c r="P2527" s="132"/>
      <c r="Q2527" s="132" t="str">
        <f>LEFT(base[[#This Row],[Evento / Mercado]],FIND("vs",base[[#This Row],[Evento / Mercado]])-2)</f>
        <v>Sport Huancayo</v>
      </c>
      <c r="R25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Cienciano del Cuzco</v>
      </c>
      <c r="S2527" s="132" t="str">
        <f>LEFT(base[[#This Row],[Evento / Mercado]],FIND("/",base[[#This Row],[Evento / Mercado]])-2)</f>
        <v>Sport Huancayo vs Cienciano del Cuzco</v>
      </c>
    </row>
    <row r="2528" spans="2:21" ht="15" customHeight="1">
      <c r="B2528" s="128" t="s">
        <v>2492</v>
      </c>
      <c r="C2528" s="128" t="s">
        <v>2982</v>
      </c>
      <c r="D2528" s="129">
        <v>46166.733900462961</v>
      </c>
      <c r="E2528" s="130">
        <v>-5.1100000000000003</v>
      </c>
      <c r="F2528" s="136">
        <v>4.4999999999999998E-2</v>
      </c>
      <c r="G2528" s="126">
        <f t="shared" si="40"/>
        <v>-5.1100000000000003</v>
      </c>
      <c r="H2528" s="126" t="s">
        <v>1339</v>
      </c>
      <c r="I2528" s="127" t="s">
        <v>1236</v>
      </c>
      <c r="J2528" s="126">
        <v>6.8</v>
      </c>
      <c r="K2528" s="126">
        <v>10</v>
      </c>
      <c r="L2528" s="129">
        <f>INT(base[[#This Row],[Data de liquidação]])</f>
        <v>46166</v>
      </c>
      <c r="M2528" s="126">
        <f>base[[#This Row],[L/P Bruto]]-base[[#This Row],[L/P Líquido]]</f>
        <v>0</v>
      </c>
      <c r="N2528" s="126">
        <f>base[[#This Row],[L/P Líquido]]/base[[#This Row],[Stake/Responsabilidade]]</f>
        <v>-0.51100000000000001</v>
      </c>
      <c r="O2528" s="132">
        <f>IF(base[[#This Row],[L/P Líquido]]&gt;0,1,0)</f>
        <v>0</v>
      </c>
      <c r="P2528" s="132"/>
      <c r="Q2528" s="132" t="str">
        <f>LEFT(base[[#This Row],[Evento / Mercado]],FIND("vs",base[[#This Row],[Evento / Mercado]])-2)</f>
        <v>Cruzeiro</v>
      </c>
      <c r="R25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2528" s="132" t="str">
        <f>LEFT(base[[#This Row],[Evento / Mercado]],FIND("/",base[[#This Row],[Evento / Mercado]])-2)</f>
        <v>Cruzeiro vs Chapecoense</v>
      </c>
    </row>
    <row r="2529" spans="2:19" ht="15" customHeight="1">
      <c r="B2529" s="128" t="s">
        <v>2491</v>
      </c>
      <c r="C2529" s="128" t="s">
        <v>2982</v>
      </c>
      <c r="D2529" s="129">
        <v>46166.748935185184</v>
      </c>
      <c r="E2529" s="130">
        <v>-49.98</v>
      </c>
      <c r="F2529" s="136">
        <v>4.4999999999999998E-2</v>
      </c>
      <c r="G2529" s="126">
        <f t="shared" si="40"/>
        <v>-49.98</v>
      </c>
      <c r="H2529" s="126" t="s">
        <v>1339</v>
      </c>
      <c r="I2529" s="127" t="s">
        <v>2470</v>
      </c>
      <c r="J2529" s="126">
        <v>9.4</v>
      </c>
      <c r="K2529" s="126">
        <v>49.98</v>
      </c>
      <c r="L2529" s="129">
        <f>INT(base[[#This Row],[Data de liquidação]])</f>
        <v>46166</v>
      </c>
      <c r="M2529" s="126">
        <f>base[[#This Row],[L/P Bruto]]-base[[#This Row],[L/P Líquido]]</f>
        <v>0</v>
      </c>
      <c r="N2529" s="126">
        <f>base[[#This Row],[L/P Líquido]]/base[[#This Row],[Stake/Responsabilidade]]</f>
        <v>-1</v>
      </c>
      <c r="O2529" s="132">
        <f>IF(base[[#This Row],[L/P Líquido]]&gt;0,1,0)</f>
        <v>0</v>
      </c>
      <c r="P2529" s="132"/>
      <c r="Q2529" s="132" t="str">
        <f>LEFT(base[[#This Row],[Evento / Mercado]],FIND("vs",base[[#This Row],[Evento / Mercado]])-2)</f>
        <v>Atlético Goianiense</v>
      </c>
      <c r="R25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Bernardo FC</v>
      </c>
      <c r="S2529" s="132" t="str">
        <f>LEFT(base[[#This Row],[Evento / Mercado]],FIND("/",base[[#This Row],[Evento / Mercado]])-2)</f>
        <v>Atlético Goianiense vs São Bernardo FC</v>
      </c>
    </row>
    <row r="2530" spans="2:19" ht="15" customHeight="1">
      <c r="B2530" s="128" t="s">
        <v>2490</v>
      </c>
      <c r="C2530" s="128" t="s">
        <v>2982</v>
      </c>
      <c r="D2530" s="129">
        <v>46166.751805555556</v>
      </c>
      <c r="E2530" s="130">
        <v>34.880000000000003</v>
      </c>
      <c r="F2530" s="136">
        <v>4.4999999999999998E-2</v>
      </c>
      <c r="G2530" s="126">
        <f t="shared" si="40"/>
        <v>36.52356020942409</v>
      </c>
      <c r="H2530" s="126" t="s">
        <v>145</v>
      </c>
      <c r="I2530" s="127" t="s">
        <v>301</v>
      </c>
      <c r="J2530" s="126">
        <v>12.5</v>
      </c>
      <c r="K2530" s="126">
        <v>419.98</v>
      </c>
      <c r="L2530" s="129">
        <f>INT(base[[#This Row],[Data de liquidação]])</f>
        <v>46166</v>
      </c>
      <c r="M2530" s="126">
        <f>base[[#This Row],[L/P Bruto]]-base[[#This Row],[L/P Líquido]]</f>
        <v>1.6435602094240878</v>
      </c>
      <c r="N2530" s="126">
        <f>base[[#This Row],[L/P Líquido]]/base[[#This Row],[Stake/Responsabilidade]]</f>
        <v>8.3051573884470695E-2</v>
      </c>
      <c r="O2530" s="132">
        <f>IF(base[[#This Row],[L/P Líquido]]&gt;0,1,0)</f>
        <v>1</v>
      </c>
      <c r="P2530" s="132" t="s">
        <v>1058</v>
      </c>
      <c r="Q2530" s="132" t="str">
        <f>LEFT(base[[#This Row],[Evento / Mercado]],FIND("vs",base[[#This Row],[Evento / Mercado]])-2)</f>
        <v>Cruzeiro</v>
      </c>
      <c r="R25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2530" s="132" t="str">
        <f>LEFT(base[[#This Row],[Evento / Mercado]],FIND("/",base[[#This Row],[Evento / Mercado]])-2)</f>
        <v>Cruzeiro vs Chapecoense</v>
      </c>
    </row>
    <row r="2531" spans="2:19" ht="15" customHeight="1">
      <c r="B2531" s="128" t="s">
        <v>2489</v>
      </c>
      <c r="C2531" s="128" t="s">
        <v>2982</v>
      </c>
      <c r="D2531" s="129">
        <v>46166.755370370367</v>
      </c>
      <c r="E2531" s="130">
        <v>-6.52</v>
      </c>
      <c r="F2531" s="136">
        <v>4.4999999999999998E-2</v>
      </c>
      <c r="G2531" s="126">
        <f t="shared" si="40"/>
        <v>-6.52</v>
      </c>
      <c r="H2531" s="126" t="s">
        <v>1339</v>
      </c>
      <c r="I2531" s="127" t="s">
        <v>1236</v>
      </c>
      <c r="J2531" s="126">
        <v>7.6</v>
      </c>
      <c r="K2531" s="126">
        <v>10</v>
      </c>
      <c r="L2531" s="129">
        <f>INT(base[[#This Row],[Data de liquidação]])</f>
        <v>46166</v>
      </c>
      <c r="M2531" s="126">
        <f>base[[#This Row],[L/P Bruto]]-base[[#This Row],[L/P Líquido]]</f>
        <v>0</v>
      </c>
      <c r="N2531" s="126">
        <f>base[[#This Row],[L/P Líquido]]/base[[#This Row],[Stake/Responsabilidade]]</f>
        <v>-0.65199999999999991</v>
      </c>
      <c r="O2531" s="132">
        <f>IF(base[[#This Row],[L/P Líquido]]&gt;0,1,0)</f>
        <v>0</v>
      </c>
      <c r="P2531" s="132"/>
      <c r="Q2531" s="132" t="str">
        <f>LEFT(base[[#This Row],[Evento / Mercado]],FIND("vs",base[[#This Row],[Evento / Mercado]])-2)</f>
        <v>Torino</v>
      </c>
      <c r="R25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Juventus</v>
      </c>
      <c r="S2531" s="132" t="str">
        <f>LEFT(base[[#This Row],[Evento / Mercado]],FIND("/",base[[#This Row],[Evento / Mercado]])-2)</f>
        <v>Torino vs Juventus</v>
      </c>
    </row>
    <row r="2532" spans="2:19" ht="15" customHeight="1">
      <c r="B2532" s="128" t="s">
        <v>2488</v>
      </c>
      <c r="C2532" s="128" t="s">
        <v>2982</v>
      </c>
      <c r="D2532" s="129">
        <v>46166.839097222219</v>
      </c>
      <c r="E2532" s="130">
        <v>4.78</v>
      </c>
      <c r="F2532" s="136">
        <v>4.4999999999999998E-2</v>
      </c>
      <c r="G2532" s="126">
        <f t="shared" si="40"/>
        <v>5.005235602094241</v>
      </c>
      <c r="H2532" s="126" t="s">
        <v>1339</v>
      </c>
      <c r="I2532" s="127" t="s">
        <v>1390</v>
      </c>
      <c r="J2532" s="126">
        <v>11</v>
      </c>
      <c r="K2532" s="126">
        <v>50</v>
      </c>
      <c r="L2532" s="129">
        <f>INT(base[[#This Row],[Data de liquidação]])</f>
        <v>46166</v>
      </c>
      <c r="M2532" s="126">
        <f>base[[#This Row],[L/P Bruto]]-base[[#This Row],[L/P Líquido]]</f>
        <v>0.22523560209424076</v>
      </c>
      <c r="N2532" s="126">
        <f>base[[#This Row],[L/P Líquido]]/base[[#This Row],[Stake/Responsabilidade]]</f>
        <v>9.5600000000000004E-2</v>
      </c>
      <c r="O2532" s="132">
        <f>IF(base[[#This Row],[L/P Líquido]]&gt;0,1,0)</f>
        <v>1</v>
      </c>
      <c r="P2532" s="132"/>
      <c r="Q2532" s="132" t="str">
        <f>LEFT(base[[#This Row],[Evento / Mercado]],FIND("vs",base[[#This Row],[Evento / Mercado]])-2)</f>
        <v>Cavalry</v>
      </c>
      <c r="R25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Pacific</v>
      </c>
      <c r="S2532" s="132" t="str">
        <f>LEFT(base[[#This Row],[Evento / Mercado]],FIND("/",base[[#This Row],[Evento / Mercado]])-2)</f>
        <v>Cavalry vs Pacific</v>
      </c>
    </row>
    <row r="2533" spans="2:19" ht="15" customHeight="1">
      <c r="B2533" s="128" t="s">
        <v>2487</v>
      </c>
      <c r="C2533" s="128" t="s">
        <v>2982</v>
      </c>
      <c r="D2533" s="129">
        <v>46166.840370370373</v>
      </c>
      <c r="E2533" s="130">
        <v>1.43</v>
      </c>
      <c r="F2533" s="136">
        <v>4.4999999999999998E-2</v>
      </c>
      <c r="G2533" s="126">
        <f t="shared" si="40"/>
        <v>1.4973821989528795</v>
      </c>
      <c r="H2533" s="126" t="s">
        <v>1339</v>
      </c>
      <c r="I2533" s="127" t="s">
        <v>1963</v>
      </c>
      <c r="J2533" s="126">
        <v>1.03</v>
      </c>
      <c r="K2533" s="126">
        <v>50</v>
      </c>
      <c r="L2533" s="129">
        <f>INT(base[[#This Row],[Data de liquidação]])</f>
        <v>46166</v>
      </c>
      <c r="M2533" s="126">
        <f>base[[#This Row],[L/P Bruto]]-base[[#This Row],[L/P Líquido]]</f>
        <v>6.7382198952879557E-2</v>
      </c>
      <c r="N2533" s="126">
        <f>base[[#This Row],[L/P Líquido]]/base[[#This Row],[Stake/Responsabilidade]]</f>
        <v>2.86E-2</v>
      </c>
      <c r="O2533" s="132">
        <f>IF(base[[#This Row],[L/P Líquido]]&gt;0,1,0)</f>
        <v>1</v>
      </c>
      <c r="P2533" s="132"/>
      <c r="Q2533" s="132" t="str">
        <f>LEFT(base[[#This Row],[Evento / Mercado]],FIND("vs",base[[#This Row],[Evento / Mercado]])-2)</f>
        <v>Columbus Crew</v>
      </c>
      <c r="R25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2533" s="132" t="str">
        <f>LEFT(base[[#This Row],[Evento / Mercado]],FIND("/",base[[#This Row],[Evento / Mercado]])-2)</f>
        <v>Columbus Crew vs Atlanta United FC</v>
      </c>
    </row>
    <row r="2534" spans="2:19" ht="15" customHeight="1">
      <c r="B2534" s="128" t="s">
        <v>2486</v>
      </c>
      <c r="C2534" s="128" t="s">
        <v>2982</v>
      </c>
      <c r="D2534" s="129">
        <v>46166.851053240738</v>
      </c>
      <c r="E2534" s="130">
        <v>1.01</v>
      </c>
      <c r="F2534" s="136">
        <v>4.4999999999999998E-2</v>
      </c>
      <c r="G2534" s="126">
        <f t="shared" si="40"/>
        <v>1.0575916230366493</v>
      </c>
      <c r="H2534" s="126" t="s">
        <v>1339</v>
      </c>
      <c r="I2534" s="127" t="s">
        <v>2404</v>
      </c>
      <c r="J2534" s="126">
        <v>1.53</v>
      </c>
      <c r="K2534" s="126">
        <v>2</v>
      </c>
      <c r="L2534" s="129">
        <f>INT(base[[#This Row],[Data de liquidação]])</f>
        <v>46166</v>
      </c>
      <c r="M2534" s="126">
        <f>base[[#This Row],[L/P Bruto]]-base[[#This Row],[L/P Líquido]]</f>
        <v>4.7591623036649322E-2</v>
      </c>
      <c r="N2534" s="126">
        <f>base[[#This Row],[L/P Líquido]]/base[[#This Row],[Stake/Responsabilidade]]</f>
        <v>0.505</v>
      </c>
      <c r="O2534" s="132">
        <f>IF(base[[#This Row],[L/P Líquido]]&gt;0,1,0)</f>
        <v>1</v>
      </c>
      <c r="P2534" s="132"/>
      <c r="Q2534" s="132" t="str">
        <f>LEFT(base[[#This Row],[Evento / Mercado]],FIND("vs",base[[#This Row],[Evento / Mercado]])-2)</f>
        <v>Inter Miami CF</v>
      </c>
      <c r="R25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Philadelphia Union</v>
      </c>
      <c r="S2534" s="132" t="str">
        <f>LEFT(base[[#This Row],[Evento / Mercado]],FIND("/",base[[#This Row],[Evento / Mercado]])-2)</f>
        <v>Inter Miami CF vs Philadelphia Union</v>
      </c>
    </row>
    <row r="2535" spans="2:19" ht="15" customHeight="1">
      <c r="B2535" s="128" t="s">
        <v>2485</v>
      </c>
      <c r="C2535" s="128" t="s">
        <v>2982</v>
      </c>
      <c r="D2535" s="129">
        <v>46166.852858796294</v>
      </c>
      <c r="E2535" s="130">
        <v>0.23</v>
      </c>
      <c r="F2535" s="136">
        <v>4.4999999999999998E-2</v>
      </c>
      <c r="G2535" s="126">
        <f t="shared" si="40"/>
        <v>0.24083769633507857</v>
      </c>
      <c r="H2535" s="126" t="s">
        <v>1339</v>
      </c>
      <c r="I2535" s="127" t="s">
        <v>1993</v>
      </c>
      <c r="J2535" s="126">
        <v>1.1200000000000001</v>
      </c>
      <c r="K2535" s="126">
        <v>2</v>
      </c>
      <c r="L2535" s="129">
        <f>INT(base[[#This Row],[Data de liquidação]])</f>
        <v>46166</v>
      </c>
      <c r="M2535" s="126">
        <f>base[[#This Row],[L/P Bruto]]-base[[#This Row],[L/P Líquido]]</f>
        <v>1.0837696335078556E-2</v>
      </c>
      <c r="N2535" s="126">
        <f>base[[#This Row],[L/P Líquido]]/base[[#This Row],[Stake/Responsabilidade]]</f>
        <v>0.115</v>
      </c>
      <c r="O2535" s="132">
        <f>IF(base[[#This Row],[L/P Líquido]]&gt;0,1,0)</f>
        <v>1</v>
      </c>
      <c r="P2535" s="132"/>
      <c r="Q2535" s="132" t="str">
        <f>LEFT(base[[#This Row],[Evento / Mercado]],FIND("vs",base[[#This Row],[Evento / Mercado]])-2)</f>
        <v>Corinthians</v>
      </c>
      <c r="R25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2535" s="132" t="str">
        <f>LEFT(base[[#This Row],[Evento / Mercado]],FIND("/",base[[#This Row],[Evento / Mercado]])-2)</f>
        <v>Corinthians vs Atlético Mineiro</v>
      </c>
    </row>
    <row r="2536" spans="2:19" ht="15" customHeight="1">
      <c r="B2536" s="128" t="s">
        <v>2484</v>
      </c>
      <c r="C2536" s="128" t="s">
        <v>2982</v>
      </c>
      <c r="D2536" s="129">
        <v>46166.898113425923</v>
      </c>
      <c r="E2536" s="130">
        <v>1.32</v>
      </c>
      <c r="F2536" s="136">
        <v>4.4999999999999998E-2</v>
      </c>
      <c r="G2536" s="126">
        <f t="shared" si="40"/>
        <v>1.3821989528795813</v>
      </c>
      <c r="H2536" s="126" t="s">
        <v>1339</v>
      </c>
      <c r="I2536" s="127" t="s">
        <v>2404</v>
      </c>
      <c r="J2536" s="126">
        <v>1.69</v>
      </c>
      <c r="K2536" s="126">
        <v>2</v>
      </c>
      <c r="L2536" s="129">
        <f>INT(base[[#This Row],[Data de liquidação]])</f>
        <v>46166</v>
      </c>
      <c r="M2536" s="126">
        <f>base[[#This Row],[L/P Bruto]]-base[[#This Row],[L/P Líquido]]</f>
        <v>6.2198952879581215E-2</v>
      </c>
      <c r="N2536" s="126">
        <f>base[[#This Row],[L/P Líquido]]/base[[#This Row],[Stake/Responsabilidade]]</f>
        <v>0.66</v>
      </c>
      <c r="O2536" s="132">
        <f>IF(base[[#This Row],[L/P Líquido]]&gt;0,1,0)</f>
        <v>1</v>
      </c>
      <c r="P2536" s="132"/>
      <c r="Q2536" s="132" t="str">
        <f>LEFT(base[[#This Row],[Evento / Mercado]],FIND("vs",base[[#This Row],[Evento / Mercado]])-2)</f>
        <v>Club Deportivo San Luis</v>
      </c>
      <c r="R25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Magallanes</v>
      </c>
      <c r="S2536" s="132" t="str">
        <f>LEFT(base[[#This Row],[Evento / Mercado]],FIND("/",base[[#This Row],[Evento / Mercado]])-2)</f>
        <v>Club Deportivo San Luis vs Magallanes</v>
      </c>
    </row>
    <row r="2537" spans="2:19" ht="15" customHeight="1">
      <c r="B2537" s="128" t="s">
        <v>2483</v>
      </c>
      <c r="C2537" s="128" t="s">
        <v>2982</v>
      </c>
      <c r="D2537" s="129">
        <v>46166.979351851849</v>
      </c>
      <c r="E2537" s="130">
        <v>97.74</v>
      </c>
      <c r="F2537" s="136">
        <v>4.4999999999999998E-2</v>
      </c>
      <c r="G2537" s="126">
        <f t="shared" si="40"/>
        <v>102.3455497382199</v>
      </c>
      <c r="H2537" s="126" t="s">
        <v>231</v>
      </c>
      <c r="I2537" s="127" t="s">
        <v>266</v>
      </c>
      <c r="J2537" s="126">
        <v>1.89</v>
      </c>
      <c r="K2537" s="126">
        <v>115</v>
      </c>
      <c r="L2537" s="129">
        <f>INT(base[[#This Row],[Data de liquidação]])</f>
        <v>46166</v>
      </c>
      <c r="M2537" s="126">
        <f>base[[#This Row],[L/P Bruto]]-base[[#This Row],[L/P Líquido]]</f>
        <v>4.6055497382199064</v>
      </c>
      <c r="N2537" s="126">
        <f>base[[#This Row],[L/P Líquido]]/base[[#This Row],[Stake/Responsabilidade]]</f>
        <v>0.8499130434782608</v>
      </c>
      <c r="O2537" s="132">
        <f>IF(base[[#This Row],[L/P Líquido]]&gt;0,1,0)</f>
        <v>1</v>
      </c>
      <c r="P2537" s="132"/>
      <c r="Q2537" s="132" t="str">
        <f>LEFT(base[[#This Row],[Evento / Mercado]],FIND("vs",base[[#This Row],[Evento / Mercado]])-2)</f>
        <v>Pumas UNAM</v>
      </c>
      <c r="R25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 Azul</v>
      </c>
      <c r="S2537" s="132" t="str">
        <f>LEFT(base[[#This Row],[Evento / Mercado]],FIND("/",base[[#This Row],[Evento / Mercado]])-2)</f>
        <v>Pumas UNAM vs Cruz Azul</v>
      </c>
    </row>
    <row r="2538" spans="2:19" ht="15" customHeight="1">
      <c r="B2538" s="128" t="s">
        <v>2569</v>
      </c>
      <c r="C2538" s="128" t="s">
        <v>2982</v>
      </c>
      <c r="D2538" s="129">
        <v>46167.381041666667</v>
      </c>
      <c r="E2538" s="130">
        <v>-6.36</v>
      </c>
      <c r="F2538" s="136">
        <v>4.4999999999999998E-2</v>
      </c>
      <c r="G2538" s="126">
        <f t="shared" si="40"/>
        <v>-6.36</v>
      </c>
      <c r="H2538" s="126" t="s">
        <v>1339</v>
      </c>
      <c r="I2538" s="127" t="s">
        <v>1236</v>
      </c>
      <c r="J2538" s="126">
        <v>7.2</v>
      </c>
      <c r="K2538" s="126">
        <v>10</v>
      </c>
      <c r="L2538" s="129">
        <f>INT(base[[#This Row],[Data de liquidação]])</f>
        <v>46167</v>
      </c>
      <c r="M2538" s="126">
        <f>base[[#This Row],[L/P Bruto]]-base[[#This Row],[L/P Líquido]]</f>
        <v>0</v>
      </c>
      <c r="N2538" s="126">
        <f>base[[#This Row],[L/P Líquido]]/base[[#This Row],[Stake/Responsabilidade]]</f>
        <v>-0.63600000000000001</v>
      </c>
      <c r="O2538" s="132">
        <f>IF(base[[#This Row],[L/P Líquido]]&gt;0,1,0)</f>
        <v>0</v>
      </c>
      <c r="P2538" s="132"/>
      <c r="Q2538" s="132" t="str">
        <f>LEFT(base[[#This Row],[Evento / Mercado]],FIND("vs",base[[#This Row],[Evento / Mercado]])-2)</f>
        <v>Kolding IF</v>
      </c>
      <c r="R25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Hillerød Fodbold</v>
      </c>
      <c r="S2538" s="132" t="str">
        <f>LEFT(base[[#This Row],[Evento / Mercado]],FIND("/",base[[#This Row],[Evento / Mercado]])-2)</f>
        <v>Kolding IF vs Hillerød Fodbold</v>
      </c>
    </row>
    <row r="2539" spans="2:19" ht="15" customHeight="1">
      <c r="B2539" s="128" t="s">
        <v>2568</v>
      </c>
      <c r="C2539" s="128" t="s">
        <v>2982</v>
      </c>
      <c r="D2539" s="129">
        <v>46167.477083333331</v>
      </c>
      <c r="E2539" s="130">
        <v>3.34</v>
      </c>
      <c r="F2539" s="136">
        <v>4.4999999999999998E-2</v>
      </c>
      <c r="G2539" s="126">
        <f t="shared" si="40"/>
        <v>3.4973821989528795</v>
      </c>
      <c r="H2539" s="126" t="s">
        <v>1339</v>
      </c>
      <c r="I2539" s="127" t="s">
        <v>1963</v>
      </c>
      <c r="J2539" s="126">
        <v>1.07</v>
      </c>
      <c r="K2539" s="126">
        <v>50</v>
      </c>
      <c r="L2539" s="129">
        <f>INT(base[[#This Row],[Data de liquidação]])</f>
        <v>46167</v>
      </c>
      <c r="M2539" s="126">
        <f>base[[#This Row],[L/P Bruto]]-base[[#This Row],[L/P Líquido]]</f>
        <v>0.15738219895287964</v>
      </c>
      <c r="N2539" s="126">
        <f>base[[#This Row],[L/P Líquido]]/base[[#This Row],[Stake/Responsabilidade]]</f>
        <v>6.6799999999999998E-2</v>
      </c>
      <c r="O2539" s="132">
        <f>IF(base[[#This Row],[L/P Líquido]]&gt;0,1,0)</f>
        <v>1</v>
      </c>
      <c r="P2539" s="132"/>
      <c r="Q2539" s="132" t="str">
        <f>LEFT(base[[#This Row],[Evento / Mercado]],FIND("vs",base[[#This Row],[Evento / Mercado]])-2)</f>
        <v>Start</v>
      </c>
      <c r="R25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2539" s="132" t="str">
        <f>LEFT(base[[#This Row],[Evento / Mercado]],FIND("/",base[[#This Row],[Evento / Mercado]])-2)</f>
        <v>Start vs Vålerenga</v>
      </c>
    </row>
    <row r="2540" spans="2:19" ht="15" customHeight="1">
      <c r="B2540" s="128" t="s">
        <v>2567</v>
      </c>
      <c r="C2540" s="128" t="s">
        <v>2982</v>
      </c>
      <c r="D2540" s="129">
        <v>46167.479930555557</v>
      </c>
      <c r="E2540" s="130">
        <v>-7.86</v>
      </c>
      <c r="F2540" s="136">
        <v>4.4999999999999998E-2</v>
      </c>
      <c r="G2540" s="126">
        <f t="shared" si="40"/>
        <v>-7.86</v>
      </c>
      <c r="H2540" s="126" t="s">
        <v>1339</v>
      </c>
      <c r="I2540" s="127" t="s">
        <v>1236</v>
      </c>
      <c r="J2540" s="126">
        <v>10</v>
      </c>
      <c r="K2540" s="126">
        <v>10</v>
      </c>
      <c r="L2540" s="129">
        <f>INT(base[[#This Row],[Data de liquidação]])</f>
        <v>46167</v>
      </c>
      <c r="M2540" s="126">
        <f>base[[#This Row],[L/P Bruto]]-base[[#This Row],[L/P Líquido]]</f>
        <v>0</v>
      </c>
      <c r="N2540" s="126">
        <f>base[[#This Row],[L/P Líquido]]/base[[#This Row],[Stake/Responsabilidade]]</f>
        <v>-0.78600000000000003</v>
      </c>
      <c r="O2540" s="132">
        <f>IF(base[[#This Row],[L/P Líquido]]&gt;0,1,0)</f>
        <v>0</v>
      </c>
      <c r="P2540" s="132"/>
      <c r="Q2540" s="132" t="str">
        <f>LEFT(base[[#This Row],[Evento / Mercado]],FIND("vs",base[[#This Row],[Evento / Mercado]])-2)</f>
        <v>Hvidovre IF</v>
      </c>
      <c r="R25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Esbjerg fB</v>
      </c>
      <c r="S2540" s="132" t="str">
        <f>LEFT(base[[#This Row],[Evento / Mercado]],FIND("/",base[[#This Row],[Evento / Mercado]])-2)</f>
        <v>Hvidovre IF vs Esbjerg fB</v>
      </c>
    </row>
    <row r="2541" spans="2:19" ht="15" customHeight="1">
      <c r="B2541" s="128" t="s">
        <v>2566</v>
      </c>
      <c r="C2541" s="128" t="s">
        <v>2982</v>
      </c>
      <c r="D2541" s="129">
        <v>46167.55133101852</v>
      </c>
      <c r="E2541" s="130">
        <v>-13.67</v>
      </c>
      <c r="F2541" s="136">
        <v>4.4999999999999998E-2</v>
      </c>
      <c r="G2541" s="126">
        <f t="shared" si="40"/>
        <v>-13.67</v>
      </c>
      <c r="H2541" s="126" t="s">
        <v>1339</v>
      </c>
      <c r="I2541" s="127" t="s">
        <v>1236</v>
      </c>
      <c r="J2541" s="126">
        <v>8.6</v>
      </c>
      <c r="K2541" s="126">
        <v>15</v>
      </c>
      <c r="L2541" s="129">
        <f>INT(base[[#This Row],[Data de liquidação]])</f>
        <v>46167</v>
      </c>
      <c r="M2541" s="126">
        <f>base[[#This Row],[L/P Bruto]]-base[[#This Row],[L/P Líquido]]</f>
        <v>0</v>
      </c>
      <c r="N2541" s="126">
        <f>base[[#This Row],[L/P Líquido]]/base[[#This Row],[Stake/Responsabilidade]]</f>
        <v>-0.91133333333333333</v>
      </c>
      <c r="O2541" s="132">
        <f>IF(base[[#This Row],[L/P Líquido]]&gt;0,1,0)</f>
        <v>0</v>
      </c>
      <c r="P2541" s="132"/>
      <c r="Q2541" s="132" t="str">
        <f>LEFT(base[[#This Row],[Evento / Mercado]],FIND("vs",base[[#This Row],[Evento / Mercado]])-2)</f>
        <v>Tromsø</v>
      </c>
      <c r="R25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Aalesunds FK</v>
      </c>
      <c r="S2541" s="132" t="str">
        <f>LEFT(base[[#This Row],[Evento / Mercado]],FIND("/",base[[#This Row],[Evento / Mercado]])-2)</f>
        <v>Tromsø vs Aalesunds FK</v>
      </c>
    </row>
    <row r="2542" spans="2:19" ht="15" customHeight="1">
      <c r="B2542" s="128" t="s">
        <v>2565</v>
      </c>
      <c r="C2542" s="128" t="s">
        <v>2982</v>
      </c>
      <c r="D2542" s="129">
        <v>46167.571458333332</v>
      </c>
      <c r="E2542" s="130">
        <v>-13.09</v>
      </c>
      <c r="F2542" s="136">
        <v>4.4999999999999998E-2</v>
      </c>
      <c r="G2542" s="126">
        <f t="shared" si="40"/>
        <v>-13.09</v>
      </c>
      <c r="H2542" s="126" t="s">
        <v>1339</v>
      </c>
      <c r="I2542" s="127" t="s">
        <v>1236</v>
      </c>
      <c r="J2542" s="126">
        <v>8.8000000000000007</v>
      </c>
      <c r="K2542" s="126">
        <v>15</v>
      </c>
      <c r="L2542" s="129">
        <f>INT(base[[#This Row],[Data de liquidação]])</f>
        <v>46167</v>
      </c>
      <c r="M2542" s="126">
        <f>base[[#This Row],[L/P Bruto]]-base[[#This Row],[L/P Líquido]]</f>
        <v>0</v>
      </c>
      <c r="N2542" s="126">
        <f>base[[#This Row],[L/P Líquido]]/base[[#This Row],[Stake/Responsabilidade]]</f>
        <v>-0.8726666666666667</v>
      </c>
      <c r="O2542" s="132">
        <f>IF(base[[#This Row],[L/P Líquido]]&gt;0,1,0)</f>
        <v>0</v>
      </c>
      <c r="P2542" s="132"/>
      <c r="Q2542" s="132" t="str">
        <f>LEFT(base[[#This Row],[Evento / Mercado]],FIND("vs",base[[#This Row],[Evento / Mercado]])-2)</f>
        <v>Hamarkameratene</v>
      </c>
      <c r="R25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Lillestrøm SK</v>
      </c>
      <c r="S2542" s="132" t="str">
        <f>LEFT(base[[#This Row],[Evento / Mercado]],FIND("/",base[[#This Row],[Evento / Mercado]])-2)</f>
        <v>Hamarkameratene vs Lillestrøm SK</v>
      </c>
    </row>
    <row r="2543" spans="2:19" ht="15" customHeight="1">
      <c r="B2543" s="128" t="s">
        <v>2564</v>
      </c>
      <c r="C2543" s="128" t="s">
        <v>2982</v>
      </c>
      <c r="D2543" s="129">
        <v>46167.577476851853</v>
      </c>
      <c r="E2543" s="130">
        <v>67.89</v>
      </c>
      <c r="F2543" s="136">
        <v>4.4999999999999998E-2</v>
      </c>
      <c r="G2543" s="126">
        <f t="shared" si="40"/>
        <v>71.089005235602102</v>
      </c>
      <c r="H2543" s="126" t="s">
        <v>145</v>
      </c>
      <c r="I2543" s="127" t="s">
        <v>301</v>
      </c>
      <c r="J2543" s="126">
        <v>7.4</v>
      </c>
      <c r="K2543" s="126">
        <v>454.98</v>
      </c>
      <c r="L2543" s="129">
        <f>INT(base[[#This Row],[Data de liquidação]])</f>
        <v>46167</v>
      </c>
      <c r="M2543" s="126">
        <f>base[[#This Row],[L/P Bruto]]-base[[#This Row],[L/P Líquido]]</f>
        <v>3.199005235602101</v>
      </c>
      <c r="N2543" s="126">
        <f>base[[#This Row],[L/P Líquido]]/base[[#This Row],[Stake/Responsabilidade]]</f>
        <v>0.14921535012528023</v>
      </c>
      <c r="O2543" s="132">
        <f>IF(base[[#This Row],[L/P Líquido]]&gt;0,1,0)</f>
        <v>1</v>
      </c>
      <c r="P2543" s="132" t="s">
        <v>1668</v>
      </c>
      <c r="Q2543" s="132" t="str">
        <f>LEFT(base[[#This Row],[Evento / Mercado]],FIND("vs",base[[#This Row],[Evento / Mercado]])-2)</f>
        <v>Tromsø</v>
      </c>
      <c r="R25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Aalesunds FK</v>
      </c>
      <c r="S2543" s="132" t="str">
        <f>LEFT(base[[#This Row],[Evento / Mercado]],FIND("/",base[[#This Row],[Evento / Mercado]])-2)</f>
        <v>Tromsø vs Aalesunds FK</v>
      </c>
    </row>
    <row r="2544" spans="2:19" ht="15" customHeight="1">
      <c r="B2544" s="128" t="s">
        <v>2563</v>
      </c>
      <c r="C2544" s="128" t="s">
        <v>2982</v>
      </c>
      <c r="D2544" s="129">
        <v>46167.578761574077</v>
      </c>
      <c r="E2544" s="130">
        <v>2.39</v>
      </c>
      <c r="F2544" s="136">
        <v>4.4999999999999998E-2</v>
      </c>
      <c r="G2544" s="126">
        <f t="shared" si="40"/>
        <v>2.5026178010471205</v>
      </c>
      <c r="H2544" s="126" t="s">
        <v>1339</v>
      </c>
      <c r="I2544" s="127" t="s">
        <v>1963</v>
      </c>
      <c r="J2544" s="126">
        <v>1.05</v>
      </c>
      <c r="K2544" s="126">
        <v>50</v>
      </c>
      <c r="L2544" s="129">
        <f>INT(base[[#This Row],[Data de liquidação]])</f>
        <v>46167</v>
      </c>
      <c r="M2544" s="126">
        <f>base[[#This Row],[L/P Bruto]]-base[[#This Row],[L/P Líquido]]</f>
        <v>0.11261780104712038</v>
      </c>
      <c r="N2544" s="126">
        <f>base[[#This Row],[L/P Líquido]]/base[[#This Row],[Stake/Responsabilidade]]</f>
        <v>4.7800000000000002E-2</v>
      </c>
      <c r="O2544" s="132">
        <f>IF(base[[#This Row],[L/P Líquido]]&gt;0,1,0)</f>
        <v>1</v>
      </c>
      <c r="P2544" s="132"/>
      <c r="Q2544" s="132" t="str">
        <f>LEFT(base[[#This Row],[Evento / Mercado]],FIND("vs",base[[#This Row],[Evento / Mercado]])-2)</f>
        <v>KFUM Oslo</v>
      </c>
      <c r="R25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Rosenborg BK</v>
      </c>
      <c r="S2544" s="132" t="str">
        <f>LEFT(base[[#This Row],[Evento / Mercado]],FIND("/",base[[#This Row],[Evento / Mercado]])-2)</f>
        <v>KFUM Oslo vs Rosenborg BK</v>
      </c>
    </row>
    <row r="2545" spans="2:19" ht="15" customHeight="1">
      <c r="B2545" s="128" t="s">
        <v>2562</v>
      </c>
      <c r="C2545" s="128" t="s">
        <v>2982</v>
      </c>
      <c r="D2545" s="129">
        <v>46167.579131944447</v>
      </c>
      <c r="E2545" s="130">
        <v>74.92</v>
      </c>
      <c r="F2545" s="136">
        <v>4.4999999999999998E-2</v>
      </c>
      <c r="G2545" s="126">
        <f t="shared" si="40"/>
        <v>78.450261780104711</v>
      </c>
      <c r="H2545" s="126" t="s">
        <v>145</v>
      </c>
      <c r="I2545" s="127" t="s">
        <v>301</v>
      </c>
      <c r="J2545" s="126">
        <v>6.8</v>
      </c>
      <c r="K2545" s="126">
        <v>455.01</v>
      </c>
      <c r="L2545" s="129">
        <f>INT(base[[#This Row],[Data de liquidação]])</f>
        <v>46167</v>
      </c>
      <c r="M2545" s="126">
        <f>base[[#This Row],[L/P Bruto]]-base[[#This Row],[L/P Líquido]]</f>
        <v>3.5302617801047091</v>
      </c>
      <c r="N2545" s="126">
        <f>base[[#This Row],[L/P Líquido]]/base[[#This Row],[Stake/Responsabilidade]]</f>
        <v>0.16465572185226698</v>
      </c>
      <c r="O2545" s="132">
        <f>IF(base[[#This Row],[L/P Líquido]]&gt;0,1,0)</f>
        <v>1</v>
      </c>
      <c r="P2545" s="132" t="s">
        <v>2570</v>
      </c>
      <c r="Q2545" s="132" t="str">
        <f>LEFT(base[[#This Row],[Evento / Mercado]],FIND("vs",base[[#This Row],[Evento / Mercado]])-2)</f>
        <v>Strømsgodset</v>
      </c>
      <c r="R25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Bryne</v>
      </c>
      <c r="S2545" s="132" t="str">
        <f>LEFT(base[[#This Row],[Evento / Mercado]],FIND("/",base[[#This Row],[Evento / Mercado]])-2)</f>
        <v>Strømsgodset vs Bryne</v>
      </c>
    </row>
    <row r="2546" spans="2:19" ht="15" customHeight="1">
      <c r="B2546" s="128" t="s">
        <v>2561</v>
      </c>
      <c r="C2546" s="128" t="s">
        <v>2982</v>
      </c>
      <c r="D2546" s="129">
        <v>46167.611724537041</v>
      </c>
      <c r="E2546" s="130">
        <v>-6.33</v>
      </c>
      <c r="F2546" s="136">
        <v>4.4999999999999998E-2</v>
      </c>
      <c r="G2546" s="126">
        <f t="shared" si="40"/>
        <v>-6.33</v>
      </c>
      <c r="H2546" s="126" t="s">
        <v>1339</v>
      </c>
      <c r="I2546" s="127" t="s">
        <v>1236</v>
      </c>
      <c r="J2546" s="126">
        <v>6.4</v>
      </c>
      <c r="K2546" s="126">
        <v>15</v>
      </c>
      <c r="L2546" s="129">
        <f>INT(base[[#This Row],[Data de liquidação]])</f>
        <v>46167</v>
      </c>
      <c r="M2546" s="126">
        <f>base[[#This Row],[L/P Bruto]]-base[[#This Row],[L/P Líquido]]</f>
        <v>0</v>
      </c>
      <c r="N2546" s="126">
        <f>base[[#This Row],[L/P Líquido]]/base[[#This Row],[Stake/Responsabilidade]]</f>
        <v>-0.42199999999999999</v>
      </c>
      <c r="O2546" s="132">
        <f>IF(base[[#This Row],[L/P Líquido]]&gt;0,1,0)</f>
        <v>0</v>
      </c>
      <c r="P2546" s="132"/>
      <c r="Q2546" s="132" t="str">
        <f>LEFT(base[[#This Row],[Evento / Mercado]],FIND("vs",base[[#This Row],[Evento / Mercado]])-2)</f>
        <v>Lyngby BK</v>
      </c>
      <c r="R25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Horsens</v>
      </c>
      <c r="S2546" s="132" t="str">
        <f>LEFT(base[[#This Row],[Evento / Mercado]],FIND("/",base[[#This Row],[Evento / Mercado]])-2)</f>
        <v>Lyngby BK vs AC Horsens</v>
      </c>
    </row>
    <row r="2547" spans="2:19" ht="15" customHeight="1">
      <c r="B2547" s="128" t="s">
        <v>2560</v>
      </c>
      <c r="C2547" s="128" t="s">
        <v>2982</v>
      </c>
      <c r="D2547" s="129">
        <v>46167.666956018518</v>
      </c>
      <c r="E2547" s="130">
        <v>-5</v>
      </c>
      <c r="F2547" s="136">
        <v>4.4999999999999998E-2</v>
      </c>
      <c r="G2547" s="126">
        <f t="shared" si="40"/>
        <v>-5</v>
      </c>
      <c r="H2547" s="126" t="s">
        <v>1339</v>
      </c>
      <c r="I2547" s="127" t="s">
        <v>2404</v>
      </c>
      <c r="J2547" s="126">
        <v>1.6</v>
      </c>
      <c r="K2547" s="126">
        <v>5</v>
      </c>
      <c r="L2547" s="129">
        <f>INT(base[[#This Row],[Data de liquidação]])</f>
        <v>46167</v>
      </c>
      <c r="M2547" s="126">
        <f>base[[#This Row],[L/P Bruto]]-base[[#This Row],[L/P Líquido]]</f>
        <v>0</v>
      </c>
      <c r="N2547" s="126">
        <f>base[[#This Row],[L/P Líquido]]/base[[#This Row],[Stake/Responsabilidade]]</f>
        <v>-1</v>
      </c>
      <c r="O2547" s="132">
        <f>IF(base[[#This Row],[L/P Líquido]]&gt;0,1,0)</f>
        <v>0</v>
      </c>
      <c r="P2547" s="132"/>
      <c r="Q2547" s="132" t="str">
        <f>LEFT(base[[#This Row],[Evento / Mercado]],FIND("vs",base[[#This Row],[Evento / Mercado]])-2)</f>
        <v>IFK Norrköping</v>
      </c>
      <c r="R25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 IF</v>
      </c>
      <c r="S2547" s="132" t="str">
        <f>LEFT(base[[#This Row],[Evento / Mercado]],FIND("/",base[[#This Row],[Evento / Mercado]])-2)</f>
        <v>IFK Norrköping vs Östers IF</v>
      </c>
    </row>
    <row r="2548" spans="2:19" ht="15" customHeight="1">
      <c r="B2548" s="128" t="s">
        <v>2559</v>
      </c>
      <c r="C2548" s="128" t="s">
        <v>2982</v>
      </c>
      <c r="D2548" s="129">
        <v>46167.675150462965</v>
      </c>
      <c r="E2548" s="130">
        <v>3.53</v>
      </c>
      <c r="F2548" s="136">
        <v>4.4999999999999998E-2</v>
      </c>
      <c r="G2548" s="126">
        <f t="shared" si="40"/>
        <v>3.6963350785340312</v>
      </c>
      <c r="H2548" s="126" t="s">
        <v>1339</v>
      </c>
      <c r="I2548" s="127" t="s">
        <v>1388</v>
      </c>
      <c r="J2548" s="126">
        <v>28</v>
      </c>
      <c r="K2548" s="126">
        <v>99.9</v>
      </c>
      <c r="L2548" s="129">
        <f>INT(base[[#This Row],[Data de liquidação]])</f>
        <v>46167</v>
      </c>
      <c r="M2548" s="126">
        <f>base[[#This Row],[L/P Bruto]]-base[[#This Row],[L/P Líquido]]</f>
        <v>0.1663350785340314</v>
      </c>
      <c r="N2548" s="126">
        <f>base[[#This Row],[L/P Líquido]]/base[[#This Row],[Stake/Responsabilidade]]</f>
        <v>3.5335335335335331E-2</v>
      </c>
      <c r="O2548" s="132">
        <f>IF(base[[#This Row],[L/P Líquido]]&gt;0,1,0)</f>
        <v>1</v>
      </c>
      <c r="P2548" s="132"/>
      <c r="Q2548" s="132" t="str">
        <f>LEFT(base[[#This Row],[Evento / Mercado]],FIND("vs",base[[#This Row],[Evento / Mercado]])-2)</f>
        <v>Sandefjord Fotball</v>
      </c>
      <c r="R25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Fredrikstad</v>
      </c>
      <c r="S2548" s="132" t="str">
        <f>LEFT(base[[#This Row],[Evento / Mercado]],FIND("/",base[[#This Row],[Evento / Mercado]])-2)</f>
        <v>Sandefjord Fotball vs Fredrikstad</v>
      </c>
    </row>
    <row r="2549" spans="2:19" ht="15" customHeight="1">
      <c r="B2549" s="128" t="s">
        <v>2558</v>
      </c>
      <c r="C2549" s="128" t="s">
        <v>2982</v>
      </c>
      <c r="D2549" s="129">
        <v>46167.683634259258</v>
      </c>
      <c r="E2549" s="130">
        <v>-2</v>
      </c>
      <c r="F2549" s="136">
        <v>4.4999999999999998E-2</v>
      </c>
      <c r="G2549" s="126">
        <f t="shared" si="40"/>
        <v>-2</v>
      </c>
      <c r="H2549" s="126" t="s">
        <v>1339</v>
      </c>
      <c r="I2549" s="127" t="s">
        <v>1431</v>
      </c>
      <c r="J2549" s="126">
        <v>2.2799999999999998</v>
      </c>
      <c r="K2549" s="126">
        <v>2</v>
      </c>
      <c r="L2549" s="129">
        <f>INT(base[[#This Row],[Data de liquidação]])</f>
        <v>46167</v>
      </c>
      <c r="M2549" s="126">
        <f>base[[#This Row],[L/P Bruto]]-base[[#This Row],[L/P Líquido]]</f>
        <v>0</v>
      </c>
      <c r="N2549" s="126">
        <f>base[[#This Row],[L/P Líquido]]/base[[#This Row],[Stake/Responsabilidade]]</f>
        <v>-1</v>
      </c>
      <c r="O2549" s="132">
        <f>IF(base[[#This Row],[L/P Líquido]]&gt;0,1,0)</f>
        <v>0</v>
      </c>
      <c r="P2549" s="132"/>
      <c r="Q2549" s="132" t="str">
        <f>LEFT(base[[#This Row],[Evento / Mercado]],FIND("vs",base[[#This Row],[Evento / Mercado]])-2)</f>
        <v>Rapid Bucuresti</v>
      </c>
      <c r="R25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CS Universitatea Craiova</v>
      </c>
      <c r="S2549" s="132" t="str">
        <f>LEFT(base[[#This Row],[Evento / Mercado]],FIND("/",base[[#This Row],[Evento / Mercado]])-2)</f>
        <v>Rapid Bucuresti vs CS Universitatea Craiova</v>
      </c>
    </row>
    <row r="2550" spans="2:19" ht="15" customHeight="1">
      <c r="B2550" s="128" t="s">
        <v>2557</v>
      </c>
      <c r="C2550" s="128" t="s">
        <v>2982</v>
      </c>
      <c r="D2550" s="129">
        <v>46167.706064814818</v>
      </c>
      <c r="E2550" s="130">
        <v>5.87</v>
      </c>
      <c r="F2550" s="136">
        <v>4.4999999999999998E-2</v>
      </c>
      <c r="G2550" s="126">
        <f t="shared" si="40"/>
        <v>6.1465968586387438</v>
      </c>
      <c r="H2550" s="126" t="s">
        <v>211</v>
      </c>
      <c r="I2550" s="127" t="s">
        <v>1480</v>
      </c>
      <c r="J2550" s="126">
        <v>1.41</v>
      </c>
      <c r="K2550" s="126">
        <v>15</v>
      </c>
      <c r="L2550" s="129">
        <f>INT(base[[#This Row],[Data de liquidação]])</f>
        <v>46167</v>
      </c>
      <c r="M2550" s="126">
        <f>base[[#This Row],[L/P Bruto]]-base[[#This Row],[L/P Líquido]]</f>
        <v>0.27659685863874373</v>
      </c>
      <c r="N2550" s="126">
        <f>base[[#This Row],[L/P Líquido]]/base[[#This Row],[Stake/Responsabilidade]]</f>
        <v>0.39133333333333337</v>
      </c>
      <c r="O2550" s="132">
        <f>IF(base[[#This Row],[L/P Líquido]]&gt;0,1,0)</f>
        <v>1</v>
      </c>
      <c r="P2550" s="132"/>
      <c r="Q2550" s="132" t="str">
        <f>LEFT(base[[#This Row],[Evento / Mercado]],FIND("vs",base[[#This Row],[Evento / Mercado]])-2)</f>
        <v>Club Laguna SAF</v>
      </c>
      <c r="R25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Maguary</v>
      </c>
      <c r="S2550" s="132" t="str">
        <f>LEFT(base[[#This Row],[Evento / Mercado]],FIND("/",base[[#This Row],[Evento / Mercado]])-2)</f>
        <v>Club Laguna SAF vs Maguary</v>
      </c>
    </row>
    <row r="2551" spans="2:19" ht="15" customHeight="1">
      <c r="B2551" s="128" t="s">
        <v>2556</v>
      </c>
      <c r="C2551" s="128" t="s">
        <v>2982</v>
      </c>
      <c r="D2551" s="129">
        <v>46167.724166666667</v>
      </c>
      <c r="E2551" s="130">
        <v>-15</v>
      </c>
      <c r="F2551" s="136">
        <v>4.4999999999999998E-2</v>
      </c>
      <c r="G2551" s="126">
        <f t="shared" si="40"/>
        <v>-15</v>
      </c>
      <c r="H2551" s="126" t="s">
        <v>211</v>
      </c>
      <c r="I2551" s="127" t="s">
        <v>1480</v>
      </c>
      <c r="J2551" s="126">
        <v>1.5</v>
      </c>
      <c r="K2551" s="126">
        <v>15</v>
      </c>
      <c r="L2551" s="129">
        <f>INT(base[[#This Row],[Data de liquidação]])</f>
        <v>46167</v>
      </c>
      <c r="M2551" s="126">
        <f>base[[#This Row],[L/P Bruto]]-base[[#This Row],[L/P Líquido]]</f>
        <v>0</v>
      </c>
      <c r="N2551" s="126">
        <f>base[[#This Row],[L/P Líquido]]/base[[#This Row],[Stake/Responsabilidade]]</f>
        <v>-1</v>
      </c>
      <c r="O2551" s="132">
        <f>IF(base[[#This Row],[L/P Líquido]]&gt;0,1,0)</f>
        <v>0</v>
      </c>
      <c r="P2551" s="132"/>
      <c r="Q2551" s="132" t="str">
        <f>LEFT(base[[#This Row],[Evento / Mercado]],FIND("vs",base[[#This Row],[Evento / Mercado]])-2)</f>
        <v>SC Paderborn 07</v>
      </c>
      <c r="R25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2551" s="132" t="str">
        <f>LEFT(base[[#This Row],[Evento / Mercado]],FIND("/",base[[#This Row],[Evento / Mercado]])-2)</f>
        <v>SC Paderborn 07 vs VfL Wolfsburg</v>
      </c>
    </row>
    <row r="2552" spans="2:19" ht="15" customHeight="1">
      <c r="B2552" s="128" t="s">
        <v>2555</v>
      </c>
      <c r="C2552" s="128" t="s">
        <v>2982</v>
      </c>
      <c r="D2552" s="129">
        <v>46167.745810185188</v>
      </c>
      <c r="E2552" s="130">
        <v>2.57</v>
      </c>
      <c r="F2552" s="136">
        <v>4.4999999999999998E-2</v>
      </c>
      <c r="G2552" s="126">
        <f t="shared" si="40"/>
        <v>2.6910994764397906</v>
      </c>
      <c r="H2552" s="126" t="s">
        <v>1339</v>
      </c>
      <c r="I2552" s="127" t="s">
        <v>1430</v>
      </c>
      <c r="J2552" s="126">
        <v>42</v>
      </c>
      <c r="K2552" s="126">
        <v>110.52</v>
      </c>
      <c r="L2552" s="129">
        <f>INT(base[[#This Row],[Data de liquidação]])</f>
        <v>46167</v>
      </c>
      <c r="M2552" s="126">
        <f>base[[#This Row],[L/P Bruto]]-base[[#This Row],[L/P Líquido]]</f>
        <v>0.1210994764397908</v>
      </c>
      <c r="N2552" s="126">
        <f>base[[#This Row],[L/P Líquido]]/base[[#This Row],[Stake/Responsabilidade]]</f>
        <v>2.3253709735794426E-2</v>
      </c>
      <c r="O2552" s="132">
        <f>IF(base[[#This Row],[L/P Líquido]]&gt;0,1,0)</f>
        <v>1</v>
      </c>
      <c r="P2552" s="132"/>
      <c r="Q2552" s="132" t="str">
        <f>LEFT(base[[#This Row],[Evento / Mercado]],FIND("vs",base[[#This Row],[Evento / Mercado]])-2)</f>
        <v>St Mirren</v>
      </c>
      <c r="R25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Partick Thistle</v>
      </c>
      <c r="S2552" s="132" t="str">
        <f>LEFT(base[[#This Row],[Evento / Mercado]],FIND("/",base[[#This Row],[Evento / Mercado]])-2)</f>
        <v>St Mirren vs Partick Thistle</v>
      </c>
    </row>
    <row r="2553" spans="2:19" ht="15" customHeight="1">
      <c r="B2553" s="128" t="s">
        <v>2554</v>
      </c>
      <c r="C2553" s="128" t="s">
        <v>2982</v>
      </c>
      <c r="D2553" s="129">
        <v>46167.808483796296</v>
      </c>
      <c r="E2553" s="130">
        <v>6.28</v>
      </c>
      <c r="F2553" s="136">
        <v>4.4999999999999998E-2</v>
      </c>
      <c r="G2553" s="126">
        <f t="shared" si="40"/>
        <v>6.5759162303664924</v>
      </c>
      <c r="H2553" s="126" t="s">
        <v>1339</v>
      </c>
      <c r="I2553" s="127" t="s">
        <v>2470</v>
      </c>
      <c r="J2553" s="126">
        <v>8.6</v>
      </c>
      <c r="K2553" s="126">
        <v>50.01</v>
      </c>
      <c r="L2553" s="129">
        <f>INT(base[[#This Row],[Data de liquidação]])</f>
        <v>46167</v>
      </c>
      <c r="M2553" s="126">
        <f>base[[#This Row],[L/P Bruto]]-base[[#This Row],[L/P Líquido]]</f>
        <v>0.29591623036649217</v>
      </c>
      <c r="N2553" s="126">
        <f>base[[#This Row],[L/P Líquido]]/base[[#This Row],[Stake/Responsabilidade]]</f>
        <v>0.12557488502299541</v>
      </c>
      <c r="O2553" s="132">
        <f>IF(base[[#This Row],[L/P Líquido]]&gt;0,1,0)</f>
        <v>1</v>
      </c>
      <c r="P2553" s="132"/>
      <c r="Q2553" s="132" t="str">
        <f>LEFT(base[[#This Row],[Evento / Mercado]],FIND("vs",base[[#This Row],[Evento / Mercado]])-2)</f>
        <v>Comerciantes Unidos</v>
      </c>
      <c r="R25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Garcilaso</v>
      </c>
      <c r="S2553" s="132" t="str">
        <f>LEFT(base[[#This Row],[Evento / Mercado]],FIND("/",base[[#This Row],[Evento / Mercado]])-2)</f>
        <v>Comerciantes Unidos vs Deportivo Garcilaso</v>
      </c>
    </row>
    <row r="2554" spans="2:19" ht="15" customHeight="1">
      <c r="B2554" s="128" t="s">
        <v>2553</v>
      </c>
      <c r="C2554" s="128" t="s">
        <v>2982</v>
      </c>
      <c r="D2554" s="129">
        <v>46167.913113425922</v>
      </c>
      <c r="E2554" s="130">
        <v>5.42</v>
      </c>
      <c r="F2554" s="136">
        <v>4.4999999999999998E-2</v>
      </c>
      <c r="G2554" s="126">
        <f t="shared" si="40"/>
        <v>5.6753926701570681</v>
      </c>
      <c r="H2554" s="126" t="s">
        <v>1339</v>
      </c>
      <c r="I2554" s="127" t="s">
        <v>2470</v>
      </c>
      <c r="J2554" s="126">
        <v>9.8000000000000007</v>
      </c>
      <c r="K2554" s="126">
        <v>49.98</v>
      </c>
      <c r="L2554" s="129">
        <f>INT(base[[#This Row],[Data de liquidação]])</f>
        <v>46167</v>
      </c>
      <c r="M2554" s="126">
        <f>base[[#This Row],[L/P Bruto]]-base[[#This Row],[L/P Líquido]]</f>
        <v>0.25539267015706812</v>
      </c>
      <c r="N2554" s="126">
        <f>base[[#This Row],[L/P Líquido]]/base[[#This Row],[Stake/Responsabilidade]]</f>
        <v>0.10844337735094038</v>
      </c>
      <c r="O2554" s="132">
        <f>IF(base[[#This Row],[L/P Líquido]]&gt;0,1,0)</f>
        <v>1</v>
      </c>
      <c r="P2554" s="132"/>
      <c r="Q2554" s="132" t="str">
        <f>LEFT(base[[#This Row],[Evento / Mercado]],FIND("vs",base[[#This Row],[Evento / Mercado]])-2)</f>
        <v>Ituano FC</v>
      </c>
      <c r="R25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PB</v>
      </c>
      <c r="S2554" s="132" t="str">
        <f>LEFT(base[[#This Row],[Evento / Mercado]],FIND("/",base[[#This Row],[Evento / Mercado]])-2)</f>
        <v>Ituano FC vs Botafogo PB</v>
      </c>
    </row>
    <row r="2555" spans="2:19" ht="15" customHeight="1">
      <c r="B2555" s="128" t="s">
        <v>2577</v>
      </c>
      <c r="C2555" s="128" t="s">
        <v>2982</v>
      </c>
      <c r="D2555" s="129">
        <v>46168.699131944442</v>
      </c>
      <c r="E2555" s="130">
        <v>5.73</v>
      </c>
      <c r="F2555" s="136">
        <v>4.4999999999999998E-2</v>
      </c>
      <c r="G2555" s="126">
        <f t="shared" si="40"/>
        <v>6.0000000000000009</v>
      </c>
      <c r="H2555" s="126" t="s">
        <v>211</v>
      </c>
      <c r="I2555" s="127" t="s">
        <v>1480</v>
      </c>
      <c r="J2555" s="126">
        <v>1.4</v>
      </c>
      <c r="K2555" s="126">
        <v>15</v>
      </c>
      <c r="L2555" s="129">
        <f>INT(base[[#This Row],[Data de liquidação]])</f>
        <v>46168</v>
      </c>
      <c r="M2555" s="126">
        <f>base[[#This Row],[L/P Bruto]]-base[[#This Row],[L/P Líquido]]</f>
        <v>0.27000000000000046</v>
      </c>
      <c r="N2555" s="126">
        <f>base[[#This Row],[L/P Líquido]]/base[[#This Row],[Stake/Responsabilidade]]</f>
        <v>0.38200000000000001</v>
      </c>
      <c r="O2555" s="132">
        <f>IF(base[[#This Row],[L/P Líquido]]&gt;0,1,0)</f>
        <v>1</v>
      </c>
      <c r="P2555" s="132"/>
      <c r="Q2555" s="132" t="str">
        <f>LEFT(base[[#This Row],[Evento / Mercado]],FIND("vs",base[[#This Row],[Evento / Mercado]])-2)</f>
        <v>Stjarnan</v>
      </c>
      <c r="R25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Víkingur</v>
      </c>
      <c r="S2555" s="132" t="str">
        <f>LEFT(base[[#This Row],[Evento / Mercado]],FIND("/",base[[#This Row],[Evento / Mercado]])-2)</f>
        <v>Stjarnan vs Víkingur</v>
      </c>
    </row>
    <row r="2556" spans="2:19" ht="15" customHeight="1">
      <c r="B2556" s="128" t="s">
        <v>2576</v>
      </c>
      <c r="C2556" s="128" t="s">
        <v>2982</v>
      </c>
      <c r="D2556" s="129">
        <v>46168.755613425928</v>
      </c>
      <c r="E2556" s="130">
        <v>-1.8</v>
      </c>
      <c r="F2556" s="136">
        <v>4.4999999999999998E-2</v>
      </c>
      <c r="G2556" s="126">
        <f t="shared" si="40"/>
        <v>-1.8</v>
      </c>
      <c r="H2556" s="126" t="s">
        <v>211</v>
      </c>
      <c r="I2556" s="127" t="s">
        <v>1480</v>
      </c>
      <c r="J2556" s="126">
        <v>1.57</v>
      </c>
      <c r="K2556" s="126">
        <v>5</v>
      </c>
      <c r="L2556" s="129">
        <f>INT(base[[#This Row],[Data de liquidação]])</f>
        <v>46168</v>
      </c>
      <c r="M2556" s="126">
        <f>base[[#This Row],[L/P Bruto]]-base[[#This Row],[L/P Líquido]]</f>
        <v>0</v>
      </c>
      <c r="N2556" s="126">
        <f>base[[#This Row],[L/P Líquido]]/base[[#This Row],[Stake/Responsabilidade]]</f>
        <v>-0.36</v>
      </c>
      <c r="O2556" s="132">
        <f>IF(base[[#This Row],[L/P Líquido]]&gt;0,1,0)</f>
        <v>0</v>
      </c>
      <c r="P2556" s="132"/>
      <c r="Q2556" s="132" t="str">
        <f>LEFT(base[[#This Row],[Evento / Mercado]],FIND("vs",base[[#This Row],[Evento / Mercado]])-2)</f>
        <v>Stjarnan</v>
      </c>
      <c r="R25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Víkingur</v>
      </c>
      <c r="S2556" s="132" t="str">
        <f>LEFT(base[[#This Row],[Evento / Mercado]],FIND("/",base[[#This Row],[Evento / Mercado]])-2)</f>
        <v>Stjarnan vs Víkingur</v>
      </c>
    </row>
    <row r="2557" spans="2:19" ht="15" customHeight="1">
      <c r="B2557" s="128" t="s">
        <v>2575</v>
      </c>
      <c r="C2557" s="128" t="s">
        <v>2982</v>
      </c>
      <c r="D2557" s="129">
        <v>46168.874652777777</v>
      </c>
      <c r="E2557" s="130">
        <v>-15</v>
      </c>
      <c r="F2557" s="136">
        <v>4.4999999999999998E-2</v>
      </c>
      <c r="G2557" s="126">
        <f t="shared" si="40"/>
        <v>-15</v>
      </c>
      <c r="H2557" s="126" t="s">
        <v>211</v>
      </c>
      <c r="I2557" s="127" t="s">
        <v>1480</v>
      </c>
      <c r="J2557" s="126">
        <v>1.59</v>
      </c>
      <c r="K2557" s="126">
        <v>15</v>
      </c>
      <c r="L2557" s="129">
        <f>INT(base[[#This Row],[Data de liquidação]])</f>
        <v>46168</v>
      </c>
      <c r="M2557" s="126">
        <f>base[[#This Row],[L/P Bruto]]-base[[#This Row],[L/P Líquido]]</f>
        <v>0</v>
      </c>
      <c r="N2557" s="126">
        <f>base[[#This Row],[L/P Líquido]]/base[[#This Row],[Stake/Responsabilidade]]</f>
        <v>-1</v>
      </c>
      <c r="O2557" s="132">
        <f>IF(base[[#This Row],[L/P Líquido]]&gt;0,1,0)</f>
        <v>0</v>
      </c>
      <c r="P2557" s="132"/>
      <c r="Q2557" s="132" t="str">
        <f>LEFT(base[[#This Row],[Evento / Mercado]],FIND("vs",base[[#This Row],[Evento / Mercado]])-2)</f>
        <v>Millonarios</v>
      </c>
      <c r="R25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2557" s="132" t="str">
        <f>LEFT(base[[#This Row],[Evento / Mercado]],FIND("/",base[[#This Row],[Evento / Mercado]])-2)</f>
        <v>Millonarios vs O'Higgins</v>
      </c>
    </row>
    <row r="2558" spans="2:19" ht="15" customHeight="1">
      <c r="B2558" s="128" t="s">
        <v>2574</v>
      </c>
      <c r="C2558" s="128" t="s">
        <v>2982</v>
      </c>
      <c r="D2558" s="129">
        <v>46168.974340277775</v>
      </c>
      <c r="E2558" s="130">
        <v>34.56</v>
      </c>
      <c r="F2558" s="136">
        <v>4.4999999999999998E-2</v>
      </c>
      <c r="G2558" s="126">
        <f t="shared" si="40"/>
        <v>36.188481675392673</v>
      </c>
      <c r="H2558" s="126" t="s">
        <v>122</v>
      </c>
      <c r="I2558" s="127" t="s">
        <v>477</v>
      </c>
      <c r="J2558" s="126">
        <v>11.5</v>
      </c>
      <c r="K2558" s="126">
        <v>380</v>
      </c>
      <c r="L2558" s="129">
        <f>INT(base[[#This Row],[Data de liquidação]])</f>
        <v>46168</v>
      </c>
      <c r="M2558" s="126">
        <f>base[[#This Row],[L/P Bruto]]-base[[#This Row],[L/P Líquido]]</f>
        <v>1.6284816753926705</v>
      </c>
      <c r="N2558" s="126">
        <f>base[[#This Row],[L/P Líquido]]/base[[#This Row],[Stake/Responsabilidade]]</f>
        <v>9.0947368421052638E-2</v>
      </c>
      <c r="O2558" s="132">
        <f>IF(base[[#This Row],[L/P Líquido]]&gt;0,1,0)</f>
        <v>1</v>
      </c>
      <c r="P2558" s="132" t="s">
        <v>2365</v>
      </c>
      <c r="Q2558" s="132" t="str">
        <f>LEFT(base[[#This Row],[Evento / Mercado]],FIND("vs",base[[#This Row],[Evento / Mercado]])-2)</f>
        <v>Flamengo</v>
      </c>
      <c r="R25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Cusco FC</v>
      </c>
      <c r="S2558" s="132" t="str">
        <f>LEFT(base[[#This Row],[Evento / Mercado]],FIND("/",base[[#This Row],[Evento / Mercado]])-2)</f>
        <v>Flamengo vs Cusco FC</v>
      </c>
    </row>
    <row r="2559" spans="2:19" ht="15" customHeight="1">
      <c r="B2559" s="128" t="s">
        <v>2573</v>
      </c>
      <c r="C2559" s="128" t="s">
        <v>2982</v>
      </c>
      <c r="D2559" s="129">
        <v>46168.974444444444</v>
      </c>
      <c r="E2559" s="130">
        <v>15.12</v>
      </c>
      <c r="F2559" s="136">
        <v>4.4999999999999998E-2</v>
      </c>
      <c r="G2559" s="126">
        <f t="shared" si="40"/>
        <v>15.832460732984293</v>
      </c>
      <c r="H2559" s="126" t="s">
        <v>145</v>
      </c>
      <c r="I2559" s="127" t="s">
        <v>301</v>
      </c>
      <c r="J2559" s="126">
        <v>25</v>
      </c>
      <c r="K2559" s="126">
        <v>379.92</v>
      </c>
      <c r="L2559" s="129">
        <f>INT(base[[#This Row],[Data de liquidação]])</f>
        <v>46168</v>
      </c>
      <c r="M2559" s="126">
        <f>base[[#This Row],[L/P Bruto]]-base[[#This Row],[L/P Líquido]]</f>
        <v>0.7124607329842938</v>
      </c>
      <c r="N2559" s="126">
        <f>base[[#This Row],[L/P Líquido]]/base[[#This Row],[Stake/Responsabilidade]]</f>
        <v>3.9797852179406186E-2</v>
      </c>
      <c r="O2559" s="132">
        <f>IF(base[[#This Row],[L/P Líquido]]&gt;0,1,0)</f>
        <v>1</v>
      </c>
      <c r="P2559" s="132" t="s">
        <v>2365</v>
      </c>
      <c r="Q2559" s="132" t="str">
        <f>LEFT(base[[#This Row],[Evento / Mercado]],FIND("vs",base[[#This Row],[Evento / Mercado]])-2)</f>
        <v>Flamengo</v>
      </c>
      <c r="R25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Cusco FC</v>
      </c>
      <c r="S2559" s="132" t="str">
        <f>LEFT(base[[#This Row],[Evento / Mercado]],FIND("/",base[[#This Row],[Evento / Mercado]])-2)</f>
        <v>Flamengo vs Cusco FC</v>
      </c>
    </row>
    <row r="2560" spans="2:19" ht="15" customHeight="1">
      <c r="B2560" s="128" t="s">
        <v>2581</v>
      </c>
      <c r="C2560" s="128" t="s">
        <v>2982</v>
      </c>
      <c r="D2560" s="129">
        <v>46170.86996527778</v>
      </c>
      <c r="E2560" s="130">
        <v>25.15</v>
      </c>
      <c r="F2560" s="136">
        <v>4.4999999999999998E-2</v>
      </c>
      <c r="G2560" s="126">
        <f t="shared" si="40"/>
        <v>26.335078534031414</v>
      </c>
      <c r="H2560" s="126" t="s">
        <v>145</v>
      </c>
      <c r="I2560" s="127" t="s">
        <v>301</v>
      </c>
      <c r="J2560" s="126">
        <v>16</v>
      </c>
      <c r="K2560" s="126">
        <v>394.95</v>
      </c>
      <c r="L2560" s="129">
        <f>INT(base[[#This Row],[Data de liquidação]])</f>
        <v>46170</v>
      </c>
      <c r="M2560" s="126">
        <f>base[[#This Row],[L/P Bruto]]-base[[#This Row],[L/P Líquido]]</f>
        <v>1.1850785340314154</v>
      </c>
      <c r="N2560" s="126">
        <f>base[[#This Row],[L/P Líquido]]/base[[#This Row],[Stake/Responsabilidade]]</f>
        <v>6.3678946702114186E-2</v>
      </c>
      <c r="O2560" s="132">
        <f>IF(base[[#This Row],[L/P Líquido]]&gt;0,1,0)</f>
        <v>1</v>
      </c>
      <c r="P2560" s="132" t="s">
        <v>2365</v>
      </c>
      <c r="Q2560" s="132" t="str">
        <f>LEFT(base[[#This Row],[Evento / Mercado]],FIND("vs",base[[#This Row],[Evento / Mercado]])-2)</f>
        <v>Palmeiras</v>
      </c>
      <c r="R25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Junior</v>
      </c>
      <c r="S2560" s="132" t="str">
        <f>LEFT(base[[#This Row],[Evento / Mercado]],FIND("/",base[[#This Row],[Evento / Mercado]])-2)</f>
        <v>Palmeiras vs Junior</v>
      </c>
    </row>
    <row r="2561" spans="2:19" ht="15" customHeight="1">
      <c r="B2561" s="128" t="s">
        <v>2580</v>
      </c>
      <c r="C2561" s="128" t="s">
        <v>2982</v>
      </c>
      <c r="D2561" s="129">
        <v>46170.978217592594</v>
      </c>
      <c r="E2561" s="130">
        <v>30.86</v>
      </c>
      <c r="F2561" s="136">
        <v>4.4999999999999998E-2</v>
      </c>
      <c r="G2561" s="126">
        <f t="shared" si="40"/>
        <v>32.31413612565445</v>
      </c>
      <c r="H2561" s="126" t="s">
        <v>145</v>
      </c>
      <c r="I2561" s="127" t="s">
        <v>301</v>
      </c>
      <c r="J2561" s="126">
        <v>14</v>
      </c>
      <c r="K2561" s="126">
        <v>420.03</v>
      </c>
      <c r="L2561" s="129">
        <f>INT(base[[#This Row],[Data de liquidação]])</f>
        <v>46170</v>
      </c>
      <c r="M2561" s="126">
        <f>base[[#This Row],[L/P Bruto]]-base[[#This Row],[L/P Líquido]]</f>
        <v>1.4541361256544505</v>
      </c>
      <c r="N2561" s="126">
        <f>base[[#This Row],[L/P Líquido]]/base[[#This Row],[Stake/Responsabilidade]]</f>
        <v>7.3470942551722498E-2</v>
      </c>
      <c r="O2561" s="132">
        <f>IF(base[[#This Row],[L/P Líquido]]&gt;0,1,0)</f>
        <v>1</v>
      </c>
      <c r="P2561" s="132" t="s">
        <v>2365</v>
      </c>
      <c r="Q2561" s="132" t="str">
        <f>LEFT(base[[#This Row],[Evento / Mercado]],FIND("vs",base[[#This Row],[Evento / Mercado]])-2)</f>
        <v>Cruzeiro</v>
      </c>
      <c r="R25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Barcelona SC</v>
      </c>
      <c r="S2561" s="132" t="str">
        <f>LEFT(base[[#This Row],[Evento / Mercado]],FIND("/",base[[#This Row],[Evento / Mercado]])-2)</f>
        <v>Cruzeiro vs Barcelona SC</v>
      </c>
    </row>
    <row r="2562" spans="2:19" ht="15" customHeight="1">
      <c r="B2562" s="128" t="s">
        <v>2595</v>
      </c>
      <c r="C2562" s="128" t="s">
        <v>2982</v>
      </c>
      <c r="D2562" s="129">
        <v>46171.434131944443</v>
      </c>
      <c r="E2562" s="130">
        <v>0.51</v>
      </c>
      <c r="F2562" s="136">
        <v>4.4999999999999998E-2</v>
      </c>
      <c r="G2562" s="126">
        <f t="shared" si="40"/>
        <v>0.53403141361256545</v>
      </c>
      <c r="H2562" s="126" t="s">
        <v>1339</v>
      </c>
      <c r="I2562" s="127" t="s">
        <v>2471</v>
      </c>
      <c r="J2562" s="126">
        <v>1.26</v>
      </c>
      <c r="K2562" s="126">
        <v>5</v>
      </c>
      <c r="L2562" s="129">
        <f>INT(base[[#This Row],[Data de liquidação]])</f>
        <v>46171</v>
      </c>
      <c r="M2562" s="126">
        <f>base[[#This Row],[L/P Bruto]]-base[[#This Row],[L/P Líquido]]</f>
        <v>2.4031413612565444E-2</v>
      </c>
      <c r="N2562" s="126">
        <f>base[[#This Row],[L/P Líquido]]/base[[#This Row],[Stake/Responsabilidade]]</f>
        <v>0.10200000000000001</v>
      </c>
      <c r="O2562" s="132">
        <f>IF(base[[#This Row],[L/P Líquido]]&gt;0,1,0)</f>
        <v>1</v>
      </c>
      <c r="P2562" s="132"/>
      <c r="Q2562" s="132" t="str">
        <f>LEFT(base[[#This Row],[Evento / Mercado]],FIND("vs",base[[#This Row],[Evento / Mercado]])-2)</f>
        <v>Liaoning Tieren F.C.</v>
      </c>
      <c r="R25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Port</v>
      </c>
      <c r="S2562" s="132" t="str">
        <f>LEFT(base[[#This Row],[Evento / Mercado]],FIND("/",base[[#This Row],[Evento / Mercado]])-2)</f>
        <v>Liaoning Tieren F.C. vs Shanghai Port</v>
      </c>
    </row>
    <row r="2563" spans="2:19" ht="15" customHeight="1">
      <c r="B2563" s="128" t="s">
        <v>2594</v>
      </c>
      <c r="C2563" s="128" t="s">
        <v>2982</v>
      </c>
      <c r="D2563" s="129">
        <v>46171.641041666669</v>
      </c>
      <c r="E2563" s="130">
        <v>-12.14</v>
      </c>
      <c r="F2563" s="136">
        <v>4.4999999999999998E-2</v>
      </c>
      <c r="G2563" s="126">
        <f t="shared" ref="G2563:G2626" si="41">IF(E2563&gt;0,E2563/(1-F2563),E2563)</f>
        <v>-12.14</v>
      </c>
      <c r="H2563" s="126" t="s">
        <v>1339</v>
      </c>
      <c r="I2563" s="127" t="s">
        <v>1236</v>
      </c>
      <c r="J2563" s="126">
        <v>7.6</v>
      </c>
      <c r="K2563" s="126">
        <v>15</v>
      </c>
      <c r="L2563" s="129">
        <f>INT(base[[#This Row],[Data de liquidação]])</f>
        <v>46171</v>
      </c>
      <c r="M2563" s="126">
        <f>base[[#This Row],[L/P Bruto]]-base[[#This Row],[L/P Líquido]]</f>
        <v>0</v>
      </c>
      <c r="N2563" s="126">
        <f>base[[#This Row],[L/P Líquido]]/base[[#This Row],[Stake/Responsabilidade]]</f>
        <v>-0.80933333333333335</v>
      </c>
      <c r="O2563" s="132">
        <f>IF(base[[#This Row],[L/P Líquido]]&gt;0,1,0)</f>
        <v>0</v>
      </c>
      <c r="P2563" s="132"/>
      <c r="Q2563" s="132" t="str">
        <f>LEFT(base[[#This Row],[Evento / Mercado]],FIND("vs",base[[#This Row],[Evento / Mercado]])-2)</f>
        <v>Fredrikstad</v>
      </c>
      <c r="R25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Start</v>
      </c>
      <c r="S2563" s="132" t="str">
        <f>LEFT(base[[#This Row],[Evento / Mercado]],FIND("/",base[[#This Row],[Evento / Mercado]])-2)</f>
        <v>Fredrikstad vs Start</v>
      </c>
    </row>
    <row r="2564" spans="2:19" ht="15" customHeight="1">
      <c r="B2564" s="128" t="s">
        <v>2593</v>
      </c>
      <c r="C2564" s="128" t="s">
        <v>2982</v>
      </c>
      <c r="D2564" s="129">
        <v>46171.644780092596</v>
      </c>
      <c r="E2564" s="130">
        <v>-15</v>
      </c>
      <c r="F2564" s="136">
        <v>4.4999999999999998E-2</v>
      </c>
      <c r="G2564" s="126">
        <f t="shared" si="41"/>
        <v>-15</v>
      </c>
      <c r="H2564" s="126" t="s">
        <v>1339</v>
      </c>
      <c r="I2564" s="127" t="s">
        <v>1336</v>
      </c>
      <c r="J2564" s="126">
        <v>1.48</v>
      </c>
      <c r="K2564" s="126">
        <v>15</v>
      </c>
      <c r="L2564" s="129">
        <f>INT(base[[#This Row],[Data de liquidação]])</f>
        <v>46171</v>
      </c>
      <c r="M2564" s="126">
        <f>base[[#This Row],[L/P Bruto]]-base[[#This Row],[L/P Líquido]]</f>
        <v>0</v>
      </c>
      <c r="N2564" s="126">
        <f>base[[#This Row],[L/P Líquido]]/base[[#This Row],[Stake/Responsabilidade]]</f>
        <v>-1</v>
      </c>
      <c r="O2564" s="132">
        <f>IF(base[[#This Row],[L/P Líquido]]&gt;0,1,0)</f>
        <v>0</v>
      </c>
      <c r="P2564" s="132"/>
      <c r="Q2564" s="132" t="str">
        <f>LEFT(base[[#This Row],[Evento / Mercado]],FIND("vs",base[[#This Row],[Evento / Mercado]])-2)</f>
        <v>Rosenborg BK</v>
      </c>
      <c r="R25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2564" s="132" t="str">
        <f>LEFT(base[[#This Row],[Evento / Mercado]],FIND("/",base[[#This Row],[Evento / Mercado]])-2)</f>
        <v>Rosenborg BK vs Bod</v>
      </c>
    </row>
    <row r="2565" spans="2:19" ht="15" customHeight="1">
      <c r="B2565" s="128" t="s">
        <v>2592</v>
      </c>
      <c r="C2565" s="128" t="s">
        <v>2982</v>
      </c>
      <c r="D2565" s="129">
        <v>46171.696446759262</v>
      </c>
      <c r="E2565" s="130">
        <v>-4.0199999999999996</v>
      </c>
      <c r="F2565" s="136">
        <v>4.4999999999999998E-2</v>
      </c>
      <c r="G2565" s="126">
        <f t="shared" si="41"/>
        <v>-4.0199999999999996</v>
      </c>
      <c r="H2565" s="126" t="s">
        <v>1339</v>
      </c>
      <c r="I2565" s="127" t="s">
        <v>1236</v>
      </c>
      <c r="J2565" s="126">
        <v>5.2</v>
      </c>
      <c r="K2565" s="126">
        <v>15</v>
      </c>
      <c r="L2565" s="129">
        <f>INT(base[[#This Row],[Data de liquidação]])</f>
        <v>46171</v>
      </c>
      <c r="M2565" s="126">
        <f>base[[#This Row],[L/P Bruto]]-base[[#This Row],[L/P Líquido]]</f>
        <v>0</v>
      </c>
      <c r="N2565" s="126">
        <f>base[[#This Row],[L/P Líquido]]/base[[#This Row],[Stake/Responsabilidade]]</f>
        <v>-0.26799999999999996</v>
      </c>
      <c r="O2565" s="132">
        <f>IF(base[[#This Row],[L/P Líquido]]&gt;0,1,0)</f>
        <v>0</v>
      </c>
      <c r="P2565" s="132"/>
      <c r="Q2565" s="132" t="str">
        <f>LEFT(base[[#This Row],[Evento / Mercado]],FIND("vs",base[[#This Row],[Evento / Mercado]])-2)</f>
        <v>Monza</v>
      </c>
      <c r="R25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2565" s="132" t="str">
        <f>LEFT(base[[#This Row],[Evento / Mercado]],FIND("/",base[[#This Row],[Evento / Mercado]])-2)</f>
        <v>Monza vs Catanzaro</v>
      </c>
    </row>
    <row r="2566" spans="2:19" ht="15" customHeight="1">
      <c r="B2566" s="128" t="s">
        <v>2591</v>
      </c>
      <c r="C2566" s="128" t="s">
        <v>2982</v>
      </c>
      <c r="D2566" s="129">
        <v>46171.715370370373</v>
      </c>
      <c r="E2566" s="130">
        <v>4.1500000000000004</v>
      </c>
      <c r="F2566" s="136">
        <v>4.4999999999999998E-2</v>
      </c>
      <c r="G2566" s="126">
        <f t="shared" si="41"/>
        <v>4.345549738219896</v>
      </c>
      <c r="H2566" s="126" t="s">
        <v>1339</v>
      </c>
      <c r="I2566" s="127" t="s">
        <v>2404</v>
      </c>
      <c r="J2566" s="126">
        <v>1.87</v>
      </c>
      <c r="K2566" s="126">
        <v>5</v>
      </c>
      <c r="L2566" s="129">
        <f>INT(base[[#This Row],[Data de liquidação]])</f>
        <v>46171</v>
      </c>
      <c r="M2566" s="126">
        <f>base[[#This Row],[L/P Bruto]]-base[[#This Row],[L/P Líquido]]</f>
        <v>0.19554973821989563</v>
      </c>
      <c r="N2566" s="126">
        <f>base[[#This Row],[L/P Líquido]]/base[[#This Row],[Stake/Responsabilidade]]</f>
        <v>0.83000000000000007</v>
      </c>
      <c r="O2566" s="132">
        <f>IF(base[[#This Row],[L/P Líquido]]&gt;0,1,0)</f>
        <v>1</v>
      </c>
      <c r="P2566" s="132"/>
      <c r="Q2566" s="132" t="str">
        <f>LEFT(base[[#This Row],[Evento / Mercado]],FIND("vs",base[[#This Row],[Evento / Mercado]])-2)</f>
        <v>Shelbourne FC</v>
      </c>
      <c r="R25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2566" s="132" t="str">
        <f>LEFT(base[[#This Row],[Evento / Mercado]],FIND("/",base[[#This Row],[Evento / Mercado]])-2)</f>
        <v>Shelbourne FC vs Galway United</v>
      </c>
    </row>
    <row r="2567" spans="2:19" ht="15" customHeight="1">
      <c r="B2567" s="128" t="s">
        <v>2590</v>
      </c>
      <c r="C2567" s="128" t="s">
        <v>2982</v>
      </c>
      <c r="D2567" s="129">
        <v>46171.735532407409</v>
      </c>
      <c r="E2567" s="130">
        <v>6.16</v>
      </c>
      <c r="F2567" s="136">
        <v>4.4999999999999998E-2</v>
      </c>
      <c r="G2567" s="126">
        <f t="shared" si="41"/>
        <v>6.4502617801047126</v>
      </c>
      <c r="H2567" s="126" t="s">
        <v>1339</v>
      </c>
      <c r="I2567" s="127" t="s">
        <v>1388</v>
      </c>
      <c r="J2567" s="126">
        <v>16.5</v>
      </c>
      <c r="K2567" s="126">
        <v>99.98</v>
      </c>
      <c r="L2567" s="129">
        <f>INT(base[[#This Row],[Data de liquidação]])</f>
        <v>46171</v>
      </c>
      <c r="M2567" s="126">
        <f>base[[#This Row],[L/P Bruto]]-base[[#This Row],[L/P Líquido]]</f>
        <v>0.29026178010471249</v>
      </c>
      <c r="N2567" s="126">
        <f>base[[#This Row],[L/P Líquido]]/base[[#This Row],[Stake/Responsabilidade]]</f>
        <v>6.16123224644929E-2</v>
      </c>
      <c r="O2567" s="132">
        <f>IF(base[[#This Row],[L/P Líquido]]&gt;0,1,0)</f>
        <v>1</v>
      </c>
      <c r="P2567" s="132"/>
      <c r="Q2567" s="132" t="str">
        <f>LEFT(base[[#This Row],[Evento / Mercado]],FIND("vs",base[[#This Row],[Evento / Mercado]])-2)</f>
        <v>Shelbourne FC</v>
      </c>
      <c r="R25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2567" s="132" t="str">
        <f>LEFT(base[[#This Row],[Evento / Mercado]],FIND("/",base[[#This Row],[Evento / Mercado]])-2)</f>
        <v>Shelbourne FC vs Galway United</v>
      </c>
    </row>
    <row r="2568" spans="2:19" ht="15" customHeight="1">
      <c r="B2568" s="128" t="s">
        <v>2589</v>
      </c>
      <c r="C2568" s="128" t="s">
        <v>2982</v>
      </c>
      <c r="D2568" s="129">
        <v>46171.747430555559</v>
      </c>
      <c r="E2568" s="130">
        <v>5.97</v>
      </c>
      <c r="F2568" s="136">
        <v>4.4999999999999998E-2</v>
      </c>
      <c r="G2568" s="126">
        <f t="shared" si="41"/>
        <v>6.2513089005235605</v>
      </c>
      <c r="H2568" s="126" t="s">
        <v>1339</v>
      </c>
      <c r="I2568" s="127" t="s">
        <v>1388</v>
      </c>
      <c r="J2568" s="126">
        <v>18</v>
      </c>
      <c r="K2568" s="126">
        <v>100</v>
      </c>
      <c r="L2568" s="129">
        <f>INT(base[[#This Row],[Data de liquidação]])</f>
        <v>46171</v>
      </c>
      <c r="M2568" s="126">
        <f>base[[#This Row],[L/P Bruto]]-base[[#This Row],[L/P Líquido]]</f>
        <v>0.28130890052356072</v>
      </c>
      <c r="N2568" s="126">
        <f>base[[#This Row],[L/P Líquido]]/base[[#This Row],[Stake/Responsabilidade]]</f>
        <v>5.9699999999999996E-2</v>
      </c>
      <c r="O2568" s="132">
        <f>IF(base[[#This Row],[L/P Líquido]]&gt;0,1,0)</f>
        <v>1</v>
      </c>
      <c r="P2568" s="132"/>
      <c r="Q2568" s="132" t="str">
        <f>LEFT(base[[#This Row],[Evento / Mercado]],FIND("vs",base[[#This Row],[Evento / Mercado]])-2)</f>
        <v>San Antonio</v>
      </c>
      <c r="R25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Guabira</v>
      </c>
      <c r="S2568" s="132" t="str">
        <f>LEFT(base[[#This Row],[Evento / Mercado]],FIND("/",base[[#This Row],[Evento / Mercado]])-2)</f>
        <v>San Antonio vs Guabira</v>
      </c>
    </row>
    <row r="2569" spans="2:19" ht="15" customHeight="1">
      <c r="B2569" s="128" t="s">
        <v>2588</v>
      </c>
      <c r="C2569" s="128" t="s">
        <v>2982</v>
      </c>
      <c r="D2569" s="129">
        <v>46171.747511574074</v>
      </c>
      <c r="E2569" s="130">
        <v>-2</v>
      </c>
      <c r="F2569" s="136">
        <v>4.4999999999999998E-2</v>
      </c>
      <c r="G2569" s="126">
        <f t="shared" si="41"/>
        <v>-2</v>
      </c>
      <c r="H2569" s="126" t="s">
        <v>1339</v>
      </c>
      <c r="I2569" s="127" t="s">
        <v>1429</v>
      </c>
      <c r="J2569" s="126">
        <v>2.2799999999999998</v>
      </c>
      <c r="K2569" s="126">
        <v>2</v>
      </c>
      <c r="L2569" s="129">
        <f>INT(base[[#This Row],[Data de liquidação]])</f>
        <v>46171</v>
      </c>
      <c r="M2569" s="126">
        <f>base[[#This Row],[L/P Bruto]]-base[[#This Row],[L/P Líquido]]</f>
        <v>0</v>
      </c>
      <c r="N2569" s="126">
        <f>base[[#This Row],[L/P Líquido]]/base[[#This Row],[Stake/Responsabilidade]]</f>
        <v>-1</v>
      </c>
      <c r="O2569" s="132">
        <f>IF(base[[#This Row],[L/P Líquido]]&gt;0,1,0)</f>
        <v>0</v>
      </c>
      <c r="P2569" s="132"/>
      <c r="Q2569" s="132" t="str">
        <f>LEFT(base[[#This Row],[Evento / Mercado]],FIND("vs",base[[#This Row],[Evento / Mercado]])-2)</f>
        <v>San Antonio</v>
      </c>
      <c r="R25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Guabira</v>
      </c>
      <c r="S2569" s="132" t="str">
        <f>LEFT(base[[#This Row],[Evento / Mercado]],FIND("/",base[[#This Row],[Evento / Mercado]])-2)</f>
        <v>San Antonio vs Guabira</v>
      </c>
    </row>
    <row r="2570" spans="2:19" ht="15" customHeight="1">
      <c r="B2570" s="128" t="s">
        <v>2633</v>
      </c>
      <c r="C2570" s="128" t="s">
        <v>2982</v>
      </c>
      <c r="D2570" s="129">
        <v>46172.324456018519</v>
      </c>
      <c r="E2570" s="130">
        <v>3.72</v>
      </c>
      <c r="F2570" s="136">
        <v>4.4999999999999998E-2</v>
      </c>
      <c r="G2570" s="126">
        <f t="shared" si="41"/>
        <v>3.8952879581151838</v>
      </c>
      <c r="H2570" s="126" t="s">
        <v>1339</v>
      </c>
      <c r="I2570" s="127" t="s">
        <v>2404</v>
      </c>
      <c r="J2570" s="126">
        <v>1.78</v>
      </c>
      <c r="K2570" s="126">
        <v>5</v>
      </c>
      <c r="L2570" s="129">
        <f>INT(base[[#This Row],[Data de liquidação]])</f>
        <v>46172</v>
      </c>
      <c r="M2570" s="126">
        <f>base[[#This Row],[L/P Bruto]]-base[[#This Row],[L/P Líquido]]</f>
        <v>0.17528795811518361</v>
      </c>
      <c r="N2570" s="126">
        <f>base[[#This Row],[L/P Líquido]]/base[[#This Row],[Stake/Responsabilidade]]</f>
        <v>0.74399999999999999</v>
      </c>
      <c r="O2570" s="132">
        <f>IF(base[[#This Row],[L/P Líquido]]&gt;0,1,0)</f>
        <v>1</v>
      </c>
      <c r="P2570" s="132"/>
      <c r="Q2570" s="132" t="str">
        <f>LEFT(base[[#This Row],[Evento / Mercado]],FIND("vs",base[[#This Row],[Evento / Mercado]])-2)</f>
        <v>Qingdao West Coast</v>
      </c>
      <c r="R25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Shenhua</v>
      </c>
      <c r="S2570" s="132" t="str">
        <f>LEFT(base[[#This Row],[Evento / Mercado]],FIND("/",base[[#This Row],[Evento / Mercado]])-2)</f>
        <v>Qingdao West Coast vs Shanghai Shenhua</v>
      </c>
    </row>
    <row r="2571" spans="2:19" ht="15" customHeight="1">
      <c r="B2571" s="128" t="s">
        <v>2632</v>
      </c>
      <c r="C2571" s="128" t="s">
        <v>2982</v>
      </c>
      <c r="D2571" s="129">
        <v>46172.375381944446</v>
      </c>
      <c r="E2571" s="130">
        <v>3.68</v>
      </c>
      <c r="F2571" s="136">
        <v>4.4999999999999998E-2</v>
      </c>
      <c r="G2571" s="126">
        <f t="shared" si="41"/>
        <v>3.8534031413612571</v>
      </c>
      <c r="H2571" s="126" t="s">
        <v>1339</v>
      </c>
      <c r="I2571" s="127" t="s">
        <v>1388</v>
      </c>
      <c r="J2571" s="126">
        <v>27</v>
      </c>
      <c r="K2571" s="126">
        <v>100.1</v>
      </c>
      <c r="L2571" s="129">
        <f>INT(base[[#This Row],[Data de liquidação]])</f>
        <v>46172</v>
      </c>
      <c r="M2571" s="126">
        <f>base[[#This Row],[L/P Bruto]]-base[[#This Row],[L/P Líquido]]</f>
        <v>0.1734031413612569</v>
      </c>
      <c r="N2571" s="126">
        <f>base[[#This Row],[L/P Líquido]]/base[[#This Row],[Stake/Responsabilidade]]</f>
        <v>3.676323676323677E-2</v>
      </c>
      <c r="O2571" s="132">
        <f>IF(base[[#This Row],[L/P Líquido]]&gt;0,1,0)</f>
        <v>1</v>
      </c>
      <c r="P2571" s="132"/>
      <c r="Q2571" s="132" t="str">
        <f>LEFT(base[[#This Row],[Evento / Mercado]],FIND("vs",base[[#This Row],[Evento / Mercado]])-2)</f>
        <v>Qingdao West Coast</v>
      </c>
      <c r="R25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Shenhua</v>
      </c>
      <c r="S2571" s="132" t="str">
        <f>LEFT(base[[#This Row],[Evento / Mercado]],FIND("/",base[[#This Row],[Evento / Mercado]])-2)</f>
        <v>Qingdao West Coast vs Shanghai Shenhua</v>
      </c>
    </row>
    <row r="2572" spans="2:19" ht="15" customHeight="1">
      <c r="B2572" s="128" t="s">
        <v>2631</v>
      </c>
      <c r="C2572" s="128" t="s">
        <v>2982</v>
      </c>
      <c r="D2572" s="129">
        <v>46172.416481481479</v>
      </c>
      <c r="E2572" s="130">
        <v>-10</v>
      </c>
      <c r="F2572" s="136">
        <v>4.4999999999999998E-2</v>
      </c>
      <c r="G2572" s="126">
        <f t="shared" si="41"/>
        <v>-10</v>
      </c>
      <c r="H2572" s="126" t="s">
        <v>1339</v>
      </c>
      <c r="I2572" s="127" t="s">
        <v>1236</v>
      </c>
      <c r="J2572" s="126">
        <v>10</v>
      </c>
      <c r="K2572" s="126">
        <v>15</v>
      </c>
      <c r="L2572" s="129">
        <f>INT(base[[#This Row],[Data de liquidação]])</f>
        <v>46172</v>
      </c>
      <c r="M2572" s="126">
        <f>base[[#This Row],[L/P Bruto]]-base[[#This Row],[L/P Líquido]]</f>
        <v>0</v>
      </c>
      <c r="N2572" s="126">
        <f>base[[#This Row],[L/P Líquido]]/base[[#This Row],[Stake/Responsabilidade]]</f>
        <v>-0.66666666666666663</v>
      </c>
      <c r="O2572" s="132">
        <f>IF(base[[#This Row],[L/P Líquido]]&gt;0,1,0)</f>
        <v>0</v>
      </c>
      <c r="P2572" s="132"/>
      <c r="Q2572" s="132" t="str">
        <f>LEFT(base[[#This Row],[Evento / Mercado]],FIND("vs",base[[#This Row],[Evento / Mercado]])-2)</f>
        <v>Henan Songshan Longmen</v>
      </c>
      <c r="R25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2572" s="132" t="str">
        <f>LEFT(base[[#This Row],[Evento / Mercado]],FIND("/",base[[#This Row],[Evento / Mercado]])-2)</f>
        <v>Henan Songshan Longmen vs Zhejiang Professional</v>
      </c>
    </row>
    <row r="2573" spans="2:19" ht="15" customHeight="1">
      <c r="B2573" s="128" t="s">
        <v>2630</v>
      </c>
      <c r="C2573" s="128" t="s">
        <v>2982</v>
      </c>
      <c r="D2573" s="129">
        <v>46172.418553240743</v>
      </c>
      <c r="E2573" s="130">
        <v>0.46</v>
      </c>
      <c r="F2573" s="136">
        <v>4.4999999999999998E-2</v>
      </c>
      <c r="G2573" s="126">
        <f t="shared" si="41"/>
        <v>0.48167539267015713</v>
      </c>
      <c r="H2573" s="126" t="s">
        <v>1339</v>
      </c>
      <c r="I2573" s="127" t="s">
        <v>2471</v>
      </c>
      <c r="J2573" s="126">
        <v>1.29</v>
      </c>
      <c r="K2573" s="126">
        <v>5</v>
      </c>
      <c r="L2573" s="129">
        <f>INT(base[[#This Row],[Data de liquidação]])</f>
        <v>46172</v>
      </c>
      <c r="M2573" s="126">
        <f>base[[#This Row],[L/P Bruto]]-base[[#This Row],[L/P Líquido]]</f>
        <v>2.1675392670157112E-2</v>
      </c>
      <c r="N2573" s="126">
        <f>base[[#This Row],[L/P Líquido]]/base[[#This Row],[Stake/Responsabilidade]]</f>
        <v>9.1999999999999998E-2</v>
      </c>
      <c r="O2573" s="132">
        <f>IF(base[[#This Row],[L/P Líquido]]&gt;0,1,0)</f>
        <v>1</v>
      </c>
      <c r="P2573" s="132"/>
      <c r="Q2573" s="132" t="str">
        <f>LEFT(base[[#This Row],[Evento / Mercado]],FIND("vs",base[[#This Row],[Evento / Mercado]])-2)</f>
        <v>Henan Songshan Longmen</v>
      </c>
      <c r="R25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2573" s="132" t="str">
        <f>LEFT(base[[#This Row],[Evento / Mercado]],FIND("/",base[[#This Row],[Evento / Mercado]])-2)</f>
        <v>Henan Songshan Longmen vs Zhejiang Professional</v>
      </c>
    </row>
    <row r="2574" spans="2:19" ht="15" customHeight="1">
      <c r="B2574" s="128" t="s">
        <v>2629</v>
      </c>
      <c r="C2574" s="128" t="s">
        <v>2982</v>
      </c>
      <c r="D2574" s="129">
        <v>46172.440081018518</v>
      </c>
      <c r="E2574" s="130">
        <v>-16.32</v>
      </c>
      <c r="F2574" s="136">
        <v>4.4999999999999998E-2</v>
      </c>
      <c r="G2574" s="126">
        <f t="shared" si="41"/>
        <v>-16.32</v>
      </c>
      <c r="H2574" s="126" t="s">
        <v>1339</v>
      </c>
      <c r="I2574" s="127" t="s">
        <v>1236</v>
      </c>
      <c r="J2574" s="126">
        <v>9.6</v>
      </c>
      <c r="K2574" s="126">
        <v>15</v>
      </c>
      <c r="L2574" s="129">
        <f>INT(base[[#This Row],[Data de liquidação]])</f>
        <v>46172</v>
      </c>
      <c r="M2574" s="126">
        <f>base[[#This Row],[L/P Bruto]]-base[[#This Row],[L/P Líquido]]</f>
        <v>0</v>
      </c>
      <c r="N2574" s="126">
        <f>base[[#This Row],[L/P Líquido]]/base[[#This Row],[Stake/Responsabilidade]]</f>
        <v>-1.0880000000000001</v>
      </c>
      <c r="O2574" s="132">
        <f>IF(base[[#This Row],[L/P Líquido]]&gt;0,1,0)</f>
        <v>0</v>
      </c>
      <c r="P2574" s="132"/>
      <c r="Q2574" s="132" t="str">
        <f>LEFT(base[[#This Row],[Evento / Mercado]],FIND("vs",base[[#This Row],[Evento / Mercado]])-2)</f>
        <v>Chengdu Rongcheng</v>
      </c>
      <c r="R25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Shandong Taishan</v>
      </c>
      <c r="S2574" s="132" t="str">
        <f>LEFT(base[[#This Row],[Evento / Mercado]],FIND("/",base[[#This Row],[Evento / Mercado]])-2)</f>
        <v>Chengdu Rongcheng vs Shandong Taishan</v>
      </c>
    </row>
    <row r="2575" spans="2:19" ht="15" customHeight="1">
      <c r="B2575" s="128" t="s">
        <v>2628</v>
      </c>
      <c r="C2575" s="128" t="s">
        <v>2982</v>
      </c>
      <c r="D2575" s="129">
        <v>46172.440092592595</v>
      </c>
      <c r="E2575" s="130">
        <v>0.45</v>
      </c>
      <c r="F2575" s="136">
        <v>4.4999999999999998E-2</v>
      </c>
      <c r="G2575" s="126">
        <f t="shared" si="41"/>
        <v>0.47120418848167545</v>
      </c>
      <c r="H2575" s="126" t="s">
        <v>1339</v>
      </c>
      <c r="I2575" s="127" t="s">
        <v>2471</v>
      </c>
      <c r="J2575" s="126">
        <v>1.26</v>
      </c>
      <c r="K2575" s="126">
        <v>5</v>
      </c>
      <c r="L2575" s="129">
        <f>INT(base[[#This Row],[Data de liquidação]])</f>
        <v>46172</v>
      </c>
      <c r="M2575" s="126">
        <f>base[[#This Row],[L/P Bruto]]-base[[#This Row],[L/P Líquido]]</f>
        <v>2.1204188481675434E-2</v>
      </c>
      <c r="N2575" s="126">
        <f>base[[#This Row],[L/P Líquido]]/base[[#This Row],[Stake/Responsabilidade]]</f>
        <v>0.09</v>
      </c>
      <c r="O2575" s="132">
        <f>IF(base[[#This Row],[L/P Líquido]]&gt;0,1,0)</f>
        <v>1</v>
      </c>
      <c r="P2575" s="132"/>
      <c r="Q2575" s="132" t="str">
        <f>LEFT(base[[#This Row],[Evento / Mercado]],FIND("vs",base[[#This Row],[Evento / Mercado]])-2)</f>
        <v>Chengdu Rongcheng</v>
      </c>
      <c r="R25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Shandong Taishan</v>
      </c>
      <c r="S2575" s="132" t="str">
        <f>LEFT(base[[#This Row],[Evento / Mercado]],FIND("/",base[[#This Row],[Evento / Mercado]])-2)</f>
        <v>Chengdu Rongcheng vs Shandong Taishan</v>
      </c>
    </row>
    <row r="2576" spans="2:19" ht="15" customHeight="1">
      <c r="B2576" s="128" t="s">
        <v>2627</v>
      </c>
      <c r="C2576" s="128" t="s">
        <v>2982</v>
      </c>
      <c r="D2576" s="129">
        <v>46172.445069444446</v>
      </c>
      <c r="E2576" s="130">
        <v>14.33</v>
      </c>
      <c r="F2576" s="136">
        <v>4.4999999999999998E-2</v>
      </c>
      <c r="G2576" s="126">
        <f t="shared" si="41"/>
        <v>15.005235602094242</v>
      </c>
      <c r="H2576" s="126" t="s">
        <v>1339</v>
      </c>
      <c r="I2576" s="127" t="s">
        <v>1236</v>
      </c>
      <c r="J2576" s="126">
        <v>9.6</v>
      </c>
      <c r="K2576" s="126">
        <v>15</v>
      </c>
      <c r="L2576" s="129">
        <f>INT(base[[#This Row],[Data de liquidação]])</f>
        <v>46172</v>
      </c>
      <c r="M2576" s="126">
        <f>base[[#This Row],[L/P Bruto]]-base[[#This Row],[L/P Líquido]]</f>
        <v>0.67523560209424183</v>
      </c>
      <c r="N2576" s="126">
        <f>base[[#This Row],[L/P Líquido]]/base[[#This Row],[Stake/Responsabilidade]]</f>
        <v>0.95533333333333337</v>
      </c>
      <c r="O2576" s="132">
        <f>IF(base[[#This Row],[L/P Líquido]]&gt;0,1,0)</f>
        <v>1</v>
      </c>
      <c r="P2576" s="132"/>
      <c r="Q2576" s="132" t="str">
        <f>LEFT(base[[#This Row],[Evento / Mercado]],FIND("vs",base[[#This Row],[Evento / Mercado]])-2)</f>
        <v>AIK</v>
      </c>
      <c r="R25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2576" s="132" t="str">
        <f>LEFT(base[[#This Row],[Evento / Mercado]],FIND("/",base[[#This Row],[Evento / Mercado]])-2)</f>
        <v>AIK vs IK Sirius</v>
      </c>
    </row>
    <row r="2577" spans="2:21" ht="15" customHeight="1">
      <c r="B2577" s="128" t="s">
        <v>2626</v>
      </c>
      <c r="C2577" s="128" t="s">
        <v>2982</v>
      </c>
      <c r="D2577" s="129">
        <v>46172.492881944447</v>
      </c>
      <c r="E2577" s="130">
        <v>-5</v>
      </c>
      <c r="F2577" s="136">
        <v>4.4999999999999998E-2</v>
      </c>
      <c r="G2577" s="126">
        <f t="shared" si="41"/>
        <v>-5</v>
      </c>
      <c r="H2577" s="126" t="s">
        <v>1339</v>
      </c>
      <c r="I2577" s="127" t="s">
        <v>2404</v>
      </c>
      <c r="J2577" s="126">
        <v>1.77</v>
      </c>
      <c r="K2577" s="126">
        <v>5</v>
      </c>
      <c r="L2577" s="129">
        <f>INT(base[[#This Row],[Data de liquidação]])</f>
        <v>46172</v>
      </c>
      <c r="M2577" s="126">
        <f>base[[#This Row],[L/P Bruto]]-base[[#This Row],[L/P Líquido]]</f>
        <v>0</v>
      </c>
      <c r="N2577" s="126">
        <f>base[[#This Row],[L/P Líquido]]/base[[#This Row],[Stake/Responsabilidade]]</f>
        <v>-1</v>
      </c>
      <c r="O2577" s="132">
        <f>IF(base[[#This Row],[L/P Líquido]]&gt;0,1,0)</f>
        <v>0</v>
      </c>
      <c r="P2577" s="132"/>
      <c r="Q2577" s="132" t="str">
        <f>LEFT(base[[#This Row],[Evento / Mercado]],FIND("vs",base[[#This Row],[Evento / Mercado]])-2)</f>
        <v>GIF Sundsvall</v>
      </c>
      <c r="R25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Sandvikens IF</v>
      </c>
      <c r="S2577" s="132" t="str">
        <f>LEFT(base[[#This Row],[Evento / Mercado]],FIND("/",base[[#This Row],[Evento / Mercado]])-2)</f>
        <v>GIF Sundsvall vs Sandvikens IF</v>
      </c>
    </row>
    <row r="2578" spans="2:21" ht="15" customHeight="1">
      <c r="B2578" s="128" t="s">
        <v>2625</v>
      </c>
      <c r="C2578" s="128" t="s">
        <v>2982</v>
      </c>
      <c r="D2578" s="129">
        <v>46172.495115740741</v>
      </c>
      <c r="E2578" s="130">
        <v>5.17</v>
      </c>
      <c r="F2578" s="136">
        <v>4.4999999999999998E-2</v>
      </c>
      <c r="G2578" s="126">
        <f t="shared" si="41"/>
        <v>5.4136125654450264</v>
      </c>
      <c r="H2578" s="126" t="s">
        <v>1339</v>
      </c>
      <c r="I2578" s="127" t="s">
        <v>1430</v>
      </c>
      <c r="J2578" s="126">
        <v>19.62</v>
      </c>
      <c r="K2578" s="126">
        <v>100.75</v>
      </c>
      <c r="L2578" s="129">
        <f>INT(base[[#This Row],[Data de liquidação]])</f>
        <v>46172</v>
      </c>
      <c r="M2578" s="126">
        <f>base[[#This Row],[L/P Bruto]]-base[[#This Row],[L/P Líquido]]</f>
        <v>0.24361256544502652</v>
      </c>
      <c r="N2578" s="126">
        <f>base[[#This Row],[L/P Líquido]]/base[[#This Row],[Stake/Responsabilidade]]</f>
        <v>5.1315136476426798E-2</v>
      </c>
      <c r="O2578" s="132">
        <f>IF(base[[#This Row],[L/P Líquido]]&gt;0,1,0)</f>
        <v>1</v>
      </c>
      <c r="P2578" s="132"/>
      <c r="Q2578" s="132" t="str">
        <f>LEFT(base[[#This Row],[Evento / Mercado]],FIND("vs",base[[#This Row],[Evento / Mercado]])-2)</f>
        <v>GAIS</v>
      </c>
      <c r="R25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Kalmar FF</v>
      </c>
      <c r="S2578" s="132" t="str">
        <f>LEFT(base[[#This Row],[Evento / Mercado]],FIND("/",base[[#This Row],[Evento / Mercado]])-2)</f>
        <v>GAIS vs Kalmar FF</v>
      </c>
    </row>
    <row r="2579" spans="2:21" ht="15" customHeight="1">
      <c r="B2579" s="128" t="s">
        <v>2624</v>
      </c>
      <c r="C2579" s="128" t="s">
        <v>2982</v>
      </c>
      <c r="D2579" s="129">
        <v>46172.498622685183</v>
      </c>
      <c r="E2579" s="130">
        <v>0.39</v>
      </c>
      <c r="F2579" s="136">
        <v>4.4999999999999998E-2</v>
      </c>
      <c r="G2579" s="126">
        <f t="shared" si="41"/>
        <v>0.40837696335078538</v>
      </c>
      <c r="H2579" s="126" t="s">
        <v>1339</v>
      </c>
      <c r="I2579" s="127" t="s">
        <v>2471</v>
      </c>
      <c r="J2579" s="126">
        <v>1.22</v>
      </c>
      <c r="K2579" s="126">
        <v>5</v>
      </c>
      <c r="L2579" s="129">
        <f>INT(base[[#This Row],[Data de liquidação]])</f>
        <v>46172</v>
      </c>
      <c r="M2579" s="126">
        <f>base[[#This Row],[L/P Bruto]]-base[[#This Row],[L/P Líquido]]</f>
        <v>1.8376963350785369E-2</v>
      </c>
      <c r="N2579" s="126">
        <f>base[[#This Row],[L/P Líquido]]/base[[#This Row],[Stake/Responsabilidade]]</f>
        <v>7.8E-2</v>
      </c>
      <c r="O2579" s="132">
        <f>IF(base[[#This Row],[L/P Líquido]]&gt;0,1,0)</f>
        <v>1</v>
      </c>
      <c r="P2579" s="132"/>
      <c r="Q2579" s="132" t="str">
        <f>LEFT(base[[#This Row],[Evento / Mercado]],FIND("vs",base[[#This Row],[Evento / Mercado]])-2)</f>
        <v>AIK</v>
      </c>
      <c r="R25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2579" s="132" t="str">
        <f>LEFT(base[[#This Row],[Evento / Mercado]],FIND("/",base[[#This Row],[Evento / Mercado]])-2)</f>
        <v>AIK vs IK Sirius</v>
      </c>
    </row>
    <row r="2580" spans="2:21" ht="15" customHeight="1">
      <c r="B2580" s="128" t="s">
        <v>2623</v>
      </c>
      <c r="C2580" s="128" t="s">
        <v>2982</v>
      </c>
      <c r="D2580" s="129">
        <v>46172.5237037037</v>
      </c>
      <c r="E2580" s="130">
        <v>-5</v>
      </c>
      <c r="F2580" s="136">
        <v>4.4999999999999998E-2</v>
      </c>
      <c r="G2580" s="126">
        <f t="shared" si="41"/>
        <v>-5</v>
      </c>
      <c r="H2580" s="126" t="s">
        <v>1339</v>
      </c>
      <c r="I2580" s="127" t="s">
        <v>2471</v>
      </c>
      <c r="J2580" s="126">
        <v>1.2</v>
      </c>
      <c r="K2580" s="126">
        <v>5</v>
      </c>
      <c r="L2580" s="129">
        <f>INT(base[[#This Row],[Data de liquidação]])</f>
        <v>46172</v>
      </c>
      <c r="M2580" s="126">
        <f>base[[#This Row],[L/P Bruto]]-base[[#This Row],[L/P Líquido]]</f>
        <v>0</v>
      </c>
      <c r="N2580" s="126">
        <f>base[[#This Row],[L/P Líquido]]/base[[#This Row],[Stake/Responsabilidade]]</f>
        <v>-1</v>
      </c>
      <c r="O2580" s="132">
        <f>IF(base[[#This Row],[L/P Líquido]]&gt;0,1,0)</f>
        <v>0</v>
      </c>
      <c r="P2580" s="132"/>
      <c r="Q2580" s="132" t="str">
        <f>LEFT(base[[#This Row],[Evento / Mercado]],FIND("vs",base[[#This Row],[Evento / Mercado]])-2)</f>
        <v>IF Gnistan</v>
      </c>
      <c r="R25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2580" s="132" t="str">
        <f>LEFT(base[[#This Row],[Evento / Mercado]],FIND("/",base[[#This Row],[Evento / Mercado]])-2)</f>
        <v>IF Gnistan vs SJK</v>
      </c>
    </row>
    <row r="2581" spans="2:21" ht="15" customHeight="1">
      <c r="B2581" s="128" t="s">
        <v>2622</v>
      </c>
      <c r="C2581" s="128" t="s">
        <v>2982</v>
      </c>
      <c r="D2581" s="129">
        <v>46172.540520833332</v>
      </c>
      <c r="E2581" s="130">
        <v>1.91</v>
      </c>
      <c r="F2581" s="136">
        <v>4.4999999999999998E-2</v>
      </c>
      <c r="G2581" s="126">
        <f t="shared" si="41"/>
        <v>2</v>
      </c>
      <c r="H2581" s="126" t="s">
        <v>1339</v>
      </c>
      <c r="I2581" s="127" t="s">
        <v>1963</v>
      </c>
      <c r="J2581" s="126">
        <v>1.04</v>
      </c>
      <c r="K2581" s="126">
        <v>50</v>
      </c>
      <c r="L2581" s="129">
        <f>INT(base[[#This Row],[Data de liquidação]])</f>
        <v>46172</v>
      </c>
      <c r="M2581" s="126">
        <f>base[[#This Row],[L/P Bruto]]-base[[#This Row],[L/P Líquido]]</f>
        <v>9.000000000000008E-2</v>
      </c>
      <c r="N2581" s="126">
        <f>base[[#This Row],[L/P Líquido]]/base[[#This Row],[Stake/Responsabilidade]]</f>
        <v>3.8199999999999998E-2</v>
      </c>
      <c r="O2581" s="132">
        <f>IF(base[[#This Row],[L/P Líquido]]&gt;0,1,0)</f>
        <v>1</v>
      </c>
      <c r="P2581" s="132"/>
      <c r="Q2581" s="132" t="str">
        <f>LEFT(base[[#This Row],[Evento / Mercado]],FIND("vs",base[[#This Row],[Evento / Mercado]])-2)</f>
        <v>Molde</v>
      </c>
      <c r="R25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2581" s="132" t="str">
        <f>LEFT(base[[#This Row],[Evento / Mercado]],FIND("/",base[[#This Row],[Evento / Mercado]])-2)</f>
        <v>Molde vs Sandefjord Fotball</v>
      </c>
    </row>
    <row r="2582" spans="2:21" ht="15" customHeight="1">
      <c r="B2582" s="128" t="s">
        <v>2621</v>
      </c>
      <c r="C2582" s="128" t="s">
        <v>2982</v>
      </c>
      <c r="D2582" s="129">
        <v>46172.540555555555</v>
      </c>
      <c r="E2582" s="130">
        <v>36.29</v>
      </c>
      <c r="F2582" s="136">
        <v>4.4999999999999998E-2</v>
      </c>
      <c r="G2582" s="126">
        <f t="shared" si="41"/>
        <v>38</v>
      </c>
      <c r="H2582" s="126" t="s">
        <v>145</v>
      </c>
      <c r="I2582" s="127" t="s">
        <v>1268</v>
      </c>
      <c r="J2582" s="126">
        <v>11</v>
      </c>
      <c r="K2582" s="126">
        <v>380</v>
      </c>
      <c r="L2582" s="129">
        <f>INT(base[[#This Row],[Data de liquidação]])</f>
        <v>46172</v>
      </c>
      <c r="M2582" s="126">
        <f>base[[#This Row],[L/P Bruto]]-base[[#This Row],[L/P Líquido]]</f>
        <v>1.7100000000000009</v>
      </c>
      <c r="N2582" s="126">
        <f>base[[#This Row],[L/P Líquido]]/base[[#This Row],[Stake/Responsabilidade]]</f>
        <v>9.5500000000000002E-2</v>
      </c>
      <c r="O2582" s="132">
        <f>IF(base[[#This Row],[L/P Líquido]]&gt;0,1,0)</f>
        <v>1</v>
      </c>
      <c r="P2582" s="132" t="s">
        <v>1668</v>
      </c>
      <c r="Q2582" s="132" t="str">
        <f>LEFT(base[[#This Row],[Evento / Mercado]],FIND("vs",base[[#This Row],[Evento / Mercado]])-2)</f>
        <v>Molde</v>
      </c>
      <c r="R25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2582" s="132" t="str">
        <f>LEFT(base[[#This Row],[Evento / Mercado]],FIND("/",base[[#This Row],[Evento / Mercado]])-2)</f>
        <v>Molde vs Sandefjord Fotball</v>
      </c>
    </row>
    <row r="2583" spans="2:21" ht="15" customHeight="1">
      <c r="B2583" s="128" t="s">
        <v>2620</v>
      </c>
      <c r="C2583" s="128" t="s">
        <v>2982</v>
      </c>
      <c r="D2583" s="129">
        <v>46172.550567129627</v>
      </c>
      <c r="E2583" s="130">
        <v>6.82</v>
      </c>
      <c r="F2583" s="136">
        <v>4.4999999999999998E-2</v>
      </c>
      <c r="G2583" s="126">
        <f t="shared" si="41"/>
        <v>7.1413612565445028</v>
      </c>
      <c r="H2583" s="126" t="s">
        <v>1339</v>
      </c>
      <c r="I2583" s="127" t="s">
        <v>1430</v>
      </c>
      <c r="J2583" s="126">
        <v>14.71</v>
      </c>
      <c r="K2583" s="126">
        <v>97.92</v>
      </c>
      <c r="L2583" s="129">
        <f>INT(base[[#This Row],[Data de liquidação]])</f>
        <v>46172</v>
      </c>
      <c r="M2583" s="126">
        <f>base[[#This Row],[L/P Bruto]]-base[[#This Row],[L/P Líquido]]</f>
        <v>0.32136125654450254</v>
      </c>
      <c r="N2583" s="126">
        <f>base[[#This Row],[L/P Líquido]]/base[[#This Row],[Stake/Responsabilidade]]</f>
        <v>6.9648692810457519E-2</v>
      </c>
      <c r="O2583" s="132">
        <f>IF(base[[#This Row],[L/P Líquido]]&gt;0,1,0)</f>
        <v>1</v>
      </c>
      <c r="P2583" s="132"/>
      <c r="Q2583" s="132" t="str">
        <f>LEFT(base[[#This Row],[Evento / Mercado]],FIND("vs",base[[#This Row],[Evento / Mercado]])-2)</f>
        <v>AD Ceuta FC</v>
      </c>
      <c r="R25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Albacete Balompié</v>
      </c>
      <c r="S2583" s="132" t="str">
        <f>LEFT(base[[#This Row],[Evento / Mercado]],FIND("/",base[[#This Row],[Evento / Mercado]])-2)</f>
        <v>AD Ceuta FC vs Albacete Balompié</v>
      </c>
    </row>
    <row r="2584" spans="2:21" ht="15" customHeight="1">
      <c r="B2584" s="128" t="s">
        <v>2619</v>
      </c>
      <c r="C2584" s="128" t="s">
        <v>2982</v>
      </c>
      <c r="D2584" s="129">
        <v>46172.55059027778</v>
      </c>
      <c r="E2584" s="130">
        <v>-14.31</v>
      </c>
      <c r="F2584" s="136">
        <v>4.4999999999999998E-2</v>
      </c>
      <c r="G2584" s="126">
        <f t="shared" si="41"/>
        <v>-14.31</v>
      </c>
      <c r="H2584" s="126" t="s">
        <v>1339</v>
      </c>
      <c r="I2584" s="127" t="s">
        <v>1236</v>
      </c>
      <c r="J2584" s="126">
        <v>8.6</v>
      </c>
      <c r="K2584" s="126">
        <v>15</v>
      </c>
      <c r="L2584" s="129">
        <f>INT(base[[#This Row],[Data de liquidação]])</f>
        <v>46172</v>
      </c>
      <c r="M2584" s="126">
        <f>base[[#This Row],[L/P Bruto]]-base[[#This Row],[L/P Líquido]]</f>
        <v>0</v>
      </c>
      <c r="N2584" s="126">
        <f>base[[#This Row],[L/P Líquido]]/base[[#This Row],[Stake/Responsabilidade]]</f>
        <v>-0.95400000000000007</v>
      </c>
      <c r="O2584" s="132">
        <f>IF(base[[#This Row],[L/P Líquido]]&gt;0,1,0)</f>
        <v>0</v>
      </c>
      <c r="P2584" s="132"/>
      <c r="Q2584" s="132" t="str">
        <f>LEFT(base[[#This Row],[Evento / Mercado]],FIND("vs",base[[#This Row],[Evento / Mercado]])-2)</f>
        <v>AD Ceuta FC</v>
      </c>
      <c r="R25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Albacete Balompié</v>
      </c>
      <c r="S2584" s="132" t="str">
        <f>LEFT(base[[#This Row],[Evento / Mercado]],FIND("/",base[[#This Row],[Evento / Mercado]])-2)</f>
        <v>AD Ceuta FC vs Albacete Balompié</v>
      </c>
    </row>
    <row r="2585" spans="2:21" ht="15" customHeight="1">
      <c r="B2585" s="128" t="s">
        <v>2618</v>
      </c>
      <c r="C2585" s="128" t="s">
        <v>2982</v>
      </c>
      <c r="D2585" s="129">
        <v>46172.564918981479</v>
      </c>
      <c r="E2585" s="130">
        <v>5.25</v>
      </c>
      <c r="F2585" s="136">
        <v>4.4999999999999998E-2</v>
      </c>
      <c r="G2585" s="126">
        <f t="shared" si="41"/>
        <v>5.4973821989528799</v>
      </c>
      <c r="H2585" s="126" t="s">
        <v>1339</v>
      </c>
      <c r="I2585" s="127" t="s">
        <v>1933</v>
      </c>
      <c r="J2585" s="126">
        <v>155</v>
      </c>
      <c r="K2585" s="126">
        <v>10</v>
      </c>
      <c r="L2585" s="129">
        <f>INT(base[[#This Row],[Data de liquidação]])</f>
        <v>46172</v>
      </c>
      <c r="M2585" s="126">
        <f>base[[#This Row],[L/P Bruto]]-base[[#This Row],[L/P Líquido]]</f>
        <v>0.24738219895287994</v>
      </c>
      <c r="N2585" s="126">
        <f>base[[#This Row],[L/P Líquido]]/base[[#This Row],[Stake/Responsabilidade]]</f>
        <v>0.52500000000000002</v>
      </c>
      <c r="O2585" s="132">
        <f>IF(base[[#This Row],[L/P Líquido]]&gt;0,1,0)</f>
        <v>1</v>
      </c>
      <c r="P2585" s="132"/>
      <c r="Q2585" s="132" t="str">
        <f>LEFT(base[[#This Row],[Evento / Mercado]],FIND("vs",base[[#This Row],[Evento / Mercado]])-2)</f>
        <v>MB Rouissat</v>
      </c>
      <c r="R25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USM Alger</v>
      </c>
      <c r="S2585" s="132" t="str">
        <f>LEFT(base[[#This Row],[Evento / Mercado]],FIND("/",base[[#This Row],[Evento / Mercado]])-2)</f>
        <v>MB Rouissat vs USM Alger</v>
      </c>
    </row>
    <row r="2586" spans="2:21" ht="15" customHeight="1">
      <c r="B2586" s="128" t="s">
        <v>2617</v>
      </c>
      <c r="C2586" s="128" t="s">
        <v>2982</v>
      </c>
      <c r="D2586" s="129">
        <v>46172.595150462963</v>
      </c>
      <c r="E2586" s="130">
        <v>2.98</v>
      </c>
      <c r="F2586" s="136">
        <v>4.4999999999999998E-2</v>
      </c>
      <c r="G2586" s="126">
        <f t="shared" si="41"/>
        <v>3.1204188481675392</v>
      </c>
      <c r="H2586" s="126" t="s">
        <v>1339</v>
      </c>
      <c r="I2586" s="127" t="s">
        <v>2404</v>
      </c>
      <c r="J2586" s="126">
        <v>1.63</v>
      </c>
      <c r="K2586" s="126">
        <v>5</v>
      </c>
      <c r="L2586" s="129">
        <f>INT(base[[#This Row],[Data de liquidação]])</f>
        <v>46172</v>
      </c>
      <c r="M2586" s="126">
        <f>base[[#This Row],[L/P Bruto]]-base[[#This Row],[L/P Líquido]]</f>
        <v>0.14041884816753925</v>
      </c>
      <c r="N2586" s="126">
        <f>base[[#This Row],[L/P Líquido]]/base[[#This Row],[Stake/Responsabilidade]]</f>
        <v>0.59599999999999997</v>
      </c>
      <c r="O2586" s="132">
        <f>IF(base[[#This Row],[L/P Líquido]]&gt;0,1,0)</f>
        <v>1</v>
      </c>
      <c r="P2586" s="132"/>
      <c r="Q2586" s="132" t="str">
        <f>LEFT(base[[#This Row],[Evento / Mercado]],FIND("vs",base[[#This Row],[Evento / Mercado]])-2)</f>
        <v>Santiago Wanderers</v>
      </c>
      <c r="R25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Unión Española</v>
      </c>
      <c r="S2586" s="132" t="str">
        <f>LEFT(base[[#This Row],[Evento / Mercado]],FIND("/",base[[#This Row],[Evento / Mercado]])-2)</f>
        <v>Santiago Wanderers vs Unión Española</v>
      </c>
    </row>
    <row r="2587" spans="2:21" ht="15" customHeight="1">
      <c r="B2587" s="128" t="s">
        <v>2616</v>
      </c>
      <c r="C2587" s="128" t="s">
        <v>2982</v>
      </c>
      <c r="D2587" s="129">
        <v>46172.701307870368</v>
      </c>
      <c r="E2587" s="130">
        <v>14.33</v>
      </c>
      <c r="F2587" s="136">
        <v>4.4999999999999998E-2</v>
      </c>
      <c r="G2587" s="126">
        <f t="shared" si="41"/>
        <v>15.005235602094242</v>
      </c>
      <c r="H2587" s="126" t="s">
        <v>1339</v>
      </c>
      <c r="I2587" s="127" t="s">
        <v>1236</v>
      </c>
      <c r="J2587" s="126">
        <v>6.8</v>
      </c>
      <c r="K2587" s="126">
        <v>15</v>
      </c>
      <c r="L2587" s="129">
        <f>INT(base[[#This Row],[Data de liquidação]])</f>
        <v>46172</v>
      </c>
      <c r="M2587" s="126">
        <f>base[[#This Row],[L/P Bruto]]-base[[#This Row],[L/P Líquido]]</f>
        <v>0.67523560209424183</v>
      </c>
      <c r="N2587" s="126">
        <f>base[[#This Row],[L/P Líquido]]/base[[#This Row],[Stake/Responsabilidade]]</f>
        <v>0.95533333333333337</v>
      </c>
      <c r="O2587" s="132">
        <f>IF(base[[#This Row],[L/P Líquido]]&gt;0,1,0)</f>
        <v>1</v>
      </c>
      <c r="P2587" s="132"/>
      <c r="Q2587" s="132" t="str">
        <f>LEFT(base[[#This Row],[Evento / Mercado]],FIND("vs",base[[#This Row],[Evento / Mercado]])-2)</f>
        <v>Granada CF</v>
      </c>
      <c r="R25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Sporting de Gijon</v>
      </c>
      <c r="S2587" s="132" t="str">
        <f>LEFT(base[[#This Row],[Evento / Mercado]],FIND("/",base[[#This Row],[Evento / Mercado]])-2)</f>
        <v>Granada CF vs Real Sporting de Gijon</v>
      </c>
    </row>
    <row r="2588" spans="2:21" ht="15" customHeight="1">
      <c r="B2588" s="128" t="s">
        <v>2615</v>
      </c>
      <c r="C2588" s="128" t="s">
        <v>2982</v>
      </c>
      <c r="D2588" s="129">
        <v>46172.740381944444</v>
      </c>
      <c r="E2588" s="130">
        <v>2.39</v>
      </c>
      <c r="F2588" s="136">
        <v>4.4999999999999998E-2</v>
      </c>
      <c r="G2588" s="126">
        <f t="shared" si="41"/>
        <v>2.5026178010471205</v>
      </c>
      <c r="H2588" s="126" t="s">
        <v>1339</v>
      </c>
      <c r="I2588" s="127" t="s">
        <v>2404</v>
      </c>
      <c r="J2588" s="126">
        <v>1.5</v>
      </c>
      <c r="K2588" s="126">
        <v>5</v>
      </c>
      <c r="L2588" s="129">
        <f>INT(base[[#This Row],[Data de liquidação]])</f>
        <v>46172</v>
      </c>
      <c r="M2588" s="126">
        <f>base[[#This Row],[L/P Bruto]]-base[[#This Row],[L/P Líquido]]</f>
        <v>0.11261780104712038</v>
      </c>
      <c r="N2588" s="126">
        <f>base[[#This Row],[L/P Líquido]]/base[[#This Row],[Stake/Responsabilidade]]</f>
        <v>0.47800000000000004</v>
      </c>
      <c r="O2588" s="132">
        <f>IF(base[[#This Row],[L/P Líquido]]&gt;0,1,0)</f>
        <v>1</v>
      </c>
      <c r="P2588" s="132"/>
      <c r="Q2588" s="132" t="str">
        <f>LEFT(base[[#This Row],[Evento / Mercado]],FIND("vs",base[[#This Row],[Evento / Mercado]])-2)</f>
        <v>Academia de Balompie Boliviano</v>
      </c>
      <c r="R25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Always Ready</v>
      </c>
      <c r="S2588" s="132" t="str">
        <f>LEFT(base[[#This Row],[Evento / Mercado]],FIND("/",base[[#This Row],[Evento / Mercado]])-2)</f>
        <v>Academia de Balompie Boliviano vs Always Ready</v>
      </c>
    </row>
    <row r="2589" spans="2:21" ht="15" customHeight="1">
      <c r="B2589" s="128" t="s">
        <v>2614</v>
      </c>
      <c r="C2589" s="128" t="s">
        <v>2982</v>
      </c>
      <c r="D2589" s="129">
        <v>46172.747997685183</v>
      </c>
      <c r="E2589" s="130">
        <v>57.3</v>
      </c>
      <c r="F2589" s="136">
        <v>4.4999999999999998E-2</v>
      </c>
      <c r="G2589" s="126">
        <f t="shared" si="41"/>
        <v>60</v>
      </c>
      <c r="H2589" s="126" t="s">
        <v>145</v>
      </c>
      <c r="I2589" s="127" t="s">
        <v>301</v>
      </c>
      <c r="J2589" s="126">
        <v>9</v>
      </c>
      <c r="K2589" s="126">
        <v>480</v>
      </c>
      <c r="L2589" s="129">
        <f>INT(base[[#This Row],[Data de liquidação]])</f>
        <v>46172</v>
      </c>
      <c r="M2589" s="126">
        <f>base[[#This Row],[L/P Bruto]]-base[[#This Row],[L/P Líquido]]</f>
        <v>2.7000000000000028</v>
      </c>
      <c r="N2589" s="126">
        <f>base[[#This Row],[L/P Líquido]]/base[[#This Row],[Stake/Responsabilidade]]</f>
        <v>0.119375</v>
      </c>
      <c r="O2589" s="132">
        <f>IF(base[[#This Row],[L/P Líquido]]&gt;0,1,0)</f>
        <v>1</v>
      </c>
      <c r="P2589" s="132" t="s">
        <v>1058</v>
      </c>
      <c r="Q2589" s="132" t="str">
        <f>LEFT(base[[#This Row],[Evento / Mercado]],FIND("vs",base[[#This Row],[Evento / Mercado]])-2)</f>
        <v>Flamengo</v>
      </c>
      <c r="R25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Coritiba</v>
      </c>
      <c r="S2589" s="132" t="str">
        <f>LEFT(base[[#This Row],[Evento / Mercado]],FIND("/",base[[#This Row],[Evento / Mercado]])-2)</f>
        <v>Flamengo vs Coritiba</v>
      </c>
      <c r="T2589" s="8">
        <v>60</v>
      </c>
      <c r="U2589" s="9">
        <f>T2589*0.955</f>
        <v>57.3</v>
      </c>
    </row>
    <row r="2590" spans="2:21" ht="15" customHeight="1">
      <c r="B2590" s="128" t="s">
        <v>2614</v>
      </c>
      <c r="C2590" s="128" t="s">
        <v>2982</v>
      </c>
      <c r="D2590" s="129">
        <v>46172.747997685183</v>
      </c>
      <c r="E2590" s="130">
        <v>4.3452500000000001</v>
      </c>
      <c r="F2590" s="136">
        <v>4.4999999999999998E-2</v>
      </c>
      <c r="G2590" s="126">
        <f t="shared" si="41"/>
        <v>4.55</v>
      </c>
      <c r="H2590" s="126" t="s">
        <v>1339</v>
      </c>
      <c r="I2590" s="127" t="s">
        <v>1390</v>
      </c>
      <c r="J2590" s="126">
        <v>12</v>
      </c>
      <c r="K2590" s="126">
        <v>50.05</v>
      </c>
      <c r="L2590" s="129">
        <f>INT(base[[#This Row],[Data de liquidação]])</f>
        <v>46172</v>
      </c>
      <c r="M2590" s="126">
        <f>base[[#This Row],[L/P Bruto]]-base[[#This Row],[L/P Líquido]]</f>
        <v>0.20474999999999977</v>
      </c>
      <c r="N2590" s="126">
        <f>base[[#This Row],[L/P Líquido]]/base[[#This Row],[Stake/Responsabilidade]]</f>
        <v>8.6818181818181822E-2</v>
      </c>
      <c r="O2590" s="132">
        <f>IF(base[[#This Row],[L/P Líquido]]&gt;0,1,0)</f>
        <v>1</v>
      </c>
      <c r="P2590" s="132"/>
      <c r="Q2590" s="132" t="str">
        <f>LEFT(base[[#This Row],[Evento / Mercado]],FIND("vs",base[[#This Row],[Evento / Mercado]])-2)</f>
        <v>Flamengo</v>
      </c>
      <c r="R25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Coritiba</v>
      </c>
      <c r="S2590" s="132" t="str">
        <f>LEFT(base[[#This Row],[Evento / Mercado]],FIND("/",base[[#This Row],[Evento / Mercado]])-2)</f>
        <v>Flamengo vs Coritiba</v>
      </c>
      <c r="T2590" s="8">
        <v>4.55</v>
      </c>
      <c r="U2590" s="9">
        <f>T2590*0.955</f>
        <v>4.3452500000000001</v>
      </c>
    </row>
    <row r="2591" spans="2:21" ht="15" customHeight="1">
      <c r="B2591" s="128" t="s">
        <v>2613</v>
      </c>
      <c r="C2591" s="128" t="s">
        <v>2982</v>
      </c>
      <c r="D2591" s="129">
        <v>46172.748645833337</v>
      </c>
      <c r="E2591" s="130">
        <v>50.93</v>
      </c>
      <c r="F2591" s="136">
        <v>4.4999999999999998E-2</v>
      </c>
      <c r="G2591" s="126">
        <f t="shared" si="41"/>
        <v>53.329842931937172</v>
      </c>
      <c r="H2591" s="126" t="s">
        <v>145</v>
      </c>
      <c r="I2591" s="127" t="s">
        <v>1268</v>
      </c>
      <c r="J2591" s="126">
        <v>10</v>
      </c>
      <c r="K2591" s="126">
        <v>479.97</v>
      </c>
      <c r="L2591" s="129">
        <f>INT(base[[#This Row],[Data de liquidação]])</f>
        <v>46172</v>
      </c>
      <c r="M2591" s="126">
        <f>base[[#This Row],[L/P Bruto]]-base[[#This Row],[L/P Líquido]]</f>
        <v>2.3998429319371724</v>
      </c>
      <c r="N2591" s="126">
        <f>base[[#This Row],[L/P Líquido]]/base[[#This Row],[Stake/Responsabilidade]]</f>
        <v>0.10611079859157864</v>
      </c>
      <c r="O2591" s="132">
        <f>IF(base[[#This Row],[L/P Líquido]]&gt;0,1,0)</f>
        <v>1</v>
      </c>
      <c r="P2591" s="132" t="s">
        <v>1058</v>
      </c>
      <c r="Q2591" s="132" t="str">
        <f>LEFT(base[[#This Row],[Evento / Mercado]],FIND("vs",base[[#This Row],[Evento / Mercado]])-2)</f>
        <v>Athlético Paranaense</v>
      </c>
      <c r="R25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2591" s="132" t="str">
        <f>LEFT(base[[#This Row],[Evento / Mercado]],FIND("/",base[[#This Row],[Evento / Mercado]])-2)</f>
        <v>Athlético Paranaense vs Mirassol FC</v>
      </c>
    </row>
    <row r="2592" spans="2:21" ht="15" customHeight="1">
      <c r="B2592" s="128" t="s">
        <v>2612</v>
      </c>
      <c r="C2592" s="128" t="s">
        <v>2982</v>
      </c>
      <c r="D2592" s="129">
        <v>46172.748680555553</v>
      </c>
      <c r="E2592" s="130">
        <v>2.37</v>
      </c>
      <c r="F2592" s="136">
        <v>4.4999999999999998E-2</v>
      </c>
      <c r="G2592" s="126">
        <f t="shared" si="41"/>
        <v>2.4816753926701574</v>
      </c>
      <c r="H2592" s="126" t="s">
        <v>1339</v>
      </c>
      <c r="I2592" s="127" t="s">
        <v>1429</v>
      </c>
      <c r="J2592" s="126">
        <v>2.2400000000000002</v>
      </c>
      <c r="K2592" s="126">
        <v>2</v>
      </c>
      <c r="L2592" s="129">
        <f>INT(base[[#This Row],[Data de liquidação]])</f>
        <v>46172</v>
      </c>
      <c r="M2592" s="126">
        <f>base[[#This Row],[L/P Bruto]]-base[[#This Row],[L/P Líquido]]</f>
        <v>0.11167539267015725</v>
      </c>
      <c r="N2592" s="126">
        <f>base[[#This Row],[L/P Líquido]]/base[[#This Row],[Stake/Responsabilidade]]</f>
        <v>1.1850000000000001</v>
      </c>
      <c r="O2592" s="132">
        <f>IF(base[[#This Row],[L/P Líquido]]&gt;0,1,0)</f>
        <v>1</v>
      </c>
      <c r="P2592" s="132"/>
      <c r="Q2592" s="132" t="str">
        <f>LEFT(base[[#This Row],[Evento / Mercado]],FIND("vs",base[[#This Row],[Evento / Mercado]])-2)</f>
        <v>Athlético Paranaense</v>
      </c>
      <c r="R25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2592" s="132" t="str">
        <f>LEFT(base[[#This Row],[Evento / Mercado]],FIND("/",base[[#This Row],[Evento / Mercado]])-2)</f>
        <v>Athlético Paranaense vs Mirassol FC</v>
      </c>
    </row>
    <row r="2593" spans="2:19" ht="15" customHeight="1">
      <c r="B2593" s="128" t="s">
        <v>2611</v>
      </c>
      <c r="C2593" s="128" t="s">
        <v>2982</v>
      </c>
      <c r="D2593" s="129">
        <v>46172.749074074076</v>
      </c>
      <c r="E2593" s="130">
        <v>6.12</v>
      </c>
      <c r="F2593" s="136">
        <v>4.4999999999999998E-2</v>
      </c>
      <c r="G2593" s="126">
        <f t="shared" si="41"/>
        <v>6.4083769633507854</v>
      </c>
      <c r="H2593" s="126" t="s">
        <v>1339</v>
      </c>
      <c r="I2593" s="127" t="s">
        <v>2469</v>
      </c>
      <c r="J2593" s="126">
        <v>8.6</v>
      </c>
      <c r="K2593" s="126">
        <v>48.72</v>
      </c>
      <c r="L2593" s="129">
        <f>INT(base[[#This Row],[Data de liquidação]])</f>
        <v>46172</v>
      </c>
      <c r="M2593" s="126">
        <f>base[[#This Row],[L/P Bruto]]-base[[#This Row],[L/P Líquido]]</f>
        <v>0.28837696335078533</v>
      </c>
      <c r="N2593" s="126">
        <f>base[[#This Row],[L/P Líquido]]/base[[#This Row],[Stake/Responsabilidade]]</f>
        <v>0.12561576354679804</v>
      </c>
      <c r="O2593" s="132">
        <f>IF(base[[#This Row],[L/P Líquido]]&gt;0,1,0)</f>
        <v>1</v>
      </c>
      <c r="P2593" s="132"/>
      <c r="Q2593" s="132" t="str">
        <f>LEFT(base[[#This Row],[Evento / Mercado]],FIND("vs",base[[#This Row],[Evento / Mercado]])-2)</f>
        <v>La Serena</v>
      </c>
      <c r="R25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Colo-Colo</v>
      </c>
      <c r="S2593" s="132" t="str">
        <f>LEFT(base[[#This Row],[Evento / Mercado]],FIND("/",base[[#This Row],[Evento / Mercado]])-2)</f>
        <v>La Serena vs Colo-Colo</v>
      </c>
    </row>
    <row r="2594" spans="2:19" ht="15" customHeight="1">
      <c r="B2594" s="128" t="s">
        <v>2610</v>
      </c>
      <c r="C2594" s="128" t="s">
        <v>2982</v>
      </c>
      <c r="D2594" s="129">
        <v>46172.776122685187</v>
      </c>
      <c r="E2594" s="130">
        <v>4.68</v>
      </c>
      <c r="F2594" s="136">
        <v>4.4999999999999998E-2</v>
      </c>
      <c r="G2594" s="126">
        <f t="shared" si="41"/>
        <v>4.9005235602094244</v>
      </c>
      <c r="H2594" s="126" t="s">
        <v>1339</v>
      </c>
      <c r="I2594" s="127" t="s">
        <v>2404</v>
      </c>
      <c r="J2594" s="126">
        <v>1.98</v>
      </c>
      <c r="K2594" s="126">
        <v>5</v>
      </c>
      <c r="L2594" s="129">
        <f>INT(base[[#This Row],[Data de liquidação]])</f>
        <v>46172</v>
      </c>
      <c r="M2594" s="126">
        <f>base[[#This Row],[L/P Bruto]]-base[[#This Row],[L/P Líquido]]</f>
        <v>0.22052356020942465</v>
      </c>
      <c r="N2594" s="126">
        <f>base[[#This Row],[L/P Líquido]]/base[[#This Row],[Stake/Responsabilidade]]</f>
        <v>0.93599999999999994</v>
      </c>
      <c r="O2594" s="132">
        <f>IF(base[[#This Row],[L/P Líquido]]&gt;0,1,0)</f>
        <v>1</v>
      </c>
      <c r="P2594" s="132"/>
      <c r="Q2594" s="132" t="str">
        <f>LEFT(base[[#This Row],[Evento / Mercado]],FIND("vs",base[[#This Row],[Evento / Mercado]])-2)</f>
        <v>Deportivo Garcilaso</v>
      </c>
      <c r="R25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Juan Pablo II College</v>
      </c>
      <c r="S2594" s="132" t="str">
        <f>LEFT(base[[#This Row],[Evento / Mercado]],FIND("/",base[[#This Row],[Evento / Mercado]])-2)</f>
        <v>Deportivo Garcilaso vs Juan Pablo II College</v>
      </c>
    </row>
    <row r="2595" spans="2:19" ht="15" customHeight="1">
      <c r="B2595" s="128" t="s">
        <v>2608</v>
      </c>
      <c r="C2595" s="128" t="s">
        <v>2982</v>
      </c>
      <c r="D2595" s="129">
        <v>46172.788090277776</v>
      </c>
      <c r="E2595" s="130">
        <v>-14.46</v>
      </c>
      <c r="F2595" s="136">
        <v>4.4999999999999998E-2</v>
      </c>
      <c r="G2595" s="126">
        <f t="shared" si="41"/>
        <v>-14.46</v>
      </c>
      <c r="H2595" s="126" t="s">
        <v>1339</v>
      </c>
      <c r="I2595" s="127" t="s">
        <v>1236</v>
      </c>
      <c r="J2595" s="126">
        <v>11</v>
      </c>
      <c r="K2595" s="126">
        <v>15</v>
      </c>
      <c r="L2595" s="129">
        <f>INT(base[[#This Row],[Data de liquidação]])</f>
        <v>46172</v>
      </c>
      <c r="M2595" s="126">
        <f>base[[#This Row],[L/P Bruto]]-base[[#This Row],[L/P Líquido]]</f>
        <v>0</v>
      </c>
      <c r="N2595" s="126">
        <f>base[[#This Row],[L/P Líquido]]/base[[#This Row],[Stake/Responsabilidade]]</f>
        <v>-0.96400000000000008</v>
      </c>
      <c r="O2595" s="132">
        <f>IF(base[[#This Row],[L/P Líquido]]&gt;0,1,0)</f>
        <v>0</v>
      </c>
      <c r="P2595" s="132"/>
      <c r="Q2595" s="132" t="str">
        <f>LEFT(base[[#This Row],[Evento / Mercado]],FIND("vs",base[[#This Row],[Evento / Mercado]])-2)</f>
        <v>Esporte Clube Bahia</v>
      </c>
      <c r="R25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2595" s="132" t="str">
        <f>LEFT(base[[#This Row],[Evento / Mercado]],FIND("/",base[[#This Row],[Evento / Mercado]])-2)</f>
        <v>Esporte Clube Bahia vs Botafogo FR</v>
      </c>
    </row>
    <row r="2596" spans="2:19" ht="15" customHeight="1">
      <c r="B2596" s="128" t="s">
        <v>2608</v>
      </c>
      <c r="C2596" s="128" t="s">
        <v>2982</v>
      </c>
      <c r="D2596" s="129">
        <v>46172.788090277776</v>
      </c>
      <c r="E2596" s="130">
        <v>-2</v>
      </c>
      <c r="F2596" s="136">
        <v>4.4999999999999998E-2</v>
      </c>
      <c r="G2596" s="126">
        <f t="shared" si="41"/>
        <v>-2</v>
      </c>
      <c r="H2596" s="126" t="s">
        <v>1339</v>
      </c>
      <c r="I2596" s="127" t="s">
        <v>1994</v>
      </c>
      <c r="J2596" s="126">
        <v>6</v>
      </c>
      <c r="K2596" s="126">
        <v>2</v>
      </c>
      <c r="L2596" s="129">
        <f>INT(base[[#This Row],[Data de liquidação]])</f>
        <v>46172</v>
      </c>
      <c r="M2596" s="126">
        <f>base[[#This Row],[L/P Bruto]]-base[[#This Row],[L/P Líquido]]</f>
        <v>0</v>
      </c>
      <c r="N2596" s="126">
        <f>base[[#This Row],[L/P Líquido]]/base[[#This Row],[Stake/Responsabilidade]]</f>
        <v>-1</v>
      </c>
      <c r="O2596" s="132">
        <f>IF(base[[#This Row],[L/P Líquido]]&gt;0,1,0)</f>
        <v>0</v>
      </c>
      <c r="P2596" s="132"/>
      <c r="Q2596" s="132" t="str">
        <f>LEFT(base[[#This Row],[Evento / Mercado]],FIND("vs",base[[#This Row],[Evento / Mercado]])-2)</f>
        <v>Esporte Clube Bahia</v>
      </c>
      <c r="R25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2596" s="132" t="str">
        <f>LEFT(base[[#This Row],[Evento / Mercado]],FIND("/",base[[#This Row],[Evento / Mercado]])-2)</f>
        <v>Esporte Clube Bahia vs Botafogo FR</v>
      </c>
    </row>
    <row r="2597" spans="2:19" ht="15" customHeight="1">
      <c r="B2597" s="128" t="s">
        <v>2609</v>
      </c>
      <c r="C2597" s="128" t="s">
        <v>2982</v>
      </c>
      <c r="D2597" s="129">
        <v>46172.788090277776</v>
      </c>
      <c r="E2597" s="130">
        <v>3.06</v>
      </c>
      <c r="F2597" s="136">
        <v>4.4999999999999998E-2</v>
      </c>
      <c r="G2597" s="126">
        <f t="shared" si="41"/>
        <v>3.2041884816753927</v>
      </c>
      <c r="H2597" s="126" t="s">
        <v>1339</v>
      </c>
      <c r="I2597" s="127" t="s">
        <v>2404</v>
      </c>
      <c r="J2597" s="126">
        <v>1.64</v>
      </c>
      <c r="K2597" s="126">
        <v>5</v>
      </c>
      <c r="L2597" s="129">
        <f>INT(base[[#This Row],[Data de liquidação]])</f>
        <v>46172</v>
      </c>
      <c r="M2597" s="126">
        <f>base[[#This Row],[L/P Bruto]]-base[[#This Row],[L/P Líquido]]</f>
        <v>0.14418848167539267</v>
      </c>
      <c r="N2597" s="126">
        <f>base[[#This Row],[L/P Líquido]]/base[[#This Row],[Stake/Responsabilidade]]</f>
        <v>0.61199999999999999</v>
      </c>
      <c r="O2597" s="132">
        <f>IF(base[[#This Row],[L/P Líquido]]&gt;0,1,0)</f>
        <v>1</v>
      </c>
      <c r="P2597" s="132"/>
      <c r="Q2597" s="132" t="str">
        <f>LEFT(base[[#This Row],[Evento / Mercado]],FIND("vs",base[[#This Row],[Evento / Mercado]])-2)</f>
        <v>Esporte Clube Bahia</v>
      </c>
      <c r="R25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2597" s="132" t="str">
        <f>LEFT(base[[#This Row],[Evento / Mercado]],FIND("/",base[[#This Row],[Evento / Mercado]])-2)</f>
        <v>Esporte Clube Bahia vs Botafogo FR</v>
      </c>
    </row>
    <row r="2598" spans="2:19" ht="15" customHeight="1">
      <c r="B2598" s="128" t="s">
        <v>2607</v>
      </c>
      <c r="C2598" s="128" t="s">
        <v>2982</v>
      </c>
      <c r="D2598" s="129">
        <v>46172.788101851853</v>
      </c>
      <c r="E2598" s="130">
        <v>5.42</v>
      </c>
      <c r="F2598" s="136">
        <v>4.4999999999999998E-2</v>
      </c>
      <c r="G2598" s="126">
        <f t="shared" si="41"/>
        <v>5.6753926701570681</v>
      </c>
      <c r="H2598" s="126" t="s">
        <v>1339</v>
      </c>
      <c r="I2598" s="127" t="s">
        <v>1390</v>
      </c>
      <c r="J2598" s="126">
        <v>9.6</v>
      </c>
      <c r="K2598" s="126">
        <v>48.85</v>
      </c>
      <c r="L2598" s="129">
        <f>INT(base[[#This Row],[Data de liquidação]])</f>
        <v>46172</v>
      </c>
      <c r="M2598" s="126">
        <f>base[[#This Row],[L/P Bruto]]-base[[#This Row],[L/P Líquido]]</f>
        <v>0.25539267015706812</v>
      </c>
      <c r="N2598" s="126">
        <f>base[[#This Row],[L/P Líquido]]/base[[#This Row],[Stake/Responsabilidade]]</f>
        <v>0.11095189355168884</v>
      </c>
      <c r="O2598" s="132">
        <f>IF(base[[#This Row],[L/P Líquido]]&gt;0,1,0)</f>
        <v>1</v>
      </c>
      <c r="P2598" s="132"/>
      <c r="Q2598" s="132" t="str">
        <f>LEFT(base[[#This Row],[Evento / Mercado]],FIND("vs",base[[#This Row],[Evento / Mercado]])-2)</f>
        <v>Deportivo Garcilaso</v>
      </c>
      <c r="R25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Juan Pablo II College</v>
      </c>
      <c r="S2598" s="132" t="str">
        <f>LEFT(base[[#This Row],[Evento / Mercado]],FIND("/",base[[#This Row],[Evento / Mercado]])-2)</f>
        <v>Deportivo Garcilaso vs Juan Pablo II College</v>
      </c>
    </row>
    <row r="2599" spans="2:19" ht="15" customHeight="1">
      <c r="B2599" s="128" t="s">
        <v>2606</v>
      </c>
      <c r="C2599" s="128" t="s">
        <v>2982</v>
      </c>
      <c r="D2599" s="129">
        <v>46172.828449074077</v>
      </c>
      <c r="E2599" s="130">
        <v>-8.5399999999999991</v>
      </c>
      <c r="F2599" s="136">
        <v>4.4999999999999998E-2</v>
      </c>
      <c r="G2599" s="126">
        <f t="shared" si="41"/>
        <v>-8.5399999999999991</v>
      </c>
      <c r="H2599" s="126" t="s">
        <v>1339</v>
      </c>
      <c r="I2599" s="127" t="s">
        <v>1236</v>
      </c>
      <c r="J2599" s="126">
        <v>6.2</v>
      </c>
      <c r="K2599" s="126">
        <v>15</v>
      </c>
      <c r="L2599" s="129">
        <f>INT(base[[#This Row],[Data de liquidação]])</f>
        <v>46172</v>
      </c>
      <c r="M2599" s="126">
        <f>base[[#This Row],[L/P Bruto]]-base[[#This Row],[L/P Líquido]]</f>
        <v>0</v>
      </c>
      <c r="N2599" s="126">
        <f>base[[#This Row],[L/P Líquido]]/base[[#This Row],[Stake/Responsabilidade]]</f>
        <v>-0.56933333333333325</v>
      </c>
      <c r="O2599" s="132">
        <f>IF(base[[#This Row],[L/P Líquido]]&gt;0,1,0)</f>
        <v>0</v>
      </c>
      <c r="P2599" s="132"/>
      <c r="Q2599" s="132" t="str">
        <f>LEFT(base[[#This Row],[Evento / Mercado]],FIND("vs",base[[#This Row],[Evento / Mercado]])-2)</f>
        <v>Universidad de Chile</v>
      </c>
      <c r="R25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Concepción</v>
      </c>
      <c r="S2599" s="132" t="str">
        <f>LEFT(base[[#This Row],[Evento / Mercado]],FIND("/",base[[#This Row],[Evento / Mercado]])-2)</f>
        <v>Universidad de Chile vs Deportes Concepción</v>
      </c>
    </row>
    <row r="2600" spans="2:19" ht="15" customHeight="1">
      <c r="B2600" s="128" t="s">
        <v>2605</v>
      </c>
      <c r="C2600" s="128" t="s">
        <v>2982</v>
      </c>
      <c r="D2600" s="129">
        <v>46172.84883101852</v>
      </c>
      <c r="E2600" s="130">
        <v>14.33</v>
      </c>
      <c r="F2600" s="136">
        <v>4.4999999999999998E-2</v>
      </c>
      <c r="G2600" s="126">
        <f t="shared" si="41"/>
        <v>15.005235602094242</v>
      </c>
      <c r="H2600" s="126" t="s">
        <v>1339</v>
      </c>
      <c r="I2600" s="127" t="s">
        <v>1236</v>
      </c>
      <c r="J2600" s="126">
        <v>7.25</v>
      </c>
      <c r="K2600" s="126">
        <v>15</v>
      </c>
      <c r="L2600" s="129">
        <f>INT(base[[#This Row],[Data de liquidação]])</f>
        <v>46172</v>
      </c>
      <c r="M2600" s="126">
        <f>base[[#This Row],[L/P Bruto]]-base[[#This Row],[L/P Líquido]]</f>
        <v>0.67523560209424183</v>
      </c>
      <c r="N2600" s="126">
        <f>base[[#This Row],[L/P Líquido]]/base[[#This Row],[Stake/Responsabilidade]]</f>
        <v>0.95533333333333337</v>
      </c>
      <c r="O2600" s="132">
        <f>IF(base[[#This Row],[L/P Líquido]]&gt;0,1,0)</f>
        <v>1</v>
      </c>
      <c r="P2600" s="132"/>
      <c r="Q2600" s="132" t="str">
        <f>LEFT(base[[#This Row],[Evento / Mercado]],FIND("vs",base[[#This Row],[Evento / Mercado]])-2)</f>
        <v>Pacific</v>
      </c>
      <c r="R26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Atletico Ottawa</v>
      </c>
      <c r="S2600" s="132" t="str">
        <f>LEFT(base[[#This Row],[Evento / Mercado]],FIND("/",base[[#This Row],[Evento / Mercado]])-2)</f>
        <v>Pacific vs Atletico Ottawa</v>
      </c>
    </row>
    <row r="2601" spans="2:19" ht="15" customHeight="1">
      <c r="B2601" s="128" t="s">
        <v>2604</v>
      </c>
      <c r="C2601" s="128" t="s">
        <v>2982</v>
      </c>
      <c r="D2601" s="129">
        <v>46172.886597222219</v>
      </c>
      <c r="E2601" s="130">
        <v>-2.8</v>
      </c>
      <c r="F2601" s="136">
        <v>4.4999999999999998E-2</v>
      </c>
      <c r="G2601" s="126">
        <f t="shared" si="41"/>
        <v>-2.8</v>
      </c>
      <c r="H2601" s="126" t="s">
        <v>1339</v>
      </c>
      <c r="I2601" s="127" t="s">
        <v>1236</v>
      </c>
      <c r="J2601" s="126">
        <v>4.45</v>
      </c>
      <c r="K2601" s="126">
        <v>15</v>
      </c>
      <c r="L2601" s="129">
        <f>INT(base[[#This Row],[Data de liquidação]])</f>
        <v>46172</v>
      </c>
      <c r="M2601" s="126">
        <f>base[[#This Row],[L/P Bruto]]-base[[#This Row],[L/P Líquido]]</f>
        <v>0</v>
      </c>
      <c r="N2601" s="126">
        <f>base[[#This Row],[L/P Líquido]]/base[[#This Row],[Stake/Responsabilidade]]</f>
        <v>-0.18666666666666665</v>
      </c>
      <c r="O2601" s="132">
        <f>IF(base[[#This Row],[L/P Líquido]]&gt;0,1,0)</f>
        <v>0</v>
      </c>
      <c r="P2601" s="132"/>
      <c r="Q2601" s="132" t="str">
        <f>LEFT(base[[#This Row],[Evento / Mercado]],FIND("vs",base[[#This Row],[Evento / Mercado]])-2)</f>
        <v>Santos FC</v>
      </c>
      <c r="R26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2601" s="132" t="str">
        <f>LEFT(base[[#This Row],[Evento / Mercado]],FIND("/",base[[#This Row],[Evento / Mercado]])-2)</f>
        <v>Santos FC vs EC Vitória</v>
      </c>
    </row>
    <row r="2602" spans="2:19" ht="15" customHeight="1">
      <c r="B2602" s="128" t="s">
        <v>2603</v>
      </c>
      <c r="C2602" s="128" t="s">
        <v>2982</v>
      </c>
      <c r="D2602" s="129">
        <v>46172.889502314814</v>
      </c>
      <c r="E2602" s="130">
        <v>4.92</v>
      </c>
      <c r="F2602" s="136">
        <v>4.4999999999999998E-2</v>
      </c>
      <c r="G2602" s="126">
        <f t="shared" si="41"/>
        <v>5.1518324607329848</v>
      </c>
      <c r="H2602" s="126" t="s">
        <v>1339</v>
      </c>
      <c r="I2602" s="127" t="s">
        <v>1933</v>
      </c>
      <c r="J2602" s="126">
        <v>1.52</v>
      </c>
      <c r="K2602" s="126">
        <v>10</v>
      </c>
      <c r="L2602" s="129">
        <f>INT(base[[#This Row],[Data de liquidação]])</f>
        <v>46172</v>
      </c>
      <c r="M2602" s="126">
        <f>base[[#This Row],[L/P Bruto]]-base[[#This Row],[L/P Líquido]]</f>
        <v>0.23183246073298491</v>
      </c>
      <c r="N2602" s="126">
        <f>base[[#This Row],[L/P Líquido]]/base[[#This Row],[Stake/Responsabilidade]]</f>
        <v>0.49199999999999999</v>
      </c>
      <c r="O2602" s="132">
        <f>IF(base[[#This Row],[L/P Líquido]]&gt;0,1,0)</f>
        <v>1</v>
      </c>
      <c r="P2602" s="132"/>
      <c r="Q2602" s="132" t="str">
        <f>LEFT(base[[#This Row],[Evento / Mercado]],FIND("vs",base[[#This Row],[Evento / Mercado]])-2)</f>
        <v>Sport Boys</v>
      </c>
      <c r="R26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Comerciantes Unidos</v>
      </c>
      <c r="S2602" s="132" t="str">
        <f>LEFT(base[[#This Row],[Evento / Mercado]],FIND("/",base[[#This Row],[Evento / Mercado]])-2)</f>
        <v>Sport Boys vs Comerciantes Unidos</v>
      </c>
    </row>
    <row r="2603" spans="2:19" ht="15" customHeight="1">
      <c r="B2603" s="128" t="s">
        <v>2602</v>
      </c>
      <c r="C2603" s="128" t="s">
        <v>2982</v>
      </c>
      <c r="D2603" s="129">
        <v>46172.938506944447</v>
      </c>
      <c r="E2603" s="130">
        <v>6.82</v>
      </c>
      <c r="F2603" s="136">
        <v>4.4999999999999998E-2</v>
      </c>
      <c r="G2603" s="126">
        <f t="shared" si="41"/>
        <v>7.1413612565445028</v>
      </c>
      <c r="H2603" s="126" t="s">
        <v>1339</v>
      </c>
      <c r="I2603" s="127" t="s">
        <v>1430</v>
      </c>
      <c r="J2603" s="126">
        <v>16</v>
      </c>
      <c r="K2603" s="126">
        <v>107.1</v>
      </c>
      <c r="L2603" s="129">
        <f>INT(base[[#This Row],[Data de liquidação]])</f>
        <v>46172</v>
      </c>
      <c r="M2603" s="126">
        <f>base[[#This Row],[L/P Bruto]]-base[[#This Row],[L/P Líquido]]</f>
        <v>0.32136125654450254</v>
      </c>
      <c r="N2603" s="126">
        <f>base[[#This Row],[L/P Líquido]]/base[[#This Row],[Stake/Responsabilidade]]</f>
        <v>6.3678804855275453E-2</v>
      </c>
      <c r="O2603" s="132">
        <f>IF(base[[#This Row],[L/P Líquido]]&gt;0,1,0)</f>
        <v>1</v>
      </c>
      <c r="P2603" s="132"/>
      <c r="Q2603" s="132" t="str">
        <f>LEFT(base[[#This Row],[Evento / Mercado]],FIND("vs",base[[#This Row],[Evento / Mercado]])-2)</f>
        <v>Sport Club do Recife</v>
      </c>
      <c r="R26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2603" s="132" t="str">
        <f>LEFT(base[[#This Row],[Evento / Mercado]],FIND("/",base[[#This Row],[Evento / Mercado]])-2)</f>
        <v>Sport Club do Recife vs Clube Náutico Capibaribe</v>
      </c>
    </row>
    <row r="2604" spans="2:19" ht="15" customHeight="1">
      <c r="B2604" s="128" t="s">
        <v>2601</v>
      </c>
      <c r="C2604" s="128" t="s">
        <v>2982</v>
      </c>
      <c r="D2604" s="129">
        <v>46172.946400462963</v>
      </c>
      <c r="E2604" s="130">
        <v>4.78</v>
      </c>
      <c r="F2604" s="136">
        <v>4.4999999999999998E-2</v>
      </c>
      <c r="G2604" s="126">
        <f t="shared" si="41"/>
        <v>5.005235602094241</v>
      </c>
      <c r="H2604" s="126" t="s">
        <v>1339</v>
      </c>
      <c r="I2604" s="127" t="s">
        <v>1933</v>
      </c>
      <c r="J2604" s="126">
        <v>1.5</v>
      </c>
      <c r="K2604" s="126">
        <v>10</v>
      </c>
      <c r="L2604" s="129">
        <f>INT(base[[#This Row],[Data de liquidação]])</f>
        <v>46172</v>
      </c>
      <c r="M2604" s="126">
        <f>base[[#This Row],[L/P Bruto]]-base[[#This Row],[L/P Líquido]]</f>
        <v>0.22523560209424076</v>
      </c>
      <c r="N2604" s="126">
        <f>base[[#This Row],[L/P Líquido]]/base[[#This Row],[Stake/Responsabilidade]]</f>
        <v>0.47800000000000004</v>
      </c>
      <c r="O2604" s="132">
        <f>IF(base[[#This Row],[L/P Líquido]]&gt;0,1,0)</f>
        <v>1</v>
      </c>
      <c r="P2604" s="132"/>
      <c r="Q2604" s="132" t="str">
        <f>LEFT(base[[#This Row],[Evento / Mercado]],FIND("vs",base[[#This Row],[Evento / Mercado]])-2)</f>
        <v>Deportivo Cuenca</v>
      </c>
      <c r="R26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Delfin SC</v>
      </c>
      <c r="S2604" s="132" t="str">
        <f>LEFT(base[[#This Row],[Evento / Mercado]],FIND("/",base[[#This Row],[Evento / Mercado]])-2)</f>
        <v>Deportivo Cuenca vs Delfin SC</v>
      </c>
    </row>
    <row r="2605" spans="2:19" ht="15" customHeight="1">
      <c r="B2605" s="128" t="s">
        <v>2600</v>
      </c>
      <c r="C2605" s="128" t="s">
        <v>2982</v>
      </c>
      <c r="D2605" s="129">
        <v>46172.959849537037</v>
      </c>
      <c r="E2605" s="130">
        <v>6.02</v>
      </c>
      <c r="F2605" s="136">
        <v>4.4999999999999998E-2</v>
      </c>
      <c r="G2605" s="126">
        <f t="shared" si="41"/>
        <v>6.3036649214659688</v>
      </c>
      <c r="H2605" s="126" t="s">
        <v>1339</v>
      </c>
      <c r="I2605" s="127" t="s">
        <v>1994</v>
      </c>
      <c r="J2605" s="126">
        <v>4.1500000000000004</v>
      </c>
      <c r="K2605" s="126">
        <v>2</v>
      </c>
      <c r="L2605" s="129">
        <f>INT(base[[#This Row],[Data de liquidação]])</f>
        <v>46172</v>
      </c>
      <c r="M2605" s="126">
        <f>base[[#This Row],[L/P Bruto]]-base[[#This Row],[L/P Líquido]]</f>
        <v>0.28366492146596922</v>
      </c>
      <c r="N2605" s="126">
        <f>base[[#This Row],[L/P Líquido]]/base[[#This Row],[Stake/Responsabilidade]]</f>
        <v>3.01</v>
      </c>
      <c r="O2605" s="132">
        <f>IF(base[[#This Row],[L/P Líquido]]&gt;0,1,0)</f>
        <v>1</v>
      </c>
      <c r="P2605" s="132"/>
      <c r="Q2605" s="132" t="str">
        <f>LEFT(base[[#This Row],[Evento / Mercado]],FIND("vs",base[[#This Row],[Evento / Mercado]])-2)</f>
        <v>Oakland Roots</v>
      </c>
      <c r="R26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Colorado Springs Switchbacks FC</v>
      </c>
      <c r="S2605" s="132" t="str">
        <f>LEFT(base[[#This Row],[Evento / Mercado]],FIND("/",base[[#This Row],[Evento / Mercado]])-2)</f>
        <v>Oakland Roots vs Colorado Springs Switchbacks FC</v>
      </c>
    </row>
    <row r="2606" spans="2:19" ht="15" customHeight="1">
      <c r="B2606" s="128" t="s">
        <v>2599</v>
      </c>
      <c r="C2606" s="128" t="s">
        <v>2982</v>
      </c>
      <c r="D2606" s="129">
        <v>46172.960300925923</v>
      </c>
      <c r="E2606" s="130">
        <v>4.3499999999999996</v>
      </c>
      <c r="F2606" s="136">
        <v>4.4999999999999998E-2</v>
      </c>
      <c r="G2606" s="126">
        <f t="shared" si="41"/>
        <v>4.5549738219895284</v>
      </c>
      <c r="H2606" s="126" t="s">
        <v>1339</v>
      </c>
      <c r="I2606" s="127" t="s">
        <v>1388</v>
      </c>
      <c r="J2606" s="126">
        <v>23</v>
      </c>
      <c r="K2606" s="126">
        <v>100.1</v>
      </c>
      <c r="L2606" s="129">
        <f>INT(base[[#This Row],[Data de liquidação]])</f>
        <v>46172</v>
      </c>
      <c r="M2606" s="126">
        <f>base[[#This Row],[L/P Bruto]]-base[[#This Row],[L/P Líquido]]</f>
        <v>0.20497382198952874</v>
      </c>
      <c r="N2606" s="126">
        <f>base[[#This Row],[L/P Líquido]]/base[[#This Row],[Stake/Responsabilidade]]</f>
        <v>4.3456543456543456E-2</v>
      </c>
      <c r="O2606" s="132">
        <f>IF(base[[#This Row],[L/P Líquido]]&gt;0,1,0)</f>
        <v>1</v>
      </c>
      <c r="P2606" s="132"/>
      <c r="Q2606" s="132" t="str">
        <f>LEFT(base[[#This Row],[Evento / Mercado]],FIND("vs",base[[#This Row],[Evento / Mercado]])-2)</f>
        <v>Deportivo Toluca</v>
      </c>
      <c r="R26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Tigres de la UANL</v>
      </c>
      <c r="S2606" s="132" t="str">
        <f>LEFT(base[[#This Row],[Evento / Mercado]],FIND("/",base[[#This Row],[Evento / Mercado]])-2)</f>
        <v>Deportivo Toluca vs Tigres de la UANL</v>
      </c>
    </row>
    <row r="2607" spans="2:19" ht="15" customHeight="1">
      <c r="B2607" s="128" t="s">
        <v>2598</v>
      </c>
      <c r="C2607" s="128" t="s">
        <v>2982</v>
      </c>
      <c r="D2607" s="129">
        <v>46172.996527777781</v>
      </c>
      <c r="E2607" s="130">
        <v>6.82</v>
      </c>
      <c r="F2607" s="136">
        <v>4.4999999999999998E-2</v>
      </c>
      <c r="G2607" s="126">
        <f t="shared" si="41"/>
        <v>7.1413612565445028</v>
      </c>
      <c r="H2607" s="126" t="s">
        <v>1339</v>
      </c>
      <c r="I2607" s="127" t="s">
        <v>1390</v>
      </c>
      <c r="J2607" s="126">
        <v>8.1999999999999993</v>
      </c>
      <c r="K2607" s="126">
        <v>51.41</v>
      </c>
      <c r="L2607" s="129">
        <f>INT(base[[#This Row],[Data de liquidação]])</f>
        <v>46172</v>
      </c>
      <c r="M2607" s="126">
        <f>base[[#This Row],[L/P Bruto]]-base[[#This Row],[L/P Líquido]]</f>
        <v>0.32136125654450254</v>
      </c>
      <c r="N2607" s="126">
        <f>base[[#This Row],[L/P Líquido]]/base[[#This Row],[Stake/Responsabilidade]]</f>
        <v>0.13265901575568956</v>
      </c>
      <c r="O2607" s="132">
        <f>IF(base[[#This Row],[L/P Líquido]]&gt;0,1,0)</f>
        <v>1</v>
      </c>
      <c r="P2607" s="132"/>
      <c r="Q2607" s="132" t="str">
        <f>LEFT(base[[#This Row],[Evento / Mercado]],FIND("vs",base[[#This Row],[Evento / Mercado]])-2)</f>
        <v>Universitario de Deportes</v>
      </c>
      <c r="R26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2607" s="132" t="str">
        <f>LEFT(base[[#This Row],[Evento / Mercado]],FIND("/",base[[#This Row],[Evento / Mercado]])-2)</f>
        <v>Universitario de Deportes vs Sport Huancayo</v>
      </c>
    </row>
    <row r="2608" spans="2:19" ht="15" customHeight="1">
      <c r="B2608" s="128" t="s">
        <v>2675</v>
      </c>
      <c r="C2608" s="128" t="s">
        <v>2982</v>
      </c>
      <c r="D2608" s="129">
        <v>46173.044525462959</v>
      </c>
      <c r="E2608" s="130">
        <v>-8.24</v>
      </c>
      <c r="F2608" s="136">
        <v>4.4999999999999998E-2</v>
      </c>
      <c r="G2608" s="126">
        <f t="shared" si="41"/>
        <v>-8.24</v>
      </c>
      <c r="H2608" s="126" t="s">
        <v>1339</v>
      </c>
      <c r="I2608" s="127" t="s">
        <v>1236</v>
      </c>
      <c r="J2608" s="126">
        <v>4.8</v>
      </c>
      <c r="K2608" s="126">
        <v>15</v>
      </c>
      <c r="L2608" s="129">
        <f>INT(base[[#This Row],[Data de liquidação]])</f>
        <v>46173</v>
      </c>
      <c r="M2608" s="126">
        <f>base[[#This Row],[L/P Bruto]]-base[[#This Row],[L/P Líquido]]</f>
        <v>0</v>
      </c>
      <c r="N2608" s="126">
        <f>base[[#This Row],[L/P Líquido]]/base[[#This Row],[Stake/Responsabilidade]]</f>
        <v>-0.54933333333333334</v>
      </c>
      <c r="O2608" s="132">
        <f>IF(base[[#This Row],[L/P Líquido]]&gt;0,1,0)</f>
        <v>0</v>
      </c>
      <c r="P2608" s="132"/>
      <c r="Q2608" s="132" t="str">
        <f>LEFT(base[[#This Row],[Evento / Mercado]],FIND("vs",base[[#This Row],[Evento / Mercado]])-2)</f>
        <v>Mexico</v>
      </c>
      <c r="R26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Australia</v>
      </c>
      <c r="S2608" s="132" t="str">
        <f>LEFT(base[[#This Row],[Evento / Mercado]],FIND("/",base[[#This Row],[Evento / Mercado]])-2)</f>
        <v>Mexico vs Australia</v>
      </c>
    </row>
    <row r="2609" spans="2:19" ht="15" customHeight="1">
      <c r="B2609" s="128" t="s">
        <v>2674</v>
      </c>
      <c r="C2609" s="128" t="s">
        <v>2982</v>
      </c>
      <c r="D2609" s="129">
        <v>46173.402754629627</v>
      </c>
      <c r="E2609" s="130">
        <v>14.33</v>
      </c>
      <c r="F2609" s="136">
        <v>4.4999999999999998E-2</v>
      </c>
      <c r="G2609" s="126">
        <f t="shared" si="41"/>
        <v>15.005235602094242</v>
      </c>
      <c r="H2609" s="126" t="s">
        <v>1339</v>
      </c>
      <c r="I2609" s="127" t="s">
        <v>1236</v>
      </c>
      <c r="J2609" s="126">
        <v>11</v>
      </c>
      <c r="K2609" s="126">
        <v>15</v>
      </c>
      <c r="L2609" s="129">
        <f>INT(base[[#This Row],[Data de liquidação]])</f>
        <v>46173</v>
      </c>
      <c r="M2609" s="126">
        <f>base[[#This Row],[L/P Bruto]]-base[[#This Row],[L/P Líquido]]</f>
        <v>0.67523560209424183</v>
      </c>
      <c r="N2609" s="126">
        <f>base[[#This Row],[L/P Líquido]]/base[[#This Row],[Stake/Responsabilidade]]</f>
        <v>0.95533333333333337</v>
      </c>
      <c r="O2609" s="132">
        <f>IF(base[[#This Row],[L/P Líquido]]&gt;0,1,0)</f>
        <v>1</v>
      </c>
      <c r="P2609" s="132"/>
      <c r="Q2609" s="132" t="str">
        <f>LEFT(base[[#This Row],[Evento / Mercado]],FIND("vs",base[[#This Row],[Evento / Mercado]])-2)</f>
        <v>BK Häcken</v>
      </c>
      <c r="R26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Hammarby IF</v>
      </c>
      <c r="S2609" s="132" t="str">
        <f>LEFT(base[[#This Row],[Evento / Mercado]],FIND("/",base[[#This Row],[Evento / Mercado]])-2)</f>
        <v>BK Häcken vs Hammarby IF</v>
      </c>
    </row>
    <row r="2610" spans="2:19" ht="15" customHeight="1">
      <c r="B2610" s="128" t="s">
        <v>2673</v>
      </c>
      <c r="C2610" s="128" t="s">
        <v>2982</v>
      </c>
      <c r="D2610" s="129">
        <v>46173.413946759261</v>
      </c>
      <c r="E2610" s="130">
        <v>12.57</v>
      </c>
      <c r="F2610" s="136">
        <v>4.4999999999999998E-2</v>
      </c>
      <c r="G2610" s="126">
        <f t="shared" si="41"/>
        <v>13.162303664921467</v>
      </c>
      <c r="H2610" s="126" t="s">
        <v>1339</v>
      </c>
      <c r="I2610" s="127" t="s">
        <v>1430</v>
      </c>
      <c r="J2610" s="126">
        <v>8.6</v>
      </c>
      <c r="K2610" s="126">
        <v>100.02</v>
      </c>
      <c r="L2610" s="129">
        <f>INT(base[[#This Row],[Data de liquidação]])</f>
        <v>46173</v>
      </c>
      <c r="M2610" s="126">
        <f>base[[#This Row],[L/P Bruto]]-base[[#This Row],[L/P Líquido]]</f>
        <v>0.59230366492146658</v>
      </c>
      <c r="N2610" s="126">
        <f>base[[#This Row],[L/P Líquido]]/base[[#This Row],[Stake/Responsabilidade]]</f>
        <v>0.1256748650269946</v>
      </c>
      <c r="O2610" s="132">
        <f>IF(base[[#This Row],[L/P Líquido]]&gt;0,1,0)</f>
        <v>1</v>
      </c>
      <c r="P2610" s="132"/>
      <c r="Q2610" s="132" t="str">
        <f>LEFT(base[[#This Row],[Evento / Mercado]],FIND("vs",base[[#This Row],[Evento / Mercado]])-2)</f>
        <v>Tianjin Jinmenhu</v>
      </c>
      <c r="R26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Dalian Yingbo</v>
      </c>
      <c r="S2610" s="132" t="str">
        <f>LEFT(base[[#This Row],[Evento / Mercado]],FIND("/",base[[#This Row],[Evento / Mercado]])-2)</f>
        <v>Tianjin Jinmenhu vs Dalian Yingbo</v>
      </c>
    </row>
    <row r="2611" spans="2:19" ht="15" customHeight="1">
      <c r="B2611" s="128" t="s">
        <v>2672</v>
      </c>
      <c r="C2611" s="128" t="s">
        <v>2982</v>
      </c>
      <c r="D2611" s="129">
        <v>46173.413958333331</v>
      </c>
      <c r="E2611" s="130">
        <v>-5</v>
      </c>
      <c r="F2611" s="136">
        <v>4.4999999999999998E-2</v>
      </c>
      <c r="G2611" s="126">
        <f t="shared" si="41"/>
        <v>-5</v>
      </c>
      <c r="H2611" s="126" t="s">
        <v>1339</v>
      </c>
      <c r="I2611" s="127" t="s">
        <v>2404</v>
      </c>
      <c r="J2611" s="126">
        <v>1.81</v>
      </c>
      <c r="K2611" s="126">
        <v>5</v>
      </c>
      <c r="L2611" s="129">
        <f>INT(base[[#This Row],[Data de liquidação]])</f>
        <v>46173</v>
      </c>
      <c r="M2611" s="126">
        <f>base[[#This Row],[L/P Bruto]]-base[[#This Row],[L/P Líquido]]</f>
        <v>0</v>
      </c>
      <c r="N2611" s="126">
        <f>base[[#This Row],[L/P Líquido]]/base[[#This Row],[Stake/Responsabilidade]]</f>
        <v>-1</v>
      </c>
      <c r="O2611" s="132">
        <f>IF(base[[#This Row],[L/P Líquido]]&gt;0,1,0)</f>
        <v>0</v>
      </c>
      <c r="P2611" s="132"/>
      <c r="Q2611" s="132" t="str">
        <f>LEFT(base[[#This Row],[Evento / Mercado]],FIND("vs",base[[#This Row],[Evento / Mercado]])-2)</f>
        <v>Tianjin Jinmenhu</v>
      </c>
      <c r="R26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Dalian Yingbo</v>
      </c>
      <c r="S2611" s="132" t="str">
        <f>LEFT(base[[#This Row],[Evento / Mercado]],FIND("/",base[[#This Row],[Evento / Mercado]])-2)</f>
        <v>Tianjin Jinmenhu vs Dalian Yingbo</v>
      </c>
    </row>
    <row r="2612" spans="2:19" ht="15" customHeight="1">
      <c r="B2612" s="128" t="s">
        <v>2671</v>
      </c>
      <c r="C2612" s="128" t="s">
        <v>2982</v>
      </c>
      <c r="D2612" s="129">
        <v>46173.438472222224</v>
      </c>
      <c r="E2612" s="130">
        <v>5.31</v>
      </c>
      <c r="F2612" s="136">
        <v>4.4999999999999998E-2</v>
      </c>
      <c r="G2612" s="126">
        <f t="shared" si="41"/>
        <v>5.5602094240837694</v>
      </c>
      <c r="H2612" s="126" t="s">
        <v>1339</v>
      </c>
      <c r="I2612" s="127" t="s">
        <v>2470</v>
      </c>
      <c r="J2612" s="126">
        <v>11</v>
      </c>
      <c r="K2612" s="126">
        <v>55.6</v>
      </c>
      <c r="L2612" s="129">
        <f>INT(base[[#This Row],[Data de liquidação]])</f>
        <v>46173</v>
      </c>
      <c r="M2612" s="126">
        <f>base[[#This Row],[L/P Bruto]]-base[[#This Row],[L/P Líquido]]</f>
        <v>0.25020942408376978</v>
      </c>
      <c r="N2612" s="126">
        <f>base[[#This Row],[L/P Líquido]]/base[[#This Row],[Stake/Responsabilidade]]</f>
        <v>9.550359712230215E-2</v>
      </c>
      <c r="O2612" s="132">
        <f>IF(base[[#This Row],[L/P Líquido]]&gt;0,1,0)</f>
        <v>1</v>
      </c>
      <c r="P2612" s="132"/>
      <c r="Q2612" s="132" t="str">
        <f>LEFT(base[[#This Row],[Evento / Mercado]],FIND("vs",base[[#This Row],[Evento / Mercado]])-2)</f>
        <v>Wuhan Three Towns</v>
      </c>
      <c r="R26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Yunnan Yukun</v>
      </c>
      <c r="S2612" s="132" t="str">
        <f>LEFT(base[[#This Row],[Evento / Mercado]],FIND("/",base[[#This Row],[Evento / Mercado]])-2)</f>
        <v>Wuhan Three Towns vs Yunnan Yukun</v>
      </c>
    </row>
    <row r="2613" spans="2:19" ht="15" customHeight="1">
      <c r="B2613" s="128" t="s">
        <v>2670</v>
      </c>
      <c r="C2613" s="128" t="s">
        <v>2982</v>
      </c>
      <c r="D2613" s="129">
        <v>46173.438784722224</v>
      </c>
      <c r="E2613" s="130">
        <v>3.98</v>
      </c>
      <c r="F2613" s="136">
        <v>4.4999999999999998E-2</v>
      </c>
      <c r="G2613" s="126">
        <f t="shared" si="41"/>
        <v>4.167539267015707</v>
      </c>
      <c r="H2613" s="126" t="s">
        <v>1339</v>
      </c>
      <c r="I2613" s="127" t="s">
        <v>1430</v>
      </c>
      <c r="J2613" s="126">
        <v>24</v>
      </c>
      <c r="K2613" s="126">
        <v>95.91</v>
      </c>
      <c r="L2613" s="129">
        <f>INT(base[[#This Row],[Data de liquidação]])</f>
        <v>46173</v>
      </c>
      <c r="M2613" s="126">
        <f>base[[#This Row],[L/P Bruto]]-base[[#This Row],[L/P Líquido]]</f>
        <v>0.187539267015707</v>
      </c>
      <c r="N2613" s="126">
        <f>base[[#This Row],[L/P Líquido]]/base[[#This Row],[Stake/Responsabilidade]]</f>
        <v>4.1497236993014289E-2</v>
      </c>
      <c r="O2613" s="132">
        <f>IF(base[[#This Row],[L/P Líquido]]&gt;0,1,0)</f>
        <v>1</v>
      </c>
      <c r="P2613" s="132"/>
      <c r="Q2613" s="132" t="str">
        <f>LEFT(base[[#This Row],[Evento / Mercado]],FIND("vs",base[[#This Row],[Evento / Mercado]])-2)</f>
        <v>Wuhan Three Towns</v>
      </c>
      <c r="R26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Yunnan Yukun</v>
      </c>
      <c r="S2613" s="132" t="str">
        <f>LEFT(base[[#This Row],[Evento / Mercado]],FIND("/",base[[#This Row],[Evento / Mercado]])-2)</f>
        <v>Wuhan Three Towns vs Yunnan Yukun</v>
      </c>
    </row>
    <row r="2614" spans="2:19" ht="15" customHeight="1">
      <c r="B2614" s="128" t="s">
        <v>2669</v>
      </c>
      <c r="C2614" s="128" t="s">
        <v>2982</v>
      </c>
      <c r="D2614" s="129">
        <v>46173.441643518519</v>
      </c>
      <c r="E2614" s="130">
        <v>-5</v>
      </c>
      <c r="F2614" s="136">
        <v>4.4999999999999998E-2</v>
      </c>
      <c r="G2614" s="126">
        <f t="shared" si="41"/>
        <v>-5</v>
      </c>
      <c r="H2614" s="126" t="s">
        <v>1339</v>
      </c>
      <c r="I2614" s="127" t="s">
        <v>2471</v>
      </c>
      <c r="J2614" s="126">
        <v>1.27</v>
      </c>
      <c r="K2614" s="126">
        <v>5</v>
      </c>
      <c r="L2614" s="129">
        <f>INT(base[[#This Row],[Data de liquidação]])</f>
        <v>46173</v>
      </c>
      <c r="M2614" s="126">
        <f>base[[#This Row],[L/P Bruto]]-base[[#This Row],[L/P Líquido]]</f>
        <v>0</v>
      </c>
      <c r="N2614" s="126">
        <f>base[[#This Row],[L/P Líquido]]/base[[#This Row],[Stake/Responsabilidade]]</f>
        <v>-1</v>
      </c>
      <c r="O2614" s="132">
        <f>IF(base[[#This Row],[L/P Líquido]]&gt;0,1,0)</f>
        <v>0</v>
      </c>
      <c r="P2614" s="132"/>
      <c r="Q2614" s="132" t="str">
        <f>LEFT(base[[#This Row],[Evento / Mercado]],FIND("vs",base[[#This Row],[Evento / Mercado]])-2)</f>
        <v>BK Häcken</v>
      </c>
      <c r="R26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Hammarby IF</v>
      </c>
      <c r="S2614" s="132" t="str">
        <f>LEFT(base[[#This Row],[Evento / Mercado]],FIND("/",base[[#This Row],[Evento / Mercado]])-2)</f>
        <v>BK Häcken vs Hammarby IF</v>
      </c>
    </row>
    <row r="2615" spans="2:19" ht="15" customHeight="1">
      <c r="B2615" s="128" t="s">
        <v>2668</v>
      </c>
      <c r="C2615" s="128" t="s">
        <v>2982</v>
      </c>
      <c r="D2615" s="129">
        <v>46173.495844907404</v>
      </c>
      <c r="E2615" s="130">
        <v>14.33</v>
      </c>
      <c r="F2615" s="136">
        <v>4.4999999999999998E-2</v>
      </c>
      <c r="G2615" s="126">
        <f t="shared" si="41"/>
        <v>15.005235602094242</v>
      </c>
      <c r="H2615" s="126" t="s">
        <v>1339</v>
      </c>
      <c r="I2615" s="127" t="s">
        <v>1236</v>
      </c>
      <c r="J2615" s="126">
        <v>7.2</v>
      </c>
      <c r="K2615" s="126">
        <v>15</v>
      </c>
      <c r="L2615" s="129">
        <f>INT(base[[#This Row],[Data de liquidação]])</f>
        <v>46173</v>
      </c>
      <c r="M2615" s="126">
        <f>base[[#This Row],[L/P Bruto]]-base[[#This Row],[L/P Líquido]]</f>
        <v>0.67523560209424183</v>
      </c>
      <c r="N2615" s="126">
        <f>base[[#This Row],[L/P Líquido]]/base[[#This Row],[Stake/Responsabilidade]]</f>
        <v>0.95533333333333337</v>
      </c>
      <c r="O2615" s="132">
        <f>IF(base[[#This Row],[L/P Líquido]]&gt;0,1,0)</f>
        <v>1</v>
      </c>
      <c r="P2615" s="132"/>
      <c r="Q2615" s="132" t="str">
        <f>LEFT(base[[#This Row],[Evento / Mercado]],FIND("vs",base[[#This Row],[Evento / Mercado]])-2)</f>
        <v>Red Bull Bragantino</v>
      </c>
      <c r="R26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2615" s="132" t="str">
        <f>LEFT(base[[#This Row],[Evento / Mercado]],FIND("/",base[[#This Row],[Evento / Mercado]])-2)</f>
        <v>Red Bull Bragantino vs SC Internacional</v>
      </c>
    </row>
    <row r="2616" spans="2:19" ht="15" customHeight="1">
      <c r="B2616" s="128" t="s">
        <v>2667</v>
      </c>
      <c r="C2616" s="128" t="s">
        <v>2982</v>
      </c>
      <c r="D2616" s="129">
        <v>46173.496006944442</v>
      </c>
      <c r="E2616" s="130">
        <v>58.53</v>
      </c>
      <c r="F2616" s="136">
        <v>4.4999999999999998E-2</v>
      </c>
      <c r="G2616" s="126">
        <f t="shared" si="41"/>
        <v>61.287958115183251</v>
      </c>
      <c r="H2616" s="126" t="s">
        <v>145</v>
      </c>
      <c r="I2616" s="127" t="s">
        <v>301</v>
      </c>
      <c r="J2616" s="126">
        <v>7.2</v>
      </c>
      <c r="K2616" s="126">
        <v>380</v>
      </c>
      <c r="L2616" s="129">
        <f>INT(base[[#This Row],[Data de liquidação]])</f>
        <v>46173</v>
      </c>
      <c r="M2616" s="126">
        <f>base[[#This Row],[L/P Bruto]]-base[[#This Row],[L/P Líquido]]</f>
        <v>2.75795811518325</v>
      </c>
      <c r="N2616" s="126">
        <f>base[[#This Row],[L/P Líquido]]/base[[#This Row],[Stake/Responsabilidade]]</f>
        <v>0.15402631578947368</v>
      </c>
      <c r="O2616" s="132">
        <f>IF(base[[#This Row],[L/P Líquido]]&gt;0,1,0)</f>
        <v>1</v>
      </c>
      <c r="P2616" s="132" t="s">
        <v>2824</v>
      </c>
      <c r="Q2616" s="132" t="str">
        <f>LEFT(base[[#This Row],[Evento / Mercado]],FIND("vs",base[[#This Row],[Evento / Mercado]])-2)</f>
        <v>AC Horsens</v>
      </c>
      <c r="R26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Kolding IF</v>
      </c>
      <c r="S2616" s="132" t="str">
        <f>LEFT(base[[#This Row],[Evento / Mercado]],FIND("/",base[[#This Row],[Evento / Mercado]])-2)</f>
        <v>AC Horsens vs Kolding IF</v>
      </c>
    </row>
    <row r="2617" spans="2:19" ht="15" customHeight="1">
      <c r="B2617" s="128" t="s">
        <v>2666</v>
      </c>
      <c r="C2617" s="128" t="s">
        <v>2982</v>
      </c>
      <c r="D2617" s="129">
        <v>46173.580289351848</v>
      </c>
      <c r="E2617" s="130">
        <v>44</v>
      </c>
      <c r="F2617" s="136">
        <v>4.4999999999999998E-2</v>
      </c>
      <c r="G2617" s="126">
        <f t="shared" si="41"/>
        <v>46.073298429319372</v>
      </c>
      <c r="H2617" s="126" t="s">
        <v>145</v>
      </c>
      <c r="I2617" s="127" t="s">
        <v>301</v>
      </c>
      <c r="J2617" s="126">
        <v>9.1999999999999993</v>
      </c>
      <c r="K2617" s="126">
        <v>377.8</v>
      </c>
      <c r="L2617" s="129">
        <f>INT(base[[#This Row],[Data de liquidação]])</f>
        <v>46173</v>
      </c>
      <c r="M2617" s="126">
        <f>base[[#This Row],[L/P Bruto]]-base[[#This Row],[L/P Líquido]]</f>
        <v>2.0732984293193724</v>
      </c>
      <c r="N2617" s="126">
        <f>base[[#This Row],[L/P Líquido]]/base[[#This Row],[Stake/Responsabilidade]]</f>
        <v>0.11646373742721015</v>
      </c>
      <c r="O2617" s="132">
        <f>IF(base[[#This Row],[L/P Líquido]]&gt;0,1,0)</f>
        <v>1</v>
      </c>
      <c r="P2617" s="132" t="s">
        <v>2570</v>
      </c>
      <c r="Q2617" s="132" t="str">
        <f>LEFT(base[[#This Row],[Evento / Mercado]],FIND("vs",base[[#This Row],[Evento / Mercado]])-2)</f>
        <v>Kongsvinger IL</v>
      </c>
      <c r="R26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Åsane</v>
      </c>
      <c r="S2617" s="132" t="str">
        <f>LEFT(base[[#This Row],[Evento / Mercado]],FIND("/",base[[#This Row],[Evento / Mercado]])-2)</f>
        <v>Kongsvinger IL vs Åsane</v>
      </c>
    </row>
    <row r="2618" spans="2:19" ht="15" customHeight="1">
      <c r="B2618" s="128" t="s">
        <v>2665</v>
      </c>
      <c r="C2618" s="128" t="s">
        <v>2982</v>
      </c>
      <c r="D2618" s="129">
        <v>46173.592800925922</v>
      </c>
      <c r="E2618" s="130">
        <v>0.34</v>
      </c>
      <c r="F2618" s="136">
        <v>4.4999999999999998E-2</v>
      </c>
      <c r="G2618" s="126">
        <f t="shared" si="41"/>
        <v>0.35602094240837701</v>
      </c>
      <c r="H2618" s="126" t="s">
        <v>1339</v>
      </c>
      <c r="I2618" s="127" t="s">
        <v>1993</v>
      </c>
      <c r="J2618" s="126">
        <v>1.07</v>
      </c>
      <c r="K2618" s="126">
        <v>5</v>
      </c>
      <c r="L2618" s="129">
        <f>INT(base[[#This Row],[Data de liquidação]])</f>
        <v>46173</v>
      </c>
      <c r="M2618" s="126">
        <f>base[[#This Row],[L/P Bruto]]-base[[#This Row],[L/P Líquido]]</f>
        <v>1.6020942408376981E-2</v>
      </c>
      <c r="N2618" s="126">
        <f>base[[#This Row],[L/P Líquido]]/base[[#This Row],[Stake/Responsabilidade]]</f>
        <v>6.8000000000000005E-2</v>
      </c>
      <c r="O2618" s="132">
        <f>IF(base[[#This Row],[L/P Líquido]]&gt;0,1,0)</f>
        <v>1</v>
      </c>
      <c r="P2618" s="132"/>
      <c r="Q2618" s="132" t="str">
        <f>LEFT(base[[#This Row],[Evento / Mercado]],FIND("vs",base[[#This Row],[Evento / Mercado]])-2)</f>
        <v>CD Castellon</v>
      </c>
      <c r="R26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SD Eibar</v>
      </c>
      <c r="S2618" s="132" t="str">
        <f>LEFT(base[[#This Row],[Evento / Mercado]],FIND("/",base[[#This Row],[Evento / Mercado]])-2)</f>
        <v>CD Castellon vs SD Eibar</v>
      </c>
    </row>
    <row r="2619" spans="2:19" ht="15" customHeight="1">
      <c r="B2619" s="128" t="s">
        <v>2664</v>
      </c>
      <c r="C2619" s="128" t="s">
        <v>2982</v>
      </c>
      <c r="D2619" s="129">
        <v>46173.596273148149</v>
      </c>
      <c r="E2619" s="130">
        <v>-2</v>
      </c>
      <c r="F2619" s="136">
        <v>4.4999999999999998E-2</v>
      </c>
      <c r="G2619" s="126">
        <f t="shared" si="41"/>
        <v>-2</v>
      </c>
      <c r="H2619" s="126" t="s">
        <v>1339</v>
      </c>
      <c r="I2619" s="127" t="s">
        <v>1448</v>
      </c>
      <c r="J2619" s="126">
        <v>1.59</v>
      </c>
      <c r="K2619" s="126">
        <v>2</v>
      </c>
      <c r="L2619" s="129">
        <f>INT(base[[#This Row],[Data de liquidação]])</f>
        <v>46173</v>
      </c>
      <c r="M2619" s="126">
        <f>base[[#This Row],[L/P Bruto]]-base[[#This Row],[L/P Líquido]]</f>
        <v>0</v>
      </c>
      <c r="N2619" s="126">
        <f>base[[#This Row],[L/P Líquido]]/base[[#This Row],[Stake/Responsabilidade]]</f>
        <v>-1</v>
      </c>
      <c r="O2619" s="132">
        <f>IF(base[[#This Row],[L/P Líquido]]&gt;0,1,0)</f>
        <v>0</v>
      </c>
      <c r="P2619" s="132"/>
      <c r="Q2619" s="132" t="str">
        <f>LEFT(base[[#This Row],[Evento / Mercado]],FIND("vs",base[[#This Row],[Evento / Mercado]])-2)</f>
        <v>UD Almería</v>
      </c>
      <c r="R26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Valladolid</v>
      </c>
      <c r="S2619" s="132" t="str">
        <f>LEFT(base[[#This Row],[Evento / Mercado]],FIND("/",base[[#This Row],[Evento / Mercado]])-2)</f>
        <v>UD Almería vs Real Valladolid</v>
      </c>
    </row>
    <row r="2620" spans="2:19" ht="15" customHeight="1">
      <c r="B2620" s="128" t="s">
        <v>2663</v>
      </c>
      <c r="C2620" s="128" t="s">
        <v>2982</v>
      </c>
      <c r="D2620" s="129">
        <v>46173.599004629628</v>
      </c>
      <c r="E2620" s="130">
        <v>-2</v>
      </c>
      <c r="F2620" s="136">
        <v>4.4999999999999998E-2</v>
      </c>
      <c r="G2620" s="126">
        <f t="shared" si="41"/>
        <v>-2</v>
      </c>
      <c r="H2620" s="126" t="s">
        <v>1339</v>
      </c>
      <c r="I2620" s="127" t="s">
        <v>1994</v>
      </c>
      <c r="J2620" s="126">
        <v>4.4000000000000004</v>
      </c>
      <c r="K2620" s="126">
        <v>2</v>
      </c>
      <c r="L2620" s="129">
        <f>INT(base[[#This Row],[Data de liquidação]])</f>
        <v>46173</v>
      </c>
      <c r="M2620" s="126">
        <f>base[[#This Row],[L/P Bruto]]-base[[#This Row],[L/P Líquido]]</f>
        <v>0</v>
      </c>
      <c r="N2620" s="126">
        <f>base[[#This Row],[L/P Líquido]]/base[[#This Row],[Stake/Responsabilidade]]</f>
        <v>-1</v>
      </c>
      <c r="O2620" s="132">
        <f>IF(base[[#This Row],[L/P Líquido]]&gt;0,1,0)</f>
        <v>0</v>
      </c>
      <c r="P2620" s="132"/>
      <c r="Q2620" s="132" t="str">
        <f>LEFT(base[[#This Row],[Evento / Mercado]],FIND("vs",base[[#This Row],[Evento / Mercado]])-2)</f>
        <v>FBC Melgar</v>
      </c>
      <c r="R26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Alianza Atletico</v>
      </c>
      <c r="S2620" s="132" t="str">
        <f>LEFT(base[[#This Row],[Evento / Mercado]],FIND("/",base[[#This Row],[Evento / Mercado]])-2)</f>
        <v>FBC Melgar vs Alianza Atletico</v>
      </c>
    </row>
    <row r="2621" spans="2:19" ht="15" customHeight="1">
      <c r="B2621" s="128" t="s">
        <v>2662</v>
      </c>
      <c r="C2621" s="128" t="s">
        <v>2982</v>
      </c>
      <c r="D2621" s="129">
        <v>46173.616597222222</v>
      </c>
      <c r="E2621" s="130">
        <v>0.35</v>
      </c>
      <c r="F2621" s="136">
        <v>4.4999999999999998E-2</v>
      </c>
      <c r="G2621" s="126">
        <f t="shared" si="41"/>
        <v>0.36649214659685864</v>
      </c>
      <c r="H2621" s="126" t="s">
        <v>1339</v>
      </c>
      <c r="I2621" s="127" t="s">
        <v>1993</v>
      </c>
      <c r="J2621" s="126">
        <v>1.07</v>
      </c>
      <c r="K2621" s="126">
        <v>5</v>
      </c>
      <c r="L2621" s="129">
        <f>INT(base[[#This Row],[Data de liquidação]])</f>
        <v>46173</v>
      </c>
      <c r="M2621" s="126">
        <f>base[[#This Row],[L/P Bruto]]-base[[#This Row],[L/P Líquido]]</f>
        <v>1.6492146596858659E-2</v>
      </c>
      <c r="N2621" s="126">
        <f>base[[#This Row],[L/P Líquido]]/base[[#This Row],[Stake/Responsabilidade]]</f>
        <v>6.9999999999999993E-2</v>
      </c>
      <c r="O2621" s="132">
        <f>IF(base[[#This Row],[L/P Líquido]]&gt;0,1,0)</f>
        <v>1</v>
      </c>
      <c r="P2621" s="132"/>
      <c r="Q2621" s="132" t="str">
        <f>LEFT(base[[#This Row],[Evento / Mercado]],FIND("vs",base[[#This Row],[Evento / Mercado]])-2)</f>
        <v>UD Almería</v>
      </c>
      <c r="R26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Valladolid</v>
      </c>
      <c r="S2621" s="132" t="str">
        <f>LEFT(base[[#This Row],[Evento / Mercado]],FIND("/",base[[#This Row],[Evento / Mercado]])-2)</f>
        <v>UD Almería vs Real Valladolid</v>
      </c>
    </row>
    <row r="2622" spans="2:19" ht="15" customHeight="1">
      <c r="B2622" s="128" t="s">
        <v>2661</v>
      </c>
      <c r="C2622" s="128" t="s">
        <v>2982</v>
      </c>
      <c r="D2622" s="129">
        <v>46173.621458333335</v>
      </c>
      <c r="E2622" s="130">
        <v>6.2</v>
      </c>
      <c r="F2622" s="136">
        <v>4.4999999999999998E-2</v>
      </c>
      <c r="G2622" s="126">
        <f t="shared" si="41"/>
        <v>6.4921465968586389</v>
      </c>
      <c r="H2622" s="126" t="s">
        <v>1339</v>
      </c>
      <c r="I2622" s="127" t="s">
        <v>1446</v>
      </c>
      <c r="J2622" s="126">
        <v>2.54</v>
      </c>
      <c r="K2622" s="126">
        <v>9.99</v>
      </c>
      <c r="L2622" s="129">
        <f>INT(base[[#This Row],[Data de liquidação]])</f>
        <v>46173</v>
      </c>
      <c r="M2622" s="126">
        <f>base[[#This Row],[L/P Bruto]]-base[[#This Row],[L/P Líquido]]</f>
        <v>0.29214659685863875</v>
      </c>
      <c r="N2622" s="126">
        <f>base[[#This Row],[L/P Líquido]]/base[[#This Row],[Stake/Responsabilidade]]</f>
        <v>0.62062062062062062</v>
      </c>
      <c r="O2622" s="132">
        <f>IF(base[[#This Row],[L/P Líquido]]&gt;0,1,0)</f>
        <v>1</v>
      </c>
      <c r="P2622" s="132"/>
      <c r="Q2622" s="132" t="str">
        <f>LEFT(base[[#This Row],[Evento / Mercado]],FIND("vs",base[[#This Row],[Evento / Mercado]])-2)</f>
        <v>FBC Melgar</v>
      </c>
      <c r="R26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Alianza Atletico</v>
      </c>
      <c r="S2622" s="132" t="str">
        <f>LEFT(base[[#This Row],[Evento / Mercado]],FIND("/",base[[#This Row],[Evento / Mercado]])-2)</f>
        <v>FBC Melgar vs Alianza Atletico</v>
      </c>
    </row>
    <row r="2623" spans="2:19" ht="15" customHeight="1">
      <c r="B2623" s="128" t="s">
        <v>2660</v>
      </c>
      <c r="C2623" s="128" t="s">
        <v>2982</v>
      </c>
      <c r="D2623" s="129">
        <v>46173.63003472222</v>
      </c>
      <c r="E2623" s="130">
        <v>-8.48</v>
      </c>
      <c r="F2623" s="136">
        <v>4.4999999999999998E-2</v>
      </c>
      <c r="G2623" s="126">
        <f t="shared" si="41"/>
        <v>-8.48</v>
      </c>
      <c r="H2623" s="126" t="s">
        <v>1339</v>
      </c>
      <c r="I2623" s="127" t="s">
        <v>1236</v>
      </c>
      <c r="J2623" s="126">
        <v>7.67</v>
      </c>
      <c r="K2623" s="126">
        <v>15</v>
      </c>
      <c r="L2623" s="129">
        <f>INT(base[[#This Row],[Data de liquidação]])</f>
        <v>46173</v>
      </c>
      <c r="M2623" s="126">
        <f>base[[#This Row],[L/P Bruto]]-base[[#This Row],[L/P Líquido]]</f>
        <v>0</v>
      </c>
      <c r="N2623" s="126">
        <f>base[[#This Row],[L/P Líquido]]/base[[#This Row],[Stake/Responsabilidade]]</f>
        <v>-0.56533333333333335</v>
      </c>
      <c r="O2623" s="132">
        <f>IF(base[[#This Row],[L/P Líquido]]&gt;0,1,0)</f>
        <v>0</v>
      </c>
      <c r="P2623" s="132"/>
      <c r="Q2623" s="132" t="str">
        <f>LEFT(base[[#This Row],[Evento / Mercado]],FIND("vs",base[[#This Row],[Evento / Mercado]])-2)</f>
        <v>Real Zaragoza</v>
      </c>
      <c r="R26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Málaga</v>
      </c>
      <c r="S2623" s="132" t="str">
        <f>LEFT(base[[#This Row],[Evento / Mercado]],FIND("/",base[[#This Row],[Evento / Mercado]])-2)</f>
        <v>Real Zaragoza vs Málaga</v>
      </c>
    </row>
    <row r="2624" spans="2:19" ht="15" customHeight="1">
      <c r="B2624" s="128" t="s">
        <v>2659</v>
      </c>
      <c r="C2624" s="128" t="s">
        <v>2982</v>
      </c>
      <c r="D2624" s="129">
        <v>46173.640601851854</v>
      </c>
      <c r="E2624" s="130">
        <v>40.32</v>
      </c>
      <c r="F2624" s="136">
        <v>4.4999999999999998E-2</v>
      </c>
      <c r="G2624" s="126">
        <f t="shared" si="41"/>
        <v>42.219895287958117</v>
      </c>
      <c r="H2624" s="126" t="s">
        <v>145</v>
      </c>
      <c r="I2624" s="127" t="s">
        <v>301</v>
      </c>
      <c r="J2624" s="126">
        <v>10</v>
      </c>
      <c r="K2624" s="126">
        <v>379.98</v>
      </c>
      <c r="L2624" s="129">
        <f>INT(base[[#This Row],[Data de liquidação]])</f>
        <v>46173</v>
      </c>
      <c r="M2624" s="126">
        <f>base[[#This Row],[L/P Bruto]]-base[[#This Row],[L/P Líquido]]</f>
        <v>1.8998952879581168</v>
      </c>
      <c r="N2624" s="126">
        <f>base[[#This Row],[L/P Líquido]]/base[[#This Row],[Stake/Responsabilidade]]</f>
        <v>0.10611084793936522</v>
      </c>
      <c r="O2624" s="132">
        <f>IF(base[[#This Row],[L/P Líquido]]&gt;0,1,0)</f>
        <v>1</v>
      </c>
      <c r="P2624" s="132" t="s">
        <v>977</v>
      </c>
      <c r="Q2624" s="132" t="str">
        <f>LEFT(base[[#This Row],[Evento / Mercado]],FIND("vs",base[[#This Row],[Evento / Mercado]])-2)</f>
        <v>Racing Santander</v>
      </c>
      <c r="R26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Cádiz</v>
      </c>
      <c r="S2624" s="132" t="str">
        <f>LEFT(base[[#This Row],[Evento / Mercado]],FIND("/",base[[#This Row],[Evento / Mercado]])-2)</f>
        <v>Racing Santander vs Cádiz</v>
      </c>
    </row>
    <row r="2625" spans="2:19" ht="15" customHeight="1">
      <c r="B2625" s="128" t="s">
        <v>2658</v>
      </c>
      <c r="C2625" s="128" t="s">
        <v>2982</v>
      </c>
      <c r="D2625" s="129">
        <v>46173.642372685186</v>
      </c>
      <c r="E2625" s="130">
        <v>3.08</v>
      </c>
      <c r="F2625" s="136">
        <v>4.4999999999999998E-2</v>
      </c>
      <c r="G2625" s="126">
        <f t="shared" si="41"/>
        <v>3.2251308900523563</v>
      </c>
      <c r="H2625" s="126" t="s">
        <v>1339</v>
      </c>
      <c r="I2625" s="127" t="s">
        <v>1430</v>
      </c>
      <c r="J2625" s="126">
        <v>34</v>
      </c>
      <c r="K2625" s="126">
        <v>106.59</v>
      </c>
      <c r="L2625" s="129">
        <f>INT(base[[#This Row],[Data de liquidação]])</f>
        <v>46173</v>
      </c>
      <c r="M2625" s="126">
        <f>base[[#This Row],[L/P Bruto]]-base[[#This Row],[L/P Líquido]]</f>
        <v>0.14513089005235624</v>
      </c>
      <c r="N2625" s="126">
        <f>base[[#This Row],[L/P Líquido]]/base[[#This Row],[Stake/Responsabilidade]]</f>
        <v>2.8895768833849329E-2</v>
      </c>
      <c r="O2625" s="132">
        <f>IF(base[[#This Row],[L/P Líquido]]&gt;0,1,0)</f>
        <v>1</v>
      </c>
      <c r="P2625" s="132"/>
      <c r="Q2625" s="132" t="str">
        <f>LEFT(base[[#This Row],[Evento / Mercado]],FIND("vs",base[[#This Row],[Evento / Mercado]])-2)</f>
        <v>Burgos CF</v>
      </c>
      <c r="R26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Andorra FC</v>
      </c>
      <c r="S2625" s="132" t="str">
        <f>LEFT(base[[#This Row],[Evento / Mercado]],FIND("/",base[[#This Row],[Evento / Mercado]])-2)</f>
        <v>Burgos CF vs Andorra FC</v>
      </c>
    </row>
    <row r="2626" spans="2:19" ht="15" customHeight="1">
      <c r="B2626" s="128" t="s">
        <v>2657</v>
      </c>
      <c r="C2626" s="128" t="s">
        <v>2982</v>
      </c>
      <c r="D2626" s="129">
        <v>46173.644479166665</v>
      </c>
      <c r="E2626" s="130">
        <v>-5</v>
      </c>
      <c r="F2626" s="136">
        <v>4.4999999999999998E-2</v>
      </c>
      <c r="G2626" s="126">
        <f t="shared" si="41"/>
        <v>-5</v>
      </c>
      <c r="H2626" s="126" t="s">
        <v>1339</v>
      </c>
      <c r="I2626" s="127" t="s">
        <v>2404</v>
      </c>
      <c r="J2626" s="126">
        <v>1.83</v>
      </c>
      <c r="K2626" s="126">
        <v>5</v>
      </c>
      <c r="L2626" s="129">
        <f>INT(base[[#This Row],[Data de liquidação]])</f>
        <v>46173</v>
      </c>
      <c r="M2626" s="126">
        <f>base[[#This Row],[L/P Bruto]]-base[[#This Row],[L/P Líquido]]</f>
        <v>0</v>
      </c>
      <c r="N2626" s="126">
        <f>base[[#This Row],[L/P Líquido]]/base[[#This Row],[Stake/Responsabilidade]]</f>
        <v>-1</v>
      </c>
      <c r="O2626" s="132">
        <f>IF(base[[#This Row],[L/P Líquido]]&gt;0,1,0)</f>
        <v>0</v>
      </c>
      <c r="P2626" s="132"/>
      <c r="Q2626" s="132" t="str">
        <f>LEFT(base[[#This Row],[Evento / Mercado]],FIND("vs",base[[#This Row],[Evento / Mercado]])-2)</f>
        <v>UD Almería</v>
      </c>
      <c r="R26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Valladolid</v>
      </c>
      <c r="S2626" s="132" t="str">
        <f>LEFT(base[[#This Row],[Evento / Mercado]],FIND("/",base[[#This Row],[Evento / Mercado]])-2)</f>
        <v>UD Almería vs Real Valladolid</v>
      </c>
    </row>
    <row r="2627" spans="2:19" ht="15" customHeight="1">
      <c r="B2627" s="128" t="s">
        <v>2656</v>
      </c>
      <c r="C2627" s="128" t="s">
        <v>2982</v>
      </c>
      <c r="D2627" s="129">
        <v>46173.644502314812</v>
      </c>
      <c r="E2627" s="130">
        <v>47.75</v>
      </c>
      <c r="F2627" s="136">
        <v>4.4999999999999998E-2</v>
      </c>
      <c r="G2627" s="126">
        <f t="shared" ref="G2627:G2690" si="42">IF(E2627&gt;0,E2627/(1-F2627),E2627)</f>
        <v>50</v>
      </c>
      <c r="H2627" s="126" t="s">
        <v>145</v>
      </c>
      <c r="I2627" s="127" t="s">
        <v>301</v>
      </c>
      <c r="J2627" s="126">
        <v>8.6</v>
      </c>
      <c r="K2627" s="126">
        <v>380</v>
      </c>
      <c r="L2627" s="129">
        <f>INT(base[[#This Row],[Data de liquidação]])</f>
        <v>46173</v>
      </c>
      <c r="M2627" s="126">
        <f>base[[#This Row],[L/P Bruto]]-base[[#This Row],[L/P Líquido]]</f>
        <v>2.25</v>
      </c>
      <c r="N2627" s="126">
        <f>base[[#This Row],[L/P Líquido]]/base[[#This Row],[Stake/Responsabilidade]]</f>
        <v>0.12565789473684211</v>
      </c>
      <c r="O2627" s="132">
        <f>IF(base[[#This Row],[L/P Líquido]]&gt;0,1,0)</f>
        <v>1</v>
      </c>
      <c r="P2627" s="132" t="s">
        <v>977</v>
      </c>
      <c r="Q2627" s="132" t="str">
        <f>LEFT(base[[#This Row],[Evento / Mercado]],FIND("vs",base[[#This Row],[Evento / Mercado]])-2)</f>
        <v>UD Almería</v>
      </c>
      <c r="R26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Valladolid</v>
      </c>
      <c r="S2627" s="132" t="str">
        <f>LEFT(base[[#This Row],[Evento / Mercado]],FIND("/",base[[#This Row],[Evento / Mercado]])-2)</f>
        <v>UD Almería vs Real Valladolid</v>
      </c>
    </row>
    <row r="2628" spans="2:19" ht="15" customHeight="1">
      <c r="B2628" s="128" t="s">
        <v>2655</v>
      </c>
      <c r="C2628" s="128" t="s">
        <v>2982</v>
      </c>
      <c r="D2628" s="129">
        <v>46173.703159722223</v>
      </c>
      <c r="E2628" s="130">
        <v>14.33</v>
      </c>
      <c r="F2628" s="136">
        <v>4.4999999999999998E-2</v>
      </c>
      <c r="G2628" s="126">
        <f t="shared" si="42"/>
        <v>15.005235602094242</v>
      </c>
      <c r="H2628" s="126" t="s">
        <v>1339</v>
      </c>
      <c r="I2628" s="127" t="s">
        <v>1236</v>
      </c>
      <c r="J2628" s="126">
        <v>13.5</v>
      </c>
      <c r="K2628" s="126">
        <v>15</v>
      </c>
      <c r="L2628" s="129">
        <f>INT(base[[#This Row],[Data de liquidação]])</f>
        <v>46173</v>
      </c>
      <c r="M2628" s="126">
        <f>base[[#This Row],[L/P Bruto]]-base[[#This Row],[L/P Líquido]]</f>
        <v>0.67523560209424183</v>
      </c>
      <c r="N2628" s="126">
        <f>base[[#This Row],[L/P Líquido]]/base[[#This Row],[Stake/Responsabilidade]]</f>
        <v>0.95533333333333337</v>
      </c>
      <c r="O2628" s="132">
        <f>IF(base[[#This Row],[L/P Líquido]]&gt;0,1,0)</f>
        <v>1</v>
      </c>
      <c r="P2628" s="132"/>
      <c r="Q2628" s="132" t="str">
        <f>LEFT(base[[#This Row],[Evento / Mercado]],FIND("vs",base[[#This Row],[Evento / Mercado]])-2)</f>
        <v>Germany</v>
      </c>
      <c r="R26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Finland</v>
      </c>
      <c r="S2628" s="132" t="str">
        <f>LEFT(base[[#This Row],[Evento / Mercado]],FIND("/",base[[#This Row],[Evento / Mercado]])-2)</f>
        <v>Germany vs Finland</v>
      </c>
    </row>
    <row r="2629" spans="2:19" ht="15" customHeight="1">
      <c r="B2629" s="128" t="s">
        <v>2654</v>
      </c>
      <c r="C2629" s="128" t="s">
        <v>2982</v>
      </c>
      <c r="D2629" s="129">
        <v>46173.748148148145</v>
      </c>
      <c r="E2629" s="130">
        <v>2.34</v>
      </c>
      <c r="F2629" s="136">
        <v>4.4999999999999998E-2</v>
      </c>
      <c r="G2629" s="126">
        <f t="shared" si="42"/>
        <v>2.4502617801047122</v>
      </c>
      <c r="H2629" s="126" t="s">
        <v>1339</v>
      </c>
      <c r="I2629" s="127" t="s">
        <v>1389</v>
      </c>
      <c r="J2629" s="126">
        <v>1.5</v>
      </c>
      <c r="K2629" s="126">
        <v>4.9000000000000004</v>
      </c>
      <c r="L2629" s="129">
        <f>INT(base[[#This Row],[Data de liquidação]])</f>
        <v>46173</v>
      </c>
      <c r="M2629" s="126">
        <f>base[[#This Row],[L/P Bruto]]-base[[#This Row],[L/P Líquido]]</f>
        <v>0.11026178010471233</v>
      </c>
      <c r="N2629" s="126">
        <f>base[[#This Row],[L/P Líquido]]/base[[#This Row],[Stake/Responsabilidade]]</f>
        <v>0.47755102040816322</v>
      </c>
      <c r="O2629" s="132">
        <f>IF(base[[#This Row],[L/P Líquido]]&gt;0,1,0)</f>
        <v>1</v>
      </c>
      <c r="P2629" s="132"/>
      <c r="Q2629" s="132" t="str">
        <f>LEFT(base[[#This Row],[Evento / Mercado]],FIND("vs",base[[#This Row],[Evento / Mercado]])-2)</f>
        <v>Vasco da Gama</v>
      </c>
      <c r="R26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2629" s="132" t="str">
        <f>LEFT(base[[#This Row],[Evento / Mercado]],FIND("/",base[[#This Row],[Evento / Mercado]])-2)</f>
        <v>Vasco da Gama vs Atlético Mineiro</v>
      </c>
    </row>
    <row r="2630" spans="2:19" ht="15" customHeight="1">
      <c r="B2630" s="128" t="s">
        <v>2653</v>
      </c>
      <c r="C2630" s="128" t="s">
        <v>2982</v>
      </c>
      <c r="D2630" s="129">
        <v>46173.749293981484</v>
      </c>
      <c r="E2630" s="130">
        <v>6.46</v>
      </c>
      <c r="F2630" s="136">
        <v>4.4999999999999998E-2</v>
      </c>
      <c r="G2630" s="126">
        <f t="shared" si="42"/>
        <v>6.7643979057591626</v>
      </c>
      <c r="H2630" s="126" t="s">
        <v>1339</v>
      </c>
      <c r="I2630" s="127" t="s">
        <v>2469</v>
      </c>
      <c r="J2630" s="126">
        <v>8.4</v>
      </c>
      <c r="K2630" s="126">
        <v>50.02</v>
      </c>
      <c r="L2630" s="129">
        <f>INT(base[[#This Row],[Data de liquidação]])</f>
        <v>46173</v>
      </c>
      <c r="M2630" s="126">
        <f>base[[#This Row],[L/P Bruto]]-base[[#This Row],[L/P Líquido]]</f>
        <v>0.30439790575916259</v>
      </c>
      <c r="N2630" s="126">
        <f>base[[#This Row],[L/P Líquido]]/base[[#This Row],[Stake/Responsabilidade]]</f>
        <v>0.12914834066373448</v>
      </c>
      <c r="O2630" s="132">
        <f>IF(base[[#This Row],[L/P Líquido]]&gt;0,1,0)</f>
        <v>1</v>
      </c>
      <c r="P2630" s="132"/>
      <c r="Q2630" s="132" t="str">
        <f>LEFT(base[[#This Row],[Evento / Mercado]],FIND("vs",base[[#This Row],[Evento / Mercado]])-2)</f>
        <v>Huachipato</v>
      </c>
      <c r="R26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</v>
      </c>
      <c r="S2630" s="132" t="str">
        <f>LEFT(base[[#This Row],[Evento / Mercado]],FIND("/",base[[#This Row],[Evento / Mercado]])-2)</f>
        <v>Huachipato vs Universidad Católica</v>
      </c>
    </row>
    <row r="2631" spans="2:19" ht="15" customHeight="1">
      <c r="B2631" s="128" t="s">
        <v>2652</v>
      </c>
      <c r="C2631" s="128" t="s">
        <v>2982</v>
      </c>
      <c r="D2631" s="129">
        <v>46173.750937500001</v>
      </c>
      <c r="E2631" s="130">
        <v>2.87</v>
      </c>
      <c r="F2631" s="136">
        <v>4.4999999999999998E-2</v>
      </c>
      <c r="G2631" s="126">
        <f t="shared" si="42"/>
        <v>3.005235602094241</v>
      </c>
      <c r="H2631" s="126" t="s">
        <v>1339</v>
      </c>
      <c r="I2631" s="127" t="s">
        <v>1389</v>
      </c>
      <c r="J2631" s="126">
        <v>1.6</v>
      </c>
      <c r="K2631" s="126">
        <v>5</v>
      </c>
      <c r="L2631" s="129">
        <f>INT(base[[#This Row],[Data de liquidação]])</f>
        <v>46173</v>
      </c>
      <c r="M2631" s="126">
        <f>base[[#This Row],[L/P Bruto]]-base[[#This Row],[L/P Líquido]]</f>
        <v>0.1352356020942409</v>
      </c>
      <c r="N2631" s="126">
        <f>base[[#This Row],[L/P Líquido]]/base[[#This Row],[Stake/Responsabilidade]]</f>
        <v>0.57400000000000007</v>
      </c>
      <c r="O2631" s="132">
        <f>IF(base[[#This Row],[L/P Líquido]]&gt;0,1,0)</f>
        <v>1</v>
      </c>
      <c r="P2631" s="132"/>
      <c r="Q2631" s="132" t="str">
        <f>LEFT(base[[#This Row],[Evento / Mercado]],FIND("vs",base[[#This Row],[Evento / Mercado]])-2)</f>
        <v>Leganés</v>
      </c>
      <c r="R26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Mirandés</v>
      </c>
      <c r="S2631" s="132" t="str">
        <f>LEFT(base[[#This Row],[Evento / Mercado]],FIND("/",base[[#This Row],[Evento / Mercado]])-2)</f>
        <v>Leganés vs Mirandés</v>
      </c>
    </row>
    <row r="2632" spans="2:19" ht="15" customHeight="1">
      <c r="B2632" s="128" t="s">
        <v>2651</v>
      </c>
      <c r="C2632" s="128" t="s">
        <v>2982</v>
      </c>
      <c r="D2632" s="129">
        <v>46173.757870370369</v>
      </c>
      <c r="E2632" s="130">
        <v>12.2</v>
      </c>
      <c r="F2632" s="136">
        <v>4.4999999999999998E-2</v>
      </c>
      <c r="G2632" s="126">
        <f t="shared" si="42"/>
        <v>12.774869109947645</v>
      </c>
      <c r="H2632" s="126" t="s">
        <v>122</v>
      </c>
      <c r="I2632" s="127" t="s">
        <v>476</v>
      </c>
      <c r="J2632" s="126">
        <f>+(29*35+34*380.16)/base[[#This Row],[Stake/Responsabilidade]]</f>
        <v>33.578475768378453</v>
      </c>
      <c r="K2632" s="126">
        <f>35+380.16</f>
        <v>415.16</v>
      </c>
      <c r="L2632" s="129">
        <f>INT(base[[#This Row],[Data de liquidação]])</f>
        <v>46173</v>
      </c>
      <c r="M2632" s="126">
        <f>base[[#This Row],[L/P Bruto]]-base[[#This Row],[L/P Líquido]]</f>
        <v>0.57486910994764528</v>
      </c>
      <c r="N2632" s="126">
        <f>base[[#This Row],[L/P Líquido]]/base[[#This Row],[Stake/Responsabilidade]]</f>
        <v>2.9386260718759029E-2</v>
      </c>
      <c r="O2632" s="132">
        <f>IF(base[[#This Row],[L/P Líquido]]&gt;0,1,0)</f>
        <v>1</v>
      </c>
      <c r="P2632" s="132" t="s">
        <v>1058</v>
      </c>
      <c r="Q2632" s="132" t="str">
        <f>LEFT(base[[#This Row],[Evento / Mercado]],FIND("vs",base[[#This Row],[Evento / Mercado]])-2)</f>
        <v>Palmeiras</v>
      </c>
      <c r="R26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2632" s="132" t="str">
        <f>LEFT(base[[#This Row],[Evento / Mercado]],FIND("/",base[[#This Row],[Evento / Mercado]])-2)</f>
        <v>Palmeiras vs Chapecoense</v>
      </c>
    </row>
    <row r="2633" spans="2:19" ht="15" customHeight="1">
      <c r="B2633" s="128" t="s">
        <v>2650</v>
      </c>
      <c r="C2633" s="128" t="s">
        <v>2982</v>
      </c>
      <c r="D2633" s="129">
        <v>46173.759062500001</v>
      </c>
      <c r="E2633" s="130">
        <v>34.56</v>
      </c>
      <c r="F2633" s="136">
        <v>4.4999999999999998E-2</v>
      </c>
      <c r="G2633" s="126">
        <f t="shared" si="42"/>
        <v>36.188481675392673</v>
      </c>
      <c r="H2633" s="126" t="s">
        <v>145</v>
      </c>
      <c r="I2633" s="127" t="s">
        <v>301</v>
      </c>
      <c r="J2633" s="126">
        <v>11.5</v>
      </c>
      <c r="K2633" s="126">
        <v>380</v>
      </c>
      <c r="L2633" s="129">
        <f>INT(base[[#This Row],[Data de liquidação]])</f>
        <v>46173</v>
      </c>
      <c r="M2633" s="126">
        <f>base[[#This Row],[L/P Bruto]]-base[[#This Row],[L/P Líquido]]</f>
        <v>1.6284816753926705</v>
      </c>
      <c r="N2633" s="126">
        <f>base[[#This Row],[L/P Líquido]]/base[[#This Row],[Stake/Responsabilidade]]</f>
        <v>9.0947368421052638E-2</v>
      </c>
      <c r="O2633" s="132">
        <f>IF(base[[#This Row],[L/P Líquido]]&gt;0,1,0)</f>
        <v>1</v>
      </c>
      <c r="P2633" s="132" t="s">
        <v>1058</v>
      </c>
      <c r="Q2633" s="132" t="str">
        <f>LEFT(base[[#This Row],[Evento / Mercado]],FIND("vs",base[[#This Row],[Evento / Mercado]])-2)</f>
        <v>Palmeiras</v>
      </c>
      <c r="R26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2633" s="132" t="str">
        <f>LEFT(base[[#This Row],[Evento / Mercado]],FIND("/",base[[#This Row],[Evento / Mercado]])-2)</f>
        <v>Palmeiras vs Chapecoense</v>
      </c>
    </row>
    <row r="2634" spans="2:19" ht="15" customHeight="1">
      <c r="B2634" s="128" t="s">
        <v>2649</v>
      </c>
      <c r="C2634" s="128" t="s">
        <v>2982</v>
      </c>
      <c r="D2634" s="129">
        <v>46173.816284722219</v>
      </c>
      <c r="E2634" s="130">
        <v>3.27</v>
      </c>
      <c r="F2634" s="136">
        <v>4.4999999999999998E-2</v>
      </c>
      <c r="G2634" s="126">
        <f t="shared" si="42"/>
        <v>3.424083769633508</v>
      </c>
      <c r="H2634" s="126" t="s">
        <v>1339</v>
      </c>
      <c r="I2634" s="127" t="s">
        <v>2404</v>
      </c>
      <c r="J2634" s="126">
        <v>1.68</v>
      </c>
      <c r="K2634" s="126">
        <v>5</v>
      </c>
      <c r="L2634" s="129">
        <f>INT(base[[#This Row],[Data de liquidação]])</f>
        <v>46173</v>
      </c>
      <c r="M2634" s="126">
        <f>base[[#This Row],[L/P Bruto]]-base[[#This Row],[L/P Líquido]]</f>
        <v>0.15408376963350801</v>
      </c>
      <c r="N2634" s="126">
        <f>base[[#This Row],[L/P Líquido]]/base[[#This Row],[Stake/Responsabilidade]]</f>
        <v>0.65400000000000003</v>
      </c>
      <c r="O2634" s="132">
        <f>IF(base[[#This Row],[L/P Líquido]]&gt;0,1,0)</f>
        <v>1</v>
      </c>
      <c r="P2634" s="132"/>
      <c r="Q2634" s="132" t="str">
        <f>LEFT(base[[#This Row],[Evento / Mercado]],FIND("vs",base[[#This Row],[Evento / Mercado]])-2)</f>
        <v>Cienciano del Cuzco</v>
      </c>
      <c r="R26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2634" s="132" t="str">
        <f>LEFT(base[[#This Row],[Evento / Mercado]],FIND("/",base[[#This Row],[Evento / Mercado]])-2)</f>
        <v>Cienciano del Cuzco vs Sporting Cristal</v>
      </c>
    </row>
    <row r="2635" spans="2:19" ht="15" customHeight="1">
      <c r="B2635" s="128" t="s">
        <v>2648</v>
      </c>
      <c r="C2635" s="128" t="s">
        <v>2982</v>
      </c>
      <c r="D2635" s="129">
        <v>46173.816296296296</v>
      </c>
      <c r="E2635" s="130">
        <v>14.33</v>
      </c>
      <c r="F2635" s="136">
        <v>4.4999999999999998E-2</v>
      </c>
      <c r="G2635" s="126">
        <f t="shared" si="42"/>
        <v>15.005235602094242</v>
      </c>
      <c r="H2635" s="126" t="s">
        <v>1339</v>
      </c>
      <c r="I2635" s="127" t="s">
        <v>1236</v>
      </c>
      <c r="J2635" s="126">
        <v>9.8000000000000007</v>
      </c>
      <c r="K2635" s="126">
        <v>15</v>
      </c>
      <c r="L2635" s="129">
        <f>INT(base[[#This Row],[Data de liquidação]])</f>
        <v>46173</v>
      </c>
      <c r="M2635" s="126">
        <f>base[[#This Row],[L/P Bruto]]-base[[#This Row],[L/P Líquido]]</f>
        <v>0.67523560209424183</v>
      </c>
      <c r="N2635" s="126">
        <f>base[[#This Row],[L/P Líquido]]/base[[#This Row],[Stake/Responsabilidade]]</f>
        <v>0.95533333333333337</v>
      </c>
      <c r="O2635" s="132">
        <f>IF(base[[#This Row],[L/P Líquido]]&gt;0,1,0)</f>
        <v>1</v>
      </c>
      <c r="P2635" s="132"/>
      <c r="Q2635" s="132" t="str">
        <f>LEFT(base[[#This Row],[Evento / Mercado]],FIND("vs",base[[#This Row],[Evento / Mercado]])-2)</f>
        <v>Cienciano del Cuzco</v>
      </c>
      <c r="R26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2635" s="132" t="str">
        <f>LEFT(base[[#This Row],[Evento / Mercado]],FIND("/",base[[#This Row],[Evento / Mercado]])-2)</f>
        <v>Cienciano del Cuzco vs Sporting Cristal</v>
      </c>
    </row>
    <row r="2636" spans="2:19" ht="15" customHeight="1">
      <c r="B2636" s="128" t="s">
        <v>2647</v>
      </c>
      <c r="C2636" s="128" t="s">
        <v>2982</v>
      </c>
      <c r="D2636" s="129">
        <v>46173.850752314815</v>
      </c>
      <c r="E2636" s="130">
        <v>-5</v>
      </c>
      <c r="F2636" s="136">
        <v>4.4999999999999998E-2</v>
      </c>
      <c r="G2636" s="126">
        <f t="shared" si="42"/>
        <v>-5</v>
      </c>
      <c r="H2636" s="126" t="s">
        <v>1339</v>
      </c>
      <c r="I2636" s="127" t="s">
        <v>2404</v>
      </c>
      <c r="J2636" s="126">
        <v>1.93</v>
      </c>
      <c r="K2636" s="126">
        <v>5</v>
      </c>
      <c r="L2636" s="129">
        <f>INT(base[[#This Row],[Data de liquidação]])</f>
        <v>46173</v>
      </c>
      <c r="M2636" s="126">
        <f>base[[#This Row],[L/P Bruto]]-base[[#This Row],[L/P Líquido]]</f>
        <v>0</v>
      </c>
      <c r="N2636" s="126">
        <f>base[[#This Row],[L/P Líquido]]/base[[#This Row],[Stake/Responsabilidade]]</f>
        <v>-1</v>
      </c>
      <c r="O2636" s="132">
        <f>IF(base[[#This Row],[L/P Líquido]]&gt;0,1,0)</f>
        <v>0</v>
      </c>
      <c r="P2636" s="132"/>
      <c r="Q2636" s="132" t="str">
        <f>LEFT(base[[#This Row],[Evento / Mercado]],FIND("vs",base[[#This Row],[Evento / Mercado]])-2)</f>
        <v>Cobreloa</v>
      </c>
      <c r="R26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CSD Rangers</v>
      </c>
      <c r="S2636" s="132" t="str">
        <f>LEFT(base[[#This Row],[Evento / Mercado]],FIND("/",base[[#This Row],[Evento / Mercado]])-2)</f>
        <v>Cobreloa vs CSD Rangers</v>
      </c>
    </row>
    <row r="2637" spans="2:19" ht="15" customHeight="1">
      <c r="B2637" s="128" t="s">
        <v>2646</v>
      </c>
      <c r="C2637" s="128" t="s">
        <v>2982</v>
      </c>
      <c r="D2637" s="129">
        <v>46173.871412037035</v>
      </c>
      <c r="E2637" s="130">
        <v>1.51</v>
      </c>
      <c r="F2637" s="136">
        <v>4.4999999999999998E-2</v>
      </c>
      <c r="G2637" s="126">
        <f t="shared" si="42"/>
        <v>1.581151832460733</v>
      </c>
      <c r="H2637" s="126" t="s">
        <v>1339</v>
      </c>
      <c r="I2637" s="127" t="s">
        <v>1429</v>
      </c>
      <c r="J2637" s="126">
        <v>1.79</v>
      </c>
      <c r="K2637" s="126">
        <v>2</v>
      </c>
      <c r="L2637" s="129">
        <f>INT(base[[#This Row],[Data de liquidação]])</f>
        <v>46173</v>
      </c>
      <c r="M2637" s="126">
        <f>base[[#This Row],[L/P Bruto]]-base[[#This Row],[L/P Líquido]]</f>
        <v>7.1151832460732978E-2</v>
      </c>
      <c r="N2637" s="126">
        <f>base[[#This Row],[L/P Líquido]]/base[[#This Row],[Stake/Responsabilidade]]</f>
        <v>0.755</v>
      </c>
      <c r="O2637" s="132">
        <f>IF(base[[#This Row],[L/P Líquido]]&gt;0,1,0)</f>
        <v>1</v>
      </c>
      <c r="P2637" s="132"/>
      <c r="Q2637" s="132" t="str">
        <f>LEFT(base[[#This Row],[Evento / Mercado]],FIND("vs",base[[#This Row],[Evento / Mercado]])-2)</f>
        <v>Cienciano del Cuzco</v>
      </c>
      <c r="R26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2637" s="132" t="str">
        <f>LEFT(base[[#This Row],[Evento / Mercado]],FIND("/",base[[#This Row],[Evento / Mercado]])-2)</f>
        <v>Cienciano del Cuzco vs Sporting Cristal</v>
      </c>
    </row>
    <row r="2638" spans="2:19" ht="15" customHeight="1">
      <c r="B2638" s="128" t="s">
        <v>2645</v>
      </c>
      <c r="C2638" s="128" t="s">
        <v>2982</v>
      </c>
      <c r="D2638" s="129">
        <v>46173.871493055558</v>
      </c>
      <c r="E2638" s="130">
        <v>5.79</v>
      </c>
      <c r="F2638" s="136">
        <v>4.4999999999999998E-2</v>
      </c>
      <c r="G2638" s="126">
        <f t="shared" si="42"/>
        <v>6.0628272251308903</v>
      </c>
      <c r="H2638" s="126" t="s">
        <v>1339</v>
      </c>
      <c r="I2638" s="127" t="s">
        <v>1388</v>
      </c>
      <c r="J2638" s="126">
        <v>17.5</v>
      </c>
      <c r="K2638" s="126">
        <v>99.99</v>
      </c>
      <c r="L2638" s="129">
        <f>INT(base[[#This Row],[Data de liquidação]])</f>
        <v>46173</v>
      </c>
      <c r="M2638" s="126">
        <f>base[[#This Row],[L/P Bruto]]-base[[#This Row],[L/P Líquido]]</f>
        <v>0.27282722513089031</v>
      </c>
      <c r="N2638" s="126">
        <f>base[[#This Row],[L/P Líquido]]/base[[#This Row],[Stake/Responsabilidade]]</f>
        <v>5.7905790579057911E-2</v>
      </c>
      <c r="O2638" s="132">
        <f>IF(base[[#This Row],[L/P Líquido]]&gt;0,1,0)</f>
        <v>1</v>
      </c>
      <c r="P2638" s="132"/>
      <c r="Q2638" s="132" t="str">
        <f>LEFT(base[[#This Row],[Evento / Mercado]],FIND("vs",base[[#This Row],[Evento / Mercado]])-2)</f>
        <v>Cienciano del Cuzco</v>
      </c>
      <c r="R26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2638" s="132" t="str">
        <f>LEFT(base[[#This Row],[Evento / Mercado]],FIND("/",base[[#This Row],[Evento / Mercado]])-2)</f>
        <v>Cienciano del Cuzco vs Sporting Cristal</v>
      </c>
    </row>
    <row r="2639" spans="2:19" ht="15" customHeight="1">
      <c r="B2639" s="128" t="s">
        <v>2644</v>
      </c>
      <c r="C2639" s="128" t="s">
        <v>2982</v>
      </c>
      <c r="D2639" s="129">
        <v>46173.884432870371</v>
      </c>
      <c r="E2639" s="130">
        <v>0.96</v>
      </c>
      <c r="F2639" s="136">
        <v>4.4999999999999998E-2</v>
      </c>
      <c r="G2639" s="126">
        <f t="shared" si="42"/>
        <v>1.0052356020942408</v>
      </c>
      <c r="H2639" s="126" t="s">
        <v>1339</v>
      </c>
      <c r="I2639" s="127" t="s">
        <v>1993</v>
      </c>
      <c r="J2639" s="126">
        <v>1.2</v>
      </c>
      <c r="K2639" s="126">
        <v>5</v>
      </c>
      <c r="L2639" s="129">
        <f>INT(base[[#This Row],[Data de liquidação]])</f>
        <v>46173</v>
      </c>
      <c r="M2639" s="126">
        <f>base[[#This Row],[L/P Bruto]]-base[[#This Row],[L/P Líquido]]</f>
        <v>4.5235602094240823E-2</v>
      </c>
      <c r="N2639" s="126">
        <f>base[[#This Row],[L/P Líquido]]/base[[#This Row],[Stake/Responsabilidade]]</f>
        <v>0.192</v>
      </c>
      <c r="O2639" s="132">
        <f>IF(base[[#This Row],[L/P Líquido]]&gt;0,1,0)</f>
        <v>1</v>
      </c>
      <c r="P2639" s="132"/>
      <c r="Q2639" s="132" t="str">
        <f>LEFT(base[[#This Row],[Evento / Mercado]],FIND("vs",base[[#This Row],[Evento / Mercado]])-2)</f>
        <v>Cruzeiro</v>
      </c>
      <c r="R26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2639" s="132" t="str">
        <f>LEFT(base[[#This Row],[Evento / Mercado]],FIND("/",base[[#This Row],[Evento / Mercado]])-2)</f>
        <v>Cruzeiro vs Fluminense FC</v>
      </c>
    </row>
    <row r="2640" spans="2:19" ht="15" customHeight="1">
      <c r="B2640" s="128" t="s">
        <v>2643</v>
      </c>
      <c r="C2640" s="128" t="s">
        <v>2982</v>
      </c>
      <c r="D2640" s="129">
        <v>46173.912766203706</v>
      </c>
      <c r="E2640" s="130">
        <v>4.97</v>
      </c>
      <c r="F2640" s="136">
        <v>4.4999999999999998E-2</v>
      </c>
      <c r="G2640" s="126">
        <f t="shared" si="42"/>
        <v>5.2041884816753923</v>
      </c>
      <c r="H2640" s="126" t="s">
        <v>1339</v>
      </c>
      <c r="I2640" s="127" t="s">
        <v>1933</v>
      </c>
      <c r="J2640" s="126">
        <v>1.52</v>
      </c>
      <c r="K2640" s="126">
        <v>10</v>
      </c>
      <c r="L2640" s="129">
        <f>INT(base[[#This Row],[Data de liquidação]])</f>
        <v>46173</v>
      </c>
      <c r="M2640" s="126">
        <f>base[[#This Row],[L/P Bruto]]-base[[#This Row],[L/P Líquido]]</f>
        <v>0.23418848167539252</v>
      </c>
      <c r="N2640" s="126">
        <f>base[[#This Row],[L/P Líquido]]/base[[#This Row],[Stake/Responsabilidade]]</f>
        <v>0.497</v>
      </c>
      <c r="O2640" s="132">
        <f>IF(base[[#This Row],[L/P Líquido]]&gt;0,1,0)</f>
        <v>1</v>
      </c>
      <c r="P2640" s="132"/>
      <c r="Q2640" s="132" t="str">
        <f>LEFT(base[[#This Row],[Evento / Mercado]],FIND("vs",base[[#This Row],[Evento / Mercado]])-2)</f>
        <v>Emelec</v>
      </c>
      <c r="R26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 del Ecuador</v>
      </c>
      <c r="S2640" s="132" t="str">
        <f>LEFT(base[[#This Row],[Evento / Mercado]],FIND("/",base[[#This Row],[Evento / Mercado]])-2)</f>
        <v>Emelec vs Universidad Católica del Ecuador</v>
      </c>
    </row>
    <row r="2641" spans="2:19" ht="15" customHeight="1">
      <c r="B2641" s="128" t="s">
        <v>2642</v>
      </c>
      <c r="C2641" s="128" t="s">
        <v>2982</v>
      </c>
      <c r="D2641" s="129">
        <v>46173.93509259259</v>
      </c>
      <c r="E2641" s="130">
        <v>0.82</v>
      </c>
      <c r="F2641" s="136">
        <v>4.4999999999999998E-2</v>
      </c>
      <c r="G2641" s="126">
        <f t="shared" si="42"/>
        <v>0.8586387434554974</v>
      </c>
      <c r="H2641" s="126" t="s">
        <v>1339</v>
      </c>
      <c r="I2641" s="127" t="s">
        <v>1993</v>
      </c>
      <c r="J2641" s="126">
        <v>1.17</v>
      </c>
      <c r="K2641" s="126">
        <v>5</v>
      </c>
      <c r="L2641" s="129">
        <f>INT(base[[#This Row],[Data de liquidação]])</f>
        <v>46173</v>
      </c>
      <c r="M2641" s="126">
        <f>base[[#This Row],[L/P Bruto]]-base[[#This Row],[L/P Líquido]]</f>
        <v>3.8638743455497448E-2</v>
      </c>
      <c r="N2641" s="126">
        <f>base[[#This Row],[L/P Líquido]]/base[[#This Row],[Stake/Responsabilidade]]</f>
        <v>0.16399999999999998</v>
      </c>
      <c r="O2641" s="132">
        <f>IF(base[[#This Row],[L/P Líquido]]&gt;0,1,0)</f>
        <v>1</v>
      </c>
      <c r="P2641" s="132"/>
      <c r="Q2641" s="132" t="str">
        <f>LEFT(base[[#This Row],[Evento / Mercado]],FIND("vs",base[[#This Row],[Evento / Mercado]])-2)</f>
        <v>Clube do Remo</v>
      </c>
      <c r="R26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2641" s="132" t="str">
        <f>LEFT(base[[#This Row],[Evento / Mercado]],FIND("/",base[[#This Row],[Evento / Mercado]])-2)</f>
        <v>Clube do Remo vs São Paulo</v>
      </c>
    </row>
    <row r="2642" spans="2:19" ht="15" customHeight="1">
      <c r="B2642" s="128" t="s">
        <v>2641</v>
      </c>
      <c r="C2642" s="128" t="s">
        <v>2982</v>
      </c>
      <c r="D2642" s="129">
        <v>46173.936203703706</v>
      </c>
      <c r="E2642" s="130">
        <v>-5</v>
      </c>
      <c r="F2642" s="136">
        <v>4.4999999999999998E-2</v>
      </c>
      <c r="G2642" s="126">
        <f t="shared" si="42"/>
        <v>-5</v>
      </c>
      <c r="H2642" s="126" t="s">
        <v>1339</v>
      </c>
      <c r="I2642" s="127" t="s">
        <v>2404</v>
      </c>
      <c r="J2642" s="126">
        <v>1.89</v>
      </c>
      <c r="K2642" s="126">
        <v>5</v>
      </c>
      <c r="L2642" s="129">
        <f>INT(base[[#This Row],[Data de liquidação]])</f>
        <v>46173</v>
      </c>
      <c r="M2642" s="126">
        <f>base[[#This Row],[L/P Bruto]]-base[[#This Row],[L/P Líquido]]</f>
        <v>0</v>
      </c>
      <c r="N2642" s="126">
        <f>base[[#This Row],[L/P Líquido]]/base[[#This Row],[Stake/Responsabilidade]]</f>
        <v>-1</v>
      </c>
      <c r="O2642" s="132">
        <f>IF(base[[#This Row],[L/P Líquido]]&gt;0,1,0)</f>
        <v>0</v>
      </c>
      <c r="P2642" s="132"/>
      <c r="Q2642" s="132" t="str">
        <f>LEFT(base[[#This Row],[Evento / Mercado]],FIND("vs",base[[#This Row],[Evento / Mercado]])-2)</f>
        <v>Clube do Remo</v>
      </c>
      <c r="R26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2642" s="132" t="str">
        <f>LEFT(base[[#This Row],[Evento / Mercado]],FIND("/",base[[#This Row],[Evento / Mercado]])-2)</f>
        <v>Clube do Remo vs São Paulo</v>
      </c>
    </row>
    <row r="2643" spans="2:19" ht="15" customHeight="1">
      <c r="B2643" s="128" t="s">
        <v>2640</v>
      </c>
      <c r="C2643" s="128" t="s">
        <v>2982</v>
      </c>
      <c r="D2643" s="129">
        <v>46173.937858796293</v>
      </c>
      <c r="E2643" s="130">
        <v>-2</v>
      </c>
      <c r="F2643" s="136">
        <v>4.4999999999999998E-2</v>
      </c>
      <c r="G2643" s="126">
        <f t="shared" si="42"/>
        <v>-2</v>
      </c>
      <c r="H2643" s="126" t="s">
        <v>1339</v>
      </c>
      <c r="I2643" s="127" t="s">
        <v>1429</v>
      </c>
      <c r="J2643" s="126">
        <v>2</v>
      </c>
      <c r="K2643" s="126">
        <v>2</v>
      </c>
      <c r="L2643" s="129">
        <f>INT(base[[#This Row],[Data de liquidação]])</f>
        <v>46173</v>
      </c>
      <c r="M2643" s="126">
        <f>base[[#This Row],[L/P Bruto]]-base[[#This Row],[L/P Líquido]]</f>
        <v>0</v>
      </c>
      <c r="N2643" s="126">
        <f>base[[#This Row],[L/P Líquido]]/base[[#This Row],[Stake/Responsabilidade]]</f>
        <v>-1</v>
      </c>
      <c r="O2643" s="132">
        <f>IF(base[[#This Row],[L/P Líquido]]&gt;0,1,0)</f>
        <v>0</v>
      </c>
      <c r="P2643" s="132"/>
      <c r="Q2643" s="132" t="str">
        <f>LEFT(base[[#This Row],[Evento / Mercado]],FIND("vs",base[[#This Row],[Evento / Mercado]])-2)</f>
        <v>Cruzeiro</v>
      </c>
      <c r="R26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2643" s="132" t="str">
        <f>LEFT(base[[#This Row],[Evento / Mercado]],FIND("/",base[[#This Row],[Evento / Mercado]])-2)</f>
        <v>Cruzeiro vs Fluminense FC</v>
      </c>
    </row>
    <row r="2644" spans="2:19" ht="15" customHeight="1">
      <c r="B2644" s="128" t="s">
        <v>2639</v>
      </c>
      <c r="C2644" s="128" t="s">
        <v>2982</v>
      </c>
      <c r="D2644" s="129">
        <v>46173.956759259258</v>
      </c>
      <c r="E2644" s="130">
        <v>-2</v>
      </c>
      <c r="F2644" s="136">
        <v>4.4999999999999998E-2</v>
      </c>
      <c r="G2644" s="126">
        <f t="shared" si="42"/>
        <v>-2</v>
      </c>
      <c r="H2644" s="126" t="s">
        <v>1339</v>
      </c>
      <c r="I2644" s="127" t="s">
        <v>1431</v>
      </c>
      <c r="J2644" s="126">
        <v>2.3199999999999998</v>
      </c>
      <c r="K2644" s="126">
        <v>2</v>
      </c>
      <c r="L2644" s="129">
        <f>INT(base[[#This Row],[Data de liquidação]])</f>
        <v>46173</v>
      </c>
      <c r="M2644" s="126">
        <f>base[[#This Row],[L/P Bruto]]-base[[#This Row],[L/P Líquido]]</f>
        <v>0</v>
      </c>
      <c r="N2644" s="126">
        <f>base[[#This Row],[L/P Líquido]]/base[[#This Row],[Stake/Responsabilidade]]</f>
        <v>-1</v>
      </c>
      <c r="O2644" s="132">
        <f>IF(base[[#This Row],[L/P Líquido]]&gt;0,1,0)</f>
        <v>0</v>
      </c>
      <c r="P2644" s="132"/>
      <c r="Q2644" s="132" t="str">
        <f>LEFT(base[[#This Row],[Evento / Mercado]],FIND("vs",base[[#This Row],[Evento / Mercado]])-2)</f>
        <v>Palestino</v>
      </c>
      <c r="R26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Audax Italiano</v>
      </c>
      <c r="S2644" s="132" t="str">
        <f>LEFT(base[[#This Row],[Evento / Mercado]],FIND("/",base[[#This Row],[Evento / Mercado]])-2)</f>
        <v>Palestino vs Audax Italiano</v>
      </c>
    </row>
    <row r="2645" spans="2:19" ht="15" customHeight="1">
      <c r="B2645" s="128" t="s">
        <v>2686</v>
      </c>
      <c r="C2645" s="128" t="s">
        <v>2982</v>
      </c>
      <c r="D2645" s="129">
        <v>46174.873194444444</v>
      </c>
      <c r="E2645" s="130">
        <v>-2</v>
      </c>
      <c r="F2645" s="136">
        <v>4.4999999999999998E-2</v>
      </c>
      <c r="G2645" s="126">
        <f t="shared" si="42"/>
        <v>-2</v>
      </c>
      <c r="H2645" s="126" t="s">
        <v>1339</v>
      </c>
      <c r="I2645" s="127" t="s">
        <v>1431</v>
      </c>
      <c r="J2645" s="126">
        <v>2.15</v>
      </c>
      <c r="K2645" s="126">
        <v>2</v>
      </c>
      <c r="L2645" s="129">
        <f>INT(base[[#This Row],[Data de liquidação]])</f>
        <v>46174</v>
      </c>
      <c r="M2645" s="126">
        <f>base[[#This Row],[L/P Bruto]]-base[[#This Row],[L/P Líquido]]</f>
        <v>0</v>
      </c>
      <c r="N2645" s="126">
        <f>base[[#This Row],[L/P Líquido]]/base[[#This Row],[Stake/Responsabilidade]]</f>
        <v>-1</v>
      </c>
      <c r="O2645" s="132">
        <f>IF(base[[#This Row],[L/P Líquido]]&gt;0,1,0)</f>
        <v>0</v>
      </c>
      <c r="P2645" s="132"/>
      <c r="Q2645" s="132" t="str">
        <f>LEFT(base[[#This Row],[Evento / Mercado]],FIND("vs",base[[#This Row],[Evento / Mercado]])-2)</f>
        <v>Atlética Ponte Preta</v>
      </c>
      <c r="R26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2645" s="132" t="str">
        <f>LEFT(base[[#This Row],[Evento / Mercado]],FIND("/",base[[#This Row],[Evento / Mercado]])-2)</f>
        <v>Atlética Ponte Preta vs Botafogo SP</v>
      </c>
    </row>
    <row r="2646" spans="2:19" ht="15" customHeight="1">
      <c r="B2646" s="128" t="s">
        <v>2685</v>
      </c>
      <c r="C2646" s="128" t="s">
        <v>2982</v>
      </c>
      <c r="D2646" s="129">
        <v>46174.885567129626</v>
      </c>
      <c r="E2646" s="130">
        <v>3.82</v>
      </c>
      <c r="F2646" s="136">
        <v>4.4999999999999998E-2</v>
      </c>
      <c r="G2646" s="126">
        <f t="shared" si="42"/>
        <v>4</v>
      </c>
      <c r="H2646" s="126" t="s">
        <v>1339</v>
      </c>
      <c r="I2646" s="127" t="s">
        <v>2404</v>
      </c>
      <c r="J2646" s="126">
        <v>1.8</v>
      </c>
      <c r="K2646" s="126">
        <v>5</v>
      </c>
      <c r="L2646" s="129">
        <f>INT(base[[#This Row],[Data de liquidação]])</f>
        <v>46174</v>
      </c>
      <c r="M2646" s="126">
        <f>base[[#This Row],[L/P Bruto]]-base[[#This Row],[L/P Líquido]]</f>
        <v>0.18000000000000016</v>
      </c>
      <c r="N2646" s="126">
        <f>base[[#This Row],[L/P Líquido]]/base[[#This Row],[Stake/Responsabilidade]]</f>
        <v>0.76400000000000001</v>
      </c>
      <c r="O2646" s="132">
        <f>IF(base[[#This Row],[L/P Líquido]]&gt;0,1,0)</f>
        <v>1</v>
      </c>
      <c r="P2646" s="132"/>
      <c r="Q2646" s="132" t="str">
        <f>LEFT(base[[#This Row],[Evento / Mercado]],FIND("vs",base[[#This Row],[Evento / Mercado]])-2)</f>
        <v>Club Deportes Santa Cruz</v>
      </c>
      <c r="R26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Copiapó</v>
      </c>
      <c r="S2646" s="132" t="str">
        <f>LEFT(base[[#This Row],[Evento / Mercado]],FIND("/",base[[#This Row],[Evento / Mercado]])-2)</f>
        <v>Club Deportes Santa Cruz vs Deportes Copiapó</v>
      </c>
    </row>
    <row r="2647" spans="2:19" ht="15" customHeight="1">
      <c r="B2647" s="128" t="s">
        <v>2684</v>
      </c>
      <c r="C2647" s="128" t="s">
        <v>2982</v>
      </c>
      <c r="D2647" s="129">
        <v>46174.959363425929</v>
      </c>
      <c r="E2647" s="130">
        <v>0.43</v>
      </c>
      <c r="F2647" s="136">
        <v>4.4999999999999998E-2</v>
      </c>
      <c r="G2647" s="126">
        <f t="shared" si="42"/>
        <v>0.45026178010471207</v>
      </c>
      <c r="H2647" s="126" t="s">
        <v>1339</v>
      </c>
      <c r="I2647" s="127" t="s">
        <v>2471</v>
      </c>
      <c r="J2647" s="126">
        <v>1.25</v>
      </c>
      <c r="K2647" s="126">
        <v>5</v>
      </c>
      <c r="L2647" s="129">
        <f>INT(base[[#This Row],[Data de liquidação]])</f>
        <v>46174</v>
      </c>
      <c r="M2647" s="126">
        <f>base[[#This Row],[L/P Bruto]]-base[[#This Row],[L/P Líquido]]</f>
        <v>2.0261780104712079E-2</v>
      </c>
      <c r="N2647" s="126">
        <f>base[[#This Row],[L/P Líquido]]/base[[#This Row],[Stake/Responsabilidade]]</f>
        <v>8.5999999999999993E-2</v>
      </c>
      <c r="O2647" s="132">
        <f>IF(base[[#This Row],[L/P Líquido]]&gt;0,1,0)</f>
        <v>1</v>
      </c>
      <c r="P2647" s="132"/>
      <c r="Q2647" s="132" t="str">
        <f>LEFT(base[[#This Row],[Evento / Mercado]],FIND("vs",base[[#This Row],[Evento / Mercado]])-2)</f>
        <v>Universitario de Vinto</v>
      </c>
      <c r="R26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Aurora</v>
      </c>
      <c r="S2647" s="132" t="str">
        <f>LEFT(base[[#This Row],[Evento / Mercado]],FIND("/",base[[#This Row],[Evento / Mercado]])-2)</f>
        <v>Universitario de Vinto vs Club Aurora</v>
      </c>
    </row>
    <row r="2648" spans="2:19" ht="15" customHeight="1">
      <c r="B2648" s="128" t="s">
        <v>2692</v>
      </c>
      <c r="C2648" s="128" t="s">
        <v>2982</v>
      </c>
      <c r="D2648" s="129">
        <v>46175.623518518521</v>
      </c>
      <c r="E2648" s="130">
        <v>38.200000000000003</v>
      </c>
      <c r="F2648" s="136">
        <v>4.4999999999999998E-2</v>
      </c>
      <c r="G2648" s="126">
        <f t="shared" si="42"/>
        <v>40.000000000000007</v>
      </c>
      <c r="H2648" s="126" t="s">
        <v>2693</v>
      </c>
      <c r="I2648" s="127" t="s">
        <v>1249</v>
      </c>
      <c r="J2648" s="126">
        <v>3.4</v>
      </c>
      <c r="K2648" s="126">
        <v>40</v>
      </c>
      <c r="L2648" s="129">
        <f>INT(base[[#This Row],[Data de liquidação]])</f>
        <v>46175</v>
      </c>
      <c r="M2648" s="126">
        <f>base[[#This Row],[L/P Bruto]]-base[[#This Row],[L/P Líquido]]</f>
        <v>1.8000000000000043</v>
      </c>
      <c r="N2648" s="126">
        <f>base[[#This Row],[L/P Líquido]]/base[[#This Row],[Stake/Responsabilidade]]</f>
        <v>0.95500000000000007</v>
      </c>
      <c r="O2648" s="132">
        <f>IF(base[[#This Row],[L/P Líquido]]&gt;0,1,0)</f>
        <v>1</v>
      </c>
      <c r="P2648" s="132"/>
      <c r="Q2648" s="132" t="str">
        <f>LEFT(base[[#This Row],[Evento / Mercado]],FIND("vs",base[[#This Row],[Evento / Mercado]])-2)</f>
        <v>Croatia</v>
      </c>
      <c r="R26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Belgium</v>
      </c>
      <c r="S2648" s="132" t="str">
        <f>LEFT(base[[#This Row],[Evento / Mercado]],FIND("/",base[[#This Row],[Evento / Mercado]])-2)</f>
        <v>Croatia vs Belgium</v>
      </c>
    </row>
    <row r="2649" spans="2:19" ht="15" customHeight="1">
      <c r="B2649" s="128" t="s">
        <v>2691</v>
      </c>
      <c r="C2649" s="128" t="s">
        <v>2982</v>
      </c>
      <c r="D2649" s="129">
        <v>46175.623726851853</v>
      </c>
      <c r="E2649" s="130">
        <v>-5</v>
      </c>
      <c r="F2649" s="136">
        <v>4.4999999999999998E-2</v>
      </c>
      <c r="G2649" s="126">
        <f t="shared" si="42"/>
        <v>-5</v>
      </c>
      <c r="H2649" s="126" t="s">
        <v>1339</v>
      </c>
      <c r="I2649" s="127" t="s">
        <v>2404</v>
      </c>
      <c r="J2649" s="126">
        <v>1.72</v>
      </c>
      <c r="K2649" s="126">
        <v>5</v>
      </c>
      <c r="L2649" s="129">
        <f>INT(base[[#This Row],[Data de liquidação]])</f>
        <v>46175</v>
      </c>
      <c r="M2649" s="126">
        <f>base[[#This Row],[L/P Bruto]]-base[[#This Row],[L/P Líquido]]</f>
        <v>0</v>
      </c>
      <c r="N2649" s="126">
        <f>base[[#This Row],[L/P Líquido]]/base[[#This Row],[Stake/Responsabilidade]]</f>
        <v>-1</v>
      </c>
      <c r="O2649" s="132">
        <f>IF(base[[#This Row],[L/P Líquido]]&gt;0,1,0)</f>
        <v>0</v>
      </c>
      <c r="P2649" s="132"/>
      <c r="Q2649" s="132" t="str">
        <f>LEFT(base[[#This Row],[Evento / Mercado]],FIND("vs",base[[#This Row],[Evento / Mercado]])-2)</f>
        <v>Croatia</v>
      </c>
      <c r="R26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Belgium</v>
      </c>
      <c r="S2649" s="132" t="str">
        <f>LEFT(base[[#This Row],[Evento / Mercado]],FIND("/",base[[#This Row],[Evento / Mercado]])-2)</f>
        <v>Croatia vs Belgium</v>
      </c>
    </row>
    <row r="2650" spans="2:19" ht="15" customHeight="1">
      <c r="B2650" s="128" t="s">
        <v>2690</v>
      </c>
      <c r="C2650" s="128" t="s">
        <v>2982</v>
      </c>
      <c r="D2650" s="129">
        <v>46175.73709490741</v>
      </c>
      <c r="E2650" s="130">
        <v>4.78</v>
      </c>
      <c r="F2650" s="136">
        <v>4.4999999999999998E-2</v>
      </c>
      <c r="G2650" s="126">
        <f t="shared" si="42"/>
        <v>5.005235602094241</v>
      </c>
      <c r="H2650" s="126" t="s">
        <v>1339</v>
      </c>
      <c r="I2650" s="127" t="s">
        <v>2404</v>
      </c>
      <c r="J2650" s="126">
        <v>2</v>
      </c>
      <c r="K2650" s="126">
        <v>5</v>
      </c>
      <c r="L2650" s="129">
        <f>INT(base[[#This Row],[Data de liquidação]])</f>
        <v>46175</v>
      </c>
      <c r="M2650" s="126">
        <f>base[[#This Row],[L/P Bruto]]-base[[#This Row],[L/P Líquido]]</f>
        <v>0.22523560209424076</v>
      </c>
      <c r="N2650" s="126">
        <f>base[[#This Row],[L/P Líquido]]/base[[#This Row],[Stake/Responsabilidade]]</f>
        <v>0.95600000000000007</v>
      </c>
      <c r="O2650" s="132">
        <f>IF(base[[#This Row],[L/P Líquido]]&gt;0,1,0)</f>
        <v>1</v>
      </c>
      <c r="P2650" s="132"/>
      <c r="Q2650" s="132" t="str">
        <f>LEFT(base[[#This Row],[Evento / Mercado]],FIND("vs",base[[#This Row],[Evento / Mercado]])-2)</f>
        <v>Wales</v>
      </c>
      <c r="R26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Ghana</v>
      </c>
      <c r="S2650" s="132" t="str">
        <f>LEFT(base[[#This Row],[Evento / Mercado]],FIND("/",base[[#This Row],[Evento / Mercado]])-2)</f>
        <v>Wales vs Ghana</v>
      </c>
    </row>
    <row r="2651" spans="2:19" ht="15" customHeight="1">
      <c r="B2651" s="128" t="s">
        <v>2713</v>
      </c>
      <c r="C2651" s="128" t="s">
        <v>2982</v>
      </c>
      <c r="D2651" s="129">
        <v>46177.622361111113</v>
      </c>
      <c r="E2651" s="130">
        <v>7.96</v>
      </c>
      <c r="F2651" s="136">
        <v>4.4999999999999998E-2</v>
      </c>
      <c r="G2651" s="126">
        <f t="shared" si="42"/>
        <v>8.335078534031414</v>
      </c>
      <c r="H2651" s="126" t="s">
        <v>1339</v>
      </c>
      <c r="I2651" s="127" t="s">
        <v>1446</v>
      </c>
      <c r="J2651" s="126">
        <v>2.82</v>
      </c>
      <c r="K2651" s="126">
        <v>15.16</v>
      </c>
      <c r="L2651" s="129">
        <f>INT(base[[#This Row],[Data de liquidação]])</f>
        <v>46177</v>
      </c>
      <c r="M2651" s="126">
        <f>base[[#This Row],[L/P Bruto]]-base[[#This Row],[L/P Líquido]]</f>
        <v>0.375078534031414</v>
      </c>
      <c r="N2651" s="126">
        <f>base[[#This Row],[L/P Líquido]]/base[[#This Row],[Stake/Responsabilidade]]</f>
        <v>0.52506596306068598</v>
      </c>
      <c r="O2651" s="132">
        <f>IF(base[[#This Row],[L/P Líquido]]&gt;0,1,0)</f>
        <v>1</v>
      </c>
      <c r="P2651" s="132"/>
      <c r="Q2651" s="132" t="str">
        <f>LEFT(base[[#This Row],[Evento / Mercado]],FIND("vs",base[[#This Row],[Evento / Mercado]])-2)</f>
        <v>Slovenia</v>
      </c>
      <c r="R26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Cyprus</v>
      </c>
      <c r="S2651" s="132" t="str">
        <f>LEFT(base[[#This Row],[Evento / Mercado]],FIND("/",base[[#This Row],[Evento / Mercado]])-2)</f>
        <v>Slovenia vs Cyprus</v>
      </c>
    </row>
    <row r="2652" spans="2:19" ht="15" customHeight="1">
      <c r="B2652" s="128" t="s">
        <v>2712</v>
      </c>
      <c r="C2652" s="128" t="s">
        <v>2982</v>
      </c>
      <c r="D2652" s="129">
        <v>46177.63480324074</v>
      </c>
      <c r="E2652" s="130">
        <v>-8.18</v>
      </c>
      <c r="F2652" s="136">
        <v>4.4999999999999998E-2</v>
      </c>
      <c r="G2652" s="126">
        <f t="shared" si="42"/>
        <v>-8.18</v>
      </c>
      <c r="H2652" s="126" t="s">
        <v>1339</v>
      </c>
      <c r="I2652" s="127" t="s">
        <v>1236</v>
      </c>
      <c r="J2652" s="126">
        <v>6.8</v>
      </c>
      <c r="K2652" s="126">
        <v>15</v>
      </c>
      <c r="L2652" s="129">
        <f>INT(base[[#This Row],[Data de liquidação]])</f>
        <v>46177</v>
      </c>
      <c r="M2652" s="126">
        <f>base[[#This Row],[L/P Bruto]]-base[[#This Row],[L/P Líquido]]</f>
        <v>0</v>
      </c>
      <c r="N2652" s="126">
        <f>base[[#This Row],[L/P Líquido]]/base[[#This Row],[Stake/Responsabilidade]]</f>
        <v>-0.54533333333333334</v>
      </c>
      <c r="O2652" s="132">
        <f>IF(base[[#This Row],[L/P Líquido]]&gt;0,1,0)</f>
        <v>0</v>
      </c>
      <c r="P2652" s="132"/>
      <c r="Q2652" s="132" t="str">
        <f>LEFT(base[[#This Row],[Evento / Mercado]],FIND("vs",base[[#This Row],[Evento / Mercado]])-2)</f>
        <v>Sweden</v>
      </c>
      <c r="R26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Greece</v>
      </c>
      <c r="S2652" s="132" t="str">
        <f>LEFT(base[[#This Row],[Evento / Mercado]],FIND("/",base[[#This Row],[Evento / Mercado]])-2)</f>
        <v>Sweden vs Greece</v>
      </c>
    </row>
    <row r="2653" spans="2:19" ht="15" customHeight="1">
      <c r="B2653" s="128" t="s">
        <v>2711</v>
      </c>
      <c r="C2653" s="128" t="s">
        <v>2982</v>
      </c>
      <c r="D2653" s="129">
        <v>46177.64675925926</v>
      </c>
      <c r="E2653" s="130">
        <v>38.200000000000003</v>
      </c>
      <c r="F2653" s="136">
        <v>4.4999999999999998E-2</v>
      </c>
      <c r="G2653" s="126">
        <f t="shared" si="42"/>
        <v>40.000000000000007</v>
      </c>
      <c r="H2653" s="126" t="s">
        <v>2693</v>
      </c>
      <c r="I2653" s="127" t="s">
        <v>379</v>
      </c>
      <c r="J2653" s="126">
        <v>3.13</v>
      </c>
      <c r="K2653" s="126">
        <v>40</v>
      </c>
      <c r="L2653" s="129">
        <f>INT(base[[#This Row],[Data de liquidação]])</f>
        <v>46177</v>
      </c>
      <c r="M2653" s="126">
        <f>base[[#This Row],[L/P Bruto]]-base[[#This Row],[L/P Líquido]]</f>
        <v>1.8000000000000043</v>
      </c>
      <c r="N2653" s="126">
        <f>base[[#This Row],[L/P Líquido]]/base[[#This Row],[Stake/Responsabilidade]]</f>
        <v>0.95500000000000007</v>
      </c>
      <c r="O2653" s="132">
        <f>IF(base[[#This Row],[L/P Líquido]]&gt;0,1,0)</f>
        <v>1</v>
      </c>
      <c r="P2653" s="132"/>
      <c r="Q2653" s="132" t="str">
        <f>LEFT(base[[#This Row],[Evento / Mercado]],FIND("vs",base[[#This Row],[Evento / Mercado]])-2)</f>
        <v>Andorra</v>
      </c>
      <c r="R26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Liechtenstein</v>
      </c>
      <c r="S2653" s="132" t="str">
        <f>LEFT(base[[#This Row],[Evento / Mercado]],FIND("/",base[[#This Row],[Evento / Mercado]])-2)</f>
        <v>Andorra vs Liechtenstein</v>
      </c>
    </row>
    <row r="2654" spans="2:19" ht="15" customHeight="1">
      <c r="B2654" s="128" t="s">
        <v>2710</v>
      </c>
      <c r="C2654" s="128" t="s">
        <v>2982</v>
      </c>
      <c r="D2654" s="129">
        <v>46178.038101851853</v>
      </c>
      <c r="E2654" s="130">
        <v>4.55</v>
      </c>
      <c r="F2654" s="136">
        <v>4.4999999999999998E-2</v>
      </c>
      <c r="G2654" s="126">
        <f t="shared" si="42"/>
        <v>4.7643979057591626</v>
      </c>
      <c r="H2654" s="126" t="s">
        <v>1339</v>
      </c>
      <c r="I2654" s="127" t="s">
        <v>1390</v>
      </c>
      <c r="J2654" s="126">
        <v>11.5</v>
      </c>
      <c r="K2654" s="126">
        <v>49.98</v>
      </c>
      <c r="L2654" s="129">
        <f>INT(base[[#This Row],[Data de liquidação]])</f>
        <v>46178</v>
      </c>
      <c r="M2654" s="126">
        <f>base[[#This Row],[L/P Bruto]]-base[[#This Row],[L/P Líquido]]</f>
        <v>0.21439790575916273</v>
      </c>
      <c r="N2654" s="126">
        <f>base[[#This Row],[L/P Líquido]]/base[[#This Row],[Stake/Responsabilidade]]</f>
        <v>9.1036414565826326E-2</v>
      </c>
      <c r="O2654" s="132">
        <f>IF(base[[#This Row],[L/P Líquido]]&gt;0,1,0)</f>
        <v>1</v>
      </c>
      <c r="P2654" s="132"/>
      <c r="Q2654" s="132" t="str">
        <f>LEFT(base[[#This Row],[Evento / Mercado]],FIND("vs",base[[#This Row],[Evento / Mercado]])-2)</f>
        <v>Mexico</v>
      </c>
      <c r="R26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Serbia</v>
      </c>
      <c r="S2654" s="132" t="str">
        <f>LEFT(base[[#This Row],[Evento / Mercado]],FIND("/",base[[#This Row],[Evento / Mercado]])-2)</f>
        <v>Mexico vs Serbia</v>
      </c>
    </row>
    <row r="2655" spans="2:19" ht="15" customHeight="1">
      <c r="B2655" s="128" t="s">
        <v>2709</v>
      </c>
      <c r="C2655" s="128" t="s">
        <v>2982</v>
      </c>
      <c r="D2655" s="129">
        <v>46178.399976851855</v>
      </c>
      <c r="E2655" s="130">
        <v>12.32</v>
      </c>
      <c r="F2655" s="136">
        <v>4.4999999999999998E-2</v>
      </c>
      <c r="G2655" s="126">
        <f t="shared" si="42"/>
        <v>12.900523560209425</v>
      </c>
      <c r="H2655" s="126" t="s">
        <v>2821</v>
      </c>
      <c r="I2655" s="127" t="s">
        <v>476</v>
      </c>
      <c r="J2655" s="126">
        <v>32</v>
      </c>
      <c r="K2655" s="126">
        <v>399.9</v>
      </c>
      <c r="L2655" s="129">
        <f>INT(base[[#This Row],[Data de liquidação]])</f>
        <v>46178</v>
      </c>
      <c r="M2655" s="126">
        <f>base[[#This Row],[L/P Bruto]]-base[[#This Row],[L/P Líquido]]</f>
        <v>0.58052356020942497</v>
      </c>
      <c r="N2655" s="126">
        <f>base[[#This Row],[L/P Líquido]]/base[[#This Row],[Stake/Responsabilidade]]</f>
        <v>3.0807701925481372E-2</v>
      </c>
      <c r="O2655" s="132">
        <f>IF(base[[#This Row],[L/P Líquido]]&gt;0,1,0)</f>
        <v>1</v>
      </c>
      <c r="P2655" s="132"/>
      <c r="Q2655" s="132" t="str">
        <f>LEFT(base[[#This Row],[Evento / Mercado]],FIND("vs",base[[#This Row],[Evento / Mercado]])-2)</f>
        <v>Daegu FC</v>
      </c>
      <c r="R26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Paju Citizen FC</v>
      </c>
      <c r="S2655" s="132" t="str">
        <f>LEFT(base[[#This Row],[Evento / Mercado]],FIND("/",base[[#This Row],[Evento / Mercado]])-2)</f>
        <v>Daegu FC vs Paju Citizen FC</v>
      </c>
    </row>
    <row r="2656" spans="2:19" ht="15" customHeight="1">
      <c r="B2656" s="128" t="s">
        <v>2708</v>
      </c>
      <c r="C2656" s="128" t="s">
        <v>2982</v>
      </c>
      <c r="D2656" s="129">
        <v>46178.64571759259</v>
      </c>
      <c r="E2656" s="130">
        <v>14.33</v>
      </c>
      <c r="F2656" s="136">
        <v>4.4999999999999998E-2</v>
      </c>
      <c r="G2656" s="126">
        <f t="shared" si="42"/>
        <v>15.005235602094242</v>
      </c>
      <c r="H2656" s="126" t="s">
        <v>1339</v>
      </c>
      <c r="I2656" s="127" t="s">
        <v>1236</v>
      </c>
      <c r="J2656" s="126">
        <v>5.9</v>
      </c>
      <c r="K2656" s="126">
        <v>15</v>
      </c>
      <c r="L2656" s="129">
        <f>INT(base[[#This Row],[Data de liquidação]])</f>
        <v>46178</v>
      </c>
      <c r="M2656" s="126">
        <f>base[[#This Row],[L/P Bruto]]-base[[#This Row],[L/P Líquido]]</f>
        <v>0.67523560209424183</v>
      </c>
      <c r="N2656" s="126">
        <f>base[[#This Row],[L/P Líquido]]/base[[#This Row],[Stake/Responsabilidade]]</f>
        <v>0.95533333333333337</v>
      </c>
      <c r="O2656" s="132">
        <f>IF(base[[#This Row],[L/P Líquido]]&gt;0,1,0)</f>
        <v>1</v>
      </c>
      <c r="P2656" s="132"/>
      <c r="Q2656" s="132" t="str">
        <f>LEFT(base[[#This Row],[Evento / Mercado]],FIND("vs",base[[#This Row],[Evento / Mercado]])-2)</f>
        <v>Hungary</v>
      </c>
      <c r="R26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Finland</v>
      </c>
      <c r="S2656" s="132" t="str">
        <f>LEFT(base[[#This Row],[Evento / Mercado]],FIND("/",base[[#This Row],[Evento / Mercado]])-2)</f>
        <v>Hungary vs Finland</v>
      </c>
    </row>
    <row r="2657" spans="2:19" ht="15" customHeight="1">
      <c r="B2657" s="128" t="s">
        <v>2707</v>
      </c>
      <c r="C2657" s="128" t="s">
        <v>2982</v>
      </c>
      <c r="D2657" s="129">
        <v>46178.746458333335</v>
      </c>
      <c r="E2657" s="130">
        <v>-15</v>
      </c>
      <c r="F2657" s="136">
        <v>4.4999999999999998E-2</v>
      </c>
      <c r="G2657" s="126">
        <f t="shared" si="42"/>
        <v>-15</v>
      </c>
      <c r="H2657" s="126" t="s">
        <v>1339</v>
      </c>
      <c r="I2657" s="127" t="s">
        <v>1933</v>
      </c>
      <c r="J2657" s="126">
        <v>1.52</v>
      </c>
      <c r="K2657" s="126">
        <v>15</v>
      </c>
      <c r="L2657" s="129">
        <f>INT(base[[#This Row],[Data de liquidação]])</f>
        <v>46178</v>
      </c>
      <c r="M2657" s="126">
        <f>base[[#This Row],[L/P Bruto]]-base[[#This Row],[L/P Líquido]]</f>
        <v>0</v>
      </c>
      <c r="N2657" s="126">
        <f>base[[#This Row],[L/P Líquido]]/base[[#This Row],[Stake/Responsabilidade]]</f>
        <v>-1</v>
      </c>
      <c r="O2657" s="132">
        <f>IF(base[[#This Row],[L/P Líquido]]&gt;0,1,0)</f>
        <v>0</v>
      </c>
      <c r="P2657" s="132"/>
      <c r="Q2657" s="132" t="str">
        <f>LEFT(base[[#This Row],[Evento / Mercado]],FIND("vs",base[[#This Row],[Evento / Mercado]])-2)</f>
        <v>JS Kabylie</v>
      </c>
      <c r="R26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 Belouizdad</v>
      </c>
      <c r="S2657" s="132" t="str">
        <f>LEFT(base[[#This Row],[Evento / Mercado]],FIND("/",base[[#This Row],[Evento / Mercado]])-2)</f>
        <v>JS Kabylie vs CR Belouizdad</v>
      </c>
    </row>
    <row r="2658" spans="2:19" ht="15" customHeight="1">
      <c r="B2658" s="128" t="s">
        <v>2706</v>
      </c>
      <c r="C2658" s="128" t="s">
        <v>2982</v>
      </c>
      <c r="D2658" s="129">
        <v>46178.954583333332</v>
      </c>
      <c r="E2658" s="130">
        <v>-125.62</v>
      </c>
      <c r="F2658" s="136">
        <v>4.4999999999999998E-2</v>
      </c>
      <c r="G2658" s="126">
        <f t="shared" si="42"/>
        <v>-125.62</v>
      </c>
      <c r="H2658" s="126" t="s">
        <v>1339</v>
      </c>
      <c r="I2658" s="127" t="s">
        <v>1430</v>
      </c>
      <c r="J2658" s="126">
        <v>23</v>
      </c>
      <c r="K2658" s="126">
        <v>125.62</v>
      </c>
      <c r="L2658" s="129">
        <f>INT(base[[#This Row],[Data de liquidação]])</f>
        <v>46178</v>
      </c>
      <c r="M2658" s="126">
        <f>base[[#This Row],[L/P Bruto]]-base[[#This Row],[L/P Líquido]]</f>
        <v>0</v>
      </c>
      <c r="N2658" s="126">
        <f>base[[#This Row],[L/P Líquido]]/base[[#This Row],[Stake/Responsabilidade]]</f>
        <v>-1</v>
      </c>
      <c r="O2658" s="132">
        <f>IF(base[[#This Row],[L/P Líquido]]&gt;0,1,0)</f>
        <v>0</v>
      </c>
      <c r="P2658" s="132"/>
      <c r="Q2658" s="132" t="str">
        <f>LEFT(base[[#This Row],[Evento / Mercado]],FIND("vs",base[[#This Row],[Evento / Mercado]])-2)</f>
        <v>Haiti</v>
      </c>
      <c r="R26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Peru</v>
      </c>
      <c r="S2658" s="132" t="str">
        <f>LEFT(base[[#This Row],[Evento / Mercado]],FIND("/",base[[#This Row],[Evento / Mercado]])-2)</f>
        <v>Haiti vs Peru</v>
      </c>
    </row>
    <row r="2659" spans="2:19" ht="15" customHeight="1">
      <c r="B2659" s="128" t="s">
        <v>2705</v>
      </c>
      <c r="C2659" s="128" t="s">
        <v>2982</v>
      </c>
      <c r="D2659" s="129">
        <v>46179.467962962961</v>
      </c>
      <c r="E2659" s="130">
        <v>-11.04</v>
      </c>
      <c r="F2659" s="136">
        <v>4.4999999999999998E-2</v>
      </c>
      <c r="G2659" s="126">
        <f t="shared" si="42"/>
        <v>-11.04</v>
      </c>
      <c r="H2659" s="126" t="s">
        <v>1339</v>
      </c>
      <c r="I2659" s="127" t="s">
        <v>1236</v>
      </c>
      <c r="J2659" s="126">
        <v>9.1999999999999993</v>
      </c>
      <c r="K2659" s="126">
        <v>15</v>
      </c>
      <c r="L2659" s="129">
        <f>INT(base[[#This Row],[Data de liquidação]])</f>
        <v>46179</v>
      </c>
      <c r="M2659" s="126">
        <f>base[[#This Row],[L/P Bruto]]-base[[#This Row],[L/P Líquido]]</f>
        <v>0</v>
      </c>
      <c r="N2659" s="126">
        <f>base[[#This Row],[L/P Líquido]]/base[[#This Row],[Stake/Responsabilidade]]</f>
        <v>-0.73599999999999999</v>
      </c>
      <c r="O2659" s="132">
        <f>IF(base[[#This Row],[L/P Líquido]]&gt;0,1,0)</f>
        <v>0</v>
      </c>
      <c r="P2659" s="132"/>
      <c r="Q2659" s="132" t="str">
        <f>LEFT(base[[#This Row],[Evento / Mercado]],FIND("vs",base[[#This Row],[Evento / Mercado]])-2)</f>
        <v>Belgium</v>
      </c>
      <c r="R26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Tunisia</v>
      </c>
      <c r="S2659" s="132" t="str">
        <f>LEFT(base[[#This Row],[Evento / Mercado]],FIND("/",base[[#This Row],[Evento / Mercado]])-2)</f>
        <v>Belgium vs Tunisia</v>
      </c>
    </row>
    <row r="2660" spans="2:19" ht="15" customHeight="1">
      <c r="B2660" s="128" t="s">
        <v>2704</v>
      </c>
      <c r="C2660" s="128" t="s">
        <v>2982</v>
      </c>
      <c r="D2660" s="129">
        <v>46179.539074074077</v>
      </c>
      <c r="E2660" s="130">
        <v>40.340000000000003</v>
      </c>
      <c r="F2660" s="136">
        <v>4.4999999999999998E-2</v>
      </c>
      <c r="G2660" s="126">
        <f t="shared" si="42"/>
        <v>42.240837696335085</v>
      </c>
      <c r="H2660" s="126" t="s">
        <v>2714</v>
      </c>
      <c r="I2660" s="127" t="s">
        <v>2715</v>
      </c>
      <c r="J2660" s="126"/>
      <c r="K2660" s="126">
        <v>100</v>
      </c>
      <c r="L2660" s="129">
        <f>INT(base[[#This Row],[Data de liquidação]])</f>
        <v>46179</v>
      </c>
      <c r="M2660" s="126">
        <f>base[[#This Row],[L/P Bruto]]-base[[#This Row],[L/P Líquido]]</f>
        <v>1.9008376963350813</v>
      </c>
      <c r="N2660" s="126">
        <f>base[[#This Row],[L/P Líquido]]/base[[#This Row],[Stake/Responsabilidade]]</f>
        <v>0.40340000000000004</v>
      </c>
      <c r="O2660" s="132">
        <f>IF(base[[#This Row],[L/P Líquido]]&gt;0,1,0)</f>
        <v>1</v>
      </c>
      <c r="P2660" s="132"/>
      <c r="Q2660" s="132" t="str">
        <f>LEFT(base[[#This Row],[Evento / Mercado]],FIND("vs",base[[#This Row],[Evento / Mercado]])-2)</f>
        <v>Criciúma EC</v>
      </c>
      <c r="R26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Londrina</v>
      </c>
      <c r="S2660" s="132" t="str">
        <f>LEFT(base[[#This Row],[Evento / Mercado]],FIND("/",base[[#This Row],[Evento / Mercado]])-2)</f>
        <v>Criciúma EC vs Londrina</v>
      </c>
    </row>
    <row r="2661" spans="2:19" ht="15" customHeight="1">
      <c r="B2661" s="128" t="s">
        <v>2703</v>
      </c>
      <c r="C2661" s="128" t="s">
        <v>2982</v>
      </c>
      <c r="D2661" s="129">
        <v>46179.599560185183</v>
      </c>
      <c r="E2661" s="130">
        <v>7.88</v>
      </c>
      <c r="F2661" s="136">
        <v>4.4999999999999998E-2</v>
      </c>
      <c r="G2661" s="126">
        <f t="shared" si="42"/>
        <v>8.2513089005235596</v>
      </c>
      <c r="H2661" s="126" t="s">
        <v>1339</v>
      </c>
      <c r="I2661" s="127" t="s">
        <v>1933</v>
      </c>
      <c r="J2661" s="126">
        <v>1.55</v>
      </c>
      <c r="K2661" s="126">
        <v>15</v>
      </c>
      <c r="L2661" s="129">
        <f>INT(base[[#This Row],[Data de liquidação]])</f>
        <v>46179</v>
      </c>
      <c r="M2661" s="126">
        <f>base[[#This Row],[L/P Bruto]]-base[[#This Row],[L/P Líquido]]</f>
        <v>0.37130890052355969</v>
      </c>
      <c r="N2661" s="126">
        <f>base[[#This Row],[L/P Líquido]]/base[[#This Row],[Stake/Responsabilidade]]</f>
        <v>0.52533333333333332</v>
      </c>
      <c r="O2661" s="132">
        <f>IF(base[[#This Row],[L/P Líquido]]&gt;0,1,0)</f>
        <v>1</v>
      </c>
      <c r="P2661" s="132"/>
      <c r="Q2661" s="132" t="str">
        <f>LEFT(base[[#This Row],[Evento / Mercado]],FIND("vs",base[[#This Row],[Evento / Mercado]])-2)</f>
        <v>Olympique Akbou</v>
      </c>
      <c r="R26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 Ben Aknoun</v>
      </c>
      <c r="S2661" s="132" t="str">
        <f>LEFT(base[[#This Row],[Evento / Mercado]],FIND("/",base[[#This Row],[Evento / Mercado]])-2)</f>
        <v>Olympique Akbou vs ES Ben Aknoun</v>
      </c>
    </row>
    <row r="2662" spans="2:19" ht="15" customHeight="1">
      <c r="B2662" s="128" t="s">
        <v>2702</v>
      </c>
      <c r="C2662" s="128" t="s">
        <v>2982</v>
      </c>
      <c r="D2662" s="129">
        <v>46179.677418981482</v>
      </c>
      <c r="E2662" s="130">
        <v>2.46</v>
      </c>
      <c r="F2662" s="136">
        <v>4.4999999999999998E-2</v>
      </c>
      <c r="G2662" s="126">
        <f t="shared" si="42"/>
        <v>2.5759162303664924</v>
      </c>
      <c r="H2662" s="126" t="s">
        <v>1339</v>
      </c>
      <c r="I2662" s="127" t="s">
        <v>2404</v>
      </c>
      <c r="J2662" s="126">
        <v>1.52</v>
      </c>
      <c r="K2662" s="126">
        <v>5</v>
      </c>
      <c r="L2662" s="129">
        <f>INT(base[[#This Row],[Data de liquidação]])</f>
        <v>46179</v>
      </c>
      <c r="M2662" s="126">
        <f>base[[#This Row],[L/P Bruto]]-base[[#This Row],[L/P Líquido]]</f>
        <v>0.11591623036649246</v>
      </c>
      <c r="N2662" s="126">
        <f>base[[#This Row],[L/P Líquido]]/base[[#This Row],[Stake/Responsabilidade]]</f>
        <v>0.49199999999999999</v>
      </c>
      <c r="O2662" s="132">
        <f>IF(base[[#This Row],[L/P Líquido]]&gt;0,1,0)</f>
        <v>1</v>
      </c>
      <c r="P2662" s="132"/>
      <c r="Q2662" s="132" t="str">
        <f>LEFT(base[[#This Row],[Evento / Mercado]],FIND("vs",base[[#This Row],[Evento / Mercado]])-2)</f>
        <v>USA</v>
      </c>
      <c r="R26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Germany</v>
      </c>
      <c r="S2662" s="132" t="str">
        <f>LEFT(base[[#This Row],[Evento / Mercado]],FIND("/",base[[#This Row],[Evento / Mercado]])-2)</f>
        <v>USA vs Germany</v>
      </c>
    </row>
    <row r="2663" spans="2:19" ht="15" customHeight="1">
      <c r="B2663" s="128" t="s">
        <v>2701</v>
      </c>
      <c r="C2663" s="128" t="s">
        <v>2982</v>
      </c>
      <c r="D2663" s="129">
        <v>46179.934074074074</v>
      </c>
      <c r="E2663" s="130">
        <v>-4.5</v>
      </c>
      <c r="F2663" s="136">
        <v>4.4999999999999998E-2</v>
      </c>
      <c r="G2663" s="126">
        <f t="shared" si="42"/>
        <v>-4.5</v>
      </c>
      <c r="H2663" s="126" t="s">
        <v>1339</v>
      </c>
      <c r="I2663" s="127" t="s">
        <v>1236</v>
      </c>
      <c r="J2663" s="126">
        <v>7.8</v>
      </c>
      <c r="K2663" s="126">
        <v>15</v>
      </c>
      <c r="L2663" s="129">
        <f>INT(base[[#This Row],[Data de liquidação]])</f>
        <v>46179</v>
      </c>
      <c r="M2663" s="126">
        <f>base[[#This Row],[L/P Bruto]]-base[[#This Row],[L/P Líquido]]</f>
        <v>0</v>
      </c>
      <c r="N2663" s="126">
        <f>base[[#This Row],[L/P Líquido]]/base[[#This Row],[Stake/Responsabilidade]]</f>
        <v>-0.3</v>
      </c>
      <c r="O2663" s="132">
        <f>IF(base[[#This Row],[L/P Líquido]]&gt;0,1,0)</f>
        <v>0</v>
      </c>
      <c r="P2663" s="132"/>
      <c r="Q2663" s="132" t="str">
        <f>LEFT(base[[#This Row],[Evento / Mercado]],FIND("vs",base[[#This Row],[Evento / Mercado]])-2)</f>
        <v>Argentina</v>
      </c>
      <c r="R26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Honduras</v>
      </c>
      <c r="S2663" s="132" t="str">
        <f>LEFT(base[[#This Row],[Evento / Mercado]],FIND("/",base[[#This Row],[Evento / Mercado]])-2)</f>
        <v>Argentina vs Honduras</v>
      </c>
    </row>
    <row r="2664" spans="2:19" ht="15" customHeight="1">
      <c r="B2664" s="128" t="s">
        <v>2700</v>
      </c>
      <c r="C2664" s="128" t="s">
        <v>2982</v>
      </c>
      <c r="D2664" s="129">
        <v>46180.494351851848</v>
      </c>
      <c r="E2664" s="130">
        <v>-6.95</v>
      </c>
      <c r="F2664" s="136">
        <v>4.4999999999999998E-2</v>
      </c>
      <c r="G2664" s="126">
        <f t="shared" si="42"/>
        <v>-6.95</v>
      </c>
      <c r="H2664" s="126" t="s">
        <v>1339</v>
      </c>
      <c r="I2664" s="127" t="s">
        <v>1236</v>
      </c>
      <c r="J2664" s="126">
        <v>6</v>
      </c>
      <c r="K2664" s="126">
        <v>15</v>
      </c>
      <c r="L2664" s="129">
        <f>INT(base[[#This Row],[Data de liquidação]])</f>
        <v>46180</v>
      </c>
      <c r="M2664" s="126">
        <f>base[[#This Row],[L/P Bruto]]-base[[#This Row],[L/P Líquido]]</f>
        <v>0</v>
      </c>
      <c r="N2664" s="126">
        <f>base[[#This Row],[L/P Líquido]]/base[[#This Row],[Stake/Responsabilidade]]</f>
        <v>-0.46333333333333332</v>
      </c>
      <c r="O2664" s="132">
        <f>IF(base[[#This Row],[L/P Líquido]]&gt;0,1,0)</f>
        <v>0</v>
      </c>
      <c r="P2664" s="132"/>
      <c r="Q2664" s="132" t="str">
        <f>LEFT(base[[#This Row],[Evento / Mercado]],FIND("vs",base[[#This Row],[Evento / Mercado]])-2)</f>
        <v>Liechtenstein</v>
      </c>
      <c r="R26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Cyprus</v>
      </c>
      <c r="S2664" s="132" t="str">
        <f>LEFT(base[[#This Row],[Evento / Mercado]],FIND("/",base[[#This Row],[Evento / Mercado]])-2)</f>
        <v>Liechtenstein vs Cyprus</v>
      </c>
    </row>
    <row r="2665" spans="2:19" ht="15" customHeight="1">
      <c r="B2665" s="128" t="s">
        <v>2699</v>
      </c>
      <c r="C2665" s="128" t="s">
        <v>2982</v>
      </c>
      <c r="D2665" s="129">
        <v>46180.581863425927</v>
      </c>
      <c r="E2665" s="130">
        <v>68.22</v>
      </c>
      <c r="F2665" s="136">
        <v>4.4999999999999998E-2</v>
      </c>
      <c r="G2665" s="126">
        <f t="shared" si="42"/>
        <v>71.434554973821989</v>
      </c>
      <c r="H2665" s="126" t="s">
        <v>145</v>
      </c>
      <c r="I2665" s="127" t="s">
        <v>301</v>
      </c>
      <c r="J2665" s="126">
        <v>6.6</v>
      </c>
      <c r="K2665" s="126">
        <v>400.01</v>
      </c>
      <c r="L2665" s="129">
        <f>INT(base[[#This Row],[Data de liquidação]])</f>
        <v>46180</v>
      </c>
      <c r="M2665" s="126">
        <f>base[[#This Row],[L/P Bruto]]-base[[#This Row],[L/P Líquido]]</f>
        <v>3.2145549738219898</v>
      </c>
      <c r="N2665" s="126">
        <f>base[[#This Row],[L/P Líquido]]/base[[#This Row],[Stake/Responsabilidade]]</f>
        <v>0.17054573635659109</v>
      </c>
      <c r="O2665" s="132">
        <f>IF(base[[#This Row],[L/P Líquido]]&gt;0,1,0)</f>
        <v>1</v>
      </c>
      <c r="P2665" s="132" t="s">
        <v>2570</v>
      </c>
      <c r="Q2665" s="132" t="str">
        <f>LEFT(base[[#This Row],[Evento / Mercado]],FIND("vs",base[[#This Row],[Evento / Mercado]])-2)</f>
        <v>Ranheim</v>
      </c>
      <c r="R26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Strømmen</v>
      </c>
      <c r="S2665" s="132" t="str">
        <f>LEFT(base[[#This Row],[Evento / Mercado]],FIND("/",base[[#This Row],[Evento / Mercado]])-2)</f>
        <v>Ranheim vs Strømmen</v>
      </c>
    </row>
    <row r="2666" spans="2:19" ht="15" customHeight="1">
      <c r="B2666" s="128" t="s">
        <v>2698</v>
      </c>
      <c r="C2666" s="128" t="s">
        <v>2982</v>
      </c>
      <c r="D2666" s="129">
        <v>46180.750208333331</v>
      </c>
      <c r="E2666" s="130">
        <v>8.49</v>
      </c>
      <c r="F2666" s="136">
        <v>4.4999999999999998E-2</v>
      </c>
      <c r="G2666" s="126">
        <f t="shared" si="42"/>
        <v>8.8900523560209432</v>
      </c>
      <c r="H2666" s="126" t="s">
        <v>1339</v>
      </c>
      <c r="I2666" s="127" t="s">
        <v>1430</v>
      </c>
      <c r="J2666" s="126">
        <v>15.5</v>
      </c>
      <c r="K2666" s="126">
        <v>128.91</v>
      </c>
      <c r="L2666" s="129">
        <f>INT(base[[#This Row],[Data de liquidação]])</f>
        <v>46180</v>
      </c>
      <c r="M2666" s="126">
        <f>base[[#This Row],[L/P Bruto]]-base[[#This Row],[L/P Líquido]]</f>
        <v>0.40005235602094302</v>
      </c>
      <c r="N2666" s="126">
        <f>base[[#This Row],[L/P Líquido]]/base[[#This Row],[Stake/Responsabilidade]]</f>
        <v>6.5859902257388886E-2</v>
      </c>
      <c r="O2666" s="132">
        <f>IF(base[[#This Row],[L/P Líquido]]&gt;0,1,0)</f>
        <v>1</v>
      </c>
      <c r="P2666" s="132"/>
      <c r="Q2666" s="132" t="str">
        <f>LEFT(base[[#This Row],[Evento / Mercado]],FIND("vs",base[[#This Row],[Evento / Mercado]])-2)</f>
        <v>Morocco</v>
      </c>
      <c r="R26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Norway</v>
      </c>
      <c r="S2666" s="132" t="str">
        <f>LEFT(base[[#This Row],[Evento / Mercado]],FIND("/",base[[#This Row],[Evento / Mercado]])-2)</f>
        <v>Morocco vs Norway</v>
      </c>
    </row>
    <row r="2667" spans="2:19" ht="15" customHeight="1">
      <c r="B2667" s="128" t="s">
        <v>2697</v>
      </c>
      <c r="C2667" s="128" t="s">
        <v>2982</v>
      </c>
      <c r="D2667" s="129">
        <v>46180.752916666665</v>
      </c>
      <c r="E2667" s="130">
        <v>-99.99</v>
      </c>
      <c r="F2667" s="136">
        <v>4.4999999999999998E-2</v>
      </c>
      <c r="G2667" s="126">
        <f t="shared" si="42"/>
        <v>-99.99</v>
      </c>
      <c r="H2667" s="126" t="s">
        <v>2714</v>
      </c>
      <c r="I2667" s="127" t="s">
        <v>2716</v>
      </c>
      <c r="J2667" s="126"/>
      <c r="K2667" s="126">
        <v>99.99</v>
      </c>
      <c r="L2667" s="129">
        <f>INT(base[[#This Row],[Data de liquidação]])</f>
        <v>46180</v>
      </c>
      <c r="M2667" s="126">
        <f>base[[#This Row],[L/P Bruto]]-base[[#This Row],[L/P Líquido]]</f>
        <v>0</v>
      </c>
      <c r="N2667" s="126">
        <f>base[[#This Row],[L/P Líquido]]/base[[#This Row],[Stake/Responsabilidade]]</f>
        <v>-1</v>
      </c>
      <c r="O2667" s="132">
        <f>IF(base[[#This Row],[L/P Líquido]]&gt;0,1,0)</f>
        <v>0</v>
      </c>
      <c r="P2667" s="132"/>
      <c r="Q2667" s="132" t="str">
        <f>LEFT(base[[#This Row],[Evento / Mercado]],FIND("vs",base[[#This Row],[Evento / Mercado]])-2)</f>
        <v>CRB</v>
      </c>
      <c r="R26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Bernardo FC</v>
      </c>
      <c r="S2667" s="132" t="str">
        <f>LEFT(base[[#This Row],[Evento / Mercado]],FIND("/",base[[#This Row],[Evento / Mercado]])-2)</f>
        <v>CRB vs São Bernardo FC</v>
      </c>
    </row>
    <row r="2668" spans="2:19" ht="15" customHeight="1">
      <c r="B2668" s="128" t="s">
        <v>2697</v>
      </c>
      <c r="C2668" s="128" t="s">
        <v>2982</v>
      </c>
      <c r="D2668" s="129">
        <v>46180.752916666665</v>
      </c>
      <c r="E2668" s="130">
        <v>4.8</v>
      </c>
      <c r="F2668" s="136">
        <v>4.4999999999999998E-2</v>
      </c>
      <c r="G2668" s="126">
        <f t="shared" si="42"/>
        <v>5.0261780104712042</v>
      </c>
      <c r="H2668" s="126" t="s">
        <v>1339</v>
      </c>
      <c r="I2668" s="127" t="s">
        <v>1388</v>
      </c>
      <c r="J2668" s="126">
        <v>26</v>
      </c>
      <c r="K2668" s="126">
        <v>120</v>
      </c>
      <c r="L2668" s="129">
        <f>INT(base[[#This Row],[Data de liquidação]])</f>
        <v>46180</v>
      </c>
      <c r="M2668" s="126">
        <f>base[[#This Row],[L/P Bruto]]-base[[#This Row],[L/P Líquido]]</f>
        <v>0.22617801047120434</v>
      </c>
      <c r="N2668" s="126">
        <f>base[[#This Row],[L/P Líquido]]/base[[#This Row],[Stake/Responsabilidade]]</f>
        <v>0.04</v>
      </c>
      <c r="O2668" s="132">
        <f>IF(base[[#This Row],[L/P Líquido]]&gt;0,1,0)</f>
        <v>1</v>
      </c>
      <c r="P2668" s="132"/>
      <c r="Q2668" s="132" t="str">
        <f>LEFT(base[[#This Row],[Evento / Mercado]],FIND("vs",base[[#This Row],[Evento / Mercado]])-2)</f>
        <v>CRB</v>
      </c>
      <c r="R26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Bernardo FC</v>
      </c>
      <c r="S2668" s="132" t="str">
        <f>LEFT(base[[#This Row],[Evento / Mercado]],FIND("/",base[[#This Row],[Evento / Mercado]])-2)</f>
        <v>CRB vs São Bernardo FC</v>
      </c>
    </row>
    <row r="2669" spans="2:19" ht="15" customHeight="1">
      <c r="B2669" s="128" t="s">
        <v>2696</v>
      </c>
      <c r="C2669" s="128" t="s">
        <v>2982</v>
      </c>
      <c r="D2669" s="129">
        <v>46180.768831018519</v>
      </c>
      <c r="E2669" s="130">
        <v>-5</v>
      </c>
      <c r="F2669" s="136">
        <v>4.4999999999999998E-2</v>
      </c>
      <c r="G2669" s="126">
        <f t="shared" si="42"/>
        <v>-5</v>
      </c>
      <c r="H2669" s="126" t="s">
        <v>1339</v>
      </c>
      <c r="I2669" s="127" t="s">
        <v>2404</v>
      </c>
      <c r="J2669" s="126">
        <v>1.64</v>
      </c>
      <c r="K2669" s="126">
        <v>5</v>
      </c>
      <c r="L2669" s="129">
        <f>INT(base[[#This Row],[Data de liquidação]])</f>
        <v>46180</v>
      </c>
      <c r="M2669" s="126">
        <f>base[[#This Row],[L/P Bruto]]-base[[#This Row],[L/P Líquido]]</f>
        <v>0</v>
      </c>
      <c r="N2669" s="126">
        <f>base[[#This Row],[L/P Líquido]]/base[[#This Row],[Stake/Responsabilidade]]</f>
        <v>-1</v>
      </c>
      <c r="O2669" s="132">
        <f>IF(base[[#This Row],[L/P Líquido]]&gt;0,1,0)</f>
        <v>0</v>
      </c>
      <c r="P2669" s="132"/>
      <c r="Q2669" s="132" t="str">
        <f>LEFT(base[[#This Row],[Evento / Mercado]],FIND("vs",base[[#This Row],[Evento / Mercado]])-2)</f>
        <v>Antofagasta</v>
      </c>
      <c r="R26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Magallanes</v>
      </c>
      <c r="S2669" s="132" t="str">
        <f>LEFT(base[[#This Row],[Evento / Mercado]],FIND("/",base[[#This Row],[Evento / Mercado]])-2)</f>
        <v>Antofagasta vs Magallanes</v>
      </c>
    </row>
    <row r="2670" spans="2:19" ht="15" customHeight="1">
      <c r="B2670" s="128" t="s">
        <v>2695</v>
      </c>
      <c r="C2670" s="128" t="s">
        <v>2982</v>
      </c>
      <c r="D2670" s="129">
        <v>46180.797997685186</v>
      </c>
      <c r="E2670" s="130">
        <v>-5.18</v>
      </c>
      <c r="F2670" s="136">
        <v>4.4999999999999998E-2</v>
      </c>
      <c r="G2670" s="126">
        <f t="shared" si="42"/>
        <v>-5.18</v>
      </c>
      <c r="H2670" s="126" t="s">
        <v>1339</v>
      </c>
      <c r="I2670" s="127" t="s">
        <v>1236</v>
      </c>
      <c r="J2670" s="126">
        <v>7.4</v>
      </c>
      <c r="K2670" s="126">
        <v>15</v>
      </c>
      <c r="L2670" s="129">
        <f>INT(base[[#This Row],[Data de liquidação]])</f>
        <v>46180</v>
      </c>
      <c r="M2670" s="126">
        <f>base[[#This Row],[L/P Bruto]]-base[[#This Row],[L/P Líquido]]</f>
        <v>0</v>
      </c>
      <c r="N2670" s="126">
        <f>base[[#This Row],[L/P Líquido]]/base[[#This Row],[Stake/Responsabilidade]]</f>
        <v>-0.34533333333333333</v>
      </c>
      <c r="O2670" s="132">
        <f>IF(base[[#This Row],[L/P Líquido]]&gt;0,1,0)</f>
        <v>0</v>
      </c>
      <c r="P2670" s="132"/>
      <c r="Q2670" s="132" t="str">
        <f>LEFT(base[[#This Row],[Evento / Mercado]],FIND("vs",base[[#This Row],[Evento / Mercado]])-2)</f>
        <v>Ecuador</v>
      </c>
      <c r="R26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Guatemala</v>
      </c>
      <c r="S2670" s="132" t="str">
        <f>LEFT(base[[#This Row],[Evento / Mercado]],FIND("/",base[[#This Row],[Evento / Mercado]])-2)</f>
        <v>Ecuador vs Guatemala</v>
      </c>
    </row>
    <row r="2671" spans="2:19" ht="15" customHeight="1">
      <c r="B2671" s="128" t="s">
        <v>2694</v>
      </c>
      <c r="C2671" s="128" t="s">
        <v>2982</v>
      </c>
      <c r="D2671" s="129">
        <v>46180.890347222223</v>
      </c>
      <c r="E2671" s="130">
        <v>-3.41</v>
      </c>
      <c r="F2671" s="136">
        <v>4.4999999999999998E-2</v>
      </c>
      <c r="G2671" s="126">
        <f t="shared" si="42"/>
        <v>-3.41</v>
      </c>
      <c r="H2671" s="126" t="s">
        <v>1339</v>
      </c>
      <c r="I2671" s="127" t="s">
        <v>1236</v>
      </c>
      <c r="J2671" s="126">
        <v>6.26</v>
      </c>
      <c r="K2671" s="126">
        <v>15</v>
      </c>
      <c r="L2671" s="129">
        <f>INT(base[[#This Row],[Data de liquidação]])</f>
        <v>46180</v>
      </c>
      <c r="M2671" s="126">
        <f>base[[#This Row],[L/P Bruto]]-base[[#This Row],[L/P Líquido]]</f>
        <v>0</v>
      </c>
      <c r="N2671" s="126">
        <f>base[[#This Row],[L/P Líquido]]/base[[#This Row],[Stake/Responsabilidade]]</f>
        <v>-0.22733333333333333</v>
      </c>
      <c r="O2671" s="132">
        <f>IF(base[[#This Row],[L/P Líquido]]&gt;0,1,0)</f>
        <v>0</v>
      </c>
      <c r="P2671" s="132"/>
      <c r="Q2671" s="132" t="str">
        <f>LEFT(base[[#This Row],[Evento / Mercado]],FIND("vs",base[[#This Row],[Evento / Mercado]])-2)</f>
        <v>Colombia</v>
      </c>
      <c r="R26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Jordan</v>
      </c>
      <c r="S2671" s="132" t="str">
        <f>LEFT(base[[#This Row],[Evento / Mercado]],FIND("/",base[[#This Row],[Evento / Mercado]])-2)</f>
        <v>Colombia vs Jordan</v>
      </c>
    </row>
    <row r="2672" spans="2:19" ht="15" customHeight="1">
      <c r="B2672" s="128" t="s">
        <v>2731</v>
      </c>
      <c r="C2672" s="128" t="s">
        <v>2982</v>
      </c>
      <c r="D2672" s="129">
        <v>46181.738379629627</v>
      </c>
      <c r="E2672" s="130">
        <v>-9.7799999999999994</v>
      </c>
      <c r="F2672" s="136">
        <v>4.4999999999999998E-2</v>
      </c>
      <c r="G2672" s="126">
        <f t="shared" si="42"/>
        <v>-9.7799999999999994</v>
      </c>
      <c r="H2672" s="126" t="s">
        <v>1339</v>
      </c>
      <c r="I2672" s="127" t="s">
        <v>1236</v>
      </c>
      <c r="J2672" s="126">
        <v>7.6</v>
      </c>
      <c r="K2672" s="126">
        <v>15</v>
      </c>
      <c r="L2672" s="129">
        <f>INT(base[[#This Row],[Data de liquidação]])</f>
        <v>46181</v>
      </c>
      <c r="M2672" s="126">
        <f>base[[#This Row],[L/P Bruto]]-base[[#This Row],[L/P Líquido]]</f>
        <v>0</v>
      </c>
      <c r="N2672" s="126">
        <f>base[[#This Row],[L/P Líquido]]/base[[#This Row],[Stake/Responsabilidade]]</f>
        <v>-0.65199999999999991</v>
      </c>
      <c r="O2672" s="132">
        <f>IF(base[[#This Row],[L/P Líquido]]&gt;0,1,0)</f>
        <v>0</v>
      </c>
      <c r="P2672" s="132"/>
      <c r="Q2672" s="132" t="str">
        <f>LEFT(base[[#This Row],[Evento / Mercado]],FIND("vs",base[[#This Row],[Evento / Mercado]])-2)</f>
        <v>Netherlands</v>
      </c>
      <c r="R26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Uzbekistan</v>
      </c>
      <c r="S2672" s="132" t="str">
        <f>LEFT(base[[#This Row],[Evento / Mercado]],FIND("/",base[[#This Row],[Evento / Mercado]])-2)</f>
        <v>Netherlands vs Uzbekistan</v>
      </c>
    </row>
    <row r="2673" spans="2:19" ht="15" customHeight="1">
      <c r="B2673" s="128" t="s">
        <v>2730</v>
      </c>
      <c r="C2673" s="128" t="s">
        <v>2982</v>
      </c>
      <c r="D2673" s="129">
        <v>46181.743483796294</v>
      </c>
      <c r="E2673" s="130">
        <v>4.51</v>
      </c>
      <c r="F2673" s="136">
        <v>4.4999999999999998E-2</v>
      </c>
      <c r="G2673" s="126">
        <f t="shared" si="42"/>
        <v>4.7225130890052354</v>
      </c>
      <c r="H2673" s="126" t="s">
        <v>211</v>
      </c>
      <c r="I2673" s="127" t="s">
        <v>2732</v>
      </c>
      <c r="J2673" s="126">
        <v>1.23</v>
      </c>
      <c r="K2673" s="126">
        <v>40</v>
      </c>
      <c r="L2673" s="129">
        <f>INT(base[[#This Row],[Data de liquidação]])</f>
        <v>46181</v>
      </c>
      <c r="M2673" s="126">
        <f>base[[#This Row],[L/P Bruto]]-base[[#This Row],[L/P Líquido]]</f>
        <v>0.21251308900523558</v>
      </c>
      <c r="N2673" s="126">
        <f>base[[#This Row],[L/P Líquido]]/base[[#This Row],[Stake/Responsabilidade]]</f>
        <v>0.11274999999999999</v>
      </c>
      <c r="O2673" s="132">
        <f>IF(base[[#This Row],[L/P Líquido]]&gt;0,1,0)</f>
        <v>1</v>
      </c>
      <c r="P2673" s="132"/>
      <c r="Q2673" s="132" t="str">
        <f>LEFT(base[[#This Row],[Evento / Mercado]],FIND("vs",base[[#This Row],[Evento / Mercado]])-2)</f>
        <v>Netherlands</v>
      </c>
      <c r="R26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Uzbekistan</v>
      </c>
      <c r="S2673" s="132" t="str">
        <f>LEFT(base[[#This Row],[Evento / Mercado]],FIND("/",base[[#This Row],[Evento / Mercado]])-2)</f>
        <v>Netherlands vs Uzbekistan</v>
      </c>
    </row>
    <row r="2674" spans="2:19" ht="15" customHeight="1">
      <c r="B2674" s="128" t="s">
        <v>2729</v>
      </c>
      <c r="C2674" s="128" t="s">
        <v>2982</v>
      </c>
      <c r="D2674" s="129">
        <v>46181.876921296294</v>
      </c>
      <c r="E2674" s="130">
        <v>16.16</v>
      </c>
      <c r="F2674" s="136">
        <v>4.4999999999999998E-2</v>
      </c>
      <c r="G2674" s="126">
        <f t="shared" si="42"/>
        <v>16.921465968586389</v>
      </c>
      <c r="H2674" s="126" t="s">
        <v>2821</v>
      </c>
      <c r="I2674" s="127" t="s">
        <v>476</v>
      </c>
      <c r="J2674" s="126">
        <v>27</v>
      </c>
      <c r="K2674" s="126">
        <v>439.92</v>
      </c>
      <c r="L2674" s="129">
        <f>INT(base[[#This Row],[Data de liquidação]])</f>
        <v>46181</v>
      </c>
      <c r="M2674" s="126">
        <f>base[[#This Row],[L/P Bruto]]-base[[#This Row],[L/P Líquido]]</f>
        <v>0.76146596858638915</v>
      </c>
      <c r="N2674" s="126">
        <f>base[[#This Row],[L/P Líquido]]/base[[#This Row],[Stake/Responsabilidade]]</f>
        <v>3.6733951627568651E-2</v>
      </c>
      <c r="O2674" s="132">
        <f>IF(base[[#This Row],[L/P Líquido]]&gt;0,1,0)</f>
        <v>1</v>
      </c>
      <c r="P2674" s="132"/>
      <c r="Q2674" s="132" t="str">
        <f>LEFT(base[[#This Row],[Evento / Mercado]],FIND("vs",base[[#This Row],[Evento / Mercado]])-2)</f>
        <v>Atlético Nacional</v>
      </c>
      <c r="R26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Junior</v>
      </c>
      <c r="S2674" s="132" t="str">
        <f>LEFT(base[[#This Row],[Evento / Mercado]],FIND("/",base[[#This Row],[Evento / Mercado]])-2)</f>
        <v>Atlético Nacional vs Junior</v>
      </c>
    </row>
    <row r="2675" spans="2:19" ht="15" customHeight="1">
      <c r="B2675" s="128" t="s">
        <v>2728</v>
      </c>
      <c r="C2675" s="128" t="s">
        <v>2982</v>
      </c>
      <c r="D2675" s="129">
        <v>46181.919953703706</v>
      </c>
      <c r="E2675" s="130">
        <v>30.28</v>
      </c>
      <c r="F2675" s="136">
        <v>4.4999999999999998E-2</v>
      </c>
      <c r="G2675" s="126">
        <f t="shared" si="42"/>
        <v>31.706806282722514</v>
      </c>
      <c r="H2675" s="126" t="s">
        <v>2714</v>
      </c>
      <c r="I2675" s="127" t="s">
        <v>2716</v>
      </c>
      <c r="J2675" s="126"/>
      <c r="K2675" s="126">
        <v>100</v>
      </c>
      <c r="L2675" s="129">
        <f>INT(base[[#This Row],[Data de liquidação]])</f>
        <v>46181</v>
      </c>
      <c r="M2675" s="126">
        <f>base[[#This Row],[L/P Bruto]]-base[[#This Row],[L/P Líquido]]</f>
        <v>1.426806282722513</v>
      </c>
      <c r="N2675" s="126">
        <f>base[[#This Row],[L/P Líquido]]/base[[#This Row],[Stake/Responsabilidade]]</f>
        <v>0.30280000000000001</v>
      </c>
      <c r="O2675" s="132">
        <f>IF(base[[#This Row],[L/P Líquido]]&gt;0,1,0)</f>
        <v>1</v>
      </c>
      <c r="P2675" s="132"/>
      <c r="Q2675" s="132" t="str">
        <f>LEFT(base[[#This Row],[Evento / Mercado]],FIND("vs",base[[#This Row],[Evento / Mercado]])-2)</f>
        <v>Vila Nova FC</v>
      </c>
      <c r="R26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2675" s="132" t="str">
        <f>LEFT(base[[#This Row],[Evento / Mercado]],FIND("/",base[[#This Row],[Evento / Mercado]])-2)</f>
        <v>Vila Nova FC vs Botafogo SP</v>
      </c>
    </row>
    <row r="2676" spans="2:19" ht="15" customHeight="1">
      <c r="B2676" s="128" t="s">
        <v>2742</v>
      </c>
      <c r="C2676" s="128" t="s">
        <v>2982</v>
      </c>
      <c r="D2676" s="129">
        <v>46182.577569444446</v>
      </c>
      <c r="E2676" s="130">
        <v>4.2</v>
      </c>
      <c r="F2676" s="136">
        <v>4.4999999999999998E-2</v>
      </c>
      <c r="G2676" s="126">
        <f t="shared" si="42"/>
        <v>4.3979057591623043</v>
      </c>
      <c r="H2676" s="126" t="s">
        <v>1339</v>
      </c>
      <c r="I2676" s="127" t="s">
        <v>2404</v>
      </c>
      <c r="J2676" s="126">
        <v>1.88</v>
      </c>
      <c r="K2676" s="126">
        <v>5</v>
      </c>
      <c r="L2676" s="129">
        <f>INT(base[[#This Row],[Data de liquidação]])</f>
        <v>46182</v>
      </c>
      <c r="M2676" s="126">
        <f>base[[#This Row],[L/P Bruto]]-base[[#This Row],[L/P Líquido]]</f>
        <v>0.19790575916230413</v>
      </c>
      <c r="N2676" s="126">
        <f>base[[#This Row],[L/P Líquido]]/base[[#This Row],[Stake/Responsabilidade]]</f>
        <v>0.84000000000000008</v>
      </c>
      <c r="O2676" s="132">
        <f>IF(base[[#This Row],[L/P Líquido]]&gt;0,1,0)</f>
        <v>1</v>
      </c>
      <c r="P2676" s="132"/>
      <c r="Q2676" s="132" t="str">
        <f>LEFT(base[[#This Row],[Evento / Mercado]],FIND("vs",base[[#This Row],[Evento / Mercado]])-2)</f>
        <v>Armenia</v>
      </c>
      <c r="R26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Moldova</v>
      </c>
      <c r="S2676" s="132" t="str">
        <f>LEFT(base[[#This Row],[Evento / Mercado]],FIND("/",base[[#This Row],[Evento / Mercado]])-2)</f>
        <v>Armenia vs Moldova</v>
      </c>
    </row>
    <row r="2677" spans="2:19" ht="15" customHeight="1">
      <c r="B2677" s="128" t="s">
        <v>2741</v>
      </c>
      <c r="C2677" s="128" t="s">
        <v>2982</v>
      </c>
      <c r="D2677" s="129">
        <v>46182.580138888887</v>
      </c>
      <c r="E2677" s="130">
        <v>9.24</v>
      </c>
      <c r="F2677" s="136">
        <v>4.4999999999999998E-2</v>
      </c>
      <c r="G2677" s="126">
        <f t="shared" si="42"/>
        <v>9.6753926701570681</v>
      </c>
      <c r="H2677" s="126" t="s">
        <v>1339</v>
      </c>
      <c r="I2677" s="127" t="s">
        <v>1388</v>
      </c>
      <c r="J2677" s="126">
        <v>16</v>
      </c>
      <c r="K2677" s="126">
        <v>145.19999999999999</v>
      </c>
      <c r="L2677" s="129">
        <f>INT(base[[#This Row],[Data de liquidação]])</f>
        <v>46182</v>
      </c>
      <c r="M2677" s="126">
        <f>base[[#This Row],[L/P Bruto]]-base[[#This Row],[L/P Líquido]]</f>
        <v>0.43539267015706784</v>
      </c>
      <c r="N2677" s="126">
        <f>base[[#This Row],[L/P Líquido]]/base[[#This Row],[Stake/Responsabilidade]]</f>
        <v>6.3636363636363644E-2</v>
      </c>
      <c r="O2677" s="132">
        <f>IF(base[[#This Row],[L/P Líquido]]&gt;0,1,0)</f>
        <v>1</v>
      </c>
      <c r="P2677" s="132"/>
      <c r="Q2677" s="132" t="str">
        <f>LEFT(base[[#This Row],[Evento / Mercado]],FIND("vs",base[[#This Row],[Evento / Mercado]])-2)</f>
        <v>Armenia</v>
      </c>
      <c r="R26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Moldova</v>
      </c>
      <c r="S2677" s="132" t="str">
        <f>LEFT(base[[#This Row],[Evento / Mercado]],FIND("/",base[[#This Row],[Evento / Mercado]])-2)</f>
        <v>Armenia vs Moldova</v>
      </c>
    </row>
    <row r="2678" spans="2:19" ht="15" customHeight="1">
      <c r="B2678" s="128" t="s">
        <v>2740</v>
      </c>
      <c r="C2678" s="128" t="s">
        <v>2982</v>
      </c>
      <c r="D2678" s="129">
        <v>46182.63553240741</v>
      </c>
      <c r="E2678" s="130">
        <v>-10.4</v>
      </c>
      <c r="F2678" s="136">
        <v>4.4999999999999998E-2</v>
      </c>
      <c r="G2678" s="126">
        <f t="shared" si="42"/>
        <v>-10.4</v>
      </c>
      <c r="H2678" s="126" t="s">
        <v>1339</v>
      </c>
      <c r="I2678" s="127" t="s">
        <v>1236</v>
      </c>
      <c r="J2678" s="126">
        <v>10.5</v>
      </c>
      <c r="K2678" s="126">
        <v>15</v>
      </c>
      <c r="L2678" s="129">
        <f>INT(base[[#This Row],[Data de liquidação]])</f>
        <v>46182</v>
      </c>
      <c r="M2678" s="126">
        <f>base[[#This Row],[L/P Bruto]]-base[[#This Row],[L/P Líquido]]</f>
        <v>0</v>
      </c>
      <c r="N2678" s="126">
        <f>base[[#This Row],[L/P Líquido]]/base[[#This Row],[Stake/Responsabilidade]]</f>
        <v>-0.69333333333333336</v>
      </c>
      <c r="O2678" s="132">
        <f>IF(base[[#This Row],[L/P Líquido]]&gt;0,1,0)</f>
        <v>0</v>
      </c>
      <c r="P2678" s="132"/>
      <c r="Q2678" s="132" t="str">
        <f>LEFT(base[[#This Row],[Evento / Mercado]],FIND("vs",base[[#This Row],[Evento / Mercado]])-2)</f>
        <v>Hungary</v>
      </c>
      <c r="R26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Kazakhstan</v>
      </c>
      <c r="S2678" s="132" t="str">
        <f>LEFT(base[[#This Row],[Evento / Mercado]],FIND("/",base[[#This Row],[Evento / Mercado]])-2)</f>
        <v>Hungary vs Kazakhstan</v>
      </c>
    </row>
    <row r="2679" spans="2:19" ht="15" customHeight="1">
      <c r="B2679" s="128" t="s">
        <v>2739</v>
      </c>
      <c r="C2679" s="128" t="s">
        <v>2982</v>
      </c>
      <c r="D2679" s="129">
        <v>46182.660925925928</v>
      </c>
      <c r="E2679" s="130">
        <v>-12.82</v>
      </c>
      <c r="F2679" s="136">
        <v>4.4999999999999998E-2</v>
      </c>
      <c r="G2679" s="126">
        <f t="shared" si="42"/>
        <v>-12.82</v>
      </c>
      <c r="H2679" s="126" t="s">
        <v>2743</v>
      </c>
      <c r="I2679" s="127" t="s">
        <v>2744</v>
      </c>
      <c r="J2679" s="126">
        <v>8.8000000000000007</v>
      </c>
      <c r="K2679" s="126">
        <v>12.82</v>
      </c>
      <c r="L2679" s="129">
        <f>INT(base[[#This Row],[Data de liquidação]])</f>
        <v>46182</v>
      </c>
      <c r="M2679" s="126">
        <f>base[[#This Row],[L/P Bruto]]-base[[#This Row],[L/P Líquido]]</f>
        <v>0</v>
      </c>
      <c r="N2679" s="126">
        <f>base[[#This Row],[L/P Líquido]]/base[[#This Row],[Stake/Responsabilidade]]</f>
        <v>-1</v>
      </c>
      <c r="O2679" s="132">
        <f>IF(base[[#This Row],[L/P Líquido]]&gt;0,1,0)</f>
        <v>0</v>
      </c>
      <c r="P2679" s="132"/>
      <c r="Q2679" s="132" t="str">
        <f>LEFT(base[[#This Row],[Evento / Mercado]],FIND("vs",base[[#This Row],[Evento / Mercado]])-2)</f>
        <v>Östers IF</v>
      </c>
      <c r="R26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Värnamo</v>
      </c>
      <c r="S2679" s="132" t="str">
        <f>LEFT(base[[#This Row],[Evento / Mercado]],FIND("/",base[[#This Row],[Evento / Mercado]])-2)</f>
        <v>Östers IF vs IFK Värnamo</v>
      </c>
    </row>
    <row r="2680" spans="2:19" ht="15" customHeight="1">
      <c r="B2680" s="128" t="s">
        <v>2738</v>
      </c>
      <c r="C2680" s="128" t="s">
        <v>2982</v>
      </c>
      <c r="D2680" s="129">
        <v>46182.661076388889</v>
      </c>
      <c r="E2680" s="130">
        <v>30.81</v>
      </c>
      <c r="F2680" s="136">
        <v>4.4999999999999998E-2</v>
      </c>
      <c r="G2680" s="126">
        <f t="shared" si="42"/>
        <v>32.261780104712045</v>
      </c>
      <c r="H2680" s="126" t="s">
        <v>2743</v>
      </c>
      <c r="I2680" s="127" t="s">
        <v>1233</v>
      </c>
      <c r="J2680" s="126">
        <v>4.0999999999999996</v>
      </c>
      <c r="K2680" s="126">
        <v>100.01</v>
      </c>
      <c r="L2680" s="129">
        <f>INT(base[[#This Row],[Data de liquidação]])</f>
        <v>46182</v>
      </c>
      <c r="M2680" s="126">
        <f>base[[#This Row],[L/P Bruto]]-base[[#This Row],[L/P Líquido]]</f>
        <v>1.4517801047120464</v>
      </c>
      <c r="N2680" s="126">
        <f>base[[#This Row],[L/P Líquido]]/base[[#This Row],[Stake/Responsabilidade]]</f>
        <v>0.30806919308069192</v>
      </c>
      <c r="O2680" s="132">
        <f>IF(base[[#This Row],[L/P Líquido]]&gt;0,1,0)</f>
        <v>1</v>
      </c>
      <c r="P2680" s="132"/>
      <c r="Q2680" s="132" t="str">
        <f>LEFT(base[[#This Row],[Evento / Mercado]],FIND("vs",base[[#This Row],[Evento / Mercado]])-2)</f>
        <v>Östers IF</v>
      </c>
      <c r="R26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Värnamo</v>
      </c>
      <c r="S2680" s="132" t="str">
        <f>LEFT(base[[#This Row],[Evento / Mercado]],FIND("/",base[[#This Row],[Evento / Mercado]])-2)</f>
        <v>Östers IF vs IFK Värnamo</v>
      </c>
    </row>
    <row r="2681" spans="2:19" ht="15" customHeight="1">
      <c r="B2681" s="128" t="s">
        <v>2737</v>
      </c>
      <c r="C2681" s="128" t="s">
        <v>2982</v>
      </c>
      <c r="D2681" s="129">
        <v>46182.664039351854</v>
      </c>
      <c r="E2681" s="130">
        <v>-70</v>
      </c>
      <c r="F2681" s="136">
        <v>4.4999999999999998E-2</v>
      </c>
      <c r="G2681" s="126">
        <f t="shared" si="42"/>
        <v>-70</v>
      </c>
      <c r="H2681" s="126" t="s">
        <v>1339</v>
      </c>
      <c r="I2681" s="127" t="s">
        <v>1963</v>
      </c>
      <c r="J2681" s="126">
        <v>1.05</v>
      </c>
      <c r="K2681" s="126">
        <v>70</v>
      </c>
      <c r="L2681" s="129">
        <f>INT(base[[#This Row],[Data de liquidação]])</f>
        <v>46182</v>
      </c>
      <c r="M2681" s="126">
        <f>base[[#This Row],[L/P Bruto]]-base[[#This Row],[L/P Líquido]]</f>
        <v>0</v>
      </c>
      <c r="N2681" s="126">
        <f>base[[#This Row],[L/P Líquido]]/base[[#This Row],[Stake/Responsabilidade]]</f>
        <v>-1</v>
      </c>
      <c r="O2681" s="132">
        <f>IF(base[[#This Row],[L/P Líquido]]&gt;0,1,0)</f>
        <v>0</v>
      </c>
      <c r="P2681" s="132"/>
      <c r="Q2681" s="132" t="str">
        <f>LEFT(base[[#This Row],[Evento / Mercado]],FIND("vs",base[[#This Row],[Evento / Mercado]])-2)</f>
        <v>IK Brage</v>
      </c>
      <c r="R26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Ljungskile SK</v>
      </c>
      <c r="S2681" s="132" t="str">
        <f>LEFT(base[[#This Row],[Evento / Mercado]],FIND("/",base[[#This Row],[Evento / Mercado]])-2)</f>
        <v>IK Brage vs Ljungskile SK</v>
      </c>
    </row>
    <row r="2682" spans="2:19" ht="15" customHeight="1">
      <c r="B2682" s="128" t="s">
        <v>2736</v>
      </c>
      <c r="C2682" s="128" t="s">
        <v>2982</v>
      </c>
      <c r="D2682" s="129">
        <v>46182.666030092594</v>
      </c>
      <c r="E2682" s="130">
        <v>14.62</v>
      </c>
      <c r="F2682" s="136">
        <v>4.4999999999999998E-2</v>
      </c>
      <c r="G2682" s="126">
        <f t="shared" si="42"/>
        <v>15.30890052356021</v>
      </c>
      <c r="H2682" s="126" t="s">
        <v>1339</v>
      </c>
      <c r="I2682" s="127" t="s">
        <v>1446</v>
      </c>
      <c r="J2682" s="126">
        <v>2.96</v>
      </c>
      <c r="K2682" s="126">
        <v>15.31</v>
      </c>
      <c r="L2682" s="129">
        <f>INT(base[[#This Row],[Data de liquidação]])</f>
        <v>46182</v>
      </c>
      <c r="M2682" s="126">
        <f>base[[#This Row],[L/P Bruto]]-base[[#This Row],[L/P Líquido]]</f>
        <v>0.68890052356021059</v>
      </c>
      <c r="N2682" s="126">
        <f>base[[#This Row],[L/P Líquido]]/base[[#This Row],[Stake/Responsabilidade]]</f>
        <v>0.95493141737426512</v>
      </c>
      <c r="O2682" s="132">
        <f>IF(base[[#This Row],[L/P Líquido]]&gt;0,1,0)</f>
        <v>1</v>
      </c>
      <c r="P2682" s="132"/>
      <c r="Q2682" s="132" t="str">
        <f>LEFT(base[[#This Row],[Evento / Mercado]],FIND("vs",base[[#This Row],[Evento / Mercado]])-2)</f>
        <v>Hungary</v>
      </c>
      <c r="R26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Kazakhstan</v>
      </c>
      <c r="S2682" s="132" t="str">
        <f>LEFT(base[[#This Row],[Evento / Mercado]],FIND("/",base[[#This Row],[Evento / Mercado]])-2)</f>
        <v>Hungary vs Kazakhstan</v>
      </c>
    </row>
    <row r="2683" spans="2:19" ht="15" customHeight="1">
      <c r="B2683" s="128" t="s">
        <v>2735</v>
      </c>
      <c r="C2683" s="128" t="s">
        <v>2982</v>
      </c>
      <c r="D2683" s="129">
        <v>46182.751307870371</v>
      </c>
      <c r="E2683" s="130">
        <v>19.63</v>
      </c>
      <c r="F2683" s="136">
        <v>4.4999999999999998E-2</v>
      </c>
      <c r="G2683" s="126">
        <f t="shared" si="42"/>
        <v>20.554973821989527</v>
      </c>
      <c r="H2683" s="126" t="s">
        <v>2714</v>
      </c>
      <c r="I2683" s="127" t="s">
        <v>2716</v>
      </c>
      <c r="J2683" s="126"/>
      <c r="K2683" s="126">
        <v>100</v>
      </c>
      <c r="L2683" s="129">
        <f>INT(base[[#This Row],[Data de liquidação]])</f>
        <v>46182</v>
      </c>
      <c r="M2683" s="126">
        <f>base[[#This Row],[L/P Bruto]]-base[[#This Row],[L/P Líquido]]</f>
        <v>0.92497382198952849</v>
      </c>
      <c r="N2683" s="126">
        <f>base[[#This Row],[L/P Líquido]]/base[[#This Row],[Stake/Responsabilidade]]</f>
        <v>0.1963</v>
      </c>
      <c r="O2683" s="132">
        <f>IF(base[[#This Row],[L/P Líquido]]&gt;0,1,0)</f>
        <v>1</v>
      </c>
      <c r="P2683" s="132"/>
      <c r="Q2683" s="132" t="str">
        <f>LEFT(base[[#This Row],[Evento / Mercado]],FIND("vs",base[[#This Row],[Evento / Mercado]])-2)</f>
        <v>UD Almería</v>
      </c>
      <c r="R26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Castellon</v>
      </c>
      <c r="S2683" s="132" t="str">
        <f>LEFT(base[[#This Row],[Evento / Mercado]],FIND("/",base[[#This Row],[Evento / Mercado]])-2)</f>
        <v>UD Almería vs CD Castellon</v>
      </c>
    </row>
    <row r="2684" spans="2:19" ht="15" customHeight="1">
      <c r="B2684" s="128" t="s">
        <v>2734</v>
      </c>
      <c r="C2684" s="128" t="s">
        <v>2982</v>
      </c>
      <c r="D2684" s="129">
        <v>46182.876446759263</v>
      </c>
      <c r="E2684" s="130">
        <v>33.9</v>
      </c>
      <c r="F2684" s="136">
        <v>4.4999999999999998E-2</v>
      </c>
      <c r="G2684" s="126">
        <f t="shared" si="42"/>
        <v>35.497382198952877</v>
      </c>
      <c r="H2684" s="126" t="s">
        <v>2714</v>
      </c>
      <c r="I2684" s="127" t="s">
        <v>2715</v>
      </c>
      <c r="J2684" s="126"/>
      <c r="K2684" s="126">
        <v>100</v>
      </c>
      <c r="L2684" s="129">
        <f>INT(base[[#This Row],[Data de liquidação]])</f>
        <v>46182</v>
      </c>
      <c r="M2684" s="126">
        <f>base[[#This Row],[L/P Bruto]]-base[[#This Row],[L/P Líquido]]</f>
        <v>1.5973821989528787</v>
      </c>
      <c r="N2684" s="126">
        <f>base[[#This Row],[L/P Líquido]]/base[[#This Row],[Stake/Responsabilidade]]</f>
        <v>0.33899999999999997</v>
      </c>
      <c r="O2684" s="132">
        <f>IF(base[[#This Row],[L/P Líquido]]&gt;0,1,0)</f>
        <v>1</v>
      </c>
      <c r="P2684" s="132"/>
      <c r="Q2684" s="132" t="str">
        <f>LEFT(base[[#This Row],[Evento / Mercado]],FIND("vs",base[[#This Row],[Evento / Mercado]])-2)</f>
        <v>Clube Náutico Capibaribe</v>
      </c>
      <c r="R26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EC</v>
      </c>
      <c r="S2684" s="132" t="str">
        <f>LEFT(base[[#This Row],[Evento / Mercado]],FIND("/",base[[#This Row],[Evento / Mercado]])-2)</f>
        <v>Clube Náutico Capibaribe vs Fortaleza EC</v>
      </c>
    </row>
    <row r="2685" spans="2:19" ht="15" customHeight="1">
      <c r="B2685" s="128" t="s">
        <v>2733</v>
      </c>
      <c r="C2685" s="128" t="s">
        <v>2982</v>
      </c>
      <c r="D2685" s="129">
        <v>46182.924004629633</v>
      </c>
      <c r="E2685" s="130">
        <v>-150.04</v>
      </c>
      <c r="F2685" s="136">
        <v>4.4999999999999998E-2</v>
      </c>
      <c r="G2685" s="126">
        <f t="shared" si="42"/>
        <v>-150.04</v>
      </c>
      <c r="H2685" s="126" t="s">
        <v>1339</v>
      </c>
      <c r="I2685" s="127" t="s">
        <v>1388</v>
      </c>
      <c r="J2685" s="126">
        <v>23</v>
      </c>
      <c r="K2685" s="126">
        <v>150.04</v>
      </c>
      <c r="L2685" s="129">
        <f>INT(base[[#This Row],[Data de liquidação]])</f>
        <v>46182</v>
      </c>
      <c r="M2685" s="126">
        <f>base[[#This Row],[L/P Bruto]]-base[[#This Row],[L/P Líquido]]</f>
        <v>0</v>
      </c>
      <c r="N2685" s="126">
        <f>base[[#This Row],[L/P Líquido]]/base[[#This Row],[Stake/Responsabilidade]]</f>
        <v>-1</v>
      </c>
      <c r="O2685" s="132">
        <f>IF(base[[#This Row],[L/P Líquido]]&gt;0,1,0)</f>
        <v>0</v>
      </c>
      <c r="P2685" s="132"/>
      <c r="Q2685" s="132" t="str">
        <f>LEFT(base[[#This Row],[Evento / Mercado]],FIND("vs",base[[#This Row],[Evento / Mercado]])-2)</f>
        <v>Atletico Ottawa</v>
      </c>
      <c r="R26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Supra du Quebec</v>
      </c>
      <c r="S2685" s="132" t="str">
        <f>LEFT(base[[#This Row],[Evento / Mercado]],FIND("/",base[[#This Row],[Evento / Mercado]])-2)</f>
        <v>Atletico Ottawa vs FC Supra du Quebec</v>
      </c>
    </row>
    <row r="2686" spans="2:19" ht="15" customHeight="1">
      <c r="B2686" s="128" t="s">
        <v>2757</v>
      </c>
      <c r="C2686" s="128" t="s">
        <v>2982</v>
      </c>
      <c r="D2686" s="129">
        <v>46183.661041666666</v>
      </c>
      <c r="E2686" s="130">
        <v>-117.48</v>
      </c>
      <c r="F2686" s="136">
        <v>4.4999999999999998E-2</v>
      </c>
      <c r="G2686" s="126">
        <f t="shared" si="42"/>
        <v>-117.48</v>
      </c>
      <c r="H2686" s="126" t="s">
        <v>2693</v>
      </c>
      <c r="I2686" s="127" t="s">
        <v>1249</v>
      </c>
      <c r="J2686" s="126">
        <v>5</v>
      </c>
      <c r="K2686" s="126">
        <v>40</v>
      </c>
      <c r="L2686" s="129">
        <f>INT(base[[#This Row],[Data de liquidação]])</f>
        <v>46183</v>
      </c>
      <c r="M2686" s="126">
        <f>base[[#This Row],[L/P Bruto]]-base[[#This Row],[L/P Líquido]]</f>
        <v>0</v>
      </c>
      <c r="N2686" s="126">
        <f>base[[#This Row],[L/P Líquido]]/base[[#This Row],[Stake/Responsabilidade]]</f>
        <v>-2.9370000000000003</v>
      </c>
      <c r="O2686" s="132">
        <f>IF(base[[#This Row],[L/P Líquido]]&gt;0,1,0)</f>
        <v>0</v>
      </c>
      <c r="P2686" s="132"/>
      <c r="Q2686" s="132" t="str">
        <f>LEFT(base[[#This Row],[Evento / Mercado]],FIND("vs",base[[#This Row],[Evento / Mercado]])-2)</f>
        <v>Varbergs BoIS</v>
      </c>
      <c r="R26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686" s="132" t="str">
        <f>LEFT(base[[#This Row],[Evento / Mercado]],FIND("/",base[[#This Row],[Evento / Mercado]])-2)</f>
        <v>Varbergs BoIS vs Norrby IF</v>
      </c>
    </row>
    <row r="2687" spans="2:19" ht="15" customHeight="1">
      <c r="B2687" s="128" t="s">
        <v>2756</v>
      </c>
      <c r="C2687" s="128" t="s">
        <v>2982</v>
      </c>
      <c r="D2687" s="129">
        <v>46183.661874999998</v>
      </c>
      <c r="E2687" s="130">
        <v>89.77</v>
      </c>
      <c r="F2687" s="136">
        <v>4.4999999999999998E-2</v>
      </c>
      <c r="G2687" s="126">
        <f t="shared" si="42"/>
        <v>94</v>
      </c>
      <c r="H2687" s="126" t="s">
        <v>145</v>
      </c>
      <c r="I2687" s="127" t="s">
        <v>301</v>
      </c>
      <c r="J2687" s="126">
        <v>6</v>
      </c>
      <c r="K2687" s="126">
        <v>470</v>
      </c>
      <c r="L2687" s="129">
        <f>INT(base[[#This Row],[Data de liquidação]])</f>
        <v>46183</v>
      </c>
      <c r="M2687" s="126">
        <f>base[[#This Row],[L/P Bruto]]-base[[#This Row],[L/P Líquido]]</f>
        <v>4.230000000000004</v>
      </c>
      <c r="N2687" s="126">
        <f>base[[#This Row],[L/P Líquido]]/base[[#This Row],[Stake/Responsabilidade]]</f>
        <v>0.191</v>
      </c>
      <c r="O2687" s="132">
        <f>IF(base[[#This Row],[L/P Líquido]]&gt;0,1,0)</f>
        <v>1</v>
      </c>
      <c r="P2687" s="132" t="s">
        <v>2065</v>
      </c>
      <c r="Q2687" s="132" t="str">
        <f>LEFT(base[[#This Row],[Evento / Mercado]],FIND("vs",base[[#This Row],[Evento / Mercado]])-2)</f>
        <v>Varbergs BoIS</v>
      </c>
      <c r="R26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687" s="132" t="str">
        <f>LEFT(base[[#This Row],[Evento / Mercado]],FIND("/",base[[#This Row],[Evento / Mercado]])-2)</f>
        <v>Varbergs BoIS vs Norrby IF</v>
      </c>
    </row>
    <row r="2688" spans="2:19" ht="15" customHeight="1">
      <c r="B2688" s="128" t="s">
        <v>2755</v>
      </c>
      <c r="C2688" s="128" t="s">
        <v>2982</v>
      </c>
      <c r="D2688" s="129">
        <v>46183.728194444448</v>
      </c>
      <c r="E2688" s="130">
        <v>4.3499999999999996</v>
      </c>
      <c r="F2688" s="136">
        <v>4.4999999999999998E-2</v>
      </c>
      <c r="G2688" s="126">
        <f t="shared" si="42"/>
        <v>4.5549738219895284</v>
      </c>
      <c r="H2688" s="126" t="s">
        <v>1339</v>
      </c>
      <c r="I2688" s="127" t="s">
        <v>2404</v>
      </c>
      <c r="J2688" s="126">
        <v>1.91</v>
      </c>
      <c r="K2688" s="126">
        <v>5</v>
      </c>
      <c r="L2688" s="129">
        <f>INT(base[[#This Row],[Data de liquidação]])</f>
        <v>46183</v>
      </c>
      <c r="M2688" s="126">
        <f>base[[#This Row],[L/P Bruto]]-base[[#This Row],[L/P Líquido]]</f>
        <v>0.20497382198952874</v>
      </c>
      <c r="N2688" s="126">
        <f>base[[#This Row],[L/P Líquido]]/base[[#This Row],[Stake/Responsabilidade]]</f>
        <v>0.86999999999999988</v>
      </c>
      <c r="O2688" s="132">
        <f>IF(base[[#This Row],[L/P Líquido]]&gt;0,1,0)</f>
        <v>1</v>
      </c>
      <c r="P2688" s="132"/>
      <c r="Q2688" s="132" t="str">
        <f>LEFT(base[[#This Row],[Evento / Mercado]],FIND("vs",base[[#This Row],[Evento / Mercado]])-2)</f>
        <v>Portugal</v>
      </c>
      <c r="R26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Nigeria</v>
      </c>
      <c r="S2688" s="132" t="str">
        <f>LEFT(base[[#This Row],[Evento / Mercado]],FIND("/",base[[#This Row],[Evento / Mercado]])-2)</f>
        <v>Portugal vs Nigeria</v>
      </c>
    </row>
    <row r="2689" spans="2:21" ht="15" customHeight="1">
      <c r="B2689" s="128" t="s">
        <v>2754</v>
      </c>
      <c r="C2689" s="128" t="s">
        <v>2982</v>
      </c>
      <c r="D2689" s="129">
        <v>46183.728217592594</v>
      </c>
      <c r="E2689" s="130">
        <v>14.33</v>
      </c>
      <c r="F2689" s="136">
        <v>4.4999999999999998E-2</v>
      </c>
      <c r="G2689" s="126">
        <f t="shared" si="42"/>
        <v>15.005235602094242</v>
      </c>
      <c r="H2689" s="126" t="s">
        <v>1339</v>
      </c>
      <c r="I2689" s="127" t="s">
        <v>1236</v>
      </c>
      <c r="J2689" s="126">
        <v>8.6</v>
      </c>
      <c r="K2689" s="126">
        <v>15</v>
      </c>
      <c r="L2689" s="129">
        <f>INT(base[[#This Row],[Data de liquidação]])</f>
        <v>46183</v>
      </c>
      <c r="M2689" s="126">
        <f>base[[#This Row],[L/P Bruto]]-base[[#This Row],[L/P Líquido]]</f>
        <v>0.67523560209424183</v>
      </c>
      <c r="N2689" s="126">
        <f>base[[#This Row],[L/P Líquido]]/base[[#This Row],[Stake/Responsabilidade]]</f>
        <v>0.95533333333333337</v>
      </c>
      <c r="O2689" s="132">
        <f>IF(base[[#This Row],[L/P Líquido]]&gt;0,1,0)</f>
        <v>1</v>
      </c>
      <c r="P2689" s="132"/>
      <c r="Q2689" s="132" t="str">
        <f>LEFT(base[[#This Row],[Evento / Mercado]],FIND("vs",base[[#This Row],[Evento / Mercado]])-2)</f>
        <v>Portugal</v>
      </c>
      <c r="R26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Nigeria</v>
      </c>
      <c r="S2689" s="132" t="str">
        <f>LEFT(base[[#This Row],[Evento / Mercado]],FIND("/",base[[#This Row],[Evento / Mercado]])-2)</f>
        <v>Portugal vs Nigeria</v>
      </c>
    </row>
    <row r="2690" spans="2:21" ht="15" customHeight="1">
      <c r="B2690" s="128" t="s">
        <v>2753</v>
      </c>
      <c r="C2690" s="128" t="s">
        <v>2982</v>
      </c>
      <c r="D2690" s="129">
        <v>46183.728356481479</v>
      </c>
      <c r="E2690" s="130">
        <v>38.200000000000003</v>
      </c>
      <c r="F2690" s="136">
        <v>4.4999999999999998E-2</v>
      </c>
      <c r="G2690" s="126">
        <f t="shared" si="42"/>
        <v>40.000000000000007</v>
      </c>
      <c r="H2690" s="126" t="s">
        <v>2693</v>
      </c>
      <c r="I2690" s="127" t="s">
        <v>1249</v>
      </c>
      <c r="J2690" s="126">
        <v>3.55</v>
      </c>
      <c r="K2690" s="126">
        <v>40</v>
      </c>
      <c r="L2690" s="129">
        <f>INT(base[[#This Row],[Data de liquidação]])</f>
        <v>46183</v>
      </c>
      <c r="M2690" s="126">
        <f>base[[#This Row],[L/P Bruto]]-base[[#This Row],[L/P Líquido]]</f>
        <v>1.8000000000000043</v>
      </c>
      <c r="N2690" s="126">
        <f>base[[#This Row],[L/P Líquido]]/base[[#This Row],[Stake/Responsabilidade]]</f>
        <v>0.95500000000000007</v>
      </c>
      <c r="O2690" s="132">
        <f>IF(base[[#This Row],[L/P Líquido]]&gt;0,1,0)</f>
        <v>1</v>
      </c>
      <c r="P2690" s="132"/>
      <c r="Q2690" s="132" t="str">
        <f>LEFT(base[[#This Row],[Evento / Mercado]],FIND("vs",base[[#This Row],[Evento / Mercado]])-2)</f>
        <v>Málaga</v>
      </c>
      <c r="R26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Las Palmas</v>
      </c>
      <c r="S2690" s="132" t="str">
        <f>LEFT(base[[#This Row],[Evento / Mercado]],FIND("/",base[[#This Row],[Evento / Mercado]])-2)</f>
        <v>Málaga vs UD Las Palmas</v>
      </c>
    </row>
    <row r="2691" spans="2:21" ht="15" customHeight="1">
      <c r="B2691" s="128" t="s">
        <v>2752</v>
      </c>
      <c r="C2691" s="128" t="s">
        <v>2982</v>
      </c>
      <c r="D2691" s="129">
        <v>46183.780798611115</v>
      </c>
      <c r="E2691" s="130">
        <v>7.77</v>
      </c>
      <c r="F2691" s="136">
        <v>4.4999999999999998E-2</v>
      </c>
      <c r="G2691" s="126">
        <f t="shared" ref="G2691:G2754" si="43">IF(E2691&gt;0,E2691/(1-F2691),E2691)</f>
        <v>8.1361256544502609</v>
      </c>
      <c r="H2691" s="126" t="s">
        <v>1339</v>
      </c>
      <c r="I2691" s="127" t="s">
        <v>1390</v>
      </c>
      <c r="J2691" s="126">
        <v>8.6</v>
      </c>
      <c r="K2691" s="126">
        <v>70</v>
      </c>
      <c r="L2691" s="129">
        <f>INT(base[[#This Row],[Data de liquidação]])</f>
        <v>46183</v>
      </c>
      <c r="M2691" s="126">
        <f>base[[#This Row],[L/P Bruto]]-base[[#This Row],[L/P Líquido]]</f>
        <v>0.36612565445026135</v>
      </c>
      <c r="N2691" s="126">
        <f>base[[#This Row],[L/P Líquido]]/base[[#This Row],[Stake/Responsabilidade]]</f>
        <v>0.11099999999999999</v>
      </c>
      <c r="O2691" s="132">
        <f>IF(base[[#This Row],[L/P Líquido]]&gt;0,1,0)</f>
        <v>1</v>
      </c>
      <c r="P2691" s="132"/>
      <c r="Q2691" s="132" t="str">
        <f>LEFT(base[[#This Row],[Evento / Mercado]],FIND("vs",base[[#This Row],[Evento / Mercado]])-2)</f>
        <v>Portugal</v>
      </c>
      <c r="R26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Nigeria</v>
      </c>
      <c r="S2691" s="132" t="str">
        <f>LEFT(base[[#This Row],[Evento / Mercado]],FIND("/",base[[#This Row],[Evento / Mercado]])-2)</f>
        <v>Portugal vs Nigeria</v>
      </c>
    </row>
    <row r="2692" spans="2:21" ht="15" customHeight="1">
      <c r="B2692" s="128" t="s">
        <v>2751</v>
      </c>
      <c r="C2692" s="128" t="s">
        <v>2982</v>
      </c>
      <c r="D2692" s="129">
        <v>46183.818460648145</v>
      </c>
      <c r="E2692" s="130">
        <v>-13.13</v>
      </c>
      <c r="F2692" s="136">
        <v>4.4999999999999998E-2</v>
      </c>
      <c r="G2692" s="126">
        <f t="shared" si="43"/>
        <v>-13.13</v>
      </c>
      <c r="H2692" s="126" t="s">
        <v>1339</v>
      </c>
      <c r="I2692" s="127" t="s">
        <v>1236</v>
      </c>
      <c r="J2692" s="126">
        <v>10.5</v>
      </c>
      <c r="K2692" s="126">
        <v>15</v>
      </c>
      <c r="L2692" s="129">
        <f>INT(base[[#This Row],[Data de liquidação]])</f>
        <v>46183</v>
      </c>
      <c r="M2692" s="126">
        <f>base[[#This Row],[L/P Bruto]]-base[[#This Row],[L/P Líquido]]</f>
        <v>0</v>
      </c>
      <c r="N2692" s="126">
        <f>base[[#This Row],[L/P Líquido]]/base[[#This Row],[Stake/Responsabilidade]]</f>
        <v>-0.87533333333333341</v>
      </c>
      <c r="O2692" s="132">
        <f>IF(base[[#This Row],[L/P Líquido]]&gt;0,1,0)</f>
        <v>0</v>
      </c>
      <c r="P2692" s="132"/>
      <c r="Q2692" s="132" t="str">
        <f>LEFT(base[[#This Row],[Evento / Mercado]],FIND("vs",base[[#This Row],[Evento / Mercado]])-2)</f>
        <v>England</v>
      </c>
      <c r="R26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Costa Rica</v>
      </c>
      <c r="S2692" s="132" t="str">
        <f>LEFT(base[[#This Row],[Evento / Mercado]],FIND("/",base[[#This Row],[Evento / Mercado]])-2)</f>
        <v>England vs Costa Rica</v>
      </c>
    </row>
    <row r="2693" spans="2:21" ht="15" customHeight="1">
      <c r="B2693" s="128" t="s">
        <v>2750</v>
      </c>
      <c r="C2693" s="128" t="s">
        <v>2982</v>
      </c>
      <c r="D2693" s="129">
        <v>46183.917662037034</v>
      </c>
      <c r="E2693" s="130">
        <v>8.68</v>
      </c>
      <c r="F2693" s="136">
        <v>4.4999999999999998E-2</v>
      </c>
      <c r="G2693" s="126">
        <f t="shared" si="43"/>
        <v>9.0890052356020945</v>
      </c>
      <c r="H2693" s="126" t="s">
        <v>2758</v>
      </c>
      <c r="I2693" s="127" t="s">
        <v>1447</v>
      </c>
      <c r="J2693" s="126">
        <v>12</v>
      </c>
      <c r="K2693" s="126">
        <v>99.99</v>
      </c>
      <c r="L2693" s="129">
        <f>INT(base[[#This Row],[Data de liquidação]])</f>
        <v>46183</v>
      </c>
      <c r="M2693" s="126">
        <f>base[[#This Row],[L/P Bruto]]-base[[#This Row],[L/P Líquido]]</f>
        <v>0.40900523560209479</v>
      </c>
      <c r="N2693" s="126">
        <f>base[[#This Row],[L/P Líquido]]/base[[#This Row],[Stake/Responsabilidade]]</f>
        <v>8.680868086808681E-2</v>
      </c>
      <c r="O2693" s="132">
        <f>IF(base[[#This Row],[L/P Líquido]]&gt;0,1,0)</f>
        <v>1</v>
      </c>
      <c r="P2693" s="132"/>
      <c r="Q2693" s="132" t="str">
        <f>LEFT(base[[#This Row],[Evento / Mercado]],FIND("vs",base[[#This Row],[Evento / Mercado]])-2)</f>
        <v>Ceará SC</v>
      </c>
      <c r="R26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2693" s="132" t="str">
        <f>LEFT(base[[#This Row],[Evento / Mercado]],FIND("/",base[[#This Row],[Evento / Mercado]])-2)</f>
        <v>Ceará SC vs Avaí FC</v>
      </c>
    </row>
    <row r="2694" spans="2:21" ht="15" customHeight="1">
      <c r="B2694" s="128" t="s">
        <v>2749</v>
      </c>
      <c r="C2694" s="128" t="s">
        <v>2982</v>
      </c>
      <c r="D2694" s="129">
        <v>46183.931539351855</v>
      </c>
      <c r="E2694" s="130">
        <v>38.200000000000003</v>
      </c>
      <c r="F2694" s="136">
        <v>4.4999999999999998E-2</v>
      </c>
      <c r="G2694" s="126">
        <f t="shared" si="43"/>
        <v>40.000000000000007</v>
      </c>
      <c r="H2694" s="126" t="s">
        <v>2693</v>
      </c>
      <c r="I2694" s="127" t="s">
        <v>379</v>
      </c>
      <c r="J2694" s="126">
        <v>3.5</v>
      </c>
      <c r="K2694" s="126">
        <v>40</v>
      </c>
      <c r="L2694" s="129">
        <f>INT(base[[#This Row],[Data de liquidação]])</f>
        <v>46183</v>
      </c>
      <c r="M2694" s="126">
        <f>base[[#This Row],[L/P Bruto]]-base[[#This Row],[L/P Líquido]]</f>
        <v>1.8000000000000043</v>
      </c>
      <c r="N2694" s="126">
        <f>base[[#This Row],[L/P Líquido]]/base[[#This Row],[Stake/Responsabilidade]]</f>
        <v>0.95500000000000007</v>
      </c>
      <c r="O2694" s="132">
        <f>IF(base[[#This Row],[L/P Líquido]]&gt;0,1,0)</f>
        <v>1</v>
      </c>
      <c r="P2694" s="132"/>
      <c r="Q2694" s="132" t="str">
        <f>LEFT(base[[#This Row],[Evento / Mercado]],FIND("vs",base[[#This Row],[Evento / Mercado]])-2)</f>
        <v>Sport Club do Recife</v>
      </c>
      <c r="R26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2694" s="132" t="str">
        <f>LEFT(base[[#This Row],[Evento / Mercado]],FIND("/",base[[#This Row],[Evento / Mercado]])-2)</f>
        <v>Sport Club do Recife vs Athletic Club MG</v>
      </c>
    </row>
    <row r="2695" spans="2:21" ht="15" customHeight="1">
      <c r="B2695" s="128" t="s">
        <v>2748</v>
      </c>
      <c r="C2695" s="128" t="s">
        <v>2982</v>
      </c>
      <c r="D2695" s="129">
        <v>46183.955590277779</v>
      </c>
      <c r="E2695" s="130">
        <v>37.722499999999997</v>
      </c>
      <c r="F2695" s="136">
        <v>4.4999999999999998E-2</v>
      </c>
      <c r="G2695" s="126">
        <f t="shared" si="43"/>
        <v>39.5</v>
      </c>
      <c r="H2695" s="126" t="s">
        <v>2761</v>
      </c>
      <c r="I2695" s="127" t="s">
        <v>476</v>
      </c>
      <c r="J2695" s="126">
        <v>12.5</v>
      </c>
      <c r="K2695" s="126">
        <v>454.3</v>
      </c>
      <c r="L2695" s="129">
        <f>INT(base[[#This Row],[Data de liquidação]])</f>
        <v>46183</v>
      </c>
      <c r="M2695" s="126">
        <f>base[[#This Row],[L/P Bruto]]-base[[#This Row],[L/P Líquido]]</f>
        <v>1.7775000000000034</v>
      </c>
      <c r="N2695" s="126">
        <f>base[[#This Row],[L/P Líquido]]/base[[#This Row],[Stake/Responsabilidade]]</f>
        <v>8.3034338542813113E-2</v>
      </c>
      <c r="O2695" s="132">
        <f>IF(base[[#This Row],[L/P Líquido]]&gt;0,1,0)</f>
        <v>1</v>
      </c>
      <c r="P2695" s="132"/>
      <c r="Q2695" s="132" t="str">
        <f>LEFT(base[[#This Row],[Evento / Mercado]],FIND("vs",base[[#This Row],[Evento / Mercado]])-2)</f>
        <v>Sport Club do Recife</v>
      </c>
      <c r="R26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2695" s="132" t="str">
        <f>LEFT(base[[#This Row],[Evento / Mercado]],FIND("/",base[[#This Row],[Evento / Mercado]])-2)</f>
        <v>Sport Club do Recife vs Athletic Club MG</v>
      </c>
      <c r="T2695" s="8">
        <v>39.5</v>
      </c>
      <c r="U2695" s="9">
        <f t="shared" ref="U2695:U2696" si="44">T2695*0.955</f>
        <v>37.722499999999997</v>
      </c>
    </row>
    <row r="2696" spans="2:21" ht="15" customHeight="1">
      <c r="B2696" s="128" t="s">
        <v>2748</v>
      </c>
      <c r="C2696" s="128" t="s">
        <v>2982</v>
      </c>
      <c r="D2696" s="129">
        <v>46183.955590277779</v>
      </c>
      <c r="E2696" s="130">
        <v>6.2839</v>
      </c>
      <c r="F2696" s="136">
        <v>4.4999999999999998E-2</v>
      </c>
      <c r="G2696" s="126">
        <f t="shared" si="43"/>
        <v>6.58</v>
      </c>
      <c r="H2696" s="126" t="s">
        <v>1339</v>
      </c>
      <c r="I2696" s="127" t="s">
        <v>2470</v>
      </c>
      <c r="J2696" s="126">
        <v>8.4</v>
      </c>
      <c r="K2696" s="126">
        <v>48.69</v>
      </c>
      <c r="L2696" s="129">
        <f>INT(base[[#This Row],[Data de liquidação]])</f>
        <v>46183</v>
      </c>
      <c r="M2696" s="126">
        <f>base[[#This Row],[L/P Bruto]]-base[[#This Row],[L/P Líquido]]</f>
        <v>0.29610000000000003</v>
      </c>
      <c r="N2696" s="126">
        <f>base[[#This Row],[L/P Líquido]]/base[[#This Row],[Stake/Responsabilidade]]</f>
        <v>0.12905935510371741</v>
      </c>
      <c r="O2696" s="132">
        <f>IF(base[[#This Row],[L/P Líquido]]&gt;0,1,0)</f>
        <v>1</v>
      </c>
      <c r="P2696" s="132"/>
      <c r="Q2696" s="132" t="str">
        <f>LEFT(base[[#This Row],[Evento / Mercado]],FIND("vs",base[[#This Row],[Evento / Mercado]])-2)</f>
        <v>Sport Club do Recife</v>
      </c>
      <c r="R26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2696" s="132" t="str">
        <f>LEFT(base[[#This Row],[Evento / Mercado]],FIND("/",base[[#This Row],[Evento / Mercado]])-2)</f>
        <v>Sport Club do Recife vs Athletic Club MG</v>
      </c>
      <c r="T2696" s="8">
        <v>6.58</v>
      </c>
      <c r="U2696" s="9">
        <f t="shared" si="44"/>
        <v>6.2839</v>
      </c>
    </row>
    <row r="2697" spans="2:21" ht="15" customHeight="1">
      <c r="B2697" s="128" t="s">
        <v>2747</v>
      </c>
      <c r="C2697" s="128" t="s">
        <v>2982</v>
      </c>
      <c r="D2697" s="129">
        <v>46184.03943287037</v>
      </c>
      <c r="E2697" s="130">
        <v>2.98</v>
      </c>
      <c r="F2697" s="136">
        <v>4.4999999999999998E-2</v>
      </c>
      <c r="G2697" s="126">
        <f t="shared" si="43"/>
        <v>3.1204188481675392</v>
      </c>
      <c r="H2697" s="126" t="s">
        <v>1339</v>
      </c>
      <c r="I2697" s="127" t="s">
        <v>1430</v>
      </c>
      <c r="J2697" s="126">
        <v>32</v>
      </c>
      <c r="K2697" s="126">
        <v>96.87</v>
      </c>
      <c r="L2697" s="129">
        <f>INT(base[[#This Row],[Data de liquidação]])</f>
        <v>46184</v>
      </c>
      <c r="M2697" s="126">
        <f>base[[#This Row],[L/P Bruto]]-base[[#This Row],[L/P Líquido]]</f>
        <v>0.14041884816753925</v>
      </c>
      <c r="N2697" s="126">
        <f>base[[#This Row],[L/P Líquido]]/base[[#This Row],[Stake/Responsabilidade]]</f>
        <v>3.0762878084030141E-2</v>
      </c>
      <c r="O2697" s="132">
        <f>IF(base[[#This Row],[L/P Líquido]]&gt;0,1,0)</f>
        <v>1</v>
      </c>
      <c r="P2697" s="132"/>
      <c r="Q2697" s="132" t="str">
        <f>LEFT(base[[#This Row],[Evento / Mercado]],FIND("vs",base[[#This Row],[Evento / Mercado]])-2)</f>
        <v>Monterey Bay FC</v>
      </c>
      <c r="R26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Club Jacksonville</v>
      </c>
      <c r="S2697" s="132" t="str">
        <f>LEFT(base[[#This Row],[Evento / Mercado]],FIND("/",base[[#This Row],[Evento / Mercado]])-2)</f>
        <v>Monterey Bay FC vs Sporting Club Jacksonville</v>
      </c>
    </row>
    <row r="2698" spans="2:21" ht="15" customHeight="1">
      <c r="B2698" s="128" t="s">
        <v>2746</v>
      </c>
      <c r="C2698" s="128" t="s">
        <v>2982</v>
      </c>
      <c r="D2698" s="129">
        <v>46184.062685185185</v>
      </c>
      <c r="E2698" s="130">
        <v>6.63</v>
      </c>
      <c r="F2698" s="136">
        <v>4.4999999999999998E-2</v>
      </c>
      <c r="G2698" s="126">
        <f t="shared" si="43"/>
        <v>6.9424083769633507</v>
      </c>
      <c r="H2698" s="126" t="s">
        <v>1339</v>
      </c>
      <c r="I2698" s="127" t="s">
        <v>2469</v>
      </c>
      <c r="J2698" s="126">
        <v>8.1999999999999993</v>
      </c>
      <c r="K2698" s="126">
        <v>49.97</v>
      </c>
      <c r="L2698" s="129">
        <f>INT(base[[#This Row],[Data de liquidação]])</f>
        <v>46184</v>
      </c>
      <c r="M2698" s="126">
        <f>base[[#This Row],[L/P Bruto]]-base[[#This Row],[L/P Líquido]]</f>
        <v>0.31240837696335078</v>
      </c>
      <c r="N2698" s="126">
        <f>base[[#This Row],[L/P Líquido]]/base[[#This Row],[Stake/Responsabilidade]]</f>
        <v>0.13267960776465879</v>
      </c>
      <c r="O2698" s="132">
        <f>IF(base[[#This Row],[L/P Líquido]]&gt;0,1,0)</f>
        <v>1</v>
      </c>
      <c r="P2698" s="132"/>
      <c r="Q2698" s="132" t="str">
        <f>LEFT(base[[#This Row],[Evento / Mercado]],FIND("vs",base[[#This Row],[Evento / Mercado]])-2)</f>
        <v>Phoenix Rising FC</v>
      </c>
      <c r="R26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Louisville City FC</v>
      </c>
      <c r="S2698" s="132" t="str">
        <f>LEFT(base[[#This Row],[Evento / Mercado]],FIND("/",base[[#This Row],[Evento / Mercado]])-2)</f>
        <v>Phoenix Rising FC vs Louisville City FC</v>
      </c>
    </row>
    <row r="2699" spans="2:21" ht="15" customHeight="1">
      <c r="B2699" s="128" t="s">
        <v>2767</v>
      </c>
      <c r="C2699" s="128" t="s">
        <v>2982</v>
      </c>
      <c r="D2699" s="129">
        <v>46184.595289351855</v>
      </c>
      <c r="E2699" s="130">
        <v>38.200000000000003</v>
      </c>
      <c r="F2699" s="136">
        <v>4.4999999999999998E-2</v>
      </c>
      <c r="G2699" s="126">
        <f t="shared" si="43"/>
        <v>40.000000000000007</v>
      </c>
      <c r="H2699" s="126" t="s">
        <v>2693</v>
      </c>
      <c r="I2699" s="127" t="s">
        <v>213</v>
      </c>
      <c r="J2699" s="126">
        <v>3.8</v>
      </c>
      <c r="K2699" s="126">
        <v>40</v>
      </c>
      <c r="L2699" s="129">
        <f>INT(base[[#This Row],[Data de liquidação]])</f>
        <v>46184</v>
      </c>
      <c r="M2699" s="126">
        <f>base[[#This Row],[L/P Bruto]]-base[[#This Row],[L/P Líquido]]</f>
        <v>1.8000000000000043</v>
      </c>
      <c r="N2699" s="126">
        <f>base[[#This Row],[L/P Líquido]]/base[[#This Row],[Stake/Responsabilidade]]</f>
        <v>0.95500000000000007</v>
      </c>
      <c r="O2699" s="132">
        <f>IF(base[[#This Row],[L/P Líquido]]&gt;0,1,0)</f>
        <v>1</v>
      </c>
      <c r="P2699" s="132"/>
      <c r="Q2699" s="132" t="str">
        <f>LEFT(base[[#This Row],[Evento / Mercado]],FIND("vs",base[[#This Row],[Evento / Mercado]])-2)</f>
        <v>Tampere United</v>
      </c>
      <c r="R26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OLS</v>
      </c>
      <c r="S2699" s="132" t="str">
        <f>LEFT(base[[#This Row],[Evento / Mercado]],FIND("/",base[[#This Row],[Evento / Mercado]])-2)</f>
        <v>Tampere United vs OLS</v>
      </c>
    </row>
    <row r="2700" spans="2:21" ht="15" customHeight="1">
      <c r="B2700" s="128" t="s">
        <v>2766</v>
      </c>
      <c r="C2700" s="128" t="s">
        <v>2982</v>
      </c>
      <c r="D2700" s="129">
        <v>46184.733680555553</v>
      </c>
      <c r="E2700" s="130">
        <v>38.200000000000003</v>
      </c>
      <c r="F2700" s="136">
        <v>4.4999999999999998E-2</v>
      </c>
      <c r="G2700" s="126">
        <f t="shared" si="43"/>
        <v>40.000000000000007</v>
      </c>
      <c r="H2700" s="126" t="s">
        <v>2693</v>
      </c>
      <c r="I2700" s="127" t="s">
        <v>1249</v>
      </c>
      <c r="J2700" s="126">
        <v>3.6</v>
      </c>
      <c r="K2700" s="126">
        <v>40</v>
      </c>
      <c r="L2700" s="129">
        <f>INT(base[[#This Row],[Data de liquidação]])</f>
        <v>46184</v>
      </c>
      <c r="M2700" s="126">
        <f>base[[#This Row],[L/P Bruto]]-base[[#This Row],[L/P Líquido]]</f>
        <v>1.8000000000000043</v>
      </c>
      <c r="N2700" s="126">
        <f>base[[#This Row],[L/P Líquido]]/base[[#This Row],[Stake/Responsabilidade]]</f>
        <v>0.95500000000000007</v>
      </c>
      <c r="O2700" s="132">
        <f>IF(base[[#This Row],[L/P Líquido]]&gt;0,1,0)</f>
        <v>1</v>
      </c>
      <c r="P2700" s="132"/>
      <c r="Q2700" s="132" t="str">
        <f>LEFT(base[[#This Row],[Evento / Mercado]],FIND("vs",base[[#This Row],[Evento / Mercado]])-2)</f>
        <v>Mexico</v>
      </c>
      <c r="R27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Africa</v>
      </c>
      <c r="S2700" s="132" t="str">
        <f>LEFT(base[[#This Row],[Evento / Mercado]],FIND("/",base[[#This Row],[Evento / Mercado]])-2)</f>
        <v>Mexico vs South Africa</v>
      </c>
    </row>
    <row r="2701" spans="2:21" ht="15" customHeight="1">
      <c r="B2701" s="128" t="s">
        <v>2765</v>
      </c>
      <c r="C2701" s="128" t="s">
        <v>2982</v>
      </c>
      <c r="D2701" s="129">
        <v>46184.752476851849</v>
      </c>
      <c r="E2701" s="130">
        <v>22.51</v>
      </c>
      <c r="F2701" s="136">
        <v>4.4999999999999998E-2</v>
      </c>
      <c r="G2701" s="126">
        <f t="shared" si="43"/>
        <v>23.570680628272253</v>
      </c>
      <c r="H2701" s="126" t="s">
        <v>122</v>
      </c>
      <c r="I2701" s="127" t="s">
        <v>476</v>
      </c>
      <c r="J2701" s="126">
        <v>22</v>
      </c>
      <c r="K2701" s="126">
        <v>494.97</v>
      </c>
      <c r="L2701" s="129">
        <f>INT(base[[#This Row],[Data de liquidação]])</f>
        <v>46184</v>
      </c>
      <c r="M2701" s="126">
        <f>base[[#This Row],[L/P Bruto]]-base[[#This Row],[L/P Líquido]]</f>
        <v>1.0606806282722516</v>
      </c>
      <c r="N2701" s="126">
        <f>base[[#This Row],[L/P Líquido]]/base[[#This Row],[Stake/Responsabilidade]]</f>
        <v>4.547750368709215E-2</v>
      </c>
      <c r="O2701" s="132">
        <f>IF(base[[#This Row],[L/P Líquido]]&gt;0,1,0)</f>
        <v>1</v>
      </c>
      <c r="P2701" s="132" t="s">
        <v>2768</v>
      </c>
      <c r="Q2701" s="132" t="str">
        <f>LEFT(base[[#This Row],[Evento / Mercado]],FIND("vs",base[[#This Row],[Evento / Mercado]])-2)</f>
        <v>Mexico</v>
      </c>
      <c r="R27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Africa</v>
      </c>
      <c r="S2701" s="132" t="str">
        <f>LEFT(base[[#This Row],[Evento / Mercado]],FIND("/",base[[#This Row],[Evento / Mercado]])-2)</f>
        <v>Mexico vs South Africa</v>
      </c>
    </row>
    <row r="2702" spans="2:21" ht="15" customHeight="1">
      <c r="B2702" s="128" t="s">
        <v>2764</v>
      </c>
      <c r="C2702" s="128" t="s">
        <v>2982</v>
      </c>
      <c r="D2702" s="129">
        <v>46184.760682870372</v>
      </c>
      <c r="E2702" s="130">
        <v>44.42</v>
      </c>
      <c r="F2702" s="136">
        <v>4.4999999999999998E-2</v>
      </c>
      <c r="G2702" s="126">
        <f t="shared" si="43"/>
        <v>46.513089005235607</v>
      </c>
      <c r="H2702" s="126" t="s">
        <v>145</v>
      </c>
      <c r="I2702" s="127" t="s">
        <v>2877</v>
      </c>
      <c r="J2702" s="126">
        <v>9.6</v>
      </c>
      <c r="K2702" s="126">
        <v>399.99</v>
      </c>
      <c r="L2702" s="129">
        <f>INT(base[[#This Row],[Data de liquidação]])</f>
        <v>46184</v>
      </c>
      <c r="M2702" s="126">
        <f>base[[#This Row],[L/P Bruto]]-base[[#This Row],[L/P Líquido]]</f>
        <v>2.0930890052356048</v>
      </c>
      <c r="N2702" s="126">
        <f>base[[#This Row],[L/P Líquido]]/base[[#This Row],[Stake/Responsabilidade]]</f>
        <v>0.11105277631940799</v>
      </c>
      <c r="O2702" s="132">
        <f>IF(base[[#This Row],[L/P Líquido]]&gt;0,1,0)</f>
        <v>1</v>
      </c>
      <c r="P2702" s="132" t="s">
        <v>2818</v>
      </c>
      <c r="Q2702" s="132" t="str">
        <f>LEFT(base[[#This Row],[Evento / Mercado]],FIND("vs",base[[#This Row],[Evento / Mercado]])-2)</f>
        <v>Mexico</v>
      </c>
      <c r="R27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Africa</v>
      </c>
      <c r="S2702" s="132" t="str">
        <f>LEFT(base[[#This Row],[Evento / Mercado]],FIND("/",base[[#This Row],[Evento / Mercado]])-2)</f>
        <v>Mexico vs South Africa</v>
      </c>
    </row>
    <row r="2703" spans="2:21" ht="15" customHeight="1">
      <c r="B2703" s="128" t="s">
        <v>2763</v>
      </c>
      <c r="C2703" s="128" t="s">
        <v>2982</v>
      </c>
      <c r="D2703" s="129">
        <v>46185.012870370374</v>
      </c>
      <c r="E2703" s="130">
        <v>11.53</v>
      </c>
      <c r="F2703" s="136">
        <v>4.4999999999999998E-2</v>
      </c>
      <c r="G2703" s="126">
        <f t="shared" si="43"/>
        <v>12.073298429319372</v>
      </c>
      <c r="H2703" s="126" t="s">
        <v>2758</v>
      </c>
      <c r="I2703" s="127" t="s">
        <v>1447</v>
      </c>
      <c r="J2703" s="126">
        <v>1.1100000000000001</v>
      </c>
      <c r="K2703" s="126">
        <v>108.67</v>
      </c>
      <c r="L2703" s="129">
        <f>INT(base[[#This Row],[Data de liquidação]])</f>
        <v>46185</v>
      </c>
      <c r="M2703" s="126">
        <f>base[[#This Row],[L/P Bruto]]-base[[#This Row],[L/P Líquido]]</f>
        <v>0.543298429319373</v>
      </c>
      <c r="N2703" s="126">
        <f>base[[#This Row],[L/P Líquido]]/base[[#This Row],[Stake/Responsabilidade]]</f>
        <v>0.10610103984540351</v>
      </c>
      <c r="O2703" s="132">
        <f>IF(base[[#This Row],[L/P Líquido]]&gt;0,1,0)</f>
        <v>1</v>
      </c>
      <c r="P2703" s="132"/>
      <c r="Q2703" s="132" t="str">
        <f>LEFT(base[[#This Row],[Evento / Mercado]],FIND("vs",base[[#This Row],[Evento / Mercado]])-2)</f>
        <v>South Korea</v>
      </c>
      <c r="R27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Czech Republic</v>
      </c>
      <c r="S2703" s="132" t="str">
        <f>LEFT(base[[#This Row],[Evento / Mercado]],FIND("/",base[[#This Row],[Evento / Mercado]])-2)</f>
        <v>South Korea vs Czech Republic</v>
      </c>
    </row>
    <row r="2704" spans="2:21" ht="15" customHeight="1">
      <c r="B2704" s="128" t="s">
        <v>2762</v>
      </c>
      <c r="C2704" s="128" t="s">
        <v>2982</v>
      </c>
      <c r="D2704" s="129">
        <v>46185.03869212963</v>
      </c>
      <c r="E2704" s="130">
        <v>31</v>
      </c>
      <c r="F2704" s="136">
        <v>4.4999999999999998E-2</v>
      </c>
      <c r="G2704" s="126">
        <f t="shared" si="43"/>
        <v>32.460732984293195</v>
      </c>
      <c r="H2704" s="126" t="s">
        <v>2714</v>
      </c>
      <c r="I2704" s="127" t="s">
        <v>2716</v>
      </c>
      <c r="J2704" s="126"/>
      <c r="K2704" s="126">
        <v>100</v>
      </c>
      <c r="L2704" s="129">
        <f>INT(base[[#This Row],[Data de liquidação]])</f>
        <v>46185</v>
      </c>
      <c r="M2704" s="126">
        <f>base[[#This Row],[L/P Bruto]]-base[[#This Row],[L/P Líquido]]</f>
        <v>1.4607329842931946</v>
      </c>
      <c r="N2704" s="126">
        <f>base[[#This Row],[L/P Líquido]]/base[[#This Row],[Stake/Responsabilidade]]</f>
        <v>0.31</v>
      </c>
      <c r="O2704" s="132">
        <f>IF(base[[#This Row],[L/P Líquido]]&gt;0,1,0)</f>
        <v>1</v>
      </c>
      <c r="P2704" s="132"/>
      <c r="Q2704" s="132" t="str">
        <f>LEFT(base[[#This Row],[Evento / Mercado]],FIND("vs",base[[#This Row],[Evento / Mercado]])-2)</f>
        <v>South Korea</v>
      </c>
      <c r="R27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Czech Republic</v>
      </c>
      <c r="S2704" s="132" t="str">
        <f>LEFT(base[[#This Row],[Evento / Mercado]],FIND("/",base[[#This Row],[Evento / Mercado]])-2)</f>
        <v>South Korea vs Czech Republic</v>
      </c>
    </row>
    <row r="2705" spans="2:21" ht="15" customHeight="1">
      <c r="B2705" s="128" t="s">
        <v>2816</v>
      </c>
      <c r="C2705" s="128" t="s">
        <v>2982</v>
      </c>
      <c r="D2705" s="129">
        <v>46185.56521990741</v>
      </c>
      <c r="E2705" s="130">
        <v>38.199999999999996</v>
      </c>
      <c r="F2705" s="136">
        <v>4.4999999999999998E-2</v>
      </c>
      <c r="G2705" s="126">
        <f t="shared" si="43"/>
        <v>40</v>
      </c>
      <c r="H2705" s="126" t="s">
        <v>2693</v>
      </c>
      <c r="I2705" s="127" t="s">
        <v>379</v>
      </c>
      <c r="J2705" s="126">
        <v>3.9</v>
      </c>
      <c r="K2705" s="126">
        <v>40</v>
      </c>
      <c r="L2705" s="129">
        <f>INT(base[[#This Row],[Data de liquidação]])</f>
        <v>46185</v>
      </c>
      <c r="M2705" s="126">
        <f>base[[#This Row],[L/P Bruto]]-base[[#This Row],[L/P Líquido]]</f>
        <v>1.8000000000000043</v>
      </c>
      <c r="N2705" s="126">
        <f>base[[#This Row],[L/P Líquido]]/base[[#This Row],[Stake/Responsabilidade]]</f>
        <v>0.95499999999999985</v>
      </c>
      <c r="O2705" s="132">
        <f>IF(base[[#This Row],[L/P Líquido]]&gt;0,1,0)</f>
        <v>1</v>
      </c>
      <c r="P2705" s="132"/>
      <c r="Q2705" s="132" t="str">
        <f>LEFT(base[[#This Row],[Evento / Mercado]],FIND("vs",base[[#This Row],[Evento / Mercado]])-2)</f>
        <v>FK Tukums 2000</v>
      </c>
      <c r="R27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BFC Daugavpils</v>
      </c>
      <c r="S2705" s="132" t="str">
        <f>LEFT(base[[#This Row],[Evento / Mercado]],FIND("/",base[[#This Row],[Evento / Mercado]])-2)</f>
        <v>FK Tukums 2000 vs BFC Daugavpils</v>
      </c>
      <c r="T2705" s="8">
        <v>40</v>
      </c>
      <c r="U2705" s="9">
        <f t="shared" ref="U2705" si="45">T2705*0.955</f>
        <v>38.199999999999996</v>
      </c>
    </row>
    <row r="2706" spans="2:21" ht="15" customHeight="1">
      <c r="B2706" s="128" t="s">
        <v>2816</v>
      </c>
      <c r="C2706" s="128" t="s">
        <v>2982</v>
      </c>
      <c r="D2706" s="129">
        <v>46185.56521990741</v>
      </c>
      <c r="E2706" s="130">
        <v>9.1870999999999992</v>
      </c>
      <c r="F2706" s="136">
        <v>4.4999999999999998E-2</v>
      </c>
      <c r="G2706" s="126">
        <f t="shared" si="43"/>
        <v>9.6199999999999992</v>
      </c>
      <c r="H2706" s="126" t="s">
        <v>2758</v>
      </c>
      <c r="I2706" s="127" t="s">
        <v>1447</v>
      </c>
      <c r="J2706" s="126">
        <v>1.08</v>
      </c>
      <c r="K2706" s="126">
        <v>120.2</v>
      </c>
      <c r="L2706" s="129">
        <f>INT(base[[#This Row],[Data de liquidação]])</f>
        <v>46185</v>
      </c>
      <c r="M2706" s="126">
        <f>base[[#This Row],[L/P Bruto]]-base[[#This Row],[L/P Líquido]]</f>
        <v>0.43290000000000006</v>
      </c>
      <c r="N2706" s="126">
        <f>base[[#This Row],[L/P Líquido]]/base[[#This Row],[Stake/Responsabilidade]]</f>
        <v>7.6431780366056565E-2</v>
      </c>
      <c r="O2706" s="132">
        <f>IF(base[[#This Row],[L/P Líquido]]&gt;0,1,0)</f>
        <v>1</v>
      </c>
      <c r="P2706" s="132"/>
      <c r="Q2706" s="132" t="str">
        <f>LEFT(base[[#This Row],[Evento / Mercado]],FIND("vs",base[[#This Row],[Evento / Mercado]])-2)</f>
        <v>FK Tukums 2000</v>
      </c>
      <c r="R27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BFC Daugavpils</v>
      </c>
      <c r="S2706" s="132" t="str">
        <f>LEFT(base[[#This Row],[Evento / Mercado]],FIND("/",base[[#This Row],[Evento / Mercado]])-2)</f>
        <v>FK Tukums 2000 vs BFC Daugavpils</v>
      </c>
      <c r="T2706" s="8">
        <v>9.6199999999999992</v>
      </c>
      <c r="U2706" s="9">
        <f t="shared" ref="U2706" si="46">T2706*0.955</f>
        <v>9.1870999999999992</v>
      </c>
    </row>
    <row r="2707" spans="2:21" ht="15" customHeight="1">
      <c r="B2707" s="128" t="s">
        <v>2815</v>
      </c>
      <c r="C2707" s="128" t="s">
        <v>2982</v>
      </c>
      <c r="D2707" s="129">
        <v>46185.714386574073</v>
      </c>
      <c r="E2707" s="130">
        <v>38.200000000000003</v>
      </c>
      <c r="F2707" s="136">
        <v>4.4999999999999998E-2</v>
      </c>
      <c r="G2707" s="126">
        <f t="shared" si="43"/>
        <v>40.000000000000007</v>
      </c>
      <c r="H2707" s="126" t="s">
        <v>2693</v>
      </c>
      <c r="I2707" s="127" t="s">
        <v>1249</v>
      </c>
      <c r="J2707" s="126">
        <v>3.9</v>
      </c>
      <c r="K2707" s="126">
        <v>40</v>
      </c>
      <c r="L2707" s="129">
        <f>INT(base[[#This Row],[Data de liquidação]])</f>
        <v>46185</v>
      </c>
      <c r="M2707" s="126">
        <f>base[[#This Row],[L/P Bruto]]-base[[#This Row],[L/P Líquido]]</f>
        <v>1.8000000000000043</v>
      </c>
      <c r="N2707" s="126">
        <f>base[[#This Row],[L/P Líquido]]/base[[#This Row],[Stake/Responsabilidade]]</f>
        <v>0.95500000000000007</v>
      </c>
      <c r="O2707" s="132">
        <f>IF(base[[#This Row],[L/P Líquido]]&gt;0,1,0)</f>
        <v>1</v>
      </c>
      <c r="P2707" s="132"/>
      <c r="Q2707" s="132" t="str">
        <f>LEFT(base[[#This Row],[Evento / Mercado]],FIND("vs",base[[#This Row],[Evento / Mercado]])-2)</f>
        <v>St. Patrick's Athletic</v>
      </c>
      <c r="R27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2707" s="132" t="str">
        <f>LEFT(base[[#This Row],[Evento / Mercado]],FIND("/",base[[#This Row],[Evento / Mercado]])-2)</f>
        <v>St. Patrick's Athletic vs Drogheda United</v>
      </c>
    </row>
    <row r="2708" spans="2:21" ht="15" customHeight="1">
      <c r="B2708" s="128" t="s">
        <v>2814</v>
      </c>
      <c r="C2708" s="128" t="s">
        <v>2982</v>
      </c>
      <c r="D2708" s="129">
        <v>46185.731041666666</v>
      </c>
      <c r="E2708" s="130">
        <v>9.9224499999999995</v>
      </c>
      <c r="F2708" s="136">
        <v>4.4999999999999998E-2</v>
      </c>
      <c r="G2708" s="126">
        <f t="shared" si="43"/>
        <v>10.39</v>
      </c>
      <c r="H2708" s="126" t="s">
        <v>2758</v>
      </c>
      <c r="I2708" s="127" t="s">
        <v>1447</v>
      </c>
      <c r="J2708" s="126">
        <v>1.08</v>
      </c>
      <c r="K2708" s="126">
        <v>129.82</v>
      </c>
      <c r="L2708" s="129">
        <f>INT(base[[#This Row],[Data de liquidação]])</f>
        <v>46185</v>
      </c>
      <c r="M2708" s="126">
        <f>base[[#This Row],[L/P Bruto]]-base[[#This Row],[L/P Líquido]]</f>
        <v>0.46755000000000102</v>
      </c>
      <c r="N2708" s="126">
        <f>base[[#This Row],[L/P Líquido]]/base[[#This Row],[Stake/Responsabilidade]]</f>
        <v>7.6432367894007092E-2</v>
      </c>
      <c r="O2708" s="132">
        <f>IF(base[[#This Row],[L/P Líquido]]&gt;0,1,0)</f>
        <v>1</v>
      </c>
      <c r="P2708" s="132"/>
      <c r="Q2708" s="132" t="str">
        <f>LEFT(base[[#This Row],[Evento / Mercado]],FIND("vs",base[[#This Row],[Evento / Mercado]])-2)</f>
        <v>Galway United</v>
      </c>
      <c r="R27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2708" s="132" t="str">
        <f>LEFT(base[[#This Row],[Evento / Mercado]],FIND("/",base[[#This Row],[Evento / Mercado]])-2)</f>
        <v>Galway United vs Dundalk</v>
      </c>
      <c r="T2708" s="8">
        <v>10.39</v>
      </c>
      <c r="U2708" s="9">
        <f t="shared" ref="U2708:U2710" si="47">T2708*0.955</f>
        <v>9.9224499999999995</v>
      </c>
    </row>
    <row r="2709" spans="2:21" ht="15" customHeight="1">
      <c r="B2709" s="128" t="s">
        <v>2814</v>
      </c>
      <c r="C2709" s="128" t="s">
        <v>2982</v>
      </c>
      <c r="D2709" s="129">
        <v>46185.731041666666</v>
      </c>
      <c r="E2709" s="130">
        <v>1.0886999999999998</v>
      </c>
      <c r="F2709" s="136">
        <v>4.4999999999999998E-2</v>
      </c>
      <c r="G2709" s="126">
        <f t="shared" si="43"/>
        <v>1.1399999999999999</v>
      </c>
      <c r="H2709" s="126" t="s">
        <v>1339</v>
      </c>
      <c r="I2709" s="127" t="s">
        <v>1993</v>
      </c>
      <c r="J2709" s="126">
        <v>1.1100000000000001</v>
      </c>
      <c r="K2709" s="126">
        <v>10</v>
      </c>
      <c r="L2709" s="129">
        <f>INT(base[[#This Row],[Data de liquidação]])</f>
        <v>46185</v>
      </c>
      <c r="M2709" s="126">
        <f>base[[#This Row],[L/P Bruto]]-base[[#This Row],[L/P Líquido]]</f>
        <v>5.1300000000000123E-2</v>
      </c>
      <c r="N2709" s="126">
        <f>base[[#This Row],[L/P Líquido]]/base[[#This Row],[Stake/Responsabilidade]]</f>
        <v>0.10886999999999998</v>
      </c>
      <c r="O2709" s="132">
        <f>IF(base[[#This Row],[L/P Líquido]]&gt;0,1,0)</f>
        <v>1</v>
      </c>
      <c r="P2709" s="132"/>
      <c r="Q2709" s="132" t="str">
        <f>LEFT(base[[#This Row],[Evento / Mercado]],FIND("vs",base[[#This Row],[Evento / Mercado]])-2)</f>
        <v>Galway United</v>
      </c>
      <c r="R27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2709" s="132" t="str">
        <f>LEFT(base[[#This Row],[Evento / Mercado]],FIND("/",base[[#This Row],[Evento / Mercado]])-2)</f>
        <v>Galway United vs Dundalk</v>
      </c>
      <c r="T2709" s="8">
        <v>1.1399999999999999</v>
      </c>
      <c r="U2709" s="9">
        <f t="shared" ref="U2709" si="48">T2709*0.955</f>
        <v>1.0886999999999998</v>
      </c>
    </row>
    <row r="2710" spans="2:21" ht="15" customHeight="1">
      <c r="B2710" s="128" t="s">
        <v>2814</v>
      </c>
      <c r="C2710" s="128" t="s">
        <v>2982</v>
      </c>
      <c r="D2710" s="129">
        <v>46185.731041666666</v>
      </c>
      <c r="E2710" s="130">
        <v>38.199999999999996</v>
      </c>
      <c r="F2710" s="136">
        <v>4.4999999999999998E-2</v>
      </c>
      <c r="G2710" s="126">
        <f t="shared" si="43"/>
        <v>40</v>
      </c>
      <c r="H2710" s="126" t="s">
        <v>2693</v>
      </c>
      <c r="I2710" s="127" t="s">
        <v>379</v>
      </c>
      <c r="J2710" s="126">
        <v>3.9</v>
      </c>
      <c r="K2710" s="126">
        <v>40</v>
      </c>
      <c r="L2710" s="129">
        <f>INT(base[[#This Row],[Data de liquidação]])</f>
        <v>46185</v>
      </c>
      <c r="M2710" s="126">
        <f>base[[#This Row],[L/P Bruto]]-base[[#This Row],[L/P Líquido]]</f>
        <v>1.8000000000000043</v>
      </c>
      <c r="N2710" s="126">
        <f>base[[#This Row],[L/P Líquido]]/base[[#This Row],[Stake/Responsabilidade]]</f>
        <v>0.95499999999999985</v>
      </c>
      <c r="O2710" s="132">
        <f>IF(base[[#This Row],[L/P Líquido]]&gt;0,1,0)</f>
        <v>1</v>
      </c>
      <c r="P2710" s="132"/>
      <c r="Q2710" s="132" t="str">
        <f>LEFT(base[[#This Row],[Evento / Mercado]],FIND("vs",base[[#This Row],[Evento / Mercado]])-2)</f>
        <v>Galway United</v>
      </c>
      <c r="R27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2710" s="132" t="str">
        <f>LEFT(base[[#This Row],[Evento / Mercado]],FIND("/",base[[#This Row],[Evento / Mercado]])-2)</f>
        <v>Galway United vs Dundalk</v>
      </c>
      <c r="T2710" s="8">
        <v>40</v>
      </c>
      <c r="U2710" s="9">
        <f t="shared" si="47"/>
        <v>38.199999999999996</v>
      </c>
    </row>
    <row r="2711" spans="2:21" ht="15" customHeight="1">
      <c r="B2711" s="128" t="s">
        <v>2813</v>
      </c>
      <c r="C2711" s="128" t="s">
        <v>2982</v>
      </c>
      <c r="D2711" s="129">
        <v>46185.732685185183</v>
      </c>
      <c r="E2711" s="130">
        <v>35.130000000000003</v>
      </c>
      <c r="F2711" s="136">
        <v>4.4999999999999998E-2</v>
      </c>
      <c r="G2711" s="126">
        <f t="shared" si="43"/>
        <v>36.785340314136128</v>
      </c>
      <c r="H2711" s="126" t="s">
        <v>74</v>
      </c>
      <c r="I2711" s="127" t="s">
        <v>542</v>
      </c>
      <c r="J2711" s="126">
        <v>15</v>
      </c>
      <c r="K2711" s="126">
        <v>515.05999999999995</v>
      </c>
      <c r="L2711" s="129">
        <f>INT(base[[#This Row],[Data de liquidação]])</f>
        <v>46185</v>
      </c>
      <c r="M2711" s="126">
        <f>base[[#This Row],[L/P Bruto]]-base[[#This Row],[L/P Líquido]]</f>
        <v>1.6553403141361258</v>
      </c>
      <c r="N2711" s="126">
        <f>base[[#This Row],[L/P Líquido]]/base[[#This Row],[Stake/Responsabilidade]]</f>
        <v>6.8205645944161855E-2</v>
      </c>
      <c r="O2711" s="132">
        <f>IF(base[[#This Row],[L/P Líquido]]&gt;0,1,0)</f>
        <v>1</v>
      </c>
      <c r="P2711" s="132" t="s">
        <v>1788</v>
      </c>
      <c r="Q2711" s="132" t="str">
        <f>LEFT(base[[#This Row],[Evento / Mercado]],FIND("vs",base[[#This Row],[Evento / Mercado]])-2)</f>
        <v>Galway United</v>
      </c>
      <c r="R27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2711" s="132" t="str">
        <f>LEFT(base[[#This Row],[Evento / Mercado]],FIND("/",base[[#This Row],[Evento / Mercado]])-2)</f>
        <v>Galway United vs Dundalk</v>
      </c>
    </row>
    <row r="2712" spans="2:21" ht="15" customHeight="1">
      <c r="B2712" s="128" t="s">
        <v>2812</v>
      </c>
      <c r="C2712" s="128" t="s">
        <v>2982</v>
      </c>
      <c r="D2712" s="129">
        <v>46185.732893518521</v>
      </c>
      <c r="E2712" s="130">
        <v>-5</v>
      </c>
      <c r="F2712" s="136">
        <v>4.4999999999999998E-2</v>
      </c>
      <c r="G2712" s="126">
        <f t="shared" si="43"/>
        <v>-5</v>
      </c>
      <c r="H2712" s="126" t="s">
        <v>1339</v>
      </c>
      <c r="I2712" s="127" t="s">
        <v>2404</v>
      </c>
      <c r="J2712" s="126">
        <v>1.58</v>
      </c>
      <c r="K2712" s="126">
        <v>5</v>
      </c>
      <c r="L2712" s="129">
        <f>INT(base[[#This Row],[Data de liquidação]])</f>
        <v>46185</v>
      </c>
      <c r="M2712" s="126">
        <f>base[[#This Row],[L/P Bruto]]-base[[#This Row],[L/P Líquido]]</f>
        <v>0</v>
      </c>
      <c r="N2712" s="126">
        <f>base[[#This Row],[L/P Líquido]]/base[[#This Row],[Stake/Responsabilidade]]</f>
        <v>-1</v>
      </c>
      <c r="O2712" s="132">
        <f>IF(base[[#This Row],[L/P Líquido]]&gt;0,1,0)</f>
        <v>0</v>
      </c>
      <c r="P2712" s="132"/>
      <c r="Q2712" s="132" t="str">
        <f>LEFT(base[[#This Row],[Evento / Mercado]],FIND("vs",base[[#This Row],[Evento / Mercado]])-2)</f>
        <v>Galway United</v>
      </c>
      <c r="R27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2712" s="132" t="str">
        <f>LEFT(base[[#This Row],[Evento / Mercado]],FIND("/",base[[#This Row],[Evento / Mercado]])-2)</f>
        <v>Galway United vs Dundalk</v>
      </c>
    </row>
    <row r="2713" spans="2:21" ht="15" customHeight="1">
      <c r="B2713" s="128" t="s">
        <v>2811</v>
      </c>
      <c r="C2713" s="128" t="s">
        <v>2982</v>
      </c>
      <c r="D2713" s="129">
        <v>46185.737060185187</v>
      </c>
      <c r="E2713" s="130">
        <v>38.200000000000003</v>
      </c>
      <c r="F2713" s="136">
        <v>4.4999999999999998E-2</v>
      </c>
      <c r="G2713" s="126">
        <f t="shared" si="43"/>
        <v>40.000000000000007</v>
      </c>
      <c r="H2713" s="126" t="s">
        <v>2693</v>
      </c>
      <c r="I2713" s="127" t="s">
        <v>1249</v>
      </c>
      <c r="J2713" s="126">
        <v>3.8</v>
      </c>
      <c r="K2713" s="126">
        <v>40</v>
      </c>
      <c r="L2713" s="129">
        <f>INT(base[[#This Row],[Data de liquidação]])</f>
        <v>46185</v>
      </c>
      <c r="M2713" s="126">
        <f>base[[#This Row],[L/P Bruto]]-base[[#This Row],[L/P Líquido]]</f>
        <v>1.8000000000000043</v>
      </c>
      <c r="N2713" s="126">
        <f>base[[#This Row],[L/P Líquido]]/base[[#This Row],[Stake/Responsabilidade]]</f>
        <v>0.95500000000000007</v>
      </c>
      <c r="O2713" s="132">
        <f>IF(base[[#This Row],[L/P Líquido]]&gt;0,1,0)</f>
        <v>1</v>
      </c>
      <c r="P2713" s="132"/>
      <c r="Q2713" s="132" t="str">
        <f>LEFT(base[[#This Row],[Evento / Mercado]],FIND("vs",base[[#This Row],[Evento / Mercado]])-2)</f>
        <v>Canada</v>
      </c>
      <c r="R27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2713" s="132" t="str">
        <f>LEFT(base[[#This Row],[Evento / Mercado]],FIND("/",base[[#This Row],[Evento / Mercado]])-2)</f>
        <v>Canada vs Bosnia-Herzegovina</v>
      </c>
    </row>
    <row r="2714" spans="2:21" ht="15" customHeight="1">
      <c r="B2714" s="128" t="s">
        <v>2810</v>
      </c>
      <c r="C2714" s="128" t="s">
        <v>2982</v>
      </c>
      <c r="D2714" s="129">
        <v>46185.737430555557</v>
      </c>
      <c r="E2714" s="130">
        <v>34.71</v>
      </c>
      <c r="F2714" s="136">
        <v>4.4999999999999998E-2</v>
      </c>
      <c r="G2714" s="126">
        <f t="shared" si="43"/>
        <v>36.345549738219894</v>
      </c>
      <c r="H2714" s="126" t="s">
        <v>2714</v>
      </c>
      <c r="I2714" s="127" t="s">
        <v>2716</v>
      </c>
      <c r="J2714" s="126"/>
      <c r="K2714" s="126">
        <v>100</v>
      </c>
      <c r="L2714" s="129">
        <f>INT(base[[#This Row],[Data de liquidação]])</f>
        <v>46185</v>
      </c>
      <c r="M2714" s="126">
        <f>base[[#This Row],[L/P Bruto]]-base[[#This Row],[L/P Líquido]]</f>
        <v>1.6355497382198934</v>
      </c>
      <c r="N2714" s="126">
        <f>base[[#This Row],[L/P Líquido]]/base[[#This Row],[Stake/Responsabilidade]]</f>
        <v>0.34710000000000002</v>
      </c>
      <c r="O2714" s="132">
        <f>IF(base[[#This Row],[L/P Líquido]]&gt;0,1,0)</f>
        <v>1</v>
      </c>
      <c r="P2714" s="132"/>
      <c r="Q2714" s="132" t="str">
        <f>LEFT(base[[#This Row],[Evento / Mercado]],FIND("vs",base[[#This Row],[Evento / Mercado]])-2)</f>
        <v>St. Patrick's Athletic</v>
      </c>
      <c r="R27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2714" s="132" t="str">
        <f>LEFT(base[[#This Row],[Evento / Mercado]],FIND("/",base[[#This Row],[Evento / Mercado]])-2)</f>
        <v>St. Patrick's Athletic vs Drogheda United</v>
      </c>
    </row>
    <row r="2715" spans="2:21" ht="15" customHeight="1">
      <c r="B2715" s="128" t="s">
        <v>2809</v>
      </c>
      <c r="C2715" s="128" t="s">
        <v>2982</v>
      </c>
      <c r="D2715" s="129">
        <v>46185.737523148149</v>
      </c>
      <c r="E2715" s="130">
        <v>56.3</v>
      </c>
      <c r="F2715" s="136">
        <v>4.4999999999999998E-2</v>
      </c>
      <c r="G2715" s="126">
        <f t="shared" si="43"/>
        <v>58.952879581151834</v>
      </c>
      <c r="H2715" s="126" t="s">
        <v>145</v>
      </c>
      <c r="I2715" s="127" t="s">
        <v>301</v>
      </c>
      <c r="J2715" s="126">
        <v>10.5</v>
      </c>
      <c r="K2715" s="126">
        <v>560.03</v>
      </c>
      <c r="L2715" s="129">
        <f>INT(base[[#This Row],[Data de liquidação]])</f>
        <v>46185</v>
      </c>
      <c r="M2715" s="126">
        <f>base[[#This Row],[L/P Bruto]]-base[[#This Row],[L/P Líquido]]</f>
        <v>2.6528795811518364</v>
      </c>
      <c r="N2715" s="126">
        <f>base[[#This Row],[L/P Líquido]]/base[[#This Row],[Stake/Responsabilidade]]</f>
        <v>0.10053032873238933</v>
      </c>
      <c r="O2715" s="132">
        <f>IF(base[[#This Row],[L/P Líquido]]&gt;0,1,0)</f>
        <v>1</v>
      </c>
      <c r="P2715" s="132" t="s">
        <v>1788</v>
      </c>
      <c r="Q2715" s="132" t="str">
        <f>LEFT(base[[#This Row],[Evento / Mercado]],FIND("vs",base[[#This Row],[Evento / Mercado]])-2)</f>
        <v>St. Patrick's Athletic</v>
      </c>
      <c r="R27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2715" s="132" t="str">
        <f>LEFT(base[[#This Row],[Evento / Mercado]],FIND("/",base[[#This Row],[Evento / Mercado]])-2)</f>
        <v>St. Patrick's Athletic vs Drogheda United</v>
      </c>
    </row>
    <row r="2716" spans="2:21" ht="15" customHeight="1">
      <c r="B2716" s="128" t="s">
        <v>2808</v>
      </c>
      <c r="C2716" s="128" t="s">
        <v>2982</v>
      </c>
      <c r="D2716" s="129">
        <v>46185.842893518522</v>
      </c>
      <c r="E2716" s="130">
        <v>4.63</v>
      </c>
      <c r="F2716" s="136">
        <v>4.4999999999999998E-2</v>
      </c>
      <c r="G2716" s="126">
        <f t="shared" si="43"/>
        <v>4.848167539267016</v>
      </c>
      <c r="H2716" s="126" t="s">
        <v>1339</v>
      </c>
      <c r="I2716" s="127" t="s">
        <v>2404</v>
      </c>
      <c r="J2716" s="126">
        <v>1.97</v>
      </c>
      <c r="K2716" s="126">
        <v>5</v>
      </c>
      <c r="L2716" s="129">
        <f>INT(base[[#This Row],[Data de liquidação]])</f>
        <v>46185</v>
      </c>
      <c r="M2716" s="126">
        <f>base[[#This Row],[L/P Bruto]]-base[[#This Row],[L/P Líquido]]</f>
        <v>0.21816753926701615</v>
      </c>
      <c r="N2716" s="126">
        <f>base[[#This Row],[L/P Líquido]]/base[[#This Row],[Stake/Responsabilidade]]</f>
        <v>0.92599999999999993</v>
      </c>
      <c r="O2716" s="132">
        <f>IF(base[[#This Row],[L/P Líquido]]&gt;0,1,0)</f>
        <v>1</v>
      </c>
      <c r="P2716" s="132"/>
      <c r="Q2716" s="132" t="str">
        <f>LEFT(base[[#This Row],[Evento / Mercado]],FIND("vs",base[[#This Row],[Evento / Mercado]])-2)</f>
        <v>Atlético Goianiense</v>
      </c>
      <c r="R27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CRB</v>
      </c>
      <c r="S2716" s="132" t="str">
        <f>LEFT(base[[#This Row],[Evento / Mercado]],FIND("/",base[[#This Row],[Evento / Mercado]])-2)</f>
        <v>Atlético Goianiense vs CRB</v>
      </c>
    </row>
    <row r="2717" spans="2:21" ht="15" customHeight="1">
      <c r="B2717" s="128" t="s">
        <v>2807</v>
      </c>
      <c r="C2717" s="128" t="s">
        <v>2982</v>
      </c>
      <c r="D2717" s="129">
        <v>46185.923738425925</v>
      </c>
      <c r="E2717" s="130">
        <v>15.94</v>
      </c>
      <c r="F2717" s="136">
        <v>4.4999999999999998E-2</v>
      </c>
      <c r="G2717" s="126">
        <f t="shared" si="43"/>
        <v>16.691099476439792</v>
      </c>
      <c r="H2717" s="126" t="s">
        <v>2758</v>
      </c>
      <c r="I2717" s="127" t="s">
        <v>1447</v>
      </c>
      <c r="J2717" s="126">
        <v>1.1200000000000001</v>
      </c>
      <c r="K2717" s="126">
        <v>140.21</v>
      </c>
      <c r="L2717" s="129">
        <f>INT(base[[#This Row],[Data de liquidação]])</f>
        <v>46185</v>
      </c>
      <c r="M2717" s="126">
        <f>base[[#This Row],[L/P Bruto]]-base[[#This Row],[L/P Líquido]]</f>
        <v>0.75109947643979247</v>
      </c>
      <c r="N2717" s="126">
        <f>base[[#This Row],[L/P Líquido]]/base[[#This Row],[Stake/Responsabilidade]]</f>
        <v>0.11368661293773624</v>
      </c>
      <c r="O2717" s="132">
        <f>IF(base[[#This Row],[L/P Líquido]]&gt;0,1,0)</f>
        <v>1</v>
      </c>
      <c r="P2717" s="132"/>
      <c r="Q2717" s="132" t="str">
        <f>LEFT(base[[#This Row],[Evento / Mercado]],FIND("vs",base[[#This Row],[Evento / Mercado]])-2)</f>
        <v>USA</v>
      </c>
      <c r="R27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Paraguay</v>
      </c>
      <c r="S2717" s="132" t="str">
        <f>LEFT(base[[#This Row],[Evento / Mercado]],FIND("/",base[[#This Row],[Evento / Mercado]])-2)</f>
        <v>USA vs Paraguay</v>
      </c>
    </row>
    <row r="2718" spans="2:21" ht="15" customHeight="1">
      <c r="B2718" s="128" t="s">
        <v>2806</v>
      </c>
      <c r="C2718" s="128" t="s">
        <v>2982</v>
      </c>
      <c r="D2718" s="129">
        <v>46186.002592592595</v>
      </c>
      <c r="E2718" s="130">
        <v>36.39</v>
      </c>
      <c r="F2718" s="136">
        <v>4.4999999999999998E-2</v>
      </c>
      <c r="G2718" s="126">
        <f t="shared" si="43"/>
        <v>38.104712041884817</v>
      </c>
      <c r="H2718" s="126" t="s">
        <v>2821</v>
      </c>
      <c r="I2718" s="127" t="s">
        <v>476</v>
      </c>
      <c r="J2718" s="126">
        <v>11.5</v>
      </c>
      <c r="K2718" s="126">
        <v>400.05</v>
      </c>
      <c r="L2718" s="129">
        <f>INT(base[[#This Row],[Data de liquidação]])</f>
        <v>46186</v>
      </c>
      <c r="M2718" s="126">
        <f>base[[#This Row],[L/P Bruto]]-base[[#This Row],[L/P Líquido]]</f>
        <v>1.7147120418848161</v>
      </c>
      <c r="N2718" s="126">
        <f>base[[#This Row],[L/P Líquido]]/base[[#This Row],[Stake/Responsabilidade]]</f>
        <v>9.0963629546306712E-2</v>
      </c>
      <c r="O2718" s="132">
        <f>IF(base[[#This Row],[L/P Líquido]]&gt;0,1,0)</f>
        <v>1</v>
      </c>
      <c r="P2718" s="132"/>
      <c r="Q2718" s="132" t="str">
        <f>LEFT(base[[#This Row],[Evento / Mercado]],FIND("vs",base[[#This Row],[Evento / Mercado]])-2)</f>
        <v>USA</v>
      </c>
      <c r="R27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Paraguay</v>
      </c>
      <c r="S2718" s="132" t="str">
        <f>LEFT(base[[#This Row],[Evento / Mercado]],FIND("/",base[[#This Row],[Evento / Mercado]])-2)</f>
        <v>USA vs Paraguay</v>
      </c>
    </row>
    <row r="2719" spans="2:21" ht="15" customHeight="1">
      <c r="B2719" s="128" t="s">
        <v>2805</v>
      </c>
      <c r="C2719" s="128" t="s">
        <v>2982</v>
      </c>
      <c r="D2719" s="129">
        <v>46186.454293981478</v>
      </c>
      <c r="E2719" s="130">
        <v>5.97</v>
      </c>
      <c r="F2719" s="136">
        <v>4.4999999999999998E-2</v>
      </c>
      <c r="G2719" s="126">
        <f t="shared" si="43"/>
        <v>6.2513089005235605</v>
      </c>
      <c r="H2719" s="126" t="s">
        <v>1339</v>
      </c>
      <c r="I2719" s="127" t="s">
        <v>2470</v>
      </c>
      <c r="J2719" s="126">
        <v>8.8000000000000007</v>
      </c>
      <c r="K2719" s="126">
        <v>48.75</v>
      </c>
      <c r="L2719" s="129">
        <f>INT(base[[#This Row],[Data de liquidação]])</f>
        <v>46186</v>
      </c>
      <c r="M2719" s="126">
        <f>base[[#This Row],[L/P Bruto]]-base[[#This Row],[L/P Líquido]]</f>
        <v>0.28130890052356072</v>
      </c>
      <c r="N2719" s="126">
        <f>base[[#This Row],[L/P Líquido]]/base[[#This Row],[Stake/Responsabilidade]]</f>
        <v>0.12246153846153846</v>
      </c>
      <c r="O2719" s="132">
        <f>IF(base[[#This Row],[L/P Líquido]]&gt;0,1,0)</f>
        <v>1</v>
      </c>
      <c r="P2719" s="132"/>
      <c r="Q2719" s="132" t="str">
        <f>LEFT(base[[#This Row],[Evento / Mercado]],FIND("vs",base[[#This Row],[Evento / Mercado]])-2)</f>
        <v>Ilves</v>
      </c>
      <c r="R27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TPS</v>
      </c>
      <c r="S2719" s="132" t="str">
        <f>LEFT(base[[#This Row],[Evento / Mercado]],FIND("/",base[[#This Row],[Evento / Mercado]])-2)</f>
        <v>Ilves vs TPS</v>
      </c>
    </row>
    <row r="2720" spans="2:21" ht="15" customHeight="1">
      <c r="B2720" s="128" t="s">
        <v>2804</v>
      </c>
      <c r="C2720" s="128" t="s">
        <v>2982</v>
      </c>
      <c r="D2720" s="129">
        <v>46186.454687500001</v>
      </c>
      <c r="E2720" s="130">
        <v>26.15</v>
      </c>
      <c r="F2720" s="136">
        <v>4.4999999999999998E-2</v>
      </c>
      <c r="G2720" s="126">
        <f t="shared" si="43"/>
        <v>27.38219895287958</v>
      </c>
      <c r="H2720" s="126" t="s">
        <v>2761</v>
      </c>
      <c r="I2720" s="127" t="s">
        <v>476</v>
      </c>
      <c r="J2720" s="126">
        <v>17</v>
      </c>
      <c r="K2720" s="126">
        <v>438.08</v>
      </c>
      <c r="L2720" s="129">
        <f>INT(base[[#This Row],[Data de liquidação]])</f>
        <v>46186</v>
      </c>
      <c r="M2720" s="126">
        <f>base[[#This Row],[L/P Bruto]]-base[[#This Row],[L/P Líquido]]</f>
        <v>1.2321989528795818</v>
      </c>
      <c r="N2720" s="126">
        <f>base[[#This Row],[L/P Líquido]]/base[[#This Row],[Stake/Responsabilidade]]</f>
        <v>5.9692293644996348E-2</v>
      </c>
      <c r="O2720" s="132">
        <f>IF(base[[#This Row],[L/P Líquido]]&gt;0,1,0)</f>
        <v>1</v>
      </c>
      <c r="P2720" s="132"/>
      <c r="Q2720" s="132" t="str">
        <f>LEFT(base[[#This Row],[Evento / Mercado]],FIND("vs",base[[#This Row],[Evento / Mercado]])-2)</f>
        <v>FC Inter Turku</v>
      </c>
      <c r="R27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Oulu</v>
      </c>
      <c r="S2720" s="132" t="str">
        <f>LEFT(base[[#This Row],[Evento / Mercado]],FIND("/",base[[#This Row],[Evento / Mercado]])-2)</f>
        <v>FC Inter Turku vs AC Oulu</v>
      </c>
    </row>
    <row r="2721" spans="2:19" ht="15" customHeight="1">
      <c r="B2721" s="128" t="s">
        <v>2803</v>
      </c>
      <c r="C2721" s="128" t="s">
        <v>2982</v>
      </c>
      <c r="D2721" s="129">
        <v>46186.532372685186</v>
      </c>
      <c r="E2721" s="130">
        <v>38.200000000000003</v>
      </c>
      <c r="F2721" s="136">
        <v>4.4999999999999998E-2</v>
      </c>
      <c r="G2721" s="126">
        <f t="shared" si="43"/>
        <v>40.000000000000007</v>
      </c>
      <c r="H2721" s="126" t="s">
        <v>2693</v>
      </c>
      <c r="I2721" s="127" t="s">
        <v>379</v>
      </c>
      <c r="J2721" s="126">
        <v>3.9</v>
      </c>
      <c r="K2721" s="126">
        <v>40</v>
      </c>
      <c r="L2721" s="129">
        <f>INT(base[[#This Row],[Data de liquidação]])</f>
        <v>46186</v>
      </c>
      <c r="M2721" s="126">
        <f>base[[#This Row],[L/P Bruto]]-base[[#This Row],[L/P Líquido]]</f>
        <v>1.8000000000000043</v>
      </c>
      <c r="N2721" s="126">
        <f>base[[#This Row],[L/P Líquido]]/base[[#This Row],[Stake/Responsabilidade]]</f>
        <v>0.95500000000000007</v>
      </c>
      <c r="O2721" s="132">
        <f>IF(base[[#This Row],[L/P Líquido]]&gt;0,1,0)</f>
        <v>1</v>
      </c>
      <c r="P2721" s="132"/>
      <c r="Q2721" s="132" t="str">
        <f>LEFT(base[[#This Row],[Evento / Mercado]],FIND("vs",base[[#This Row],[Evento / Mercado]])-2)</f>
        <v>Leiknir Reykjavík</v>
      </c>
      <c r="R27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Vestri</v>
      </c>
      <c r="S2721" s="132" t="str">
        <f>LEFT(base[[#This Row],[Evento / Mercado]],FIND("/",base[[#This Row],[Evento / Mercado]])-2)</f>
        <v>Leiknir Reykjavík vs IF Vestri</v>
      </c>
    </row>
    <row r="2722" spans="2:19" ht="15" customHeight="1">
      <c r="B2722" s="128" t="s">
        <v>2802</v>
      </c>
      <c r="C2722" s="128" t="s">
        <v>2982</v>
      </c>
      <c r="D2722" s="129">
        <v>46186.579965277779</v>
      </c>
      <c r="E2722" s="130">
        <v>28.65</v>
      </c>
      <c r="F2722" s="136">
        <v>4.4999999999999998E-2</v>
      </c>
      <c r="G2722" s="126">
        <f t="shared" si="43"/>
        <v>30</v>
      </c>
      <c r="H2722" s="126" t="s">
        <v>2761</v>
      </c>
      <c r="I2722" s="127" t="s">
        <v>476</v>
      </c>
      <c r="J2722" s="126">
        <v>16</v>
      </c>
      <c r="K2722" s="126">
        <v>450</v>
      </c>
      <c r="L2722" s="129">
        <f>INT(base[[#This Row],[Data de liquidação]])</f>
        <v>46186</v>
      </c>
      <c r="M2722" s="126">
        <f>base[[#This Row],[L/P Bruto]]-base[[#This Row],[L/P Líquido]]</f>
        <v>1.3500000000000014</v>
      </c>
      <c r="N2722" s="126">
        <f>base[[#This Row],[L/P Líquido]]/base[[#This Row],[Stake/Responsabilidade]]</f>
        <v>6.3666666666666663E-2</v>
      </c>
      <c r="O2722" s="132">
        <f>IF(base[[#This Row],[L/P Líquido]]&gt;0,1,0)</f>
        <v>1</v>
      </c>
      <c r="P2722" s="132"/>
      <c r="Q2722" s="132" t="str">
        <f>LEFT(base[[#This Row],[Evento / Mercado]],FIND("vs",base[[#This Row],[Evento / Mercado]])-2)</f>
        <v>FK Auda</v>
      </c>
      <c r="R27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FS Jelgava</v>
      </c>
      <c r="S2722" s="132" t="str">
        <f>LEFT(base[[#This Row],[Evento / Mercado]],FIND("/",base[[#This Row],[Evento / Mercado]])-2)</f>
        <v>FK Auda vs FS Jelgava</v>
      </c>
    </row>
    <row r="2723" spans="2:19" ht="15" customHeight="1">
      <c r="B2723" s="128" t="s">
        <v>2801</v>
      </c>
      <c r="C2723" s="128" t="s">
        <v>2982</v>
      </c>
      <c r="D2723" s="129">
        <v>46186.649027777778</v>
      </c>
      <c r="E2723" s="130">
        <v>0.27</v>
      </c>
      <c r="F2723" s="136">
        <v>4.4999999999999998E-2</v>
      </c>
      <c r="G2723" s="126">
        <f t="shared" si="43"/>
        <v>0.28272251308900526</v>
      </c>
      <c r="H2723" s="126" t="s">
        <v>2714</v>
      </c>
      <c r="I2723" s="127" t="s">
        <v>2716</v>
      </c>
      <c r="J2723" s="126"/>
      <c r="K2723" s="126">
        <v>100</v>
      </c>
      <c r="L2723" s="129">
        <f>INT(base[[#This Row],[Data de liquidação]])</f>
        <v>46186</v>
      </c>
      <c r="M2723" s="126">
        <f>base[[#This Row],[L/P Bruto]]-base[[#This Row],[L/P Líquido]]</f>
        <v>1.2722513089005238E-2</v>
      </c>
      <c r="N2723" s="126">
        <f>base[[#This Row],[L/P Líquido]]/base[[#This Row],[Stake/Responsabilidade]]</f>
        <v>2.7000000000000001E-3</v>
      </c>
      <c r="O2723" s="132">
        <f>IF(base[[#This Row],[L/P Líquido]]&gt;0,1,0)</f>
        <v>1</v>
      </c>
      <c r="P2723" s="132"/>
      <c r="Q2723" s="132" t="str">
        <f>LEFT(base[[#This Row],[Evento / Mercado]],FIND("vs",base[[#This Row],[Evento / Mercado]])-2)</f>
        <v>Coquimbo Unido</v>
      </c>
      <c r="R27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2723" s="132" t="str">
        <f>LEFT(base[[#This Row],[Evento / Mercado]],FIND("/",base[[#This Row],[Evento / Mercado]])-2)</f>
        <v>Coquimbo Unido vs O'Higgins</v>
      </c>
    </row>
    <row r="2724" spans="2:19" ht="15" customHeight="1">
      <c r="B2724" s="128" t="s">
        <v>2800</v>
      </c>
      <c r="C2724" s="128" t="s">
        <v>2982</v>
      </c>
      <c r="D2724" s="129">
        <v>46186.649178240739</v>
      </c>
      <c r="E2724" s="130">
        <v>8.17</v>
      </c>
      <c r="F2724" s="136">
        <v>4.4999999999999998E-2</v>
      </c>
      <c r="G2724" s="126">
        <f t="shared" si="43"/>
        <v>8.5549738219895293</v>
      </c>
      <c r="H2724" s="126" t="s">
        <v>2817</v>
      </c>
      <c r="I2724" s="127" t="s">
        <v>2996</v>
      </c>
      <c r="J2724" s="126">
        <f>+(4.6*43.88+5.2*6.13)/base[[#This Row],[Stake/Responsabilidade]]</f>
        <v>4.6735452909418109</v>
      </c>
      <c r="K2724" s="126">
        <f>43.88+6.13</f>
        <v>50.010000000000005</v>
      </c>
      <c r="L2724" s="129">
        <f>INT(base[[#This Row],[Data de liquidação]])</f>
        <v>46186</v>
      </c>
      <c r="M2724" s="126">
        <f>base[[#This Row],[L/P Bruto]]-base[[#This Row],[L/P Líquido]]</f>
        <v>0.38497382198952934</v>
      </c>
      <c r="N2724" s="126">
        <f>base[[#This Row],[L/P Líquido]]/base[[#This Row],[Stake/Responsabilidade]]</f>
        <v>0.16336732653469305</v>
      </c>
      <c r="O2724" s="132">
        <f>IF(base[[#This Row],[L/P Líquido]]&gt;0,1,0)</f>
        <v>1</v>
      </c>
      <c r="P2724" s="132"/>
      <c r="Q2724" s="132" t="str">
        <f>LEFT(base[[#This Row],[Evento / Mercado]],FIND("vs",base[[#This Row],[Evento / Mercado]])-2)</f>
        <v>Coquimbo Unido</v>
      </c>
      <c r="R27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2724" s="132" t="str">
        <f>LEFT(base[[#This Row],[Evento / Mercado]],FIND("/",base[[#This Row],[Evento / Mercado]])-2)</f>
        <v>Coquimbo Unido vs O'Higgins</v>
      </c>
    </row>
    <row r="2725" spans="2:19" ht="15" customHeight="1">
      <c r="B2725" s="128" t="s">
        <v>2799</v>
      </c>
      <c r="C2725" s="128" t="s">
        <v>2982</v>
      </c>
      <c r="D2725" s="129">
        <v>46186.649201388886</v>
      </c>
      <c r="E2725" s="130">
        <v>-156.9</v>
      </c>
      <c r="F2725" s="136">
        <v>4.4999999999999998E-2</v>
      </c>
      <c r="G2725" s="126">
        <f t="shared" si="43"/>
        <v>-156.9</v>
      </c>
      <c r="H2725" s="126" t="s">
        <v>2758</v>
      </c>
      <c r="I2725" s="127" t="s">
        <v>1447</v>
      </c>
      <c r="J2725" s="126">
        <v>1.08</v>
      </c>
      <c r="K2725" s="126">
        <v>156.9</v>
      </c>
      <c r="L2725" s="129">
        <f>INT(base[[#This Row],[Data de liquidação]])</f>
        <v>46186</v>
      </c>
      <c r="M2725" s="126">
        <f>base[[#This Row],[L/P Bruto]]-base[[#This Row],[L/P Líquido]]</f>
        <v>0</v>
      </c>
      <c r="N2725" s="126">
        <f>base[[#This Row],[L/P Líquido]]/base[[#This Row],[Stake/Responsabilidade]]</f>
        <v>-1</v>
      </c>
      <c r="O2725" s="132">
        <f>IF(base[[#This Row],[L/P Líquido]]&gt;0,1,0)</f>
        <v>0</v>
      </c>
      <c r="P2725" s="132"/>
      <c r="Q2725" s="132" t="str">
        <f>LEFT(base[[#This Row],[Evento / Mercado]],FIND("vs",base[[#This Row],[Evento / Mercado]])-2)</f>
        <v>Coquimbo Unido</v>
      </c>
      <c r="R27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2725" s="132" t="str">
        <f>LEFT(base[[#This Row],[Evento / Mercado]],FIND("/",base[[#This Row],[Evento / Mercado]])-2)</f>
        <v>Coquimbo Unido vs O'Higgins</v>
      </c>
    </row>
    <row r="2726" spans="2:19" ht="15" customHeight="1">
      <c r="B2726" s="128" t="s">
        <v>2799</v>
      </c>
      <c r="C2726" s="128" t="s">
        <v>2982</v>
      </c>
      <c r="D2726" s="129">
        <v>46186.649201388886</v>
      </c>
      <c r="E2726" s="130">
        <v>-2</v>
      </c>
      <c r="F2726" s="136">
        <v>4.4999999999999998E-2</v>
      </c>
      <c r="G2726" s="126">
        <f t="shared" si="43"/>
        <v>-2</v>
      </c>
      <c r="H2726" s="126" t="s">
        <v>1339</v>
      </c>
      <c r="I2726" s="127" t="s">
        <v>1431</v>
      </c>
      <c r="J2726" s="126">
        <v>2.12</v>
      </c>
      <c r="K2726" s="126">
        <v>2</v>
      </c>
      <c r="L2726" s="129">
        <f>INT(base[[#This Row],[Data de liquidação]])</f>
        <v>46186</v>
      </c>
      <c r="M2726" s="126">
        <f>base[[#This Row],[L/P Bruto]]-base[[#This Row],[L/P Líquido]]</f>
        <v>0</v>
      </c>
      <c r="N2726" s="126">
        <f>base[[#This Row],[L/P Líquido]]/base[[#This Row],[Stake/Responsabilidade]]</f>
        <v>-1</v>
      </c>
      <c r="O2726" s="132">
        <f>IF(base[[#This Row],[L/P Líquido]]&gt;0,1,0)</f>
        <v>0</v>
      </c>
      <c r="P2726" s="132"/>
      <c r="Q2726" s="132" t="str">
        <f>LEFT(base[[#This Row],[Evento / Mercado]],FIND("vs",base[[#This Row],[Evento / Mercado]])-2)</f>
        <v>Coquimbo Unido</v>
      </c>
      <c r="R27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2726" s="132" t="str">
        <f>LEFT(base[[#This Row],[Evento / Mercado]],FIND("/",base[[#This Row],[Evento / Mercado]])-2)</f>
        <v>Coquimbo Unido vs O'Higgins</v>
      </c>
    </row>
    <row r="2727" spans="2:19" ht="15" customHeight="1">
      <c r="B2727" s="128" t="s">
        <v>2798</v>
      </c>
      <c r="C2727" s="128" t="s">
        <v>2982</v>
      </c>
      <c r="D2727" s="129">
        <v>46186.752199074072</v>
      </c>
      <c r="E2727" s="130">
        <v>38.200000000000003</v>
      </c>
      <c r="F2727" s="136">
        <v>4.4999999999999998E-2</v>
      </c>
      <c r="G2727" s="126">
        <f t="shared" si="43"/>
        <v>40.000000000000007</v>
      </c>
      <c r="H2727" s="126" t="s">
        <v>2693</v>
      </c>
      <c r="I2727" s="127" t="s">
        <v>1249</v>
      </c>
      <c r="J2727" s="126">
        <v>3.45</v>
      </c>
      <c r="K2727" s="126">
        <v>40</v>
      </c>
      <c r="L2727" s="129">
        <f>INT(base[[#This Row],[Data de liquidação]])</f>
        <v>46186</v>
      </c>
      <c r="M2727" s="126">
        <f>base[[#This Row],[L/P Bruto]]-base[[#This Row],[L/P Líquido]]</f>
        <v>1.8000000000000043</v>
      </c>
      <c r="N2727" s="126">
        <f>base[[#This Row],[L/P Líquido]]/base[[#This Row],[Stake/Responsabilidade]]</f>
        <v>0.95500000000000007</v>
      </c>
      <c r="O2727" s="132">
        <f>IF(base[[#This Row],[L/P Líquido]]&gt;0,1,0)</f>
        <v>1</v>
      </c>
      <c r="P2727" s="132"/>
      <c r="Q2727" s="132" t="str">
        <f>LEFT(base[[#This Row],[Evento / Mercado]],FIND("vs",base[[#This Row],[Evento / Mercado]])-2)</f>
        <v>Qatar</v>
      </c>
      <c r="R27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Switzerland</v>
      </c>
      <c r="S2727" s="132" t="str">
        <f>LEFT(base[[#This Row],[Evento / Mercado]],FIND("/",base[[#This Row],[Evento / Mercado]])-2)</f>
        <v>Qatar vs Switzerland</v>
      </c>
    </row>
    <row r="2728" spans="2:19" ht="15" customHeight="1">
      <c r="B2728" s="128" t="s">
        <v>2797</v>
      </c>
      <c r="C2728" s="128" t="s">
        <v>2982</v>
      </c>
      <c r="D2728" s="129">
        <v>46186.759155092594</v>
      </c>
      <c r="E2728" s="130">
        <v>23.88</v>
      </c>
      <c r="F2728" s="136">
        <v>4.4999999999999998E-2</v>
      </c>
      <c r="G2728" s="126">
        <f t="shared" si="43"/>
        <v>25.005235602094242</v>
      </c>
      <c r="H2728" s="126" t="s">
        <v>145</v>
      </c>
      <c r="I2728" s="127" t="s">
        <v>2877</v>
      </c>
      <c r="J2728" s="126">
        <v>17</v>
      </c>
      <c r="K2728" s="126">
        <v>400</v>
      </c>
      <c r="L2728" s="129">
        <f>INT(base[[#This Row],[Data de liquidação]])</f>
        <v>46186</v>
      </c>
      <c r="M2728" s="126">
        <f>base[[#This Row],[L/P Bruto]]-base[[#This Row],[L/P Líquido]]</f>
        <v>1.1252356020942429</v>
      </c>
      <c r="N2728" s="126">
        <f>base[[#This Row],[L/P Líquido]]/base[[#This Row],[Stake/Responsabilidade]]</f>
        <v>5.9699999999999996E-2</v>
      </c>
      <c r="O2728" s="132">
        <f>IF(base[[#This Row],[L/P Líquido]]&gt;0,1,0)</f>
        <v>1</v>
      </c>
      <c r="P2728" s="132" t="s">
        <v>2818</v>
      </c>
      <c r="Q2728" s="132" t="str">
        <f>LEFT(base[[#This Row],[Evento / Mercado]],FIND("vs",base[[#This Row],[Evento / Mercado]])-2)</f>
        <v>Qatar</v>
      </c>
      <c r="R27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Switzerland</v>
      </c>
      <c r="S2728" s="132" t="str">
        <f>LEFT(base[[#This Row],[Evento / Mercado]],FIND("/",base[[#This Row],[Evento / Mercado]])-2)</f>
        <v>Qatar vs Switzerland</v>
      </c>
    </row>
    <row r="2729" spans="2:19" ht="15" customHeight="1">
      <c r="B2729" s="128" t="s">
        <v>2796</v>
      </c>
      <c r="C2729" s="128" t="s">
        <v>2982</v>
      </c>
      <c r="D2729" s="129">
        <v>46186.855949074074</v>
      </c>
      <c r="E2729" s="130">
        <v>31.83</v>
      </c>
      <c r="F2729" s="136">
        <v>4.4999999999999998E-2</v>
      </c>
      <c r="G2729" s="126">
        <f t="shared" si="43"/>
        <v>33.329842931937172</v>
      </c>
      <c r="H2729" s="126" t="s">
        <v>145</v>
      </c>
      <c r="I2729" s="127" t="s">
        <v>301</v>
      </c>
      <c r="J2729" s="126">
        <v>13</v>
      </c>
      <c r="K2729" s="126">
        <v>399.96</v>
      </c>
      <c r="L2729" s="129">
        <f>INT(base[[#This Row],[Data de liquidação]])</f>
        <v>46186</v>
      </c>
      <c r="M2729" s="126">
        <f>base[[#This Row],[L/P Bruto]]-base[[#This Row],[L/P Líquido]]</f>
        <v>1.4998429319371738</v>
      </c>
      <c r="N2729" s="126">
        <f>base[[#This Row],[L/P Líquido]]/base[[#This Row],[Stake/Responsabilidade]]</f>
        <v>7.9582958295829578E-2</v>
      </c>
      <c r="O2729" s="132">
        <f>IF(base[[#This Row],[L/P Líquido]]&gt;0,1,0)</f>
        <v>1</v>
      </c>
      <c r="P2729" s="132" t="s">
        <v>2819</v>
      </c>
      <c r="Q2729" s="132" t="str">
        <f>LEFT(base[[#This Row],[Evento / Mercado]],FIND("vs",base[[#This Row],[Evento / Mercado]])-2)</f>
        <v>Colo-Colo</v>
      </c>
      <c r="R27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Cobresal</v>
      </c>
      <c r="S2729" s="132" t="str">
        <f>LEFT(base[[#This Row],[Evento / Mercado]],FIND("/",base[[#This Row],[Evento / Mercado]])-2)</f>
        <v>Colo-Colo vs Cobresal</v>
      </c>
    </row>
    <row r="2730" spans="2:19" ht="15" customHeight="1">
      <c r="B2730" s="128" t="s">
        <v>2795</v>
      </c>
      <c r="C2730" s="128" t="s">
        <v>2982</v>
      </c>
      <c r="D2730" s="129">
        <v>46186.937557870369</v>
      </c>
      <c r="E2730" s="130">
        <v>-1.81</v>
      </c>
      <c r="F2730" s="136">
        <v>4.4999999999999998E-2</v>
      </c>
      <c r="G2730" s="126">
        <f t="shared" si="43"/>
        <v>-1.81</v>
      </c>
      <c r="H2730" s="126" t="s">
        <v>1339</v>
      </c>
      <c r="I2730" s="127" t="s">
        <v>1994</v>
      </c>
      <c r="J2730" s="126">
        <v>4.2300000000000004</v>
      </c>
      <c r="K2730" s="126">
        <v>1.81</v>
      </c>
      <c r="L2730" s="129">
        <f>INT(base[[#This Row],[Data de liquidação]])</f>
        <v>46186</v>
      </c>
      <c r="M2730" s="126">
        <f>base[[#This Row],[L/P Bruto]]-base[[#This Row],[L/P Líquido]]</f>
        <v>0</v>
      </c>
      <c r="N2730" s="126">
        <f>base[[#This Row],[L/P Líquido]]/base[[#This Row],[Stake/Responsabilidade]]</f>
        <v>-1</v>
      </c>
      <c r="O2730" s="132">
        <f>IF(base[[#This Row],[L/P Líquido]]&gt;0,1,0)</f>
        <v>0</v>
      </c>
      <c r="P2730" s="132"/>
      <c r="Q2730" s="132" t="str">
        <f>LEFT(base[[#This Row],[Evento / Mercado]],FIND("vs",base[[#This Row],[Evento / Mercado]])-2)</f>
        <v>Birmingham Legion FC</v>
      </c>
      <c r="R27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Las Vegas Lights</v>
      </c>
      <c r="S2730" s="132" t="str">
        <f>LEFT(base[[#This Row],[Evento / Mercado]],FIND("/",base[[#This Row],[Evento / Mercado]])-2)</f>
        <v>Birmingham Legion FC vs Las Vegas Lights</v>
      </c>
    </row>
    <row r="2731" spans="2:19" ht="15" customHeight="1">
      <c r="B2731" s="128" t="s">
        <v>2793</v>
      </c>
      <c r="C2731" s="128" t="s">
        <v>2982</v>
      </c>
      <c r="D2731" s="129">
        <v>46186.946284722224</v>
      </c>
      <c r="E2731" s="130">
        <v>-23.55</v>
      </c>
      <c r="F2731" s="136">
        <v>4.4999999999999998E-2</v>
      </c>
      <c r="G2731" s="126">
        <f t="shared" si="43"/>
        <v>-23.55</v>
      </c>
      <c r="H2731" s="126" t="s">
        <v>1339</v>
      </c>
      <c r="I2731" s="127" t="s">
        <v>1236</v>
      </c>
      <c r="J2731" s="126">
        <v>11</v>
      </c>
      <c r="K2731" s="126">
        <v>15</v>
      </c>
      <c r="L2731" s="129">
        <f>INT(base[[#This Row],[Data de liquidação]])</f>
        <v>46186</v>
      </c>
      <c r="M2731" s="126">
        <f>base[[#This Row],[L/P Bruto]]-base[[#This Row],[L/P Líquido]]</f>
        <v>0</v>
      </c>
      <c r="N2731" s="126">
        <f>base[[#This Row],[L/P Líquido]]/base[[#This Row],[Stake/Responsabilidade]]</f>
        <v>-1.57</v>
      </c>
      <c r="O2731" s="132">
        <f>IF(base[[#This Row],[L/P Líquido]]&gt;0,1,0)</f>
        <v>0</v>
      </c>
      <c r="P2731" s="132"/>
      <c r="Q2731" s="132" t="str">
        <f>LEFT(base[[#This Row],[Evento / Mercado]],FIND("vs",base[[#This Row],[Evento / Mercado]])-2)</f>
        <v>Tampa Bay Rowdies</v>
      </c>
      <c r="R27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Hartford Athletic FC</v>
      </c>
      <c r="S2731" s="132" t="str">
        <f>LEFT(base[[#This Row],[Evento / Mercado]],FIND("/",base[[#This Row],[Evento / Mercado]])-2)</f>
        <v>Tampa Bay Rowdies vs Hartford Athletic FC</v>
      </c>
    </row>
    <row r="2732" spans="2:19" ht="15" customHeight="1">
      <c r="B2732" s="128" t="s">
        <v>2793</v>
      </c>
      <c r="C2732" s="128" t="s">
        <v>2982</v>
      </c>
      <c r="D2732" s="129">
        <v>46186.946284722224</v>
      </c>
      <c r="E2732" s="130">
        <v>6.07</v>
      </c>
      <c r="F2732" s="136">
        <v>0</v>
      </c>
      <c r="G2732" s="126">
        <f t="shared" si="43"/>
        <v>6.07</v>
      </c>
      <c r="H2732" s="126" t="s">
        <v>1339</v>
      </c>
      <c r="I2732" s="127" t="s">
        <v>1994</v>
      </c>
      <c r="J2732" s="126">
        <v>4.4000000000000004</v>
      </c>
      <c r="K2732" s="126">
        <v>2</v>
      </c>
      <c r="L2732" s="129">
        <f>INT(base[[#This Row],[Data de liquidação]])</f>
        <v>46186</v>
      </c>
      <c r="M2732" s="126">
        <f>base[[#This Row],[L/P Bruto]]-base[[#This Row],[L/P Líquido]]</f>
        <v>0</v>
      </c>
      <c r="N2732" s="126">
        <f>base[[#This Row],[L/P Líquido]]/base[[#This Row],[Stake/Responsabilidade]]</f>
        <v>3.0350000000000001</v>
      </c>
      <c r="O2732" s="132">
        <f>IF(base[[#This Row],[L/P Líquido]]&gt;0,1,0)</f>
        <v>1</v>
      </c>
      <c r="P2732" s="132"/>
      <c r="Q2732" s="132" t="str">
        <f>LEFT(base[[#This Row],[Evento / Mercado]],FIND("vs",base[[#This Row],[Evento / Mercado]])-2)</f>
        <v>Tampa Bay Rowdies</v>
      </c>
      <c r="R27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Hartford Athletic FC</v>
      </c>
      <c r="S2732" s="132" t="str">
        <f>LEFT(base[[#This Row],[Evento / Mercado]],FIND("/",base[[#This Row],[Evento / Mercado]])-2)</f>
        <v>Tampa Bay Rowdies vs Hartford Athletic FC</v>
      </c>
    </row>
    <row r="2733" spans="2:19" ht="15" customHeight="1">
      <c r="B2733" s="128" t="s">
        <v>2794</v>
      </c>
      <c r="C2733" s="128" t="s">
        <v>2982</v>
      </c>
      <c r="D2733" s="129">
        <v>46186.946284722224</v>
      </c>
      <c r="E2733" s="130">
        <v>-2</v>
      </c>
      <c r="F2733" s="136">
        <v>4.4999999999999998E-2</v>
      </c>
      <c r="G2733" s="126">
        <f t="shared" si="43"/>
        <v>-2</v>
      </c>
      <c r="H2733" s="126" t="s">
        <v>1339</v>
      </c>
      <c r="I2733" s="127" t="s">
        <v>2820</v>
      </c>
      <c r="J2733" s="126">
        <v>1.5</v>
      </c>
      <c r="K2733" s="126">
        <v>2</v>
      </c>
      <c r="L2733" s="129">
        <f>INT(base[[#This Row],[Data de liquidação]])</f>
        <v>46186</v>
      </c>
      <c r="M2733" s="126">
        <f>base[[#This Row],[L/P Bruto]]-base[[#This Row],[L/P Líquido]]</f>
        <v>0</v>
      </c>
      <c r="N2733" s="126">
        <f>base[[#This Row],[L/P Líquido]]/base[[#This Row],[Stake/Responsabilidade]]</f>
        <v>-1</v>
      </c>
      <c r="O2733" s="132">
        <f>IF(base[[#This Row],[L/P Líquido]]&gt;0,1,0)</f>
        <v>0</v>
      </c>
      <c r="P2733" s="132"/>
      <c r="Q2733" s="132" t="str">
        <f>LEFT(base[[#This Row],[Evento / Mercado]],FIND("vs",base[[#This Row],[Evento / Mercado]])-2)</f>
        <v>Tampa Bay Rowdies</v>
      </c>
      <c r="R27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Hartford Athletic FC</v>
      </c>
      <c r="S2733" s="132" t="str">
        <f>LEFT(base[[#This Row],[Evento / Mercado]],FIND("/",base[[#This Row],[Evento / Mercado]])-2)</f>
        <v>Tampa Bay Rowdies vs Hartford Athletic FC</v>
      </c>
    </row>
    <row r="2734" spans="2:19" ht="15" customHeight="1">
      <c r="B2734" s="128" t="s">
        <v>2792</v>
      </c>
      <c r="C2734" s="128" t="s">
        <v>2982</v>
      </c>
      <c r="D2734" s="129">
        <v>46186.999710648146</v>
      </c>
      <c r="E2734" s="130">
        <v>-52.36</v>
      </c>
      <c r="F2734" s="136">
        <v>4.4999999999999998E-2</v>
      </c>
      <c r="G2734" s="126">
        <f t="shared" si="43"/>
        <v>-52.36</v>
      </c>
      <c r="H2734" s="126" t="s">
        <v>1339</v>
      </c>
      <c r="I2734" s="127" t="s">
        <v>2470</v>
      </c>
      <c r="J2734" s="126">
        <v>9.8000000000000007</v>
      </c>
      <c r="K2734" s="126">
        <v>52.36</v>
      </c>
      <c r="L2734" s="129">
        <f>INT(base[[#This Row],[Data de liquidação]])</f>
        <v>46186</v>
      </c>
      <c r="M2734" s="126">
        <f>base[[#This Row],[L/P Bruto]]-base[[#This Row],[L/P Líquido]]</f>
        <v>0</v>
      </c>
      <c r="N2734" s="126">
        <f>base[[#This Row],[L/P Líquido]]/base[[#This Row],[Stake/Responsabilidade]]</f>
        <v>-1</v>
      </c>
      <c r="O2734" s="132">
        <f>IF(base[[#This Row],[L/P Líquido]]&gt;0,1,0)</f>
        <v>0</v>
      </c>
      <c r="P2734" s="132"/>
      <c r="Q2734" s="132" t="str">
        <f>LEFT(base[[#This Row],[Evento / Mercado]],FIND("vs",base[[#This Row],[Evento / Mercado]])-2)</f>
        <v>Colorado Springs Switchbacks FC</v>
      </c>
      <c r="R27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Sacramento Republic</v>
      </c>
      <c r="S2734" s="132" t="str">
        <f>LEFT(base[[#This Row],[Evento / Mercado]],FIND("/",base[[#This Row],[Evento / Mercado]])-2)</f>
        <v>Colorado Springs Switchbacks FC vs Sacramento Republic</v>
      </c>
    </row>
    <row r="2735" spans="2:19" ht="15" customHeight="1">
      <c r="B2735" s="128" t="s">
        <v>2791</v>
      </c>
      <c r="C2735" s="128" t="s">
        <v>2982</v>
      </c>
      <c r="D2735" s="129">
        <v>46187.001689814817</v>
      </c>
      <c r="E2735" s="130">
        <v>19.809999999999999</v>
      </c>
      <c r="F2735" s="136">
        <v>4.4999999999999998E-2</v>
      </c>
      <c r="G2735" s="126">
        <f t="shared" si="43"/>
        <v>20.743455497382197</v>
      </c>
      <c r="H2735" s="126" t="s">
        <v>2821</v>
      </c>
      <c r="I2735" s="127" t="s">
        <v>542</v>
      </c>
      <c r="J2735" s="126">
        <f>+(29.92*23+25*465.12)/base[[#This Row],[Stake/Responsabilidade]]</f>
        <v>24.885153156065627</v>
      </c>
      <c r="K2735" s="126">
        <f>29.92+465</f>
        <v>494.92</v>
      </c>
      <c r="L2735" s="129">
        <f>INT(base[[#This Row],[Data de liquidação]])</f>
        <v>46187</v>
      </c>
      <c r="M2735" s="126">
        <f>base[[#This Row],[L/P Bruto]]-base[[#This Row],[L/P Líquido]]</f>
        <v>0.93345549738219802</v>
      </c>
      <c r="N2735" s="126">
        <f>base[[#This Row],[L/P Líquido]]/base[[#This Row],[Stake/Responsabilidade]]</f>
        <v>4.0026670977127615E-2</v>
      </c>
      <c r="O2735" s="132">
        <f>IF(base[[#This Row],[L/P Líquido]]&gt;0,1,0)</f>
        <v>1</v>
      </c>
      <c r="P2735" s="132"/>
      <c r="Q2735" s="132" t="str">
        <f>LEFT(base[[#This Row],[Evento / Mercado]],FIND("vs",base[[#This Row],[Evento / Mercado]])-2)</f>
        <v>Haiti</v>
      </c>
      <c r="R27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Scotland</v>
      </c>
      <c r="S2735" s="132" t="str">
        <f>LEFT(base[[#This Row],[Evento / Mercado]],FIND("/",base[[#This Row],[Evento / Mercado]])-2)</f>
        <v>Haiti vs Scotland</v>
      </c>
    </row>
    <row r="2736" spans="2:19" ht="15" customHeight="1">
      <c r="B2736" s="128" t="s">
        <v>2790</v>
      </c>
      <c r="C2736" s="128" t="s">
        <v>2982</v>
      </c>
      <c r="D2736" s="129">
        <v>46187.002245370371</v>
      </c>
      <c r="E2736" s="130">
        <v>68.22</v>
      </c>
      <c r="F2736" s="136">
        <v>4.4999999999999998E-2</v>
      </c>
      <c r="G2736" s="126">
        <f t="shared" si="43"/>
        <v>71.434554973821989</v>
      </c>
      <c r="H2736" s="126" t="s">
        <v>145</v>
      </c>
      <c r="I2736" s="127" t="s">
        <v>2877</v>
      </c>
      <c r="J2736" s="126">
        <v>6.6</v>
      </c>
      <c r="K2736" s="126">
        <v>400.01</v>
      </c>
      <c r="L2736" s="129">
        <f>INT(base[[#This Row],[Data de liquidação]])</f>
        <v>46187</v>
      </c>
      <c r="M2736" s="126">
        <f>base[[#This Row],[L/P Bruto]]-base[[#This Row],[L/P Líquido]]</f>
        <v>3.2145549738219898</v>
      </c>
      <c r="N2736" s="126">
        <f>base[[#This Row],[L/P Líquido]]/base[[#This Row],[Stake/Responsabilidade]]</f>
        <v>0.17054573635659109</v>
      </c>
      <c r="O2736" s="132">
        <f>IF(base[[#This Row],[L/P Líquido]]&gt;0,1,0)</f>
        <v>1</v>
      </c>
      <c r="P2736" s="132" t="s">
        <v>2818</v>
      </c>
      <c r="Q2736" s="132" t="str">
        <f>LEFT(base[[#This Row],[Evento / Mercado]],FIND("vs",base[[#This Row],[Evento / Mercado]])-2)</f>
        <v>Haiti</v>
      </c>
      <c r="R27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Scotland</v>
      </c>
      <c r="S2736" s="132" t="str">
        <f>LEFT(base[[#This Row],[Evento / Mercado]],FIND("/",base[[#This Row],[Evento / Mercado]])-2)</f>
        <v>Haiti vs Scotland</v>
      </c>
    </row>
    <row r="2737" spans="2:21" ht="15" customHeight="1">
      <c r="B2737" s="128" t="s">
        <v>2789</v>
      </c>
      <c r="C2737" s="128" t="s">
        <v>2982</v>
      </c>
      <c r="D2737" s="129">
        <v>46187.12263888889</v>
      </c>
      <c r="E2737" s="130">
        <v>30.74</v>
      </c>
      <c r="F2737" s="136">
        <v>4.4999999999999998E-2</v>
      </c>
      <c r="G2737" s="126">
        <f t="shared" si="43"/>
        <v>32.188481675392673</v>
      </c>
      <c r="H2737" s="126" t="s">
        <v>2821</v>
      </c>
      <c r="I2737" s="127" t="s">
        <v>542</v>
      </c>
      <c r="J2737" s="126">
        <v>17</v>
      </c>
      <c r="K2737" s="126">
        <v>515.04</v>
      </c>
      <c r="L2737" s="129">
        <f>INT(base[[#This Row],[Data de liquidação]])</f>
        <v>46187</v>
      </c>
      <c r="M2737" s="126">
        <f>base[[#This Row],[L/P Bruto]]-base[[#This Row],[L/P Líquido]]</f>
        <v>1.4484816753926744</v>
      </c>
      <c r="N2737" s="126">
        <f>base[[#This Row],[L/P Líquido]]/base[[#This Row],[Stake/Responsabilidade]]</f>
        <v>5.9684684684684686E-2</v>
      </c>
      <c r="O2737" s="132">
        <f>IF(base[[#This Row],[L/P Líquido]]&gt;0,1,0)</f>
        <v>1</v>
      </c>
      <c r="P2737" s="132"/>
      <c r="Q2737" s="132" t="str">
        <f>LEFT(base[[#This Row],[Evento / Mercado]],FIND("vs",base[[#This Row],[Evento / Mercado]])-2)</f>
        <v>Australia</v>
      </c>
      <c r="R27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Turkey</v>
      </c>
      <c r="S2737" s="132" t="str">
        <f>LEFT(base[[#This Row],[Evento / Mercado]],FIND("/",base[[#This Row],[Evento / Mercado]])-2)</f>
        <v>Australia vs Turkey</v>
      </c>
    </row>
    <row r="2738" spans="2:21" ht="15" customHeight="1">
      <c r="B2738" s="128" t="s">
        <v>2788</v>
      </c>
      <c r="C2738" s="128" t="s">
        <v>2982</v>
      </c>
      <c r="D2738" s="129">
        <v>46187.410613425927</v>
      </c>
      <c r="E2738" s="130">
        <v>-5</v>
      </c>
      <c r="F2738" s="136">
        <v>4.4999999999999998E-2</v>
      </c>
      <c r="G2738" s="126">
        <f t="shared" si="43"/>
        <v>-5</v>
      </c>
      <c r="H2738" s="126" t="s">
        <v>1339</v>
      </c>
      <c r="I2738" s="127" t="s">
        <v>2404</v>
      </c>
      <c r="J2738" s="126">
        <v>1.66</v>
      </c>
      <c r="K2738" s="126">
        <v>5</v>
      </c>
      <c r="L2738" s="129">
        <f>INT(base[[#This Row],[Data de liquidação]])</f>
        <v>46187</v>
      </c>
      <c r="M2738" s="126">
        <f>base[[#This Row],[L/P Bruto]]-base[[#This Row],[L/P Líquido]]</f>
        <v>0</v>
      </c>
      <c r="N2738" s="126">
        <f>base[[#This Row],[L/P Líquido]]/base[[#This Row],[Stake/Responsabilidade]]</f>
        <v>-1</v>
      </c>
      <c r="O2738" s="132">
        <f>IF(base[[#This Row],[L/P Líquido]]&gt;0,1,0)</f>
        <v>0</v>
      </c>
      <c r="P2738" s="132"/>
      <c r="Q2738" s="132" t="str">
        <f>LEFT(base[[#This Row],[Evento / Mercado]],FIND("vs",base[[#This Row],[Evento / Mercado]])-2)</f>
        <v>Norrby IF</v>
      </c>
      <c r="R27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Oddevold</v>
      </c>
      <c r="S2738" s="132" t="str">
        <f>LEFT(base[[#This Row],[Evento / Mercado]],FIND("/",base[[#This Row],[Evento / Mercado]])-2)</f>
        <v>Norrby IF vs IK Oddevold</v>
      </c>
    </row>
    <row r="2739" spans="2:21" ht="15" customHeight="1">
      <c r="B2739" s="128" t="s">
        <v>2787</v>
      </c>
      <c r="C2739" s="128" t="s">
        <v>2982</v>
      </c>
      <c r="D2739" s="129">
        <v>46187.469687500001</v>
      </c>
      <c r="E2739" s="130">
        <v>1.24</v>
      </c>
      <c r="F2739" s="136">
        <v>4.4999999999999998E-2</v>
      </c>
      <c r="G2739" s="126">
        <f t="shared" si="43"/>
        <v>1.2984293193717278</v>
      </c>
      <c r="H2739" s="126" t="s">
        <v>1339</v>
      </c>
      <c r="I2739" s="127" t="s">
        <v>1448</v>
      </c>
      <c r="J2739" s="126">
        <v>1.65</v>
      </c>
      <c r="K2739" s="126">
        <v>2</v>
      </c>
      <c r="L2739" s="129">
        <f>INT(base[[#This Row],[Data de liquidação]])</f>
        <v>46187</v>
      </c>
      <c r="M2739" s="126">
        <f>base[[#This Row],[L/P Bruto]]-base[[#This Row],[L/P Líquido]]</f>
        <v>5.8429319371727795E-2</v>
      </c>
      <c r="N2739" s="126">
        <f>base[[#This Row],[L/P Líquido]]/base[[#This Row],[Stake/Responsabilidade]]</f>
        <v>0.62</v>
      </c>
      <c r="O2739" s="132">
        <f>IF(base[[#This Row],[L/P Líquido]]&gt;0,1,0)</f>
        <v>1</v>
      </c>
      <c r="P2739" s="132"/>
      <c r="Q2739" s="132" t="str">
        <f>LEFT(base[[#This Row],[Evento / Mercado]],FIND("vs",base[[#This Row],[Evento / Mercado]])-2)</f>
        <v>EC Juventude</v>
      </c>
      <c r="R27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2739" s="132" t="str">
        <f>LEFT(base[[#This Row],[Evento / Mercado]],FIND("/",base[[#This Row],[Evento / Mercado]])-2)</f>
        <v>EC Juventude vs Atlética Ponte Preta</v>
      </c>
    </row>
    <row r="2740" spans="2:21" ht="15" customHeight="1">
      <c r="B2740" s="128" t="s">
        <v>2786</v>
      </c>
      <c r="C2740" s="128" t="s">
        <v>2982</v>
      </c>
      <c r="D2740" s="129">
        <v>46187.495428240742</v>
      </c>
      <c r="E2740" s="130">
        <v>84.89</v>
      </c>
      <c r="F2740" s="136">
        <v>4.4999999999999998E-2</v>
      </c>
      <c r="G2740" s="126">
        <f t="shared" si="43"/>
        <v>88.890052356020945</v>
      </c>
      <c r="H2740" s="126" t="s">
        <v>2761</v>
      </c>
      <c r="I2740" s="127" t="s">
        <v>476</v>
      </c>
      <c r="J2740" s="126">
        <v>5.5</v>
      </c>
      <c r="K2740" s="126">
        <v>400.01</v>
      </c>
      <c r="L2740" s="129">
        <f>INT(base[[#This Row],[Data de liquidação]])</f>
        <v>46187</v>
      </c>
      <c r="M2740" s="126">
        <f>base[[#This Row],[L/P Bruto]]-base[[#This Row],[L/P Líquido]]</f>
        <v>4.0000523560209444</v>
      </c>
      <c r="N2740" s="126">
        <f>base[[#This Row],[L/P Líquido]]/base[[#This Row],[Stake/Responsabilidade]]</f>
        <v>0.21221969450763731</v>
      </c>
      <c r="O2740" s="132">
        <f>IF(base[[#This Row],[L/P Líquido]]&gt;0,1,0)</f>
        <v>1</v>
      </c>
      <c r="P2740" s="132"/>
      <c r="Q2740" s="132" t="str">
        <f>LEFT(base[[#This Row],[Evento / Mercado]],FIND("vs",base[[#This Row],[Evento / Mercado]])-2)</f>
        <v>Falkenbergs FF</v>
      </c>
      <c r="R27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Örebro SK</v>
      </c>
      <c r="S2740" s="132" t="str">
        <f>LEFT(base[[#This Row],[Evento / Mercado]],FIND("/",base[[#This Row],[Evento / Mercado]])-2)</f>
        <v>Falkenbergs FF vs Örebro SK</v>
      </c>
    </row>
    <row r="2741" spans="2:21" ht="15" customHeight="1">
      <c r="B2741" s="128" t="s">
        <v>2785</v>
      </c>
      <c r="C2741" s="128" t="s">
        <v>2982</v>
      </c>
      <c r="D2741" s="129">
        <v>46187.495567129627</v>
      </c>
      <c r="E2741" s="130">
        <v>42.65</v>
      </c>
      <c r="F2741" s="136">
        <v>4.4999999999999998E-2</v>
      </c>
      <c r="G2741" s="126">
        <f t="shared" si="43"/>
        <v>44.659685863874344</v>
      </c>
      <c r="H2741" s="126" t="s">
        <v>2817</v>
      </c>
      <c r="I2741" s="127" t="s">
        <v>2994</v>
      </c>
      <c r="J2741" s="126">
        <f>+(4.6*7.38+1.95*48.97+4.5*42.63)/base[[#This Row],[Stake/Responsabilidade]]</f>
        <v>3.2458526975146493</v>
      </c>
      <c r="K2741" s="126">
        <f>7.38+48.97+42.63</f>
        <v>98.98</v>
      </c>
      <c r="L2741" s="129">
        <f>INT(base[[#This Row],[Data de liquidação]])</f>
        <v>46187</v>
      </c>
      <c r="M2741" s="126">
        <f>base[[#This Row],[L/P Bruto]]-base[[#This Row],[L/P Líquido]]</f>
        <v>2.0096858638743456</v>
      </c>
      <c r="N2741" s="126">
        <f>base[[#This Row],[L/P Líquido]]/base[[#This Row],[Stake/Responsabilidade]]</f>
        <v>0.43089513032935944</v>
      </c>
      <c r="O2741" s="132">
        <f>IF(base[[#This Row],[L/P Líquido]]&gt;0,1,0)</f>
        <v>1</v>
      </c>
      <c r="P2741" s="132"/>
      <c r="Q2741" s="132" t="str">
        <f>LEFT(base[[#This Row],[Evento / Mercado]],FIND("vs",base[[#This Row],[Evento / Mercado]])-2)</f>
        <v>Falkenbergs FF</v>
      </c>
      <c r="R27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Örebro SK</v>
      </c>
      <c r="S2741" s="132" t="str">
        <f>LEFT(base[[#This Row],[Evento / Mercado]],FIND("/",base[[#This Row],[Evento / Mercado]])-2)</f>
        <v>Falkenbergs FF vs Örebro SK</v>
      </c>
    </row>
    <row r="2742" spans="2:21" ht="15" customHeight="1">
      <c r="B2742" s="128" t="s">
        <v>2784</v>
      </c>
      <c r="C2742" s="128" t="s">
        <v>2982</v>
      </c>
      <c r="D2742" s="129">
        <v>46187.535914351851</v>
      </c>
      <c r="E2742" s="130">
        <v>33.08</v>
      </c>
      <c r="F2742" s="136">
        <v>4.4999999999999998E-2</v>
      </c>
      <c r="G2742" s="126">
        <f t="shared" si="43"/>
        <v>34.638743455497384</v>
      </c>
      <c r="H2742" s="126" t="s">
        <v>145</v>
      </c>
      <c r="I2742" s="127" t="s">
        <v>301</v>
      </c>
      <c r="J2742" s="126">
        <v>13.5</v>
      </c>
      <c r="K2742" s="126">
        <v>433</v>
      </c>
      <c r="L2742" s="129">
        <f>INT(base[[#This Row],[Data de liquidação]])</f>
        <v>46187</v>
      </c>
      <c r="M2742" s="126">
        <f>base[[#This Row],[L/P Bruto]]-base[[#This Row],[L/P Líquido]]</f>
        <v>1.5587434554973854</v>
      </c>
      <c r="N2742" s="126">
        <f>base[[#This Row],[L/P Líquido]]/base[[#This Row],[Stake/Responsabilidade]]</f>
        <v>7.6397228637413397E-2</v>
      </c>
      <c r="O2742" s="132">
        <f>IF(base[[#This Row],[L/P Líquido]]&gt;0,1,0)</f>
        <v>1</v>
      </c>
      <c r="P2742" s="132" t="s">
        <v>2570</v>
      </c>
      <c r="Q2742" s="132" t="str">
        <f>LEFT(base[[#This Row],[Evento / Mercado]],FIND("vs",base[[#This Row],[Evento / Mercado]])-2)</f>
        <v>Strømsgodset</v>
      </c>
      <c r="R27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Raufoss</v>
      </c>
      <c r="S2742" s="132" t="str">
        <f>LEFT(base[[#This Row],[Evento / Mercado]],FIND("/",base[[#This Row],[Evento / Mercado]])-2)</f>
        <v>Strømsgodset vs Raufoss</v>
      </c>
    </row>
    <row r="2743" spans="2:21" ht="15" customHeight="1">
      <c r="B2743" s="128" t="s">
        <v>2783</v>
      </c>
      <c r="C2743" s="128" t="s">
        <v>2982</v>
      </c>
      <c r="D2743" s="129">
        <v>46187.536608796298</v>
      </c>
      <c r="E2743" s="130">
        <v>-11.11</v>
      </c>
      <c r="F2743" s="136">
        <v>4.4999999999999998E-2</v>
      </c>
      <c r="G2743" s="126">
        <f t="shared" si="43"/>
        <v>-11.11</v>
      </c>
      <c r="H2743" s="126" t="s">
        <v>2743</v>
      </c>
      <c r="I2743" s="127" t="s">
        <v>2744</v>
      </c>
      <c r="J2743" s="126">
        <v>10</v>
      </c>
      <c r="K2743" s="126">
        <v>111.1</v>
      </c>
      <c r="L2743" s="129">
        <f>INT(base[[#This Row],[Data de liquidação]])</f>
        <v>46187</v>
      </c>
      <c r="M2743" s="126">
        <f>base[[#This Row],[L/P Bruto]]-base[[#This Row],[L/P Líquido]]</f>
        <v>0</v>
      </c>
      <c r="N2743" s="126">
        <f>base[[#This Row],[L/P Líquido]]/base[[#This Row],[Stake/Responsabilidade]]</f>
        <v>-0.1</v>
      </c>
      <c r="O2743" s="132">
        <f>IF(base[[#This Row],[L/P Líquido]]&gt;0,1,0)</f>
        <v>0</v>
      </c>
      <c r="P2743" s="132"/>
      <c r="Q2743" s="132" t="str">
        <f>LEFT(base[[#This Row],[Evento / Mercado]],FIND("vs",base[[#This Row],[Evento / Mercado]])-2)</f>
        <v>Stabæk</v>
      </c>
      <c r="R27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Egersund</v>
      </c>
      <c r="S2743" s="132" t="str">
        <f>LEFT(base[[#This Row],[Evento / Mercado]],FIND("/",base[[#This Row],[Evento / Mercado]])-2)</f>
        <v>Stabæk vs Egersund</v>
      </c>
    </row>
    <row r="2744" spans="2:21" ht="15" customHeight="1">
      <c r="B2744" s="128" t="s">
        <v>2782</v>
      </c>
      <c r="C2744" s="128" t="s">
        <v>2982</v>
      </c>
      <c r="D2744" s="129">
        <v>46187.536747685182</v>
      </c>
      <c r="E2744" s="130">
        <v>6.84</v>
      </c>
      <c r="F2744" s="136">
        <v>4.4999999999999998E-2</v>
      </c>
      <c r="G2744" s="126">
        <f t="shared" si="43"/>
        <v>7.162303664921466</v>
      </c>
      <c r="H2744" s="126" t="s">
        <v>2743</v>
      </c>
      <c r="I2744" s="127" t="s">
        <v>1233</v>
      </c>
      <c r="J2744" s="126">
        <v>4.9000000000000004</v>
      </c>
      <c r="K2744" s="126">
        <v>100</v>
      </c>
      <c r="L2744" s="129">
        <f>INT(base[[#This Row],[Data de liquidação]])</f>
        <v>46187</v>
      </c>
      <c r="M2744" s="126">
        <f>base[[#This Row],[L/P Bruto]]-base[[#This Row],[L/P Líquido]]</f>
        <v>0.32230366492146612</v>
      </c>
      <c r="N2744" s="126">
        <f>base[[#This Row],[L/P Líquido]]/base[[#This Row],[Stake/Responsabilidade]]</f>
        <v>6.8400000000000002E-2</v>
      </c>
      <c r="O2744" s="132">
        <f>IF(base[[#This Row],[L/P Líquido]]&gt;0,1,0)</f>
        <v>1</v>
      </c>
      <c r="P2744" s="132"/>
      <c r="Q2744" s="132" t="str">
        <f>LEFT(base[[#This Row],[Evento / Mercado]],FIND("vs",base[[#This Row],[Evento / Mercado]])-2)</f>
        <v>Stabæk</v>
      </c>
      <c r="R27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Egersund</v>
      </c>
      <c r="S2744" s="132" t="str">
        <f>LEFT(base[[#This Row],[Evento / Mercado]],FIND("/",base[[#This Row],[Evento / Mercado]])-2)</f>
        <v>Stabæk vs Egersund</v>
      </c>
    </row>
    <row r="2745" spans="2:21" ht="15" customHeight="1">
      <c r="B2745" s="128" t="s">
        <v>2781</v>
      </c>
      <c r="C2745" s="128" t="s">
        <v>2982</v>
      </c>
      <c r="D2745" s="129">
        <v>46187.538703703707</v>
      </c>
      <c r="E2745" s="130">
        <v>20.9</v>
      </c>
      <c r="F2745" s="136">
        <v>4.4999999999999998E-2</v>
      </c>
      <c r="G2745" s="126">
        <f t="shared" si="43"/>
        <v>21.8848167539267</v>
      </c>
      <c r="H2745" s="126" t="s">
        <v>74</v>
      </c>
      <c r="I2745" s="127" t="s">
        <v>542</v>
      </c>
      <c r="J2745" s="126">
        <v>26</v>
      </c>
      <c r="K2745" s="126">
        <v>547</v>
      </c>
      <c r="L2745" s="129">
        <f>INT(base[[#This Row],[Data de liquidação]])</f>
        <v>46187</v>
      </c>
      <c r="M2745" s="126">
        <f>base[[#This Row],[L/P Bruto]]-base[[#This Row],[L/P Líquido]]</f>
        <v>0.98481675392670098</v>
      </c>
      <c r="N2745" s="126">
        <f>base[[#This Row],[L/P Líquido]]/base[[#This Row],[Stake/Responsabilidade]]</f>
        <v>3.8208409506398533E-2</v>
      </c>
      <c r="O2745" s="132">
        <f>IF(base[[#This Row],[L/P Líquido]]&gt;0,1,0)</f>
        <v>1</v>
      </c>
      <c r="P2745" s="132" t="s">
        <v>2570</v>
      </c>
      <c r="Q2745" s="132" t="str">
        <f>LEFT(base[[#This Row],[Evento / Mercado]],FIND("vs",base[[#This Row],[Evento / Mercado]])-2)</f>
        <v>Hødd</v>
      </c>
      <c r="R27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Kongsvinger IL</v>
      </c>
      <c r="S2745" s="132" t="str">
        <f>LEFT(base[[#This Row],[Evento / Mercado]],FIND("/",base[[#This Row],[Evento / Mercado]])-2)</f>
        <v>Hødd vs Kongsvinger IL</v>
      </c>
    </row>
    <row r="2746" spans="2:21" ht="15" customHeight="1">
      <c r="B2746" s="128" t="s">
        <v>2780</v>
      </c>
      <c r="C2746" s="128" t="s">
        <v>2982</v>
      </c>
      <c r="D2746" s="129">
        <v>46187.538773148146</v>
      </c>
      <c r="E2746" s="130">
        <v>41.79</v>
      </c>
      <c r="F2746" s="136">
        <v>4.4999999999999998E-2</v>
      </c>
      <c r="G2746" s="126">
        <f t="shared" si="43"/>
        <v>43.759162303664922</v>
      </c>
      <c r="H2746" s="126" t="s">
        <v>74</v>
      </c>
      <c r="I2746" s="127" t="s">
        <v>541</v>
      </c>
      <c r="J2746" s="126">
        <v>13.5</v>
      </c>
      <c r="K2746" s="126">
        <v>547</v>
      </c>
      <c r="L2746" s="129">
        <f>INT(base[[#This Row],[Data de liquidação]])</f>
        <v>46187</v>
      </c>
      <c r="M2746" s="126">
        <f>base[[#This Row],[L/P Bruto]]-base[[#This Row],[L/P Líquido]]</f>
        <v>1.9691623036649233</v>
      </c>
      <c r="N2746" s="126">
        <f>base[[#This Row],[L/P Líquido]]/base[[#This Row],[Stake/Responsabilidade]]</f>
        <v>7.6398537477148074E-2</v>
      </c>
      <c r="O2746" s="132">
        <f>IF(base[[#This Row],[L/P Líquido]]&gt;0,1,0)</f>
        <v>1</v>
      </c>
      <c r="P2746" s="132" t="s">
        <v>2570</v>
      </c>
      <c r="Q2746" s="132" t="str">
        <f>LEFT(base[[#This Row],[Evento / Mercado]],FIND("vs",base[[#This Row],[Evento / Mercado]])-2)</f>
        <v>Åsane</v>
      </c>
      <c r="R27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Odds Ballklubb</v>
      </c>
      <c r="S2746" s="132" t="str">
        <f>LEFT(base[[#This Row],[Evento / Mercado]],FIND("/",base[[#This Row],[Evento / Mercado]])-2)</f>
        <v>Åsane vs Odds Ballklubb</v>
      </c>
    </row>
    <row r="2747" spans="2:21" ht="15" customHeight="1">
      <c r="B2747" s="128" t="s">
        <v>2779</v>
      </c>
      <c r="C2747" s="128" t="s">
        <v>2982</v>
      </c>
      <c r="D2747" s="129">
        <v>46187.546215277776</v>
      </c>
      <c r="E2747" s="130">
        <v>-48.85</v>
      </c>
      <c r="F2747" s="136">
        <v>4.4999999999999998E-2</v>
      </c>
      <c r="G2747" s="126">
        <f t="shared" si="43"/>
        <v>-48.85</v>
      </c>
      <c r="H2747" s="126" t="s">
        <v>1339</v>
      </c>
      <c r="I2747" s="127" t="s">
        <v>2470</v>
      </c>
      <c r="J2747" s="126">
        <v>9.6</v>
      </c>
      <c r="K2747" s="126">
        <v>48.85</v>
      </c>
      <c r="L2747" s="129">
        <f>INT(base[[#This Row],[Data de liquidação]])</f>
        <v>46187</v>
      </c>
      <c r="M2747" s="126">
        <f>base[[#This Row],[L/P Bruto]]-base[[#This Row],[L/P Líquido]]</f>
        <v>0</v>
      </c>
      <c r="N2747" s="126">
        <f>base[[#This Row],[L/P Líquido]]/base[[#This Row],[Stake/Responsabilidade]]</f>
        <v>-1</v>
      </c>
      <c r="O2747" s="132">
        <f>IF(base[[#This Row],[L/P Líquido]]&gt;0,1,0)</f>
        <v>0</v>
      </c>
      <c r="P2747" s="132"/>
      <c r="Q2747" s="132" t="str">
        <f>LEFT(base[[#This Row],[Evento / Mercado]],FIND("vs",base[[#This Row],[Evento / Mercado]])-2)</f>
        <v>Brusque FC</v>
      </c>
      <c r="R27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Santa Cruz FC</v>
      </c>
      <c r="S2747" s="132" t="str">
        <f>LEFT(base[[#This Row],[Evento / Mercado]],FIND("/",base[[#This Row],[Evento / Mercado]])-2)</f>
        <v>Brusque FC vs Santa Cruz FC</v>
      </c>
    </row>
    <row r="2748" spans="2:21" ht="15" customHeight="1">
      <c r="B2748" s="128" t="s">
        <v>2778</v>
      </c>
      <c r="C2748" s="128" t="s">
        <v>2982</v>
      </c>
      <c r="D2748" s="129">
        <v>46187.629837962966</v>
      </c>
      <c r="E2748" s="130">
        <v>38.200000000000003</v>
      </c>
      <c r="F2748" s="136">
        <v>4.4999999999999998E-2</v>
      </c>
      <c r="G2748" s="126">
        <f t="shared" si="43"/>
        <v>40.000000000000007</v>
      </c>
      <c r="H2748" s="126" t="s">
        <v>2693</v>
      </c>
      <c r="I2748" s="127" t="s">
        <v>299</v>
      </c>
      <c r="J2748" s="126">
        <v>3.65</v>
      </c>
      <c r="K2748" s="126">
        <v>40</v>
      </c>
      <c r="L2748" s="129">
        <f>INT(base[[#This Row],[Data de liquidação]])</f>
        <v>46187</v>
      </c>
      <c r="M2748" s="126">
        <f>base[[#This Row],[L/P Bruto]]-base[[#This Row],[L/P Líquido]]</f>
        <v>1.8000000000000043</v>
      </c>
      <c r="N2748" s="126">
        <f>base[[#This Row],[L/P Líquido]]/base[[#This Row],[Stake/Responsabilidade]]</f>
        <v>0.95500000000000007</v>
      </c>
      <c r="O2748" s="132">
        <f>IF(base[[#This Row],[L/P Líquido]]&gt;0,1,0)</f>
        <v>1</v>
      </c>
      <c r="P2748" s="132"/>
      <c r="Q2748" s="132" t="str">
        <f>LEFT(base[[#This Row],[Evento / Mercado]],FIND("vs",base[[#This Row],[Evento / Mercado]])-2)</f>
        <v>Þór Akureyri</v>
      </c>
      <c r="R27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2748" s="132" t="str">
        <f>LEFT(base[[#This Row],[Evento / Mercado]],FIND("/",base[[#This Row],[Evento / Mercado]])-2)</f>
        <v>Þór Akureyri vs ÍB Vestmannaeyja</v>
      </c>
    </row>
    <row r="2749" spans="2:21" ht="15" customHeight="1">
      <c r="B2749" s="128" t="s">
        <v>2777</v>
      </c>
      <c r="C2749" s="128" t="s">
        <v>2982</v>
      </c>
      <c r="D2749" s="129">
        <v>46187.666087962964</v>
      </c>
      <c r="E2749" s="130">
        <v>14.143549999999999</v>
      </c>
      <c r="F2749" s="136">
        <v>4.4999999999999998E-2</v>
      </c>
      <c r="G2749" s="126">
        <f t="shared" si="43"/>
        <v>14.81</v>
      </c>
      <c r="H2749" s="126" t="s">
        <v>1233</v>
      </c>
      <c r="I2749" s="127"/>
      <c r="J2749" s="126">
        <v>27</v>
      </c>
      <c r="K2749" s="126">
        <v>385.06</v>
      </c>
      <c r="L2749" s="129">
        <f>INT(base[[#This Row],[Data de liquidação]])</f>
        <v>46187</v>
      </c>
      <c r="M2749" s="126">
        <f>base[[#This Row],[L/P Bruto]]-base[[#This Row],[L/P Líquido]]</f>
        <v>0.6664500000000011</v>
      </c>
      <c r="N2749" s="126">
        <f>base[[#This Row],[L/P Líquido]]/base[[#This Row],[Stake/Responsabilidade]]</f>
        <v>3.6730769230769227E-2</v>
      </c>
      <c r="O2749" s="132">
        <f>IF(base[[#This Row],[L/P Líquido]]&gt;0,1,0)</f>
        <v>1</v>
      </c>
      <c r="P2749" s="132" t="s">
        <v>2818</v>
      </c>
      <c r="Q2749" s="132" t="str">
        <f>LEFT(base[[#This Row],[Evento / Mercado]],FIND("vs",base[[#This Row],[Evento / Mercado]])-2)</f>
        <v>Germany</v>
      </c>
      <c r="R27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Curaçao</v>
      </c>
      <c r="S2749" s="132" t="str">
        <f>LEFT(base[[#This Row],[Evento / Mercado]],FIND("/",base[[#This Row],[Evento / Mercado]])-2)</f>
        <v>Germany vs Curaçao</v>
      </c>
      <c r="T2749" s="8">
        <v>14.81</v>
      </c>
      <c r="U2749" s="9">
        <f t="shared" ref="U2749:U2750" si="49">T2749*0.955</f>
        <v>14.143549999999999</v>
      </c>
    </row>
    <row r="2750" spans="2:21" ht="15" customHeight="1">
      <c r="B2750" s="128" t="s">
        <v>2777</v>
      </c>
      <c r="C2750" s="128" t="s">
        <v>2982</v>
      </c>
      <c r="D2750" s="129">
        <v>46187.666087962964</v>
      </c>
      <c r="E2750" s="130">
        <v>7.7927999999999997</v>
      </c>
      <c r="F2750" s="136">
        <v>4.4999999999999998E-2</v>
      </c>
      <c r="G2750" s="126">
        <f t="shared" si="43"/>
        <v>8.16</v>
      </c>
      <c r="H2750" s="126" t="s">
        <v>145</v>
      </c>
      <c r="I2750" s="127" t="s">
        <v>2877</v>
      </c>
      <c r="J2750" s="126">
        <v>50</v>
      </c>
      <c r="K2750" s="126">
        <v>399.84</v>
      </c>
      <c r="L2750" s="129">
        <f>INT(base[[#This Row],[Data de liquidação]])</f>
        <v>46187</v>
      </c>
      <c r="M2750" s="126">
        <f>base[[#This Row],[L/P Bruto]]-base[[#This Row],[L/P Líquido]]</f>
        <v>0.36720000000000041</v>
      </c>
      <c r="N2750" s="126">
        <f>base[[#This Row],[L/P Líquido]]/base[[#This Row],[Stake/Responsabilidade]]</f>
        <v>1.9489795918367348E-2</v>
      </c>
      <c r="O2750" s="132">
        <f>IF(base[[#This Row],[L/P Líquido]]&gt;0,1,0)</f>
        <v>1</v>
      </c>
      <c r="P2750" s="132" t="s">
        <v>2818</v>
      </c>
      <c r="Q2750" s="132" t="str">
        <f>LEFT(base[[#This Row],[Evento / Mercado]],FIND("vs",base[[#This Row],[Evento / Mercado]])-2)</f>
        <v>Germany</v>
      </c>
      <c r="R27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Curaçao</v>
      </c>
      <c r="S2750" s="132" t="str">
        <f>LEFT(base[[#This Row],[Evento / Mercado]],FIND("/",base[[#This Row],[Evento / Mercado]])-2)</f>
        <v>Germany vs Curaçao</v>
      </c>
      <c r="T2750" s="8">
        <v>8.16</v>
      </c>
      <c r="U2750" s="9">
        <f t="shared" si="49"/>
        <v>7.7927999999999997</v>
      </c>
    </row>
    <row r="2751" spans="2:21" ht="15" customHeight="1">
      <c r="B2751" s="128" t="s">
        <v>2776</v>
      </c>
      <c r="C2751" s="128" t="s">
        <v>2982</v>
      </c>
      <c r="D2751" s="129">
        <v>46187.788773148146</v>
      </c>
      <c r="E2751" s="130">
        <v>1.24</v>
      </c>
      <c r="F2751" s="136">
        <v>4.4999999999999998E-2</v>
      </c>
      <c r="G2751" s="126">
        <f t="shared" si="43"/>
        <v>1.2984293193717278</v>
      </c>
      <c r="H2751" s="126" t="s">
        <v>1339</v>
      </c>
      <c r="I2751" s="127" t="s">
        <v>1448</v>
      </c>
      <c r="J2751" s="126">
        <v>1.65</v>
      </c>
      <c r="K2751" s="126">
        <v>2</v>
      </c>
      <c r="L2751" s="129">
        <f>INT(base[[#This Row],[Data de liquidação]])</f>
        <v>46187</v>
      </c>
      <c r="M2751" s="126">
        <f>base[[#This Row],[L/P Bruto]]-base[[#This Row],[L/P Líquido]]</f>
        <v>5.8429319371727795E-2</v>
      </c>
      <c r="N2751" s="126">
        <f>base[[#This Row],[L/P Líquido]]/base[[#This Row],[Stake/Responsabilidade]]</f>
        <v>0.62</v>
      </c>
      <c r="O2751" s="132">
        <f>IF(base[[#This Row],[L/P Líquido]]&gt;0,1,0)</f>
        <v>1</v>
      </c>
      <c r="P2751" s="132"/>
      <c r="Q2751" s="132" t="str">
        <f>LEFT(base[[#This Row],[Evento / Mercado]],FIND("vs",base[[#This Row],[Evento / Mercado]])-2)</f>
        <v>Universidad Católica</v>
      </c>
      <c r="R27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de Concepción</v>
      </c>
      <c r="S2751" s="132" t="str">
        <f>LEFT(base[[#This Row],[Evento / Mercado]],FIND("/",base[[#This Row],[Evento / Mercado]])-2)</f>
        <v>Universidad Católica vs Universidad de Concepción</v>
      </c>
    </row>
    <row r="2752" spans="2:21" ht="15" customHeight="1">
      <c r="B2752" s="128" t="s">
        <v>2775</v>
      </c>
      <c r="C2752" s="128" t="s">
        <v>2982</v>
      </c>
      <c r="D2752" s="129">
        <v>46187.80159722222</v>
      </c>
      <c r="E2752" s="130">
        <v>14.33</v>
      </c>
      <c r="F2752" s="136">
        <v>4.4999999999999998E-2</v>
      </c>
      <c r="G2752" s="126">
        <f t="shared" si="43"/>
        <v>15.005235602094242</v>
      </c>
      <c r="H2752" s="126" t="s">
        <v>1339</v>
      </c>
      <c r="I2752" s="127" t="s">
        <v>1236</v>
      </c>
      <c r="J2752" s="126">
        <v>7.6</v>
      </c>
      <c r="K2752" s="126">
        <v>15</v>
      </c>
      <c r="L2752" s="129">
        <f>INT(base[[#This Row],[Data de liquidação]])</f>
        <v>46187</v>
      </c>
      <c r="M2752" s="126">
        <f>base[[#This Row],[L/P Bruto]]-base[[#This Row],[L/P Líquido]]</f>
        <v>0.67523560209424183</v>
      </c>
      <c r="N2752" s="126">
        <f>base[[#This Row],[L/P Líquido]]/base[[#This Row],[Stake/Responsabilidade]]</f>
        <v>0.95533333333333337</v>
      </c>
      <c r="O2752" s="132">
        <f>IF(base[[#This Row],[L/P Líquido]]&gt;0,1,0)</f>
        <v>1</v>
      </c>
      <c r="P2752" s="132"/>
      <c r="Q2752" s="132" t="str">
        <f>LEFT(base[[#This Row],[Evento / Mercado]],FIND("vs",base[[#This Row],[Evento / Mercado]])-2)</f>
        <v>Universidad Católica</v>
      </c>
      <c r="R27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de Concepción</v>
      </c>
      <c r="S2752" s="132" t="str">
        <f>LEFT(base[[#This Row],[Evento / Mercado]],FIND("/",base[[#This Row],[Evento / Mercado]])-2)</f>
        <v>Universidad Católica vs Universidad de Concepción</v>
      </c>
    </row>
    <row r="2753" spans="2:21" ht="15" customHeight="1">
      <c r="B2753" s="128" t="s">
        <v>2774</v>
      </c>
      <c r="C2753" s="128" t="s">
        <v>2982</v>
      </c>
      <c r="D2753" s="129">
        <v>46187.813946759263</v>
      </c>
      <c r="E2753" s="130">
        <v>12.54</v>
      </c>
      <c r="F2753" s="136">
        <v>4.4999999999999998E-2</v>
      </c>
      <c r="G2753" s="126">
        <f t="shared" si="43"/>
        <v>13.130890052356021</v>
      </c>
      <c r="H2753" s="126" t="s">
        <v>2758</v>
      </c>
      <c r="I2753" s="127" t="s">
        <v>1447</v>
      </c>
      <c r="J2753" s="126">
        <f>+(1.13*87.96+1.14*12.94)/base[[#This Row],[Stake/Responsabilidade]]</f>
        <v>1.1414639999999998</v>
      </c>
      <c r="K2753" s="126">
        <f>87.06+12.94</f>
        <v>100</v>
      </c>
      <c r="L2753" s="129">
        <f>INT(base[[#This Row],[Data de liquidação]])</f>
        <v>46187</v>
      </c>
      <c r="M2753" s="126">
        <f>base[[#This Row],[L/P Bruto]]-base[[#This Row],[L/P Líquido]]</f>
        <v>0.59089005235602166</v>
      </c>
      <c r="N2753" s="126">
        <f>base[[#This Row],[L/P Líquido]]/base[[#This Row],[Stake/Responsabilidade]]</f>
        <v>0.12539999999999998</v>
      </c>
      <c r="O2753" s="132">
        <f>IF(base[[#This Row],[L/P Líquido]]&gt;0,1,0)</f>
        <v>1</v>
      </c>
      <c r="P2753" s="132"/>
      <c r="Q2753" s="132" t="str">
        <f>LEFT(base[[#This Row],[Evento / Mercado]],FIND("vs",base[[#This Row],[Evento / Mercado]])-2)</f>
        <v>Gremio Novorizontino</v>
      </c>
      <c r="R27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2753" s="132" t="str">
        <f>LEFT(base[[#This Row],[Evento / Mercado]],FIND("/",base[[#This Row],[Evento / Mercado]])-2)</f>
        <v>Gremio Novorizontino vs Clube Náutico Capibaribe</v>
      </c>
    </row>
    <row r="2754" spans="2:21" ht="15" customHeight="1">
      <c r="B2754" s="128" t="s">
        <v>2773</v>
      </c>
      <c r="C2754" s="128" t="s">
        <v>2982</v>
      </c>
      <c r="D2754" s="129">
        <v>46187.854363425926</v>
      </c>
      <c r="E2754" s="130">
        <v>61.941299999999998</v>
      </c>
      <c r="F2754" s="136">
        <v>4.4999999999999998E-2</v>
      </c>
      <c r="G2754" s="126">
        <f t="shared" si="43"/>
        <v>64.86</v>
      </c>
      <c r="H2754" s="126" t="s">
        <v>145</v>
      </c>
      <c r="I2754" s="127" t="s">
        <v>301</v>
      </c>
      <c r="J2754" s="126">
        <v>8.1999999999999993</v>
      </c>
      <c r="K2754" s="126">
        <v>466.99</v>
      </c>
      <c r="L2754" s="129">
        <f>INT(base[[#This Row],[Data de liquidação]])</f>
        <v>46187</v>
      </c>
      <c r="M2754" s="126">
        <f>base[[#This Row],[L/P Bruto]]-base[[#This Row],[L/P Líquido]]</f>
        <v>2.9187000000000012</v>
      </c>
      <c r="N2754" s="126">
        <f>base[[#This Row],[L/P Líquido]]/base[[#This Row],[Stake/Responsabilidade]]</f>
        <v>0.13263945694768625</v>
      </c>
      <c r="O2754" s="132">
        <f>IF(base[[#This Row],[L/P Líquido]]&gt;0,1,0)</f>
        <v>1</v>
      </c>
      <c r="P2754" s="132" t="s">
        <v>2819</v>
      </c>
      <c r="Q2754" s="132" t="str">
        <f>LEFT(base[[#This Row],[Evento / Mercado]],FIND("vs",base[[#This Row],[Evento / Mercado]])-2)</f>
        <v>Universidad Católica</v>
      </c>
      <c r="R27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de Concepción</v>
      </c>
      <c r="S2754" s="132" t="str">
        <f>LEFT(base[[#This Row],[Evento / Mercado]],FIND("/",base[[#This Row],[Evento / Mercado]])-2)</f>
        <v>Universidad Católica vs Universidad de Concepción</v>
      </c>
      <c r="T2754" s="8">
        <v>64.86</v>
      </c>
      <c r="U2754" s="9">
        <f t="shared" ref="U2754:U2755" si="50">T2754*0.955</f>
        <v>61.941299999999998</v>
      </c>
    </row>
    <row r="2755" spans="2:21" ht="15" customHeight="1">
      <c r="B2755" s="128" t="s">
        <v>2773</v>
      </c>
      <c r="C2755" s="128" t="s">
        <v>2982</v>
      </c>
      <c r="D2755" s="129">
        <v>46187.854363425926</v>
      </c>
      <c r="E2755" s="130">
        <v>7.9551499999999997</v>
      </c>
      <c r="F2755" s="136">
        <v>4.4999999999999998E-2</v>
      </c>
      <c r="G2755" s="126">
        <f t="shared" ref="G2755:G2818" si="51">IF(E2755&gt;0,E2755/(1-F2755),E2755)</f>
        <v>8.33</v>
      </c>
      <c r="H2755" s="126" t="s">
        <v>1339</v>
      </c>
      <c r="I2755" s="127" t="s">
        <v>1390</v>
      </c>
      <c r="J2755" s="126">
        <v>9.1999999999999993</v>
      </c>
      <c r="K2755" s="126">
        <v>68.31</v>
      </c>
      <c r="L2755" s="129">
        <f>INT(base[[#This Row],[Data de liquidação]])</f>
        <v>46187</v>
      </c>
      <c r="M2755" s="126">
        <f>base[[#This Row],[L/P Bruto]]-base[[#This Row],[L/P Líquido]]</f>
        <v>0.37485000000000035</v>
      </c>
      <c r="N2755" s="126">
        <f>base[[#This Row],[L/P Líquido]]/base[[#This Row],[Stake/Responsabilidade]]</f>
        <v>0.1164565949348558</v>
      </c>
      <c r="O2755" s="132">
        <f>IF(base[[#This Row],[L/P Líquido]]&gt;0,1,0)</f>
        <v>1</v>
      </c>
      <c r="P2755" s="132"/>
      <c r="Q2755" s="132" t="str">
        <f>LEFT(base[[#This Row],[Evento / Mercado]],FIND("vs",base[[#This Row],[Evento / Mercado]])-2)</f>
        <v>Universidad Católica</v>
      </c>
      <c r="R27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de Concepción</v>
      </c>
      <c r="S2755" s="132" t="str">
        <f>LEFT(base[[#This Row],[Evento / Mercado]],FIND("/",base[[#This Row],[Evento / Mercado]])-2)</f>
        <v>Universidad Católica vs Universidad de Concepción</v>
      </c>
      <c r="T2755" s="8">
        <v>8.33</v>
      </c>
      <c r="U2755" s="9">
        <f t="shared" si="50"/>
        <v>7.9551499999999997</v>
      </c>
    </row>
    <row r="2756" spans="2:21" ht="15" customHeight="1">
      <c r="B2756" s="128" t="s">
        <v>2772</v>
      </c>
      <c r="C2756" s="128" t="s">
        <v>2982</v>
      </c>
      <c r="D2756" s="129">
        <v>46187.876747685186</v>
      </c>
      <c r="E2756" s="130">
        <v>44.03</v>
      </c>
      <c r="F2756" s="136">
        <v>4.4999999999999998E-2</v>
      </c>
      <c r="G2756" s="126">
        <f t="shared" si="51"/>
        <v>46.104712041884817</v>
      </c>
      <c r="H2756" s="126" t="s">
        <v>2817</v>
      </c>
      <c r="I2756" s="127" t="s">
        <v>2994</v>
      </c>
      <c r="J2756" s="126">
        <f>(3.95+1.83)/2</f>
        <v>2.89</v>
      </c>
      <c r="K2756" s="126">
        <f>50+50</f>
        <v>100</v>
      </c>
      <c r="L2756" s="129">
        <f>INT(base[[#This Row],[Data de liquidação]])</f>
        <v>46187</v>
      </c>
      <c r="M2756" s="126">
        <f>base[[#This Row],[L/P Bruto]]-base[[#This Row],[L/P Líquido]]</f>
        <v>2.0747120418848155</v>
      </c>
      <c r="N2756" s="126">
        <f>base[[#This Row],[L/P Líquido]]/base[[#This Row],[Stake/Responsabilidade]]</f>
        <v>0.44030000000000002</v>
      </c>
      <c r="O2756" s="132">
        <f>IF(base[[#This Row],[L/P Líquido]]&gt;0,1,0)</f>
        <v>1</v>
      </c>
      <c r="P2756" s="132"/>
      <c r="Q2756" s="132" t="str">
        <f>LEFT(base[[#This Row],[Evento / Mercado]],FIND("vs",base[[#This Row],[Evento / Mercado]])-2)</f>
        <v>Gremio Novorizontino</v>
      </c>
      <c r="R27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2756" s="132" t="str">
        <f>LEFT(base[[#This Row],[Evento / Mercado]],FIND("/",base[[#This Row],[Evento / Mercado]])-2)</f>
        <v>Gremio Novorizontino vs Clube Náutico Capibaribe</v>
      </c>
    </row>
    <row r="2757" spans="2:21" ht="15" customHeight="1">
      <c r="B2757" s="128" t="s">
        <v>2771</v>
      </c>
      <c r="C2757" s="128" t="s">
        <v>2982</v>
      </c>
      <c r="D2757" s="129">
        <v>46187.919722222221</v>
      </c>
      <c r="E2757" s="130">
        <v>-65.599999999999994</v>
      </c>
      <c r="F2757" s="136">
        <v>4.4999999999999998E-2</v>
      </c>
      <c r="G2757" s="126">
        <f t="shared" si="51"/>
        <v>-65.599999999999994</v>
      </c>
      <c r="H2757" s="126" t="s">
        <v>2693</v>
      </c>
      <c r="I2757" s="127" t="s">
        <v>1249</v>
      </c>
      <c r="J2757" s="126">
        <v>2.64</v>
      </c>
      <c r="K2757" s="126">
        <v>40</v>
      </c>
      <c r="L2757" s="129">
        <f>INT(base[[#This Row],[Data de liquidação]])</f>
        <v>46187</v>
      </c>
      <c r="M2757" s="126">
        <f>base[[#This Row],[L/P Bruto]]-base[[#This Row],[L/P Líquido]]</f>
        <v>0</v>
      </c>
      <c r="N2757" s="126">
        <f>base[[#This Row],[L/P Líquido]]/base[[#This Row],[Stake/Responsabilidade]]</f>
        <v>-1.64</v>
      </c>
      <c r="O2757" s="132">
        <f>IF(base[[#This Row],[L/P Líquido]]&gt;0,1,0)</f>
        <v>0</v>
      </c>
      <c r="P2757" s="132"/>
      <c r="Q2757" s="132" t="str">
        <f>LEFT(base[[#This Row],[Evento / Mercado]],FIND("vs",base[[#This Row],[Evento / Mercado]])-2)</f>
        <v>Ivory Coast</v>
      </c>
      <c r="R27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Ecuador</v>
      </c>
      <c r="S2757" s="132" t="str">
        <f>LEFT(base[[#This Row],[Evento / Mercado]],FIND("/",base[[#This Row],[Evento / Mercado]])-2)</f>
        <v>Ivory Coast vs Ecuador</v>
      </c>
    </row>
    <row r="2758" spans="2:21" ht="15" customHeight="1">
      <c r="B2758" s="128" t="s">
        <v>2770</v>
      </c>
      <c r="C2758" s="128" t="s">
        <v>2982</v>
      </c>
      <c r="D2758" s="129">
        <v>46188.014756944445</v>
      </c>
      <c r="E2758" s="130">
        <v>38.200000000000003</v>
      </c>
      <c r="F2758" s="136">
        <v>4.4999999999999998E-2</v>
      </c>
      <c r="G2758" s="126">
        <f t="shared" si="51"/>
        <v>40.000000000000007</v>
      </c>
      <c r="H2758" s="126" t="s">
        <v>2693</v>
      </c>
      <c r="I2758" s="127" t="s">
        <v>299</v>
      </c>
      <c r="J2758" s="126">
        <v>3.6</v>
      </c>
      <c r="K2758" s="126">
        <v>40</v>
      </c>
      <c r="L2758" s="129">
        <f>INT(base[[#This Row],[Data de liquidação]])</f>
        <v>46188</v>
      </c>
      <c r="M2758" s="126">
        <f>base[[#This Row],[L/P Bruto]]-base[[#This Row],[L/P Líquido]]</f>
        <v>1.8000000000000043</v>
      </c>
      <c r="N2758" s="126">
        <f>base[[#This Row],[L/P Líquido]]/base[[#This Row],[Stake/Responsabilidade]]</f>
        <v>0.95500000000000007</v>
      </c>
      <c r="O2758" s="132">
        <f>IF(base[[#This Row],[L/P Líquido]]&gt;0,1,0)</f>
        <v>1</v>
      </c>
      <c r="P2758" s="132"/>
      <c r="Q2758" s="132" t="str">
        <f>LEFT(base[[#This Row],[Evento / Mercado]],FIND("vs",base[[#This Row],[Evento / Mercado]])-2)</f>
        <v>Sweden</v>
      </c>
      <c r="R27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Tunisia</v>
      </c>
      <c r="S2758" s="132" t="str">
        <f>LEFT(base[[#This Row],[Evento / Mercado]],FIND("/",base[[#This Row],[Evento / Mercado]])-2)</f>
        <v>Sweden vs Tunisia</v>
      </c>
    </row>
    <row r="2759" spans="2:21" ht="15" customHeight="1">
      <c r="B2759" s="128" t="s">
        <v>2769</v>
      </c>
      <c r="C2759" s="128" t="s">
        <v>2982</v>
      </c>
      <c r="D2759" s="129">
        <v>46188.039652777778</v>
      </c>
      <c r="E2759" s="130">
        <v>30.56</v>
      </c>
      <c r="F2759" s="136">
        <v>4.4999999999999998E-2</v>
      </c>
      <c r="G2759" s="126">
        <f t="shared" si="51"/>
        <v>32</v>
      </c>
      <c r="H2759" s="126" t="s">
        <v>2821</v>
      </c>
      <c r="I2759" s="127" t="s">
        <v>476</v>
      </c>
      <c r="J2759" s="126">
        <v>13.5</v>
      </c>
      <c r="K2759" s="126">
        <v>400</v>
      </c>
      <c r="L2759" s="129">
        <f>INT(base[[#This Row],[Data de liquidação]])</f>
        <v>46188</v>
      </c>
      <c r="M2759" s="126">
        <f>base[[#This Row],[L/P Bruto]]-base[[#This Row],[L/P Líquido]]</f>
        <v>1.4400000000000013</v>
      </c>
      <c r="N2759" s="126">
        <f>base[[#This Row],[L/P Líquido]]/base[[#This Row],[Stake/Responsabilidade]]</f>
        <v>7.6399999999999996E-2</v>
      </c>
      <c r="O2759" s="132">
        <f>IF(base[[#This Row],[L/P Líquido]]&gt;0,1,0)</f>
        <v>1</v>
      </c>
      <c r="P2759" s="132"/>
      <c r="Q2759" s="132" t="str">
        <f>LEFT(base[[#This Row],[Evento / Mercado]],FIND("vs",base[[#This Row],[Evento / Mercado]])-2)</f>
        <v>Sweden</v>
      </c>
      <c r="R27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Tunisia</v>
      </c>
      <c r="S2759" s="132" t="str">
        <f>LEFT(base[[#This Row],[Evento / Mercado]],FIND("/",base[[#This Row],[Evento / Mercado]])-2)</f>
        <v>Sweden vs Tunisia</v>
      </c>
    </row>
    <row r="2760" spans="2:21" ht="15" customHeight="1">
      <c r="B2760" s="128" t="s">
        <v>2838</v>
      </c>
      <c r="C2760" s="128" t="s">
        <v>2982</v>
      </c>
      <c r="D2760" s="129">
        <v>46188.62259259259</v>
      </c>
      <c r="E2760" s="130">
        <v>36.159999999999997</v>
      </c>
      <c r="F2760" s="136">
        <v>4.4999999999999998E-2</v>
      </c>
      <c r="G2760" s="126">
        <f t="shared" si="51"/>
        <v>37.863874345549739</v>
      </c>
      <c r="H2760" s="126" t="s">
        <v>122</v>
      </c>
      <c r="I2760" s="127" t="s">
        <v>477</v>
      </c>
      <c r="J2760" s="126">
        <v>16.920000000000002</v>
      </c>
      <c r="K2760" s="126">
        <v>397.97</v>
      </c>
      <c r="L2760" s="129">
        <f>INT(base[[#This Row],[Data de liquidação]])</f>
        <v>46188</v>
      </c>
      <c r="M2760" s="126">
        <f>base[[#This Row],[L/P Bruto]]-base[[#This Row],[L/P Líquido]]</f>
        <v>1.7038743455497425</v>
      </c>
      <c r="N2760" s="126">
        <f>base[[#This Row],[L/P Líquido]]/base[[#This Row],[Stake/Responsabilidade]]</f>
        <v>9.0861120184938554E-2</v>
      </c>
      <c r="O2760" s="132">
        <f>IF(base[[#This Row],[L/P Líquido]]&gt;0,1,0)</f>
        <v>1</v>
      </c>
      <c r="P2760" s="132" t="s">
        <v>2818</v>
      </c>
      <c r="Q2760" s="132" t="str">
        <f>LEFT(base[[#This Row],[Evento / Mercado]],FIND("vs",base[[#This Row],[Evento / Mercado]])-2)</f>
        <v>Spain</v>
      </c>
      <c r="R27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Cape Verde</v>
      </c>
      <c r="S2760" s="132" t="str">
        <f>LEFT(base[[#This Row],[Evento / Mercado]],FIND("/",base[[#This Row],[Evento / Mercado]])-2)</f>
        <v>Spain vs Cape Verde</v>
      </c>
    </row>
    <row r="2761" spans="2:21" ht="15" customHeight="1">
      <c r="B2761" s="128" t="s">
        <v>2837</v>
      </c>
      <c r="C2761" s="128" t="s">
        <v>2982</v>
      </c>
      <c r="D2761" s="129">
        <v>46188.622916666667</v>
      </c>
      <c r="E2761" s="130">
        <v>-120</v>
      </c>
      <c r="F2761" s="136">
        <v>4.4999999999999998E-2</v>
      </c>
      <c r="G2761" s="126">
        <f t="shared" si="51"/>
        <v>-120</v>
      </c>
      <c r="H2761" s="126" t="s">
        <v>2693</v>
      </c>
      <c r="I2761" s="127" t="s">
        <v>213</v>
      </c>
      <c r="J2761" s="126">
        <v>4</v>
      </c>
      <c r="K2761" s="126">
        <v>40</v>
      </c>
      <c r="L2761" s="129">
        <f>INT(base[[#This Row],[Data de liquidação]])</f>
        <v>46188</v>
      </c>
      <c r="M2761" s="126">
        <f>base[[#This Row],[L/P Bruto]]-base[[#This Row],[L/P Líquido]]</f>
        <v>0</v>
      </c>
      <c r="N2761" s="126">
        <f>base[[#This Row],[L/P Líquido]]/base[[#This Row],[Stake/Responsabilidade]]</f>
        <v>-3</v>
      </c>
      <c r="O2761" s="132">
        <f>IF(base[[#This Row],[L/P Líquido]]&gt;0,1,0)</f>
        <v>0</v>
      </c>
      <c r="P2761" s="132"/>
      <c r="Q2761" s="132" t="str">
        <f>LEFT(base[[#This Row],[Evento / Mercado]],FIND("vs",base[[#This Row],[Evento / Mercado]])-2)</f>
        <v>Spain</v>
      </c>
      <c r="R27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Cape Verde</v>
      </c>
      <c r="S2761" s="132" t="str">
        <f>LEFT(base[[#This Row],[Evento / Mercado]],FIND("/",base[[#This Row],[Evento / Mercado]])-2)</f>
        <v>Spain vs Cape Verde</v>
      </c>
    </row>
    <row r="2762" spans="2:21" ht="15" customHeight="1">
      <c r="B2762" s="128" t="s">
        <v>2836</v>
      </c>
      <c r="C2762" s="128" t="s">
        <v>2982</v>
      </c>
      <c r="D2762" s="129">
        <v>46188.623020833336</v>
      </c>
      <c r="E2762" s="130">
        <v>9.3000000000000007</v>
      </c>
      <c r="F2762" s="136">
        <v>0</v>
      </c>
      <c r="G2762" s="126">
        <f t="shared" si="51"/>
        <v>9.3000000000000007</v>
      </c>
      <c r="H2762" s="126" t="s">
        <v>145</v>
      </c>
      <c r="I2762" s="127" t="s">
        <v>2877</v>
      </c>
      <c r="J2762" s="126">
        <v>44</v>
      </c>
      <c r="K2762" s="126">
        <v>400.01</v>
      </c>
      <c r="L2762" s="129">
        <f>INT(base[[#This Row],[Data de liquidação]])</f>
        <v>46188</v>
      </c>
      <c r="M2762" s="126">
        <f>base[[#This Row],[L/P Bruto]]-base[[#This Row],[L/P Líquido]]</f>
        <v>0</v>
      </c>
      <c r="N2762" s="126">
        <f>base[[#This Row],[L/P Líquido]]/base[[#This Row],[Stake/Responsabilidade]]</f>
        <v>2.3249418764530887E-2</v>
      </c>
      <c r="O2762" s="132">
        <f>IF(base[[#This Row],[L/P Líquido]]&gt;0,1,0)</f>
        <v>1</v>
      </c>
      <c r="P2762" s="132" t="s">
        <v>2818</v>
      </c>
      <c r="Q2762" s="132" t="str">
        <f>LEFT(base[[#This Row],[Evento / Mercado]],FIND("vs",base[[#This Row],[Evento / Mercado]])-2)</f>
        <v>Spain</v>
      </c>
      <c r="R27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Cape Verde</v>
      </c>
      <c r="S2762" s="132" t="str">
        <f>LEFT(base[[#This Row],[Evento / Mercado]],FIND("/",base[[#This Row],[Evento / Mercado]])-2)</f>
        <v>Spain vs Cape Verde</v>
      </c>
    </row>
    <row r="2763" spans="2:21" ht="15" customHeight="1">
      <c r="B2763" s="128" t="s">
        <v>2836</v>
      </c>
      <c r="C2763" s="128" t="s">
        <v>2982</v>
      </c>
      <c r="D2763" s="129">
        <v>46188.623020833336</v>
      </c>
      <c r="E2763" s="130">
        <v>-400.01</v>
      </c>
      <c r="F2763" s="136">
        <v>4.4999999999999998E-2</v>
      </c>
      <c r="G2763" s="126">
        <f t="shared" si="51"/>
        <v>-400.01</v>
      </c>
      <c r="H2763" s="126" t="s">
        <v>1233</v>
      </c>
      <c r="I2763" s="127"/>
      <c r="J2763" s="126">
        <v>18</v>
      </c>
      <c r="K2763" s="126">
        <v>400.01</v>
      </c>
      <c r="L2763" s="129">
        <f>INT(base[[#This Row],[Data de liquidação]])</f>
        <v>46188</v>
      </c>
      <c r="M2763" s="126">
        <f>base[[#This Row],[L/P Bruto]]-base[[#This Row],[L/P Líquido]]</f>
        <v>0</v>
      </c>
      <c r="N2763" s="126">
        <f>base[[#This Row],[L/P Líquido]]/base[[#This Row],[Stake/Responsabilidade]]</f>
        <v>-1</v>
      </c>
      <c r="O2763" s="132">
        <f>IF(base[[#This Row],[L/P Líquido]]&gt;0,1,0)</f>
        <v>0</v>
      </c>
      <c r="P2763" s="132" t="s">
        <v>2818</v>
      </c>
      <c r="Q2763" s="132" t="str">
        <f>LEFT(base[[#This Row],[Evento / Mercado]],FIND("vs",base[[#This Row],[Evento / Mercado]])-2)</f>
        <v>Spain</v>
      </c>
      <c r="R27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Cape Verde</v>
      </c>
      <c r="S2763" s="132" t="str">
        <f>LEFT(base[[#This Row],[Evento / Mercado]],FIND("/",base[[#This Row],[Evento / Mercado]])-2)</f>
        <v>Spain vs Cape Verde</v>
      </c>
    </row>
    <row r="2764" spans="2:21" ht="15" customHeight="1">
      <c r="B2764" s="128" t="s">
        <v>2835</v>
      </c>
      <c r="C2764" s="128" t="s">
        <v>2982</v>
      </c>
      <c r="D2764" s="129">
        <v>46188.648599537039</v>
      </c>
      <c r="E2764" s="130">
        <v>38.200000000000003</v>
      </c>
      <c r="F2764" s="136">
        <v>4.4999999999999998E-2</v>
      </c>
      <c r="G2764" s="126">
        <f t="shared" si="51"/>
        <v>40.000000000000007</v>
      </c>
      <c r="H2764" s="126" t="s">
        <v>2693</v>
      </c>
      <c r="I2764" s="127" t="s">
        <v>1249</v>
      </c>
      <c r="J2764" s="126">
        <v>4</v>
      </c>
      <c r="K2764" s="126">
        <v>40</v>
      </c>
      <c r="L2764" s="129">
        <f>INT(base[[#This Row],[Data de liquidação]])</f>
        <v>46188</v>
      </c>
      <c r="M2764" s="126">
        <f>base[[#This Row],[L/P Bruto]]-base[[#This Row],[L/P Líquido]]</f>
        <v>1.8000000000000043</v>
      </c>
      <c r="N2764" s="126">
        <f>base[[#This Row],[L/P Líquido]]/base[[#This Row],[Stake/Responsabilidade]]</f>
        <v>0.95500000000000007</v>
      </c>
      <c r="O2764" s="132">
        <f>IF(base[[#This Row],[L/P Líquido]]&gt;0,1,0)</f>
        <v>1</v>
      </c>
      <c r="P2764" s="132"/>
      <c r="Q2764" s="132" t="str">
        <f>LEFT(base[[#This Row],[Evento / Mercado]],FIND("vs",base[[#This Row],[Evento / Mercado]])-2)</f>
        <v>IFK Norrköping</v>
      </c>
      <c r="R27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Varbergs BoIS</v>
      </c>
      <c r="S2764" s="132" t="str">
        <f>LEFT(base[[#This Row],[Evento / Mercado]],FIND("/",base[[#This Row],[Evento / Mercado]])-2)</f>
        <v>IFK Norrköping vs Varbergs BoIS</v>
      </c>
    </row>
    <row r="2765" spans="2:21" ht="15" customHeight="1">
      <c r="B2765" s="128" t="s">
        <v>2834</v>
      </c>
      <c r="C2765" s="128" t="s">
        <v>2982</v>
      </c>
      <c r="D2765" s="129">
        <v>46188.660844907405</v>
      </c>
      <c r="E2765" s="130">
        <v>29.33</v>
      </c>
      <c r="F2765" s="136">
        <v>4.4999999999999998E-2</v>
      </c>
      <c r="G2765" s="126">
        <f t="shared" si="51"/>
        <v>30.712041884816752</v>
      </c>
      <c r="H2765" s="126" t="s">
        <v>74</v>
      </c>
      <c r="I2765" s="127" t="s">
        <v>542</v>
      </c>
      <c r="J2765" s="126">
        <v>15</v>
      </c>
      <c r="K2765" s="126">
        <v>429.94</v>
      </c>
      <c r="L2765" s="129">
        <f>INT(base[[#This Row],[Data de liquidação]])</f>
        <v>46188</v>
      </c>
      <c r="M2765" s="126">
        <f>base[[#This Row],[L/P Bruto]]-base[[#This Row],[L/P Líquido]]</f>
        <v>1.3820418848167542</v>
      </c>
      <c r="N2765" s="126">
        <f>base[[#This Row],[L/P Líquido]]/base[[#This Row],[Stake/Responsabilidade]]</f>
        <v>6.821882123086942E-2</v>
      </c>
      <c r="O2765" s="132">
        <f>IF(base[[#This Row],[L/P Líquido]]&gt;0,1,0)</f>
        <v>1</v>
      </c>
      <c r="P2765" s="132" t="s">
        <v>2065</v>
      </c>
      <c r="Q2765" s="132" t="str">
        <f>LEFT(base[[#This Row],[Evento / Mercado]],FIND("vs",base[[#This Row],[Evento / Mercado]])-2)</f>
        <v>GIF Sundsvall</v>
      </c>
      <c r="R27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 IF</v>
      </c>
      <c r="S2765" s="132" t="str">
        <f>LEFT(base[[#This Row],[Evento / Mercado]],FIND("/",base[[#This Row],[Evento / Mercado]])-2)</f>
        <v>GIF Sundsvall vs Östers IF</v>
      </c>
    </row>
    <row r="2766" spans="2:21" ht="15" customHeight="1">
      <c r="B2766" s="128" t="s">
        <v>2833</v>
      </c>
      <c r="C2766" s="128" t="s">
        <v>2982</v>
      </c>
      <c r="D2766" s="129">
        <v>46188.661006944443</v>
      </c>
      <c r="E2766" s="130">
        <v>-5</v>
      </c>
      <c r="F2766" s="136">
        <v>4.4999999999999998E-2</v>
      </c>
      <c r="G2766" s="126">
        <f t="shared" si="51"/>
        <v>-5</v>
      </c>
      <c r="H2766" s="126" t="s">
        <v>1339</v>
      </c>
      <c r="I2766" s="127" t="s">
        <v>2404</v>
      </c>
      <c r="J2766" s="126">
        <v>1.61</v>
      </c>
      <c r="K2766" s="126">
        <v>5</v>
      </c>
      <c r="L2766" s="129">
        <f>INT(base[[#This Row],[Data de liquidação]])</f>
        <v>46188</v>
      </c>
      <c r="M2766" s="126">
        <f>base[[#This Row],[L/P Bruto]]-base[[#This Row],[L/P Líquido]]</f>
        <v>0</v>
      </c>
      <c r="N2766" s="126">
        <f>base[[#This Row],[L/P Líquido]]/base[[#This Row],[Stake/Responsabilidade]]</f>
        <v>-1</v>
      </c>
      <c r="O2766" s="132">
        <f>IF(base[[#This Row],[L/P Líquido]]&gt;0,1,0)</f>
        <v>0</v>
      </c>
      <c r="P2766" s="132"/>
      <c r="Q2766" s="132" t="str">
        <f>LEFT(base[[#This Row],[Evento / Mercado]],FIND("vs",base[[#This Row],[Evento / Mercado]])-2)</f>
        <v>GIF Sundsvall</v>
      </c>
      <c r="R27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 IF</v>
      </c>
      <c r="S2766" s="132" t="str">
        <f>LEFT(base[[#This Row],[Evento / Mercado]],FIND("/",base[[#This Row],[Evento / Mercado]])-2)</f>
        <v>GIF Sundsvall vs Östers IF</v>
      </c>
    </row>
    <row r="2767" spans="2:21" ht="15" customHeight="1">
      <c r="B2767" s="128" t="s">
        <v>2832</v>
      </c>
      <c r="C2767" s="128" t="s">
        <v>2982</v>
      </c>
      <c r="D2767" s="129">
        <v>46188.731423611112</v>
      </c>
      <c r="E2767" s="130">
        <v>38.200000000000003</v>
      </c>
      <c r="F2767" s="136">
        <v>4.4999999999999998E-2</v>
      </c>
      <c r="G2767" s="126">
        <f t="shared" si="51"/>
        <v>40.000000000000007</v>
      </c>
      <c r="H2767" s="126" t="s">
        <v>2693</v>
      </c>
      <c r="I2767" s="127" t="s">
        <v>1249</v>
      </c>
      <c r="J2767" s="126">
        <v>4</v>
      </c>
      <c r="K2767" s="126">
        <v>40</v>
      </c>
      <c r="L2767" s="129">
        <f>INT(base[[#This Row],[Data de liquidação]])</f>
        <v>46188</v>
      </c>
      <c r="M2767" s="126">
        <f>base[[#This Row],[L/P Bruto]]-base[[#This Row],[L/P Líquido]]</f>
        <v>1.8000000000000043</v>
      </c>
      <c r="N2767" s="126">
        <f>base[[#This Row],[L/P Líquido]]/base[[#This Row],[Stake/Responsabilidade]]</f>
        <v>0.95500000000000007</v>
      </c>
      <c r="O2767" s="132">
        <f>IF(base[[#This Row],[L/P Líquido]]&gt;0,1,0)</f>
        <v>1</v>
      </c>
      <c r="P2767" s="132"/>
      <c r="Q2767" s="132" t="str">
        <f>LEFT(base[[#This Row],[Evento / Mercado]],FIND("vs",base[[#This Row],[Evento / Mercado]])-2)</f>
        <v>Belgium</v>
      </c>
      <c r="R27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2767" s="132" t="str">
        <f>LEFT(base[[#This Row],[Evento / Mercado]],FIND("/",base[[#This Row],[Evento / Mercado]])-2)</f>
        <v>Belgium vs Egypt</v>
      </c>
    </row>
    <row r="2768" spans="2:21" ht="15" customHeight="1">
      <c r="B2768" s="128" t="s">
        <v>2831</v>
      </c>
      <c r="C2768" s="128" t="s">
        <v>2982</v>
      </c>
      <c r="D2768" s="129">
        <v>46188.748425925929</v>
      </c>
      <c r="E2768" s="130">
        <v>35.7361</v>
      </c>
      <c r="F2768" s="136">
        <v>4.4999999999999998E-2</v>
      </c>
      <c r="G2768" s="126">
        <f t="shared" si="51"/>
        <v>37.42</v>
      </c>
      <c r="H2768" s="126" t="s">
        <v>2714</v>
      </c>
      <c r="I2768" s="127" t="s">
        <v>2715</v>
      </c>
      <c r="J2768" s="126"/>
      <c r="K2768" s="126">
        <v>100</v>
      </c>
      <c r="L2768" s="129">
        <f>INT(base[[#This Row],[Data de liquidação]])</f>
        <v>46188</v>
      </c>
      <c r="M2768" s="126">
        <f>base[[#This Row],[L/P Bruto]]-base[[#This Row],[L/P Líquido]]</f>
        <v>1.6839000000000013</v>
      </c>
      <c r="N2768" s="126">
        <f>base[[#This Row],[L/P Líquido]]/base[[#This Row],[Stake/Responsabilidade]]</f>
        <v>0.35736099999999998</v>
      </c>
      <c r="O2768" s="132">
        <f>IF(base[[#This Row],[L/P Líquido]]&gt;0,1,0)</f>
        <v>1</v>
      </c>
      <c r="P2768" s="132"/>
      <c r="Q2768" s="132" t="str">
        <f>LEFT(base[[#This Row],[Evento / Mercado]],FIND("vs",base[[#This Row],[Evento / Mercado]])-2)</f>
        <v>Belgium</v>
      </c>
      <c r="R27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2768" s="132" t="str">
        <f>LEFT(base[[#This Row],[Evento / Mercado]],FIND("/",base[[#This Row],[Evento / Mercado]])-2)</f>
        <v>Belgium vs Egypt</v>
      </c>
      <c r="T2768" s="8">
        <v>37.42</v>
      </c>
      <c r="U2768" s="9">
        <f t="shared" ref="U2768:U2769" si="52">T2768*0.955</f>
        <v>35.7361</v>
      </c>
    </row>
    <row r="2769" spans="2:21" ht="15" customHeight="1">
      <c r="B2769" s="128" t="s">
        <v>2831</v>
      </c>
      <c r="C2769" s="128" t="s">
        <v>2982</v>
      </c>
      <c r="D2769" s="129">
        <v>46188.748425925929</v>
      </c>
      <c r="E2769" s="130">
        <v>24.409799999999997</v>
      </c>
      <c r="F2769" s="136">
        <v>4.4999999999999998E-2</v>
      </c>
      <c r="G2769" s="126">
        <f t="shared" si="51"/>
        <v>25.56</v>
      </c>
      <c r="H2769" s="126" t="s">
        <v>2821</v>
      </c>
      <c r="I2769" s="127" t="s">
        <v>476</v>
      </c>
      <c r="J2769" s="126">
        <v>19</v>
      </c>
      <c r="K2769" s="126">
        <v>460.08</v>
      </c>
      <c r="L2769" s="129">
        <f>INT(base[[#This Row],[Data de liquidação]])</f>
        <v>46188</v>
      </c>
      <c r="M2769" s="126">
        <f>base[[#This Row],[L/P Bruto]]-base[[#This Row],[L/P Líquido]]</f>
        <v>1.1502000000000017</v>
      </c>
      <c r="N2769" s="126">
        <f>base[[#This Row],[L/P Líquido]]/base[[#This Row],[Stake/Responsabilidade]]</f>
        <v>5.305555555555555E-2</v>
      </c>
      <c r="O2769" s="132">
        <f>IF(base[[#This Row],[L/P Líquido]]&gt;0,1,0)</f>
        <v>1</v>
      </c>
      <c r="P2769" s="132"/>
      <c r="Q2769" s="132" t="str">
        <f>LEFT(base[[#This Row],[Evento / Mercado]],FIND("vs",base[[#This Row],[Evento / Mercado]])-2)</f>
        <v>Belgium</v>
      </c>
      <c r="R27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2769" s="132" t="str">
        <f>LEFT(base[[#This Row],[Evento / Mercado]],FIND("/",base[[#This Row],[Evento / Mercado]])-2)</f>
        <v>Belgium vs Egypt</v>
      </c>
      <c r="T2769" s="8">
        <v>25.56</v>
      </c>
      <c r="U2769" s="9">
        <f t="shared" si="52"/>
        <v>24.409799999999997</v>
      </c>
    </row>
    <row r="2770" spans="2:21" ht="15" customHeight="1">
      <c r="B2770" s="128" t="s">
        <v>2830</v>
      </c>
      <c r="C2770" s="128" t="s">
        <v>2982</v>
      </c>
      <c r="D2770" s="129">
        <v>46188.748865740738</v>
      </c>
      <c r="E2770" s="130">
        <v>0</v>
      </c>
      <c r="F2770" s="136">
        <v>4.4999999999999998E-2</v>
      </c>
      <c r="G2770" s="126">
        <f t="shared" si="51"/>
        <v>0</v>
      </c>
      <c r="H2770" s="126" t="s">
        <v>2820</v>
      </c>
      <c r="I2770" s="127" t="s">
        <v>13</v>
      </c>
      <c r="J2770" s="126">
        <v>1.93</v>
      </c>
      <c r="K2770" s="126">
        <v>50</v>
      </c>
      <c r="L2770" s="129">
        <f>INT(base[[#This Row],[Data de liquidação]])</f>
        <v>46188</v>
      </c>
      <c r="M2770" s="126">
        <f>base[[#This Row],[L/P Bruto]]-base[[#This Row],[L/P Líquido]]</f>
        <v>0</v>
      </c>
      <c r="N2770" s="126">
        <f>base[[#This Row],[L/P Líquido]]/base[[#This Row],[Stake/Responsabilidade]]</f>
        <v>0</v>
      </c>
      <c r="O2770" s="132">
        <f>IF(base[[#This Row],[L/P Líquido]]&gt;0,1,0)</f>
        <v>0</v>
      </c>
      <c r="P2770" s="132"/>
      <c r="Q2770" s="132" t="str">
        <f>LEFT(base[[#This Row],[Evento / Mercado]],FIND("vs",base[[#This Row],[Evento / Mercado]])-2)</f>
        <v>Belgium</v>
      </c>
      <c r="R27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2770" s="132" t="str">
        <f>LEFT(base[[#This Row],[Evento / Mercado]],FIND("/",base[[#This Row],[Evento / Mercado]])-2)</f>
        <v>Belgium vs Egypt</v>
      </c>
    </row>
    <row r="2771" spans="2:21" ht="15" customHeight="1">
      <c r="B2771" s="128" t="s">
        <v>2829</v>
      </c>
      <c r="C2771" s="128" t="s">
        <v>2982</v>
      </c>
      <c r="D2771" s="129">
        <v>46188.749050925922</v>
      </c>
      <c r="E2771" s="130">
        <v>68.22</v>
      </c>
      <c r="F2771" s="136">
        <v>4.4999999999999998E-2</v>
      </c>
      <c r="G2771" s="126">
        <f t="shared" si="51"/>
        <v>71.434554973821989</v>
      </c>
      <c r="H2771" s="126" t="s">
        <v>145</v>
      </c>
      <c r="I2771" s="127" t="s">
        <v>2877</v>
      </c>
      <c r="J2771" s="126">
        <v>6.6</v>
      </c>
      <c r="K2771" s="126">
        <v>400.01</v>
      </c>
      <c r="L2771" s="129">
        <f>INT(base[[#This Row],[Data de liquidação]])</f>
        <v>46188</v>
      </c>
      <c r="M2771" s="126">
        <f>base[[#This Row],[L/P Bruto]]-base[[#This Row],[L/P Líquido]]</f>
        <v>3.2145549738219898</v>
      </c>
      <c r="N2771" s="126">
        <f>base[[#This Row],[L/P Líquido]]/base[[#This Row],[Stake/Responsabilidade]]</f>
        <v>0.17054573635659109</v>
      </c>
      <c r="O2771" s="132">
        <f>IF(base[[#This Row],[L/P Líquido]]&gt;0,1,0)</f>
        <v>1</v>
      </c>
      <c r="P2771" s="132" t="s">
        <v>2818</v>
      </c>
      <c r="Q2771" s="132" t="str">
        <f>LEFT(base[[#This Row],[Evento / Mercado]],FIND("vs",base[[#This Row],[Evento / Mercado]])-2)</f>
        <v>Belgium</v>
      </c>
      <c r="R27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2771" s="132" t="str">
        <f>LEFT(base[[#This Row],[Evento / Mercado]],FIND("/",base[[#This Row],[Evento / Mercado]])-2)</f>
        <v>Belgium vs Egypt</v>
      </c>
    </row>
    <row r="2772" spans="2:21" ht="15" customHeight="1">
      <c r="B2772" s="128" t="s">
        <v>2828</v>
      </c>
      <c r="C2772" s="128" t="s">
        <v>2982</v>
      </c>
      <c r="D2772" s="129">
        <v>46188.866053240738</v>
      </c>
      <c r="E2772" s="130">
        <v>38.200000000000003</v>
      </c>
      <c r="F2772" s="136">
        <v>4.4999999999999998E-2</v>
      </c>
      <c r="G2772" s="126">
        <f t="shared" si="51"/>
        <v>40.000000000000007</v>
      </c>
      <c r="H2772" s="126" t="s">
        <v>2693</v>
      </c>
      <c r="I2772" s="127" t="s">
        <v>1249</v>
      </c>
      <c r="J2772" s="126">
        <v>4.2</v>
      </c>
      <c r="K2772" s="126">
        <v>40</v>
      </c>
      <c r="L2772" s="129">
        <f>INT(base[[#This Row],[Data de liquidação]])</f>
        <v>46188</v>
      </c>
      <c r="M2772" s="126">
        <f>base[[#This Row],[L/P Bruto]]-base[[#This Row],[L/P Líquido]]</f>
        <v>1.8000000000000043</v>
      </c>
      <c r="N2772" s="126">
        <f>base[[#This Row],[L/P Líquido]]/base[[#This Row],[Stake/Responsabilidade]]</f>
        <v>0.95500000000000007</v>
      </c>
      <c r="O2772" s="132">
        <f>IF(base[[#This Row],[L/P Líquido]]&gt;0,1,0)</f>
        <v>1</v>
      </c>
      <c r="P2772" s="132"/>
      <c r="Q2772" s="132" t="str">
        <f>LEFT(base[[#This Row],[Evento / Mercado]],FIND("vs",base[[#This Row],[Evento / Mercado]])-2)</f>
        <v>Saudi Arabia</v>
      </c>
      <c r="R27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Uruguay</v>
      </c>
      <c r="S2772" s="132" t="str">
        <f>LEFT(base[[#This Row],[Evento / Mercado]],FIND("/",base[[#This Row],[Evento / Mercado]])-2)</f>
        <v>Saudi Arabia vs Uruguay</v>
      </c>
      <c r="U2772" s="9"/>
    </row>
    <row r="2773" spans="2:21" ht="15" customHeight="1">
      <c r="B2773" s="128" t="s">
        <v>2827</v>
      </c>
      <c r="C2773" s="128" t="s">
        <v>2982</v>
      </c>
      <c r="D2773" s="129">
        <v>46188.959201388891</v>
      </c>
      <c r="E2773" s="130">
        <v>8.42</v>
      </c>
      <c r="F2773" s="136">
        <v>4.4999999999999998E-2</v>
      </c>
      <c r="G2773" s="126">
        <f t="shared" si="51"/>
        <v>8.8167539267015709</v>
      </c>
      <c r="H2773" s="126" t="s">
        <v>2817</v>
      </c>
      <c r="I2773" s="127" t="s">
        <v>2994</v>
      </c>
      <c r="J2773" s="126">
        <v>5</v>
      </c>
      <c r="K2773" s="126">
        <v>50</v>
      </c>
      <c r="L2773" s="129">
        <f>INT(base[[#This Row],[Data de liquidação]])</f>
        <v>46188</v>
      </c>
      <c r="M2773" s="126">
        <f>base[[#This Row],[L/P Bruto]]-base[[#This Row],[L/P Líquido]]</f>
        <v>0.39675392670157095</v>
      </c>
      <c r="N2773" s="126">
        <f>base[[#This Row],[L/P Líquido]]/base[[#This Row],[Stake/Responsabilidade]]</f>
        <v>0.16839999999999999</v>
      </c>
      <c r="O2773" s="132">
        <f>IF(base[[#This Row],[L/P Líquido]]&gt;0,1,0)</f>
        <v>1</v>
      </c>
      <c r="P2773" s="132"/>
      <c r="Q2773" s="132" t="str">
        <f>LEFT(base[[#This Row],[Evento / Mercado]],FIND("vs",base[[#This Row],[Evento / Mercado]])-2)</f>
        <v>Criciúma EC</v>
      </c>
      <c r="R27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Ceará SC</v>
      </c>
      <c r="S2773" s="132" t="str">
        <f>LEFT(base[[#This Row],[Evento / Mercado]],FIND("/",base[[#This Row],[Evento / Mercado]])-2)</f>
        <v>Criciúma EC vs Ceará SC</v>
      </c>
    </row>
    <row r="2774" spans="2:21" ht="15" customHeight="1">
      <c r="B2774" s="128" t="s">
        <v>2826</v>
      </c>
      <c r="C2774" s="128" t="s">
        <v>2982</v>
      </c>
      <c r="D2774" s="129">
        <v>46188.974270833336</v>
      </c>
      <c r="E2774" s="130">
        <v>38.200000000000003</v>
      </c>
      <c r="F2774" s="136">
        <v>4.4999999999999998E-2</v>
      </c>
      <c r="G2774" s="126">
        <f t="shared" si="51"/>
        <v>40.000000000000007</v>
      </c>
      <c r="H2774" s="126" t="s">
        <v>2693</v>
      </c>
      <c r="I2774" s="127" t="s">
        <v>213</v>
      </c>
      <c r="J2774" s="126">
        <v>4</v>
      </c>
      <c r="K2774" s="126">
        <v>40</v>
      </c>
      <c r="L2774" s="129">
        <f>INT(base[[#This Row],[Data de liquidação]])</f>
        <v>46188</v>
      </c>
      <c r="M2774" s="126">
        <f>base[[#This Row],[L/P Bruto]]-base[[#This Row],[L/P Líquido]]</f>
        <v>1.8000000000000043</v>
      </c>
      <c r="N2774" s="126">
        <f>base[[#This Row],[L/P Líquido]]/base[[#This Row],[Stake/Responsabilidade]]</f>
        <v>0.95500000000000007</v>
      </c>
      <c r="O2774" s="132">
        <f>IF(base[[#This Row],[L/P Líquido]]&gt;0,1,0)</f>
        <v>1</v>
      </c>
      <c r="P2774" s="132"/>
      <c r="Q2774" s="132" t="str">
        <f>LEFT(base[[#This Row],[Evento / Mercado]],FIND("vs",base[[#This Row],[Evento / Mercado]])-2)</f>
        <v>Iran</v>
      </c>
      <c r="R27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Zealand</v>
      </c>
      <c r="S2774" s="132" t="str">
        <f>LEFT(base[[#This Row],[Evento / Mercado]],FIND("/",base[[#This Row],[Evento / Mercado]])-2)</f>
        <v>Iran vs New Zealand</v>
      </c>
    </row>
    <row r="2775" spans="2:21" ht="15" customHeight="1">
      <c r="B2775" s="128" t="s">
        <v>2825</v>
      </c>
      <c r="C2775" s="128" t="s">
        <v>2982</v>
      </c>
      <c r="D2775" s="129">
        <v>46189.00203703704</v>
      </c>
      <c r="E2775" s="130">
        <v>38.6</v>
      </c>
      <c r="F2775" s="136">
        <v>4.4999999999999998E-2</v>
      </c>
      <c r="G2775" s="126">
        <f t="shared" si="51"/>
        <v>40.418848167539274</v>
      </c>
      <c r="H2775" s="126" t="s">
        <v>2821</v>
      </c>
      <c r="I2775" s="127" t="s">
        <v>476</v>
      </c>
      <c r="J2775" s="126">
        <v>13</v>
      </c>
      <c r="K2775" s="126">
        <v>485.04</v>
      </c>
      <c r="L2775" s="129">
        <f>INT(base[[#This Row],[Data de liquidação]])</f>
        <v>46189</v>
      </c>
      <c r="M2775" s="126">
        <f>base[[#This Row],[L/P Bruto]]-base[[#This Row],[L/P Líquido]]</f>
        <v>1.8188481675392723</v>
      </c>
      <c r="N2775" s="126">
        <f>base[[#This Row],[L/P Líquido]]/base[[#This Row],[Stake/Responsabilidade]]</f>
        <v>7.9581065479135737E-2</v>
      </c>
      <c r="O2775" s="132">
        <f>IF(base[[#This Row],[L/P Líquido]]&gt;0,1,0)</f>
        <v>1</v>
      </c>
      <c r="P2775" s="132"/>
      <c r="Q2775" s="132" t="str">
        <f>LEFT(base[[#This Row],[Evento / Mercado]],FIND("vs",base[[#This Row],[Evento / Mercado]])-2)</f>
        <v>Iran</v>
      </c>
      <c r="R27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Zealand</v>
      </c>
      <c r="S2775" s="132" t="str">
        <f>LEFT(base[[#This Row],[Evento / Mercado]],FIND("/",base[[#This Row],[Evento / Mercado]])-2)</f>
        <v>Iran vs New Zealand</v>
      </c>
    </row>
    <row r="2776" spans="2:21" ht="15" customHeight="1">
      <c r="B2776" s="128" t="s">
        <v>2870</v>
      </c>
      <c r="C2776" s="128" t="s">
        <v>2982</v>
      </c>
      <c r="D2776" s="129">
        <v>46189.577118055553</v>
      </c>
      <c r="E2776" s="130">
        <v>-120</v>
      </c>
      <c r="F2776" s="136">
        <v>4.4999999999999998E-2</v>
      </c>
      <c r="G2776" s="126">
        <f t="shared" si="51"/>
        <v>-120</v>
      </c>
      <c r="H2776" s="126" t="s">
        <v>2693</v>
      </c>
      <c r="I2776" s="127" t="s">
        <v>379</v>
      </c>
      <c r="J2776" s="126">
        <v>4</v>
      </c>
      <c r="K2776" s="126">
        <v>40</v>
      </c>
      <c r="L2776" s="129">
        <f>INT(base[[#This Row],[Data de liquidação]])</f>
        <v>46189</v>
      </c>
      <c r="M2776" s="126">
        <f>base[[#This Row],[L/P Bruto]]-base[[#This Row],[L/P Líquido]]</f>
        <v>0</v>
      </c>
      <c r="N2776" s="126">
        <f>base[[#This Row],[L/P Líquido]]/base[[#This Row],[Stake/Responsabilidade]]</f>
        <v>-3</v>
      </c>
      <c r="O2776" s="132">
        <f>IF(base[[#This Row],[L/P Líquido]]&gt;0,1,0)</f>
        <v>0</v>
      </c>
      <c r="P2776" s="132"/>
      <c r="Q2776" s="132" t="str">
        <f>LEFT(base[[#This Row],[Evento / Mercado]],FIND("vs",base[[#This Row],[Evento / Mercado]])-2)</f>
        <v>BFC Daugavpils</v>
      </c>
      <c r="R27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Super Nova</v>
      </c>
      <c r="S2776" s="132" t="str">
        <f>LEFT(base[[#This Row],[Evento / Mercado]],FIND("/",base[[#This Row],[Evento / Mercado]])-2)</f>
        <v>BFC Daugavpils vs SK Super Nova</v>
      </c>
    </row>
    <row r="2777" spans="2:21" ht="15" customHeight="1">
      <c r="B2777" s="128" t="s">
        <v>2869</v>
      </c>
      <c r="C2777" s="128" t="s">
        <v>2982</v>
      </c>
      <c r="D2777" s="129">
        <v>46189.607233796298</v>
      </c>
      <c r="E2777" s="130">
        <v>38.200000000000003</v>
      </c>
      <c r="F2777" s="136">
        <v>4.4999999999999998E-2</v>
      </c>
      <c r="G2777" s="126">
        <f t="shared" si="51"/>
        <v>40.000000000000007</v>
      </c>
      <c r="H2777" s="126" t="s">
        <v>2693</v>
      </c>
      <c r="I2777" s="127" t="s">
        <v>213</v>
      </c>
      <c r="J2777" s="126">
        <v>3.95</v>
      </c>
      <c r="K2777" s="126">
        <v>40</v>
      </c>
      <c r="L2777" s="129">
        <f>INT(base[[#This Row],[Data de liquidação]])</f>
        <v>46189</v>
      </c>
      <c r="M2777" s="126">
        <f>base[[#This Row],[L/P Bruto]]-base[[#This Row],[L/P Líquido]]</f>
        <v>1.8000000000000043</v>
      </c>
      <c r="N2777" s="126">
        <f>base[[#This Row],[L/P Líquido]]/base[[#This Row],[Stake/Responsabilidade]]</f>
        <v>0.95500000000000007</v>
      </c>
      <c r="O2777" s="132">
        <f>IF(base[[#This Row],[L/P Líquido]]&gt;0,1,0)</f>
        <v>1</v>
      </c>
      <c r="P2777" s="132"/>
      <c r="Q2777" s="132" t="str">
        <f>LEFT(base[[#This Row],[Evento / Mercado]],FIND("vs",base[[#This Row],[Evento / Mercado]])-2)</f>
        <v>Pärnu JK Vaprus</v>
      </c>
      <c r="R27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Tallinna FC Flora</v>
      </c>
      <c r="S2777" s="132" t="str">
        <f>LEFT(base[[#This Row],[Evento / Mercado]],FIND("/",base[[#This Row],[Evento / Mercado]])-2)</f>
        <v>Pärnu JK Vaprus vs Tallinna FC Flora</v>
      </c>
    </row>
    <row r="2778" spans="2:21" ht="15" customHeight="1">
      <c r="B2778" s="128" t="s">
        <v>2868</v>
      </c>
      <c r="C2778" s="128" t="s">
        <v>2982</v>
      </c>
      <c r="D2778" s="129">
        <v>46189.619745370372</v>
      </c>
      <c r="E2778" s="130">
        <v>-112.5</v>
      </c>
      <c r="F2778" s="136">
        <v>4.4999999999999998E-2</v>
      </c>
      <c r="G2778" s="126">
        <f t="shared" si="51"/>
        <v>-112.5</v>
      </c>
      <c r="H2778" s="126" t="s">
        <v>2758</v>
      </c>
      <c r="I2778" s="127" t="s">
        <v>1447</v>
      </c>
      <c r="J2778" s="126">
        <v>1.08</v>
      </c>
      <c r="K2778" s="126">
        <v>112.5</v>
      </c>
      <c r="L2778" s="129">
        <f>INT(base[[#This Row],[Data de liquidação]])</f>
        <v>46189</v>
      </c>
      <c r="M2778" s="126">
        <f>base[[#This Row],[L/P Bruto]]-base[[#This Row],[L/P Líquido]]</f>
        <v>0</v>
      </c>
      <c r="N2778" s="126">
        <f>base[[#This Row],[L/P Líquido]]/base[[#This Row],[Stake/Responsabilidade]]</f>
        <v>-1</v>
      </c>
      <c r="O2778" s="132">
        <f>IF(base[[#This Row],[L/P Líquido]]&gt;0,1,0)</f>
        <v>0</v>
      </c>
      <c r="P2778" s="132"/>
      <c r="Q2778" s="132" t="str">
        <f>LEFT(base[[#This Row],[Evento / Mercado]],FIND("vs",base[[#This Row],[Evento / Mercado]])-2)</f>
        <v>FC Kuressaare</v>
      </c>
      <c r="R27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Narva Trans</v>
      </c>
      <c r="S2778" s="132" t="str">
        <f>LEFT(base[[#This Row],[Evento / Mercado]],FIND("/",base[[#This Row],[Evento / Mercado]])-2)</f>
        <v>FC Kuressaare vs Narva Trans</v>
      </c>
    </row>
    <row r="2779" spans="2:21" ht="15" customHeight="1">
      <c r="B2779" s="128" t="s">
        <v>2868</v>
      </c>
      <c r="C2779" s="128" t="s">
        <v>2982</v>
      </c>
      <c r="D2779" s="129">
        <v>46189.619745370372</v>
      </c>
      <c r="E2779" s="130">
        <v>-120</v>
      </c>
      <c r="F2779" s="136">
        <v>4.4999999999999998E-2</v>
      </c>
      <c r="G2779" s="126">
        <f t="shared" si="51"/>
        <v>-120</v>
      </c>
      <c r="H2779" s="126" t="s">
        <v>2693</v>
      </c>
      <c r="I2779" s="127" t="s">
        <v>379</v>
      </c>
      <c r="J2779" s="126">
        <v>4</v>
      </c>
      <c r="K2779" s="126">
        <v>40</v>
      </c>
      <c r="L2779" s="129">
        <f>INT(base[[#This Row],[Data de liquidação]])</f>
        <v>46189</v>
      </c>
      <c r="M2779" s="126">
        <f>base[[#This Row],[L/P Bruto]]-base[[#This Row],[L/P Líquido]]</f>
        <v>0</v>
      </c>
      <c r="N2779" s="126">
        <f>base[[#This Row],[L/P Líquido]]/base[[#This Row],[Stake/Responsabilidade]]</f>
        <v>-3</v>
      </c>
      <c r="O2779" s="132">
        <f>IF(base[[#This Row],[L/P Líquido]]&gt;0,1,0)</f>
        <v>0</v>
      </c>
      <c r="P2779" s="132"/>
      <c r="Q2779" s="132" t="str">
        <f>LEFT(base[[#This Row],[Evento / Mercado]],FIND("vs",base[[#This Row],[Evento / Mercado]])-2)</f>
        <v>FC Kuressaare</v>
      </c>
      <c r="R27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Narva Trans</v>
      </c>
      <c r="S2779" s="132" t="str">
        <f>LEFT(base[[#This Row],[Evento / Mercado]],FIND("/",base[[#This Row],[Evento / Mercado]])-2)</f>
        <v>FC Kuressaare vs Narva Trans</v>
      </c>
    </row>
    <row r="2780" spans="2:21" ht="15" customHeight="1">
      <c r="B2780" s="128" t="s">
        <v>2867</v>
      </c>
      <c r="C2780" s="128" t="s">
        <v>2982</v>
      </c>
      <c r="D2780" s="129">
        <v>46189.620682870373</v>
      </c>
      <c r="E2780" s="130">
        <v>-120</v>
      </c>
      <c r="F2780" s="136">
        <v>4.4999999999999998E-2</v>
      </c>
      <c r="G2780" s="126">
        <f t="shared" si="51"/>
        <v>-120</v>
      </c>
      <c r="H2780" s="126" t="s">
        <v>2693</v>
      </c>
      <c r="I2780" s="127" t="s">
        <v>1249</v>
      </c>
      <c r="J2780" s="126">
        <v>4</v>
      </c>
      <c r="K2780" s="126">
        <v>40</v>
      </c>
      <c r="L2780" s="129">
        <f>INT(base[[#This Row],[Data de liquidação]])</f>
        <v>46189</v>
      </c>
      <c r="M2780" s="126">
        <f>base[[#This Row],[L/P Bruto]]-base[[#This Row],[L/P Líquido]]</f>
        <v>0</v>
      </c>
      <c r="N2780" s="126">
        <f>base[[#This Row],[L/P Líquido]]/base[[#This Row],[Stake/Responsabilidade]]</f>
        <v>-3</v>
      </c>
      <c r="O2780" s="132">
        <f>IF(base[[#This Row],[L/P Líquido]]&gt;0,1,0)</f>
        <v>0</v>
      </c>
      <c r="P2780" s="132"/>
      <c r="Q2780" s="132" t="str">
        <f>LEFT(base[[#This Row],[Evento / Mercado]],FIND("vs",base[[#This Row],[Evento / Mercado]])-2)</f>
        <v>FK Grobinas</v>
      </c>
      <c r="R27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Liepaja</v>
      </c>
      <c r="S2780" s="132" t="str">
        <f>LEFT(base[[#This Row],[Evento / Mercado]],FIND("/",base[[#This Row],[Evento / Mercado]])-2)</f>
        <v>FK Grobinas vs FK Liepaja</v>
      </c>
    </row>
    <row r="2781" spans="2:21" ht="15" customHeight="1">
      <c r="B2781" s="128" t="s">
        <v>2866</v>
      </c>
      <c r="C2781" s="128" t="s">
        <v>2982</v>
      </c>
      <c r="D2781" s="129">
        <v>46189.661990740744</v>
      </c>
      <c r="E2781" s="130">
        <v>-120</v>
      </c>
      <c r="F2781" s="136">
        <v>4.4999999999999998E-2</v>
      </c>
      <c r="G2781" s="126">
        <f t="shared" si="51"/>
        <v>-120</v>
      </c>
      <c r="H2781" s="126" t="s">
        <v>2693</v>
      </c>
      <c r="I2781" s="127" t="s">
        <v>1249</v>
      </c>
      <c r="J2781" s="126">
        <v>4</v>
      </c>
      <c r="K2781" s="126">
        <v>40</v>
      </c>
      <c r="L2781" s="129">
        <f>INT(base[[#This Row],[Data de liquidação]])</f>
        <v>46189</v>
      </c>
      <c r="M2781" s="126">
        <f>base[[#This Row],[L/P Bruto]]-base[[#This Row],[L/P Líquido]]</f>
        <v>0</v>
      </c>
      <c r="N2781" s="126">
        <f>base[[#This Row],[L/P Líquido]]/base[[#This Row],[Stake/Responsabilidade]]</f>
        <v>-3</v>
      </c>
      <c r="O2781" s="132">
        <f>IF(base[[#This Row],[L/P Líquido]]&gt;0,1,0)</f>
        <v>0</v>
      </c>
      <c r="P2781" s="132"/>
      <c r="Q2781" s="132" t="str">
        <f>LEFT(base[[#This Row],[Evento / Mercado]],FIND("vs",base[[#This Row],[Evento / Mercado]])-2)</f>
        <v>IFK Värnamo</v>
      </c>
      <c r="R27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Helsingborgs IF</v>
      </c>
      <c r="S2781" s="132" t="str">
        <f>LEFT(base[[#This Row],[Evento / Mercado]],FIND("/",base[[#This Row],[Evento / Mercado]])-2)</f>
        <v>IFK Värnamo vs Helsingborgs IF</v>
      </c>
    </row>
    <row r="2782" spans="2:21" ht="15" customHeight="1">
      <c r="B2782" s="128" t="s">
        <v>2865</v>
      </c>
      <c r="C2782" s="128" t="s">
        <v>2982</v>
      </c>
      <c r="D2782" s="129">
        <v>46189.664282407408</v>
      </c>
      <c r="E2782" s="130">
        <v>-120</v>
      </c>
      <c r="F2782" s="136">
        <v>4.4999999999999998E-2</v>
      </c>
      <c r="G2782" s="126">
        <f t="shared" si="51"/>
        <v>-120</v>
      </c>
      <c r="H2782" s="126" t="s">
        <v>2693</v>
      </c>
      <c r="I2782" s="127" t="s">
        <v>213</v>
      </c>
      <c r="J2782" s="126">
        <v>4</v>
      </c>
      <c r="K2782" s="126">
        <v>40</v>
      </c>
      <c r="L2782" s="129">
        <f>INT(base[[#This Row],[Data de liquidação]])</f>
        <v>46189</v>
      </c>
      <c r="M2782" s="126">
        <f>base[[#This Row],[L/P Bruto]]-base[[#This Row],[L/P Líquido]]</f>
        <v>0</v>
      </c>
      <c r="N2782" s="126">
        <f>base[[#This Row],[L/P Líquido]]/base[[#This Row],[Stake/Responsabilidade]]</f>
        <v>-3</v>
      </c>
      <c r="O2782" s="132">
        <f>IF(base[[#This Row],[L/P Líquido]]&gt;0,1,0)</f>
        <v>0</v>
      </c>
      <c r="P2782" s="132"/>
      <c r="Q2782" s="132" t="str">
        <f>LEFT(base[[#This Row],[Evento / Mercado]],FIND("vs",base[[#This Row],[Evento / Mercado]])-2)</f>
        <v>Landskrona BoIS</v>
      </c>
      <c r="R27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United IK Nordic</v>
      </c>
      <c r="S2782" s="132" t="str">
        <f>LEFT(base[[#This Row],[Evento / Mercado]],FIND("/",base[[#This Row],[Evento / Mercado]])-2)</f>
        <v>Landskrona BoIS vs United IK Nordic</v>
      </c>
    </row>
    <row r="2783" spans="2:21" ht="15" customHeight="1">
      <c r="B2783" s="128" t="s">
        <v>2876</v>
      </c>
      <c r="C2783" s="128" t="s">
        <v>2981</v>
      </c>
      <c r="D2783" s="129">
        <v>46189.704444444447</v>
      </c>
      <c r="E2783" s="130">
        <v>-8</v>
      </c>
      <c r="F2783" s="136">
        <v>4.4999999999999998E-2</v>
      </c>
      <c r="G2783" s="126">
        <f t="shared" si="51"/>
        <v>-8</v>
      </c>
      <c r="H2783" s="126" t="s">
        <v>2871</v>
      </c>
      <c r="I2783" s="127" t="s">
        <v>2873</v>
      </c>
      <c r="J2783" s="126">
        <v>704</v>
      </c>
      <c r="K2783" s="126">
        <v>8</v>
      </c>
      <c r="L2783" s="129">
        <f>INT(base[[#This Row],[Data de liquidação]])</f>
        <v>46189</v>
      </c>
      <c r="M2783" s="126">
        <f>base[[#This Row],[L/P Bruto]]-base[[#This Row],[L/P Líquido]]</f>
        <v>0</v>
      </c>
      <c r="N2783" s="126">
        <f>base[[#This Row],[L/P Líquido]]/base[[#This Row],[Stake/Responsabilidade]]</f>
        <v>-1</v>
      </c>
      <c r="O2783" s="132">
        <f>IF(base[[#This Row],[L/P Líquido]]&gt;0,1,0)</f>
        <v>0</v>
      </c>
      <c r="P2783" s="132"/>
      <c r="Q2783" s="132" t="str">
        <f>LEFT(base[[#This Row],[Evento / Mercado]],FIND("vs",base[[#This Row],[Evento / Mercado]])-2)</f>
        <v>France</v>
      </c>
      <c r="R27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2783" s="132" t="str">
        <f>LEFT(base[[#This Row],[Evento / Mercado]],FIND("/",base[[#This Row],[Evento / Mercado]])-2)</f>
        <v>France vs Senegal</v>
      </c>
    </row>
    <row r="2784" spans="2:21" ht="15" customHeight="1">
      <c r="B2784" s="128" t="s">
        <v>2864</v>
      </c>
      <c r="C2784" s="128" t="s">
        <v>2982</v>
      </c>
      <c r="D2784" s="129">
        <v>46189.71125</v>
      </c>
      <c r="E2784" s="130">
        <v>-12</v>
      </c>
      <c r="F2784" s="136">
        <v>4.4999999999999998E-2</v>
      </c>
      <c r="G2784" s="126">
        <f t="shared" si="51"/>
        <v>-12</v>
      </c>
      <c r="H2784" s="126" t="s">
        <v>2871</v>
      </c>
      <c r="I2784" s="127" t="s">
        <v>2873</v>
      </c>
      <c r="J2784" s="126">
        <v>5.2</v>
      </c>
      <c r="K2784" s="126">
        <v>12</v>
      </c>
      <c r="L2784" s="129">
        <f>INT(base[[#This Row],[Data de liquidação]])</f>
        <v>46189</v>
      </c>
      <c r="M2784" s="126">
        <f>base[[#This Row],[L/P Bruto]]-base[[#This Row],[L/P Líquido]]</f>
        <v>0</v>
      </c>
      <c r="N2784" s="126">
        <f>base[[#This Row],[L/P Líquido]]/base[[#This Row],[Stake/Responsabilidade]]</f>
        <v>-1</v>
      </c>
      <c r="O2784" s="132">
        <f>IF(base[[#This Row],[L/P Líquido]]&gt;0,1,0)</f>
        <v>0</v>
      </c>
      <c r="P2784" s="132"/>
      <c r="Q2784" s="132" t="str">
        <f>LEFT(base[[#This Row],[Evento / Mercado]],FIND("vs",base[[#This Row],[Evento / Mercado]])-2)</f>
        <v>Víkingur</v>
      </c>
      <c r="R27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 Reykjavik</v>
      </c>
      <c r="S2784" s="132" t="str">
        <f>LEFT(base[[#This Row],[Evento / Mercado]],FIND("/",base[[#This Row],[Evento / Mercado]])-2)</f>
        <v>Víkingur vs KR Reykjavik</v>
      </c>
    </row>
    <row r="2785" spans="2:21" ht="15" customHeight="1">
      <c r="B2785" s="128" t="s">
        <v>2863</v>
      </c>
      <c r="C2785" s="128" t="s">
        <v>2982</v>
      </c>
      <c r="D2785" s="129">
        <v>46189.729837962965</v>
      </c>
      <c r="E2785" s="130">
        <v>38.200000000000003</v>
      </c>
      <c r="F2785" s="136">
        <v>4.4999999999999998E-2</v>
      </c>
      <c r="G2785" s="126">
        <f t="shared" si="51"/>
        <v>40.000000000000007</v>
      </c>
      <c r="H2785" s="126" t="s">
        <v>2693</v>
      </c>
      <c r="I2785" s="127" t="s">
        <v>379</v>
      </c>
      <c r="J2785" s="126">
        <v>4</v>
      </c>
      <c r="K2785" s="126">
        <v>40</v>
      </c>
      <c r="L2785" s="129">
        <f>INT(base[[#This Row],[Data de liquidação]])</f>
        <v>46189</v>
      </c>
      <c r="M2785" s="126">
        <f>base[[#This Row],[L/P Bruto]]-base[[#This Row],[L/P Líquido]]</f>
        <v>1.8000000000000043</v>
      </c>
      <c r="N2785" s="126">
        <f>base[[#This Row],[L/P Líquido]]/base[[#This Row],[Stake/Responsabilidade]]</f>
        <v>0.95500000000000007</v>
      </c>
      <c r="O2785" s="132">
        <f>IF(base[[#This Row],[L/P Líquido]]&gt;0,1,0)</f>
        <v>1</v>
      </c>
      <c r="P2785" s="132"/>
      <c r="Q2785" s="132" t="str">
        <f>LEFT(base[[#This Row],[Evento / Mercado]],FIND("vs",base[[#This Row],[Evento / Mercado]])-2)</f>
        <v>France</v>
      </c>
      <c r="R27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2785" s="132" t="str">
        <f>LEFT(base[[#This Row],[Evento / Mercado]],FIND("/",base[[#This Row],[Evento / Mercado]])-2)</f>
        <v>France vs Senegal</v>
      </c>
    </row>
    <row r="2786" spans="2:21" ht="15" customHeight="1">
      <c r="B2786" s="128" t="s">
        <v>2862</v>
      </c>
      <c r="C2786" s="128" t="s">
        <v>2982</v>
      </c>
      <c r="D2786" s="129">
        <v>46189.742118055554</v>
      </c>
      <c r="E2786" s="130">
        <v>38.08</v>
      </c>
      <c r="F2786" s="136">
        <v>4.4999999999999998E-2</v>
      </c>
      <c r="G2786" s="126">
        <f t="shared" si="51"/>
        <v>39.874345549738223</v>
      </c>
      <c r="H2786" s="126" t="s">
        <v>2693</v>
      </c>
      <c r="I2786" s="127" t="s">
        <v>1249</v>
      </c>
      <c r="J2786" s="126">
        <v>4</v>
      </c>
      <c r="K2786" s="126">
        <v>39.880000000000003</v>
      </c>
      <c r="L2786" s="129">
        <f>INT(base[[#This Row],[Data de liquidação]])</f>
        <v>46189</v>
      </c>
      <c r="M2786" s="126">
        <f>base[[#This Row],[L/P Bruto]]-base[[#This Row],[L/P Líquido]]</f>
        <v>1.7943455497382246</v>
      </c>
      <c r="N2786" s="126">
        <f>base[[#This Row],[L/P Líquido]]/base[[#This Row],[Stake/Responsabilidade]]</f>
        <v>0.95486459378134392</v>
      </c>
      <c r="O2786" s="132">
        <f>IF(base[[#This Row],[L/P Líquido]]&gt;0,1,0)</f>
        <v>1</v>
      </c>
      <c r="P2786" s="132"/>
      <c r="Q2786" s="132" t="str">
        <f>LEFT(base[[#This Row],[Evento / Mercado]],FIND("vs",base[[#This Row],[Evento / Mercado]])-2)</f>
        <v>Víkingur</v>
      </c>
      <c r="R27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 Reykjavik</v>
      </c>
      <c r="S2786" s="132" t="str">
        <f>LEFT(base[[#This Row],[Evento / Mercado]],FIND("/",base[[#This Row],[Evento / Mercado]])-2)</f>
        <v>Víkingur vs KR Reykjavik</v>
      </c>
    </row>
    <row r="2787" spans="2:21" ht="15" customHeight="1">
      <c r="B2787" s="128" t="s">
        <v>2861</v>
      </c>
      <c r="C2787" s="128" t="s">
        <v>2982</v>
      </c>
      <c r="D2787" s="129">
        <v>46189.75277777778</v>
      </c>
      <c r="E2787" s="130">
        <v>21.391999999999999</v>
      </c>
      <c r="F2787" s="136">
        <v>4.4999999999999998E-2</v>
      </c>
      <c r="G2787" s="126">
        <f t="shared" si="51"/>
        <v>22.400000000000002</v>
      </c>
      <c r="H2787" s="126" t="s">
        <v>2821</v>
      </c>
      <c r="I2787" s="127" t="s">
        <v>476</v>
      </c>
      <c r="J2787" s="126">
        <v>26</v>
      </c>
      <c r="K2787" s="126">
        <v>560</v>
      </c>
      <c r="L2787" s="129">
        <f>INT(base[[#This Row],[Data de liquidação]])</f>
        <v>46189</v>
      </c>
      <c r="M2787" s="126">
        <f>base[[#This Row],[L/P Bruto]]-base[[#This Row],[L/P Líquido]]</f>
        <v>1.0080000000000027</v>
      </c>
      <c r="N2787" s="126">
        <f>base[[#This Row],[L/P Líquido]]/base[[#This Row],[Stake/Responsabilidade]]</f>
        <v>3.8199999999999998E-2</v>
      </c>
      <c r="O2787" s="132">
        <f>IF(base[[#This Row],[L/P Líquido]]&gt;0,1,0)</f>
        <v>1</v>
      </c>
      <c r="P2787" s="132" t="s">
        <v>2818</v>
      </c>
      <c r="Q2787" s="132" t="str">
        <f>LEFT(base[[#This Row],[Evento / Mercado]],FIND("vs",base[[#This Row],[Evento / Mercado]])-2)</f>
        <v>France</v>
      </c>
      <c r="R27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2787" s="132" t="str">
        <f>LEFT(base[[#This Row],[Evento / Mercado]],FIND("/",base[[#This Row],[Evento / Mercado]])-2)</f>
        <v>France vs Senegal</v>
      </c>
      <c r="T2787" s="8">
        <v>22.4</v>
      </c>
      <c r="U2787" s="9">
        <f t="shared" ref="U2787:U2788" si="53">T2787*0.955</f>
        <v>21.391999999999999</v>
      </c>
    </row>
    <row r="2788" spans="2:21" ht="15" customHeight="1">
      <c r="B2788" s="128" t="s">
        <v>2861</v>
      </c>
      <c r="C2788" s="128" t="s">
        <v>2982</v>
      </c>
      <c r="D2788" s="129">
        <v>46189.75277777778</v>
      </c>
      <c r="E2788" s="130">
        <v>32.135749999999994</v>
      </c>
      <c r="F2788" s="136">
        <v>4.4999999999999998E-2</v>
      </c>
      <c r="G2788" s="126">
        <f t="shared" si="51"/>
        <v>33.65</v>
      </c>
      <c r="H2788" s="126" t="s">
        <v>2714</v>
      </c>
      <c r="I2788" s="127" t="s">
        <v>2715</v>
      </c>
      <c r="J2788" s="126"/>
      <c r="K2788" s="126">
        <v>100</v>
      </c>
      <c r="L2788" s="129">
        <f>INT(base[[#This Row],[Data de liquidação]])</f>
        <v>46189</v>
      </c>
      <c r="M2788" s="126">
        <f>base[[#This Row],[L/P Bruto]]-base[[#This Row],[L/P Líquido]]</f>
        <v>1.5142500000000041</v>
      </c>
      <c r="N2788" s="126">
        <f>base[[#This Row],[L/P Líquido]]/base[[#This Row],[Stake/Responsabilidade]]</f>
        <v>0.32135749999999996</v>
      </c>
      <c r="O2788" s="132">
        <f>IF(base[[#This Row],[L/P Líquido]]&gt;0,1,0)</f>
        <v>1</v>
      </c>
      <c r="P2788" s="132"/>
      <c r="Q2788" s="132" t="str">
        <f>LEFT(base[[#This Row],[Evento / Mercado]],FIND("vs",base[[#This Row],[Evento / Mercado]])-2)</f>
        <v>France</v>
      </c>
      <c r="R27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2788" s="132" t="str">
        <f>LEFT(base[[#This Row],[Evento / Mercado]],FIND("/",base[[#This Row],[Evento / Mercado]])-2)</f>
        <v>France vs Senegal</v>
      </c>
      <c r="T2788" s="8">
        <v>33.65</v>
      </c>
      <c r="U2788" s="9">
        <f t="shared" si="53"/>
        <v>32.135749999999994</v>
      </c>
    </row>
    <row r="2789" spans="2:21" ht="15" customHeight="1">
      <c r="B2789" s="128" t="s">
        <v>2860</v>
      </c>
      <c r="C2789" s="128" t="s">
        <v>2982</v>
      </c>
      <c r="D2789" s="129">
        <v>46189.753425925926</v>
      </c>
      <c r="E2789" s="130">
        <v>53.16</v>
      </c>
      <c r="F2789" s="136">
        <v>4.4999999999999998E-2</v>
      </c>
      <c r="G2789" s="126">
        <f t="shared" si="51"/>
        <v>55.664921465968582</v>
      </c>
      <c r="H2789" s="126" t="s">
        <v>145</v>
      </c>
      <c r="I2789" s="127" t="s">
        <v>2877</v>
      </c>
      <c r="J2789" s="126">
        <v>7.8</v>
      </c>
      <c r="K2789" s="126">
        <v>401.45</v>
      </c>
      <c r="L2789" s="129">
        <f>INT(base[[#This Row],[Data de liquidação]])</f>
        <v>46189</v>
      </c>
      <c r="M2789" s="126">
        <f>base[[#This Row],[L/P Bruto]]-base[[#This Row],[L/P Líquido]]</f>
        <v>2.5049214659685859</v>
      </c>
      <c r="N2789" s="126">
        <f>base[[#This Row],[L/P Líquido]]/base[[#This Row],[Stake/Responsabilidade]]</f>
        <v>0.13241997758126789</v>
      </c>
      <c r="O2789" s="132">
        <f>IF(base[[#This Row],[L/P Líquido]]&gt;0,1,0)</f>
        <v>1</v>
      </c>
      <c r="P2789" s="132" t="s">
        <v>2818</v>
      </c>
      <c r="Q2789" s="132" t="str">
        <f>LEFT(base[[#This Row],[Evento / Mercado]],FIND("vs",base[[#This Row],[Evento / Mercado]])-2)</f>
        <v>France</v>
      </c>
      <c r="R27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2789" s="132" t="str">
        <f>LEFT(base[[#This Row],[Evento / Mercado]],FIND("/",base[[#This Row],[Evento / Mercado]])-2)</f>
        <v>France vs Senegal</v>
      </c>
    </row>
    <row r="2790" spans="2:21" ht="15" customHeight="1">
      <c r="B2790" s="128" t="s">
        <v>2860</v>
      </c>
      <c r="C2790" s="128" t="s">
        <v>2981</v>
      </c>
      <c r="D2790" s="129">
        <v>46189.753425925926</v>
      </c>
      <c r="E2790" s="130">
        <v>-14.15</v>
      </c>
      <c r="F2790" s="136">
        <v>4.4999999999999998E-2</v>
      </c>
      <c r="G2790" s="126">
        <f t="shared" si="51"/>
        <v>-14.15</v>
      </c>
      <c r="H2790" s="126" t="s">
        <v>2871</v>
      </c>
      <c r="I2790" s="127" t="s">
        <v>2872</v>
      </c>
      <c r="J2790" s="126">
        <v>1.52</v>
      </c>
      <c r="K2790" s="126">
        <v>50</v>
      </c>
      <c r="L2790" s="129">
        <f>INT(base[[#This Row],[Data de liquidação]])</f>
        <v>46189</v>
      </c>
      <c r="M2790" s="126">
        <f>base[[#This Row],[L/P Bruto]]-base[[#This Row],[L/P Líquido]]</f>
        <v>0</v>
      </c>
      <c r="N2790" s="126">
        <f>base[[#This Row],[L/P Líquido]]/base[[#This Row],[Stake/Responsabilidade]]</f>
        <v>-0.28300000000000003</v>
      </c>
      <c r="O2790" s="132">
        <f>IF(base[[#This Row],[L/P Líquido]]&gt;0,1,0)</f>
        <v>0</v>
      </c>
      <c r="P2790" s="132"/>
      <c r="Q2790" s="132" t="str">
        <f>LEFT(base[[#This Row],[Evento / Mercado]],FIND("vs",base[[#This Row],[Evento / Mercado]])-2)</f>
        <v>France</v>
      </c>
      <c r="R27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2790" s="132" t="str">
        <f>LEFT(base[[#This Row],[Evento / Mercado]],FIND("/",base[[#This Row],[Evento / Mercado]])-2)</f>
        <v>France vs Senegal</v>
      </c>
    </row>
    <row r="2791" spans="2:21" ht="15" customHeight="1">
      <c r="B2791" s="128" t="s">
        <v>2859</v>
      </c>
      <c r="C2791" s="128" t="s">
        <v>2982</v>
      </c>
      <c r="D2791" s="129">
        <v>46189.756122685183</v>
      </c>
      <c r="E2791" s="130">
        <v>4.63</v>
      </c>
      <c r="F2791" s="136">
        <v>4.4999999999999998E-2</v>
      </c>
      <c r="G2791" s="126">
        <f t="shared" si="51"/>
        <v>4.848167539267016</v>
      </c>
      <c r="H2791" s="126" t="s">
        <v>2871</v>
      </c>
      <c r="I2791" s="127" t="s">
        <v>2872</v>
      </c>
      <c r="J2791" s="126">
        <v>1.47</v>
      </c>
      <c r="K2791" s="126">
        <v>50</v>
      </c>
      <c r="L2791" s="129">
        <f>INT(base[[#This Row],[Data de liquidação]])</f>
        <v>46189</v>
      </c>
      <c r="M2791" s="126">
        <f>base[[#This Row],[L/P Bruto]]-base[[#This Row],[L/P Líquido]]</f>
        <v>0.21816753926701615</v>
      </c>
      <c r="N2791" s="126">
        <f>base[[#This Row],[L/P Líquido]]/base[[#This Row],[Stake/Responsabilidade]]</f>
        <v>9.2600000000000002E-2</v>
      </c>
      <c r="O2791" s="132">
        <f>IF(base[[#This Row],[L/P Líquido]]&gt;0,1,0)</f>
        <v>1</v>
      </c>
      <c r="P2791" s="132"/>
      <c r="Q2791" s="132" t="str">
        <f>LEFT(base[[#This Row],[Evento / Mercado]],FIND("vs",base[[#This Row],[Evento / Mercado]])-2)</f>
        <v>Víkingur</v>
      </c>
      <c r="R27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 Reykjavik</v>
      </c>
      <c r="S2791" s="132" t="str">
        <f>LEFT(base[[#This Row],[Evento / Mercado]],FIND("/",base[[#This Row],[Evento / Mercado]])-2)</f>
        <v>Víkingur vs KR Reykjavik</v>
      </c>
    </row>
    <row r="2792" spans="2:21" ht="15" customHeight="1">
      <c r="B2792" s="128" t="s">
        <v>2858</v>
      </c>
      <c r="C2792" s="128" t="s">
        <v>2982</v>
      </c>
      <c r="D2792" s="129">
        <v>46189.861493055556</v>
      </c>
      <c r="E2792" s="130">
        <v>38.200000000000003</v>
      </c>
      <c r="F2792" s="136">
        <v>4.4999999999999998E-2</v>
      </c>
      <c r="G2792" s="126">
        <f t="shared" si="51"/>
        <v>40.000000000000007</v>
      </c>
      <c r="H2792" s="126" t="s">
        <v>2693</v>
      </c>
      <c r="I2792" s="127" t="s">
        <v>299</v>
      </c>
      <c r="J2792" s="126">
        <v>3.1</v>
      </c>
      <c r="K2792" s="126">
        <v>40</v>
      </c>
      <c r="L2792" s="129">
        <f>INT(base[[#This Row],[Data de liquidação]])</f>
        <v>46189</v>
      </c>
      <c r="M2792" s="126">
        <f>base[[#This Row],[L/P Bruto]]-base[[#This Row],[L/P Líquido]]</f>
        <v>1.8000000000000043</v>
      </c>
      <c r="N2792" s="126">
        <f>base[[#This Row],[L/P Líquido]]/base[[#This Row],[Stake/Responsabilidade]]</f>
        <v>0.95500000000000007</v>
      </c>
      <c r="O2792" s="132">
        <f>IF(base[[#This Row],[L/P Líquido]]&gt;0,1,0)</f>
        <v>1</v>
      </c>
      <c r="P2792" s="132"/>
      <c r="Q2792" s="132" t="str">
        <f>LEFT(base[[#This Row],[Evento / Mercado]],FIND("vs",base[[#This Row],[Evento / Mercado]])-2)</f>
        <v>Iraq</v>
      </c>
      <c r="R27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Norway</v>
      </c>
      <c r="S2792" s="132" t="str">
        <f>LEFT(base[[#This Row],[Evento / Mercado]],FIND("/",base[[#This Row],[Evento / Mercado]])-2)</f>
        <v>Iraq vs Norway</v>
      </c>
    </row>
    <row r="2793" spans="2:21" ht="15" customHeight="1">
      <c r="B2793" s="128" t="s">
        <v>2857</v>
      </c>
      <c r="C2793" s="128" t="s">
        <v>2982</v>
      </c>
      <c r="D2793" s="129">
        <v>46189.876064814816</v>
      </c>
      <c r="E2793" s="130">
        <v>24.65</v>
      </c>
      <c r="F2793" s="136">
        <v>4.4999999999999998E-2</v>
      </c>
      <c r="G2793" s="126">
        <f t="shared" si="51"/>
        <v>25.811518324607331</v>
      </c>
      <c r="H2793" s="126" t="s">
        <v>145</v>
      </c>
      <c r="I2793" s="127" t="s">
        <v>2877</v>
      </c>
      <c r="J2793" s="126">
        <v>16.5</v>
      </c>
      <c r="K2793" s="126">
        <v>400.06</v>
      </c>
      <c r="L2793" s="129">
        <f>INT(base[[#This Row],[Data de liquidação]])</f>
        <v>46189</v>
      </c>
      <c r="M2793" s="126">
        <f>base[[#This Row],[L/P Bruto]]-base[[#This Row],[L/P Líquido]]</f>
        <v>1.1615183246073322</v>
      </c>
      <c r="N2793" s="126">
        <f>base[[#This Row],[L/P Líquido]]/base[[#This Row],[Stake/Responsabilidade]]</f>
        <v>6.1615757636354546E-2</v>
      </c>
      <c r="O2793" s="132">
        <f>IF(base[[#This Row],[L/P Líquido]]&gt;0,1,0)</f>
        <v>1</v>
      </c>
      <c r="P2793" s="132" t="s">
        <v>2818</v>
      </c>
      <c r="Q2793" s="132" t="str">
        <f>LEFT(base[[#This Row],[Evento / Mercado]],FIND("vs",base[[#This Row],[Evento / Mercado]])-2)</f>
        <v>Iraq</v>
      </c>
      <c r="R27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Norway</v>
      </c>
      <c r="S2793" s="132" t="str">
        <f>LEFT(base[[#This Row],[Evento / Mercado]],FIND("/",base[[#This Row],[Evento / Mercado]])-2)</f>
        <v>Iraq vs Norway</v>
      </c>
    </row>
    <row r="2794" spans="2:21" ht="15" customHeight="1">
      <c r="B2794" s="128" t="s">
        <v>2856</v>
      </c>
      <c r="C2794" s="128" t="s">
        <v>2982</v>
      </c>
      <c r="D2794" s="129">
        <v>46189.919282407405</v>
      </c>
      <c r="E2794" s="130">
        <v>1.53</v>
      </c>
      <c r="F2794" s="136">
        <v>4.4999999999999998E-2</v>
      </c>
      <c r="G2794" s="126">
        <f t="shared" si="51"/>
        <v>1.6020942408376964</v>
      </c>
      <c r="H2794" s="126" t="s">
        <v>1339</v>
      </c>
      <c r="I2794" s="127" t="s">
        <v>2820</v>
      </c>
      <c r="J2794" s="126">
        <v>1.8</v>
      </c>
      <c r="K2794" s="126">
        <v>2</v>
      </c>
      <c r="L2794" s="129">
        <f>INT(base[[#This Row],[Data de liquidação]])</f>
        <v>46189</v>
      </c>
      <c r="M2794" s="126">
        <f>base[[#This Row],[L/P Bruto]]-base[[#This Row],[L/P Líquido]]</f>
        <v>7.2094240837696333E-2</v>
      </c>
      <c r="N2794" s="126">
        <f>base[[#This Row],[L/P Líquido]]/base[[#This Row],[Stake/Responsabilidade]]</f>
        <v>0.76500000000000001</v>
      </c>
      <c r="O2794" s="132">
        <f>IF(base[[#This Row],[L/P Líquido]]&gt;0,1,0)</f>
        <v>1</v>
      </c>
      <c r="P2794" s="132"/>
      <c r="Q2794" s="132" t="str">
        <f>LEFT(base[[#This Row],[Evento / Mercado]],FIND("vs",base[[#This Row],[Evento / Mercado]])-2)</f>
        <v>Fortaleza EC</v>
      </c>
      <c r="R27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2794" s="132" t="str">
        <f>LEFT(base[[#This Row],[Evento / Mercado]],FIND("/",base[[#This Row],[Evento / Mercado]])-2)</f>
        <v>Fortaleza EC vs América-MG</v>
      </c>
    </row>
    <row r="2795" spans="2:21" ht="15" customHeight="1">
      <c r="B2795" s="128" t="s">
        <v>2855</v>
      </c>
      <c r="C2795" s="128" t="s">
        <v>2982</v>
      </c>
      <c r="D2795" s="129">
        <v>46189.919340277775</v>
      </c>
      <c r="E2795" s="130">
        <v>-100</v>
      </c>
      <c r="F2795" s="136">
        <v>4.4999999999999998E-2</v>
      </c>
      <c r="G2795" s="126">
        <f t="shared" si="51"/>
        <v>-100</v>
      </c>
      <c r="H2795" s="126" t="s">
        <v>2820</v>
      </c>
      <c r="I2795" s="127" t="s">
        <v>2874</v>
      </c>
      <c r="J2795" s="126">
        <f>+(2.1+3)/2</f>
        <v>2.5499999999999998</v>
      </c>
      <c r="K2795" s="126">
        <v>100</v>
      </c>
      <c r="L2795" s="129">
        <f>INT(base[[#This Row],[Data de liquidação]])</f>
        <v>46189</v>
      </c>
      <c r="M2795" s="126">
        <f>base[[#This Row],[L/P Bruto]]-base[[#This Row],[L/P Líquido]]</f>
        <v>0</v>
      </c>
      <c r="N2795" s="126">
        <f>base[[#This Row],[L/P Líquido]]/base[[#This Row],[Stake/Responsabilidade]]</f>
        <v>-1</v>
      </c>
      <c r="O2795" s="132">
        <f>IF(base[[#This Row],[L/P Líquido]]&gt;0,1,0)</f>
        <v>0</v>
      </c>
      <c r="P2795" s="132"/>
      <c r="Q2795" s="132" t="str">
        <f>LEFT(base[[#This Row],[Evento / Mercado]],FIND("vs",base[[#This Row],[Evento / Mercado]])-2)</f>
        <v>Fortaleza EC</v>
      </c>
      <c r="R27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2795" s="132" t="str">
        <f>LEFT(base[[#This Row],[Evento / Mercado]],FIND("/",base[[#This Row],[Evento / Mercado]])-2)</f>
        <v>Fortaleza EC vs América-MG</v>
      </c>
    </row>
    <row r="2796" spans="2:21" ht="15" customHeight="1">
      <c r="B2796" s="128" t="s">
        <v>2854</v>
      </c>
      <c r="C2796" s="128" t="s">
        <v>2982</v>
      </c>
      <c r="D2796" s="129">
        <v>46189.919363425928</v>
      </c>
      <c r="E2796" s="130">
        <v>-530</v>
      </c>
      <c r="F2796" s="136">
        <v>4.4999999999999998E-2</v>
      </c>
      <c r="G2796" s="126">
        <f t="shared" si="51"/>
        <v>-530</v>
      </c>
      <c r="H2796" s="126" t="s">
        <v>145</v>
      </c>
      <c r="I2796" s="127" t="s">
        <v>301</v>
      </c>
      <c r="J2796" s="126">
        <v>6.8</v>
      </c>
      <c r="K2796" s="126">
        <v>530</v>
      </c>
      <c r="L2796" s="129">
        <f>INT(base[[#This Row],[Data de liquidação]])</f>
        <v>46189</v>
      </c>
      <c r="M2796" s="126">
        <f>base[[#This Row],[L/P Bruto]]-base[[#This Row],[L/P Líquido]]</f>
        <v>0</v>
      </c>
      <c r="N2796" s="126">
        <f>base[[#This Row],[L/P Líquido]]/base[[#This Row],[Stake/Responsabilidade]]</f>
        <v>-1</v>
      </c>
      <c r="O2796" s="132">
        <f>IF(base[[#This Row],[L/P Líquido]]&gt;0,1,0)</f>
        <v>0</v>
      </c>
      <c r="P2796" s="132" t="s">
        <v>2474</v>
      </c>
      <c r="Q2796" s="132" t="str">
        <f>LEFT(base[[#This Row],[Evento / Mercado]],FIND("vs",base[[#This Row],[Evento / Mercado]])-2)</f>
        <v>Fortaleza EC</v>
      </c>
      <c r="R27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2796" s="132" t="str">
        <f>LEFT(base[[#This Row],[Evento / Mercado]],FIND("/",base[[#This Row],[Evento / Mercado]])-2)</f>
        <v>Fortaleza EC vs América-MG</v>
      </c>
    </row>
    <row r="2797" spans="2:21" ht="15" customHeight="1">
      <c r="B2797" s="128" t="s">
        <v>2853</v>
      </c>
      <c r="C2797" s="128" t="s">
        <v>2982</v>
      </c>
      <c r="D2797" s="129">
        <v>46189.97552083333</v>
      </c>
      <c r="E2797" s="130">
        <v>38.200000000000003</v>
      </c>
      <c r="F2797" s="136">
        <v>4.4999999999999998E-2</v>
      </c>
      <c r="G2797" s="126">
        <f t="shared" si="51"/>
        <v>40.000000000000007</v>
      </c>
      <c r="H2797" s="126" t="s">
        <v>2693</v>
      </c>
      <c r="I2797" s="127" t="s">
        <v>1249</v>
      </c>
      <c r="J2797" s="126">
        <v>3.95</v>
      </c>
      <c r="K2797" s="126">
        <v>40</v>
      </c>
      <c r="L2797" s="129">
        <f>INT(base[[#This Row],[Data de liquidação]])</f>
        <v>46189</v>
      </c>
      <c r="M2797" s="126">
        <f>base[[#This Row],[L/P Bruto]]-base[[#This Row],[L/P Líquido]]</f>
        <v>1.8000000000000043</v>
      </c>
      <c r="N2797" s="126">
        <f>base[[#This Row],[L/P Líquido]]/base[[#This Row],[Stake/Responsabilidade]]</f>
        <v>0.95500000000000007</v>
      </c>
      <c r="O2797" s="132">
        <f>IF(base[[#This Row],[L/P Líquido]]&gt;0,1,0)</f>
        <v>1</v>
      </c>
      <c r="P2797" s="132"/>
      <c r="Q2797" s="132" t="str">
        <f>LEFT(base[[#This Row],[Evento / Mercado]],FIND("vs",base[[#This Row],[Evento / Mercado]])-2)</f>
        <v>Argentina</v>
      </c>
      <c r="R27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Algeria</v>
      </c>
      <c r="S2797" s="132" t="str">
        <f>LEFT(base[[#This Row],[Evento / Mercado]],FIND("/",base[[#This Row],[Evento / Mercado]])-2)</f>
        <v>Argentina vs Algeria</v>
      </c>
    </row>
    <row r="2798" spans="2:21" ht="15" customHeight="1">
      <c r="B2798" s="128" t="s">
        <v>2852</v>
      </c>
      <c r="C2798" s="128" t="s">
        <v>2982</v>
      </c>
      <c r="D2798" s="129">
        <v>46190.035000000003</v>
      </c>
      <c r="E2798" s="130">
        <v>47.75</v>
      </c>
      <c r="F2798" s="136">
        <v>4.4999999999999998E-2</v>
      </c>
      <c r="G2798" s="126">
        <f t="shared" si="51"/>
        <v>50</v>
      </c>
      <c r="H2798" s="126" t="s">
        <v>145</v>
      </c>
      <c r="I2798" s="127" t="s">
        <v>2877</v>
      </c>
      <c r="J2798" s="126">
        <v>9</v>
      </c>
      <c r="K2798" s="126">
        <v>400</v>
      </c>
      <c r="L2798" s="129">
        <f>INT(base[[#This Row],[Data de liquidação]])</f>
        <v>46190</v>
      </c>
      <c r="M2798" s="126">
        <f>base[[#This Row],[L/P Bruto]]-base[[#This Row],[L/P Líquido]]</f>
        <v>2.25</v>
      </c>
      <c r="N2798" s="126">
        <f>base[[#This Row],[L/P Líquido]]/base[[#This Row],[Stake/Responsabilidade]]</f>
        <v>0.119375</v>
      </c>
      <c r="O2798" s="132">
        <f>IF(base[[#This Row],[L/P Líquido]]&gt;0,1,0)</f>
        <v>1</v>
      </c>
      <c r="P2798" s="132" t="s">
        <v>2818</v>
      </c>
      <c r="Q2798" s="132" t="str">
        <f>LEFT(base[[#This Row],[Evento / Mercado]],FIND("vs",base[[#This Row],[Evento / Mercado]])-2)</f>
        <v>Argentina</v>
      </c>
      <c r="R27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Algeria</v>
      </c>
      <c r="S2798" s="132" t="str">
        <f>LEFT(base[[#This Row],[Evento / Mercado]],FIND("/",base[[#This Row],[Evento / Mercado]])-2)</f>
        <v>Argentina vs Algeria</v>
      </c>
    </row>
    <row r="2799" spans="2:21" ht="15" customHeight="1">
      <c r="B2799" s="128" t="s">
        <v>2851</v>
      </c>
      <c r="C2799" s="128" t="s">
        <v>2982</v>
      </c>
      <c r="D2799" s="129">
        <v>46190.553622685184</v>
      </c>
      <c r="E2799" s="130">
        <v>22.23</v>
      </c>
      <c r="F2799" s="136">
        <v>4.4999999999999998E-2</v>
      </c>
      <c r="G2799" s="126">
        <f t="shared" si="51"/>
        <v>23.277486910994767</v>
      </c>
      <c r="H2799" s="126" t="s">
        <v>2821</v>
      </c>
      <c r="I2799" s="127" t="s">
        <v>476</v>
      </c>
      <c r="J2799" s="126">
        <v>26</v>
      </c>
      <c r="K2799" s="126">
        <v>582</v>
      </c>
      <c r="L2799" s="129">
        <f>INT(base[[#This Row],[Data de liquidação]])</f>
        <v>46190</v>
      </c>
      <c r="M2799" s="126">
        <f>base[[#This Row],[L/P Bruto]]-base[[#This Row],[L/P Líquido]]</f>
        <v>1.0474869109947669</v>
      </c>
      <c r="N2799" s="126">
        <f>base[[#This Row],[L/P Líquido]]/base[[#This Row],[Stake/Responsabilidade]]</f>
        <v>3.8195876288659794E-2</v>
      </c>
      <c r="O2799" s="132">
        <f>IF(base[[#This Row],[L/P Líquido]]&gt;0,1,0)</f>
        <v>1</v>
      </c>
      <c r="P2799" s="132" t="s">
        <v>2818</v>
      </c>
      <c r="Q2799" s="132" t="str">
        <f>LEFT(base[[#This Row],[Evento / Mercado]],FIND("vs",base[[#This Row],[Evento / Mercado]])-2)</f>
        <v>Austria</v>
      </c>
      <c r="R27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Jordan</v>
      </c>
      <c r="S2799" s="132" t="str">
        <f>LEFT(base[[#This Row],[Evento / Mercado]],FIND("/",base[[#This Row],[Evento / Mercado]])-2)</f>
        <v>Austria vs Jordan</v>
      </c>
    </row>
    <row r="2800" spans="2:21" ht="15" customHeight="1">
      <c r="B2800" s="128" t="s">
        <v>2850</v>
      </c>
      <c r="C2800" s="128" t="s">
        <v>2982</v>
      </c>
      <c r="D2800" s="129">
        <v>46190.577881944446</v>
      </c>
      <c r="E2800" s="130">
        <v>33.21</v>
      </c>
      <c r="F2800" s="136">
        <v>4.4999999999999998E-2</v>
      </c>
      <c r="G2800" s="126">
        <f t="shared" si="51"/>
        <v>34.774869109947645</v>
      </c>
      <c r="H2800" s="126" t="s">
        <v>74</v>
      </c>
      <c r="I2800" s="127" t="s">
        <v>541</v>
      </c>
      <c r="J2800" s="126">
        <v>12.5</v>
      </c>
      <c r="K2800" s="126">
        <v>399.97</v>
      </c>
      <c r="L2800" s="129">
        <f>INT(base[[#This Row],[Data de liquidação]])</f>
        <v>46190</v>
      </c>
      <c r="M2800" s="126">
        <f>base[[#This Row],[L/P Bruto]]-base[[#This Row],[L/P Líquido]]</f>
        <v>1.5648691099476437</v>
      </c>
      <c r="N2800" s="126">
        <f>base[[#This Row],[L/P Líquido]]/base[[#This Row],[Stake/Responsabilidade]]</f>
        <v>8.3031227342050651E-2</v>
      </c>
      <c r="O2800" s="132">
        <f>IF(base[[#This Row],[L/P Líquido]]&gt;0,1,0)</f>
        <v>1</v>
      </c>
      <c r="P2800" s="132" t="s">
        <v>2875</v>
      </c>
      <c r="Q2800" s="132" t="str">
        <f>LEFT(base[[#This Row],[Evento / Mercado]],FIND("vs",base[[#This Row],[Evento / Mercado]])-2)</f>
        <v>FK Tukums 2000</v>
      </c>
      <c r="R28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Auda</v>
      </c>
      <c r="S2800" s="132" t="str">
        <f>LEFT(base[[#This Row],[Evento / Mercado]],FIND("/",base[[#This Row],[Evento / Mercado]])-2)</f>
        <v>FK Tukums 2000 vs FK Auda</v>
      </c>
    </row>
    <row r="2801" spans="2:21" ht="15" customHeight="1">
      <c r="B2801" s="128" t="s">
        <v>2849</v>
      </c>
      <c r="C2801" s="128" t="s">
        <v>2982</v>
      </c>
      <c r="D2801" s="129">
        <v>46190.578657407408</v>
      </c>
      <c r="E2801" s="130">
        <v>5.97</v>
      </c>
      <c r="F2801" s="136">
        <v>4.4999999999999998E-2</v>
      </c>
      <c r="G2801" s="126">
        <f t="shared" si="51"/>
        <v>6.2513089005235605</v>
      </c>
      <c r="H2801" s="126" t="s">
        <v>2817</v>
      </c>
      <c r="I2801" s="127" t="s">
        <v>2996</v>
      </c>
      <c r="J2801" s="126">
        <v>5.4</v>
      </c>
      <c r="K2801" s="126">
        <v>49.98</v>
      </c>
      <c r="L2801" s="129">
        <f>INT(base[[#This Row],[Data de liquidação]])</f>
        <v>46190</v>
      </c>
      <c r="M2801" s="126">
        <f>base[[#This Row],[L/P Bruto]]-base[[#This Row],[L/P Líquido]]</f>
        <v>0.28130890052356072</v>
      </c>
      <c r="N2801" s="126">
        <f>base[[#This Row],[L/P Líquido]]/base[[#This Row],[Stake/Responsabilidade]]</f>
        <v>0.11944777911164466</v>
      </c>
      <c r="O2801" s="132">
        <f>IF(base[[#This Row],[L/P Líquido]]&gt;0,1,0)</f>
        <v>1</v>
      </c>
      <c r="P2801" s="132"/>
      <c r="Q2801" s="132" t="str">
        <f>LEFT(base[[#This Row],[Evento / Mercado]],FIND("vs",base[[#This Row],[Evento / Mercado]])-2)</f>
        <v>Ilves</v>
      </c>
      <c r="R28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FF Jaro</v>
      </c>
      <c r="S2801" s="132" t="str">
        <f>LEFT(base[[#This Row],[Evento / Mercado]],FIND("/",base[[#This Row],[Evento / Mercado]])-2)</f>
        <v>Ilves vs FF Jaro</v>
      </c>
    </row>
    <row r="2802" spans="2:21" ht="15" customHeight="1">
      <c r="B2802" s="128" t="s">
        <v>2848</v>
      </c>
      <c r="C2802" s="128" t="s">
        <v>2982</v>
      </c>
      <c r="D2802" s="129">
        <v>46190.602060185185</v>
      </c>
      <c r="E2802" s="130">
        <v>38.200000000000003</v>
      </c>
      <c r="F2802" s="136">
        <v>4.4999999999999998E-2</v>
      </c>
      <c r="G2802" s="126">
        <f t="shared" si="51"/>
        <v>40.000000000000007</v>
      </c>
      <c r="H2802" s="126" t="s">
        <v>2693</v>
      </c>
      <c r="I2802" s="127" t="s">
        <v>213</v>
      </c>
      <c r="J2802" s="126">
        <v>3.65</v>
      </c>
      <c r="K2802" s="126">
        <v>40</v>
      </c>
      <c r="L2802" s="129">
        <f>INT(base[[#This Row],[Data de liquidação]])</f>
        <v>46190</v>
      </c>
      <c r="M2802" s="126">
        <f>base[[#This Row],[L/P Bruto]]-base[[#This Row],[L/P Líquido]]</f>
        <v>1.8000000000000043</v>
      </c>
      <c r="N2802" s="126">
        <f>base[[#This Row],[L/P Líquido]]/base[[#This Row],[Stake/Responsabilidade]]</f>
        <v>0.95500000000000007</v>
      </c>
      <c r="O2802" s="132">
        <f>IF(base[[#This Row],[L/P Líquido]]&gt;0,1,0)</f>
        <v>1</v>
      </c>
      <c r="P2802" s="132"/>
      <c r="Q2802" s="132" t="str">
        <f>LEFT(base[[#This Row],[Evento / Mercado]],FIND("vs",base[[#This Row],[Evento / Mercado]])-2)</f>
        <v>Riga FC</v>
      </c>
      <c r="R28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Rigas Futbola Skola</v>
      </c>
      <c r="S2802" s="132" t="str">
        <f>LEFT(base[[#This Row],[Evento / Mercado]],FIND("/",base[[#This Row],[Evento / Mercado]])-2)</f>
        <v>Riga FC vs Rigas Futbola Skola</v>
      </c>
    </row>
    <row r="2803" spans="2:21" ht="15" customHeight="1">
      <c r="B2803" s="128" t="s">
        <v>2847</v>
      </c>
      <c r="C2803" s="128" t="s">
        <v>2982</v>
      </c>
      <c r="D2803" s="129">
        <v>46190.618368055555</v>
      </c>
      <c r="E2803" s="130">
        <v>-111.35</v>
      </c>
      <c r="F2803" s="136">
        <v>4.4999999999999998E-2</v>
      </c>
      <c r="G2803" s="126">
        <f t="shared" si="51"/>
        <v>-111.35</v>
      </c>
      <c r="H2803" s="126" t="s">
        <v>2693</v>
      </c>
      <c r="I2803" s="127" t="s">
        <v>1249</v>
      </c>
      <c r="J2803" s="126">
        <v>3.78</v>
      </c>
      <c r="K2803" s="126">
        <v>40</v>
      </c>
      <c r="L2803" s="129">
        <f>INT(base[[#This Row],[Data de liquidação]])</f>
        <v>46190</v>
      </c>
      <c r="M2803" s="126">
        <f>base[[#This Row],[L/P Bruto]]-base[[#This Row],[L/P Líquido]]</f>
        <v>0</v>
      </c>
      <c r="N2803" s="126">
        <f>base[[#This Row],[L/P Líquido]]/base[[#This Row],[Stake/Responsabilidade]]</f>
        <v>-2.7837499999999999</v>
      </c>
      <c r="O2803" s="132">
        <f>IF(base[[#This Row],[L/P Líquido]]&gt;0,1,0)</f>
        <v>0</v>
      </c>
      <c r="P2803" s="132"/>
      <c r="Q2803" s="132" t="str">
        <f>LEFT(base[[#This Row],[Evento / Mercado]],FIND("vs",base[[#This Row],[Evento / Mercado]])-2)</f>
        <v>Paide Linnameeskond</v>
      </c>
      <c r="R28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Harju JK Laagri</v>
      </c>
      <c r="S2803" s="132" t="str">
        <f>LEFT(base[[#This Row],[Evento / Mercado]],FIND("/",base[[#This Row],[Evento / Mercado]])-2)</f>
        <v>Paide Linnameeskond vs Harju JK Laagri</v>
      </c>
    </row>
    <row r="2804" spans="2:21" ht="15" customHeight="1">
      <c r="B2804" s="128" t="s">
        <v>2846</v>
      </c>
      <c r="C2804" s="128" t="s">
        <v>2982</v>
      </c>
      <c r="D2804" s="129">
        <v>46190.666331018518</v>
      </c>
      <c r="E2804" s="130">
        <v>-120</v>
      </c>
      <c r="F2804" s="136">
        <v>4.4999999999999998E-2</v>
      </c>
      <c r="G2804" s="126">
        <f t="shared" si="51"/>
        <v>-120</v>
      </c>
      <c r="H2804" s="126" t="s">
        <v>2693</v>
      </c>
      <c r="I2804" s="127" t="s">
        <v>213</v>
      </c>
      <c r="J2804" s="126">
        <v>4</v>
      </c>
      <c r="K2804" s="126">
        <v>40</v>
      </c>
      <c r="L2804" s="129">
        <f>INT(base[[#This Row],[Data de liquidação]])</f>
        <v>46190</v>
      </c>
      <c r="M2804" s="126">
        <f>base[[#This Row],[L/P Bruto]]-base[[#This Row],[L/P Líquido]]</f>
        <v>0</v>
      </c>
      <c r="N2804" s="126">
        <f>base[[#This Row],[L/P Líquido]]/base[[#This Row],[Stake/Responsabilidade]]</f>
        <v>-3</v>
      </c>
      <c r="O2804" s="132">
        <f>IF(base[[#This Row],[L/P Líquido]]&gt;0,1,0)</f>
        <v>0</v>
      </c>
      <c r="P2804" s="132"/>
      <c r="Q2804" s="132" t="str">
        <f>LEFT(base[[#This Row],[Evento / Mercado]],FIND("vs",base[[#This Row],[Evento / Mercado]])-2)</f>
        <v>Portugal</v>
      </c>
      <c r="R28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Congo DR</v>
      </c>
      <c r="S2804" s="132" t="str">
        <f>LEFT(base[[#This Row],[Evento / Mercado]],FIND("/",base[[#This Row],[Evento / Mercado]])-2)</f>
        <v>Portugal vs Congo DR</v>
      </c>
    </row>
    <row r="2805" spans="2:21" ht="15" customHeight="1">
      <c r="B2805" s="128" t="s">
        <v>2845</v>
      </c>
      <c r="C2805" s="128" t="s">
        <v>2982</v>
      </c>
      <c r="D2805" s="129">
        <v>46190.666539351849</v>
      </c>
      <c r="E2805" s="130">
        <v>28.3</v>
      </c>
      <c r="F2805" s="136">
        <v>4.4999999999999998E-2</v>
      </c>
      <c r="G2805" s="126">
        <f t="shared" si="51"/>
        <v>29.633507853403142</v>
      </c>
      <c r="H2805" s="126" t="s">
        <v>145</v>
      </c>
      <c r="I2805" s="127" t="s">
        <v>2877</v>
      </c>
      <c r="J2805" s="126">
        <v>14.5</v>
      </c>
      <c r="K2805" s="126">
        <v>400.01</v>
      </c>
      <c r="L2805" s="129">
        <f>INT(base[[#This Row],[Data de liquidação]])</f>
        <v>46190</v>
      </c>
      <c r="M2805" s="126">
        <f>base[[#This Row],[L/P Bruto]]-base[[#This Row],[L/P Líquido]]</f>
        <v>1.333507853403141</v>
      </c>
      <c r="N2805" s="126">
        <f>base[[#This Row],[L/P Líquido]]/base[[#This Row],[Stake/Responsabilidade]]</f>
        <v>7.0748231294217645E-2</v>
      </c>
      <c r="O2805" s="132">
        <f>IF(base[[#This Row],[L/P Líquido]]&gt;0,1,0)</f>
        <v>1</v>
      </c>
      <c r="P2805" s="132" t="s">
        <v>2818</v>
      </c>
      <c r="Q2805" s="132" t="str">
        <f>LEFT(base[[#This Row],[Evento / Mercado]],FIND("vs",base[[#This Row],[Evento / Mercado]])-2)</f>
        <v>Portugal</v>
      </c>
      <c r="R28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Congo DR</v>
      </c>
      <c r="S2805" s="132" t="str">
        <f>LEFT(base[[#This Row],[Evento / Mercado]],FIND("/",base[[#This Row],[Evento / Mercado]])-2)</f>
        <v>Portugal vs Congo DR</v>
      </c>
    </row>
    <row r="2806" spans="2:21" ht="15" customHeight="1">
      <c r="B2806" s="128" t="s">
        <v>2844</v>
      </c>
      <c r="C2806" s="128" t="s">
        <v>2982</v>
      </c>
      <c r="D2806" s="129">
        <v>46190.706076388888</v>
      </c>
      <c r="E2806" s="130">
        <v>21.72</v>
      </c>
      <c r="F2806" s="136">
        <v>4.4999999999999998E-2</v>
      </c>
      <c r="G2806" s="126">
        <f t="shared" si="51"/>
        <v>22.7434554973822</v>
      </c>
      <c r="H2806" s="126" t="s">
        <v>2817</v>
      </c>
      <c r="I2806" s="127" t="s">
        <v>2994</v>
      </c>
      <c r="J2806" s="126">
        <v>2.98</v>
      </c>
      <c r="K2806" s="126">
        <v>50</v>
      </c>
      <c r="L2806" s="129">
        <f>INT(base[[#This Row],[Data de liquidação]])</f>
        <v>46190</v>
      </c>
      <c r="M2806" s="126">
        <f>base[[#This Row],[L/P Bruto]]-base[[#This Row],[L/P Líquido]]</f>
        <v>1.0234554973822014</v>
      </c>
      <c r="N2806" s="126">
        <f>base[[#This Row],[L/P Líquido]]/base[[#This Row],[Stake/Responsabilidade]]</f>
        <v>0.43439999999999995</v>
      </c>
      <c r="O2806" s="132">
        <f>IF(base[[#This Row],[L/P Líquido]]&gt;0,1,0)</f>
        <v>1</v>
      </c>
      <c r="P2806" s="132"/>
      <c r="Q2806" s="132" t="str">
        <f>LEFT(base[[#This Row],[Evento / Mercado]],FIND("vs",base[[#This Row],[Evento / Mercado]])-2)</f>
        <v>IF Gnistan</v>
      </c>
      <c r="R28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Lahti</v>
      </c>
      <c r="S2806" s="132" t="str">
        <f>LEFT(base[[#This Row],[Evento / Mercado]],FIND("/",base[[#This Row],[Evento / Mercado]])-2)</f>
        <v>IF Gnistan vs FC Lahti</v>
      </c>
    </row>
    <row r="2807" spans="2:21" ht="15" customHeight="1">
      <c r="B2807" s="128" t="s">
        <v>2843</v>
      </c>
      <c r="C2807" s="128" t="s">
        <v>2982</v>
      </c>
      <c r="D2807" s="129">
        <v>46190.734097222223</v>
      </c>
      <c r="E2807" s="130">
        <v>38.200000000000003</v>
      </c>
      <c r="F2807" s="136">
        <v>4.4999999999999998E-2</v>
      </c>
      <c r="G2807" s="126">
        <f t="shared" si="51"/>
        <v>40.000000000000007</v>
      </c>
      <c r="H2807" s="126" t="s">
        <v>2693</v>
      </c>
      <c r="I2807" s="127" t="s">
        <v>1249</v>
      </c>
      <c r="J2807" s="126">
        <v>3.8</v>
      </c>
      <c r="K2807" s="126">
        <v>40</v>
      </c>
      <c r="L2807" s="129">
        <f>INT(base[[#This Row],[Data de liquidação]])</f>
        <v>46190</v>
      </c>
      <c r="M2807" s="126">
        <f>base[[#This Row],[L/P Bruto]]-base[[#This Row],[L/P Líquido]]</f>
        <v>1.8000000000000043</v>
      </c>
      <c r="N2807" s="126">
        <f>base[[#This Row],[L/P Líquido]]/base[[#This Row],[Stake/Responsabilidade]]</f>
        <v>0.95500000000000007</v>
      </c>
      <c r="O2807" s="132">
        <f>IF(base[[#This Row],[L/P Líquido]]&gt;0,1,0)</f>
        <v>1</v>
      </c>
      <c r="P2807" s="132"/>
      <c r="Q2807" s="132" t="str">
        <f>LEFT(base[[#This Row],[Evento / Mercado]],FIND("vs",base[[#This Row],[Evento / Mercado]])-2)</f>
        <v>England</v>
      </c>
      <c r="R28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807" s="132" t="str">
        <f>LEFT(base[[#This Row],[Evento / Mercado]],FIND("/",base[[#This Row],[Evento / Mercado]])-2)</f>
        <v>England vs Croatia</v>
      </c>
    </row>
    <row r="2808" spans="2:21" ht="15" customHeight="1">
      <c r="B2808" s="128" t="s">
        <v>2842</v>
      </c>
      <c r="C2808" s="128" t="s">
        <v>2982</v>
      </c>
      <c r="D2808" s="129">
        <v>46190.792118055557</v>
      </c>
      <c r="E2808" s="130">
        <v>0.2</v>
      </c>
      <c r="F2808" s="136">
        <v>4.4999999999999998E-2</v>
      </c>
      <c r="G2808" s="126">
        <f t="shared" si="51"/>
        <v>0.20942408376963353</v>
      </c>
      <c r="H2808" s="126" t="s">
        <v>2714</v>
      </c>
      <c r="I2808" s="127" t="s">
        <v>2716</v>
      </c>
      <c r="J2808" s="126"/>
      <c r="K2808" s="126">
        <v>100</v>
      </c>
      <c r="L2808" s="129">
        <f>INT(base[[#This Row],[Data de liquidação]])</f>
        <v>46190</v>
      </c>
      <c r="M2808" s="126">
        <f>base[[#This Row],[L/P Bruto]]-base[[#This Row],[L/P Líquido]]</f>
        <v>9.4240837696335233E-3</v>
      </c>
      <c r="N2808" s="126">
        <f>base[[#This Row],[L/P Líquido]]/base[[#This Row],[Stake/Responsabilidade]]</f>
        <v>2E-3</v>
      </c>
      <c r="O2808" s="132">
        <f>IF(base[[#This Row],[L/P Líquido]]&gt;0,1,0)</f>
        <v>1</v>
      </c>
      <c r="P2808" s="132"/>
      <c r="Q2808" s="132" t="str">
        <f>LEFT(base[[#This Row],[Evento / Mercado]],FIND("vs",base[[#This Row],[Evento / Mercado]])-2)</f>
        <v>England</v>
      </c>
      <c r="R28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808" s="132" t="str">
        <f>LEFT(base[[#This Row],[Evento / Mercado]],FIND("/",base[[#This Row],[Evento / Mercado]])-2)</f>
        <v>England vs Croatia</v>
      </c>
    </row>
    <row r="2809" spans="2:21" ht="15" customHeight="1">
      <c r="B2809" s="128" t="s">
        <v>2842</v>
      </c>
      <c r="C2809" s="128" t="s">
        <v>2981</v>
      </c>
      <c r="D2809" s="129">
        <v>46190.792118055557</v>
      </c>
      <c r="E2809" s="130">
        <v>27.16</v>
      </c>
      <c r="F2809" s="136">
        <v>2.8000000000000001E-2</v>
      </c>
      <c r="G2809" s="126">
        <f t="shared" si="51"/>
        <v>27.942386831275719</v>
      </c>
      <c r="H2809" s="126" t="s">
        <v>2821</v>
      </c>
      <c r="I2809" s="127" t="s">
        <v>476</v>
      </c>
      <c r="J2809" s="126">
        <v>16.5</v>
      </c>
      <c r="K2809" s="126">
        <v>433.07</v>
      </c>
      <c r="L2809" s="129">
        <f>INT(base[[#This Row],[Data de liquidação]])</f>
        <v>46190</v>
      </c>
      <c r="M2809" s="126">
        <f>base[[#This Row],[L/P Bruto]]-base[[#This Row],[L/P Líquido]]</f>
        <v>0.78238683127571917</v>
      </c>
      <c r="N2809" s="126">
        <f>base[[#This Row],[L/P Líquido]]/base[[#This Row],[Stake/Responsabilidade]]</f>
        <v>6.2715034520978138E-2</v>
      </c>
      <c r="O2809" s="132">
        <f>IF(base[[#This Row],[L/P Líquido]]&gt;0,1,0)</f>
        <v>1</v>
      </c>
      <c r="P2809" s="132" t="s">
        <v>2818</v>
      </c>
      <c r="Q2809" s="132" t="str">
        <f>LEFT(base[[#This Row],[Evento / Mercado]],FIND("vs",base[[#This Row],[Evento / Mercado]])-2)</f>
        <v>England</v>
      </c>
      <c r="R28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809" s="132" t="str">
        <f>LEFT(base[[#This Row],[Evento / Mercado]],FIND("/",base[[#This Row],[Evento / Mercado]])-2)</f>
        <v>England vs Croatia</v>
      </c>
    </row>
    <row r="2810" spans="2:21" ht="15" customHeight="1">
      <c r="B2810" s="128" t="s">
        <v>2841</v>
      </c>
      <c r="C2810" s="128" t="s">
        <v>2982</v>
      </c>
      <c r="D2810" s="129">
        <v>46190.795243055552</v>
      </c>
      <c r="E2810" s="130">
        <v>5.26</v>
      </c>
      <c r="F2810" s="136">
        <v>4.4999999999999998E-2</v>
      </c>
      <c r="G2810" s="126">
        <f t="shared" si="51"/>
        <v>5.5078534031413611</v>
      </c>
      <c r="H2810" s="126" t="s">
        <v>2817</v>
      </c>
      <c r="I2810" s="127" t="s">
        <v>2993</v>
      </c>
      <c r="J2810" s="126">
        <v>6.2</v>
      </c>
      <c r="K2810" s="126">
        <v>50.02</v>
      </c>
      <c r="L2810" s="129">
        <f>INT(base[[#This Row],[Data de liquidação]])</f>
        <v>46190</v>
      </c>
      <c r="M2810" s="126">
        <f>base[[#This Row],[L/P Bruto]]-base[[#This Row],[L/P Líquido]]</f>
        <v>0.24785340314136128</v>
      </c>
      <c r="N2810" s="126">
        <f>base[[#This Row],[L/P Líquido]]/base[[#This Row],[Stake/Responsabilidade]]</f>
        <v>0.10515793682526989</v>
      </c>
      <c r="O2810" s="132">
        <f>IF(base[[#This Row],[L/P Líquido]]&gt;0,1,0)</f>
        <v>1</v>
      </c>
      <c r="P2810" s="132"/>
      <c r="Q2810" s="132" t="str">
        <f>LEFT(base[[#This Row],[Evento / Mercado]],FIND("vs",base[[#This Row],[Evento / Mercado]])-2)</f>
        <v>England</v>
      </c>
      <c r="R28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810" s="132" t="str">
        <f>LEFT(base[[#This Row],[Evento / Mercado]],FIND("/",base[[#This Row],[Evento / Mercado]])-2)</f>
        <v>England vs Croatia</v>
      </c>
    </row>
    <row r="2811" spans="2:21" ht="15" customHeight="1">
      <c r="B2811" s="128" t="s">
        <v>2840</v>
      </c>
      <c r="C2811" s="128" t="s">
        <v>2982</v>
      </c>
      <c r="D2811" s="129">
        <v>46190.91909722222</v>
      </c>
      <c r="E2811" s="130">
        <v>-83.97</v>
      </c>
      <c r="F2811" s="136">
        <v>4.4999999999999998E-2</v>
      </c>
      <c r="G2811" s="126">
        <f t="shared" si="51"/>
        <v>-83.97</v>
      </c>
      <c r="H2811" s="126" t="s">
        <v>2693</v>
      </c>
      <c r="I2811" s="127" t="s">
        <v>1249</v>
      </c>
      <c r="J2811" s="126">
        <v>3.1</v>
      </c>
      <c r="K2811" s="126">
        <v>40</v>
      </c>
      <c r="L2811" s="129">
        <f>INT(base[[#This Row],[Data de liquidação]])</f>
        <v>46190</v>
      </c>
      <c r="M2811" s="126">
        <f>base[[#This Row],[L/P Bruto]]-base[[#This Row],[L/P Líquido]]</f>
        <v>0</v>
      </c>
      <c r="N2811" s="126">
        <f>base[[#This Row],[L/P Líquido]]/base[[#This Row],[Stake/Responsabilidade]]</f>
        <v>-2.0992500000000001</v>
      </c>
      <c r="O2811" s="132">
        <f>IF(base[[#This Row],[L/P Líquido]]&gt;0,1,0)</f>
        <v>0</v>
      </c>
      <c r="P2811" s="132"/>
      <c r="Q2811" s="132" t="str">
        <f>LEFT(base[[#This Row],[Evento / Mercado]],FIND("vs",base[[#This Row],[Evento / Mercado]])-2)</f>
        <v>Ghana</v>
      </c>
      <c r="R28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Panama</v>
      </c>
      <c r="S2811" s="132" t="str">
        <f>LEFT(base[[#This Row],[Evento / Mercado]],FIND("/",base[[#This Row],[Evento / Mercado]])-2)</f>
        <v>Ghana vs Panama</v>
      </c>
    </row>
    <row r="2812" spans="2:21" ht="15" customHeight="1">
      <c r="B2812" s="128" t="s">
        <v>2839</v>
      </c>
      <c r="C2812" s="128" t="s">
        <v>2982</v>
      </c>
      <c r="D2812" s="129">
        <v>46191.04346064815</v>
      </c>
      <c r="E2812" s="130">
        <v>93.169799999999995</v>
      </c>
      <c r="F2812" s="136">
        <v>4.4999999999999998E-2</v>
      </c>
      <c r="G2812" s="126">
        <f t="shared" si="51"/>
        <v>97.56</v>
      </c>
      <c r="H2812" s="126" t="s">
        <v>1233</v>
      </c>
      <c r="I2812" s="127"/>
      <c r="J2812" s="126">
        <v>5.0999999999999996</v>
      </c>
      <c r="K2812" s="126">
        <v>400</v>
      </c>
      <c r="L2812" s="129">
        <f>INT(base[[#This Row],[Data de liquidação]])</f>
        <v>46191</v>
      </c>
      <c r="M2812" s="126">
        <f>base[[#This Row],[L/P Bruto]]-base[[#This Row],[L/P Líquido]]</f>
        <v>4.3902000000000072</v>
      </c>
      <c r="N2812" s="126">
        <f>base[[#This Row],[L/P Líquido]]/base[[#This Row],[Stake/Responsabilidade]]</f>
        <v>0.23292449999999998</v>
      </c>
      <c r="O2812" s="132">
        <f>IF(base[[#This Row],[L/P Líquido]]&gt;0,1,0)</f>
        <v>1</v>
      </c>
      <c r="P2812" s="132" t="s">
        <v>2818</v>
      </c>
      <c r="Q2812" s="132" t="str">
        <f>LEFT(base[[#This Row],[Evento / Mercado]],FIND("vs",base[[#This Row],[Evento / Mercado]])-2)</f>
        <v>Uzbekistan</v>
      </c>
      <c r="R28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Colombia</v>
      </c>
      <c r="S2812" s="132" t="str">
        <f>LEFT(base[[#This Row],[Evento / Mercado]],FIND("/",base[[#This Row],[Evento / Mercado]])-2)</f>
        <v>Uzbekistan vs Colombia</v>
      </c>
      <c r="T2812" s="8">
        <v>97.56</v>
      </c>
      <c r="U2812" s="9">
        <f t="shared" ref="U2812:U2813" si="54">T2812*0.955</f>
        <v>93.169799999999995</v>
      </c>
    </row>
    <row r="2813" spans="2:21" ht="15" customHeight="1">
      <c r="B2813" s="128" t="s">
        <v>2839</v>
      </c>
      <c r="C2813" s="128" t="s">
        <v>2982</v>
      </c>
      <c r="D2813" s="129">
        <v>46191.04346064815</v>
      </c>
      <c r="E2813" s="130">
        <v>40.215049999999998</v>
      </c>
      <c r="F2813" s="136">
        <v>4.4999999999999998E-2</v>
      </c>
      <c r="G2813" s="126">
        <f t="shared" si="51"/>
        <v>42.11</v>
      </c>
      <c r="H2813" s="126" t="s">
        <v>145</v>
      </c>
      <c r="I2813" s="127" t="s">
        <v>2877</v>
      </c>
      <c r="J2813" s="126">
        <v>10.5</v>
      </c>
      <c r="K2813" s="126">
        <v>400.05</v>
      </c>
      <c r="L2813" s="129">
        <f>INT(base[[#This Row],[Data de liquidação]])</f>
        <v>46191</v>
      </c>
      <c r="M2813" s="126">
        <f>base[[#This Row],[L/P Bruto]]-base[[#This Row],[L/P Líquido]]</f>
        <v>1.8949500000000015</v>
      </c>
      <c r="N2813" s="126">
        <f>base[[#This Row],[L/P Líquido]]/base[[#This Row],[Stake/Responsabilidade]]</f>
        <v>0.10052505936757905</v>
      </c>
      <c r="O2813" s="132">
        <f>IF(base[[#This Row],[L/P Líquido]]&gt;0,1,0)</f>
        <v>1</v>
      </c>
      <c r="P2813" s="132" t="s">
        <v>2818</v>
      </c>
      <c r="Q2813" s="132" t="str">
        <f>LEFT(base[[#This Row],[Evento / Mercado]],FIND("vs",base[[#This Row],[Evento / Mercado]])-2)</f>
        <v>Uzbekistan</v>
      </c>
      <c r="R28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Colombia</v>
      </c>
      <c r="S2813" s="132" t="str">
        <f>LEFT(base[[#This Row],[Evento / Mercado]],FIND("/",base[[#This Row],[Evento / Mercado]])-2)</f>
        <v>Uzbekistan vs Colombia</v>
      </c>
      <c r="T2813" s="8">
        <v>42.11</v>
      </c>
      <c r="U2813" s="9">
        <f t="shared" si="54"/>
        <v>40.215049999999998</v>
      </c>
    </row>
    <row r="2814" spans="2:21" ht="15" customHeight="1">
      <c r="B2814" s="128" t="s">
        <v>2891</v>
      </c>
      <c r="C2814" s="128" t="s">
        <v>2982</v>
      </c>
      <c r="D2814" s="129">
        <v>46191.370347222219</v>
      </c>
      <c r="E2814" s="130">
        <v>-22.26</v>
      </c>
      <c r="F2814" s="136">
        <v>4.4999999999999998E-2</v>
      </c>
      <c r="G2814" s="126">
        <f t="shared" si="51"/>
        <v>-22.26</v>
      </c>
      <c r="H2814" s="126" t="s">
        <v>2894</v>
      </c>
      <c r="I2814" s="127" t="s">
        <v>301</v>
      </c>
      <c r="J2814" s="126">
        <f>+(9.2*200+9.4*299.96)/base[[#This Row],[Stake/Responsabilidade]]</f>
        <v>9.3199935994879581</v>
      </c>
      <c r="K2814" s="126">
        <f>200+299.96</f>
        <v>499.96</v>
      </c>
      <c r="L2814" s="129">
        <f>INT(base[[#This Row],[Data de liquidação]])</f>
        <v>46191</v>
      </c>
      <c r="M2814" s="126">
        <f>base[[#This Row],[L/P Bruto]]-base[[#This Row],[L/P Líquido]]</f>
        <v>0</v>
      </c>
      <c r="N2814" s="126">
        <f>base[[#This Row],[L/P Líquido]]/base[[#This Row],[Stake/Responsabilidade]]</f>
        <v>-4.4523561884950803E-2</v>
      </c>
      <c r="O2814" s="132">
        <f>IF(base[[#This Row],[L/P Líquido]]&gt;0,1,0)</f>
        <v>0</v>
      </c>
      <c r="P2814" s="132"/>
      <c r="Q2814" s="132" t="str">
        <f>LEFT(base[[#This Row],[Evento / Mercado]],FIND("vs",base[[#This Row],[Evento / Mercado]])-2)</f>
        <v>AC Oulu</v>
      </c>
      <c r="R28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2814" s="132" t="str">
        <f>LEFT(base[[#This Row],[Evento / Mercado]],FIND("/",base[[#This Row],[Evento / Mercado]])-2)</f>
        <v>AC Oulu vs IFK Mariehamn</v>
      </c>
    </row>
    <row r="2815" spans="2:21" ht="15" customHeight="1">
      <c r="B2815" s="128" t="s">
        <v>2890</v>
      </c>
      <c r="C2815" s="128" t="s">
        <v>2982</v>
      </c>
      <c r="D2815" s="129">
        <v>46191.61478009259</v>
      </c>
      <c r="E2815" s="130">
        <v>38.200000000000003</v>
      </c>
      <c r="F2815" s="136">
        <v>4.4999999999999998E-2</v>
      </c>
      <c r="G2815" s="126">
        <f t="shared" si="51"/>
        <v>40.000000000000007</v>
      </c>
      <c r="H2815" s="126" t="s">
        <v>2693</v>
      </c>
      <c r="I2815" s="127" t="s">
        <v>1249</v>
      </c>
      <c r="J2815" s="126">
        <v>4</v>
      </c>
      <c r="K2815" s="126">
        <v>40</v>
      </c>
      <c r="L2815" s="129">
        <f>INT(base[[#This Row],[Data de liquidação]])</f>
        <v>46191</v>
      </c>
      <c r="M2815" s="126">
        <f>base[[#This Row],[L/P Bruto]]-base[[#This Row],[L/P Líquido]]</f>
        <v>1.8000000000000043</v>
      </c>
      <c r="N2815" s="126">
        <f>base[[#This Row],[L/P Líquido]]/base[[#This Row],[Stake/Responsabilidade]]</f>
        <v>0.95500000000000007</v>
      </c>
      <c r="O2815" s="132">
        <f>IF(base[[#This Row],[L/P Líquido]]&gt;0,1,0)</f>
        <v>1</v>
      </c>
      <c r="P2815" s="132"/>
      <c r="Q2815" s="132" t="str">
        <f>LEFT(base[[#This Row],[Evento / Mercado]],FIND("vs",base[[#This Row],[Evento / Mercado]])-2)</f>
        <v>Czech Republic</v>
      </c>
      <c r="R28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Africa</v>
      </c>
      <c r="S2815" s="132" t="str">
        <f>LEFT(base[[#This Row],[Evento / Mercado]],FIND("/",base[[#This Row],[Evento / Mercado]])-2)</f>
        <v>Czech Republic vs South Africa</v>
      </c>
    </row>
    <row r="2816" spans="2:21" ht="15" customHeight="1">
      <c r="B2816" s="128" t="s">
        <v>2889</v>
      </c>
      <c r="C2816" s="128" t="s">
        <v>2982</v>
      </c>
      <c r="D2816" s="129">
        <v>46191.616967592592</v>
      </c>
      <c r="E2816" s="130">
        <v>-120</v>
      </c>
      <c r="F2816" s="136">
        <v>4.4999999999999998E-2</v>
      </c>
      <c r="G2816" s="126">
        <f t="shared" si="51"/>
        <v>-120</v>
      </c>
      <c r="H2816" s="126" t="s">
        <v>2693</v>
      </c>
      <c r="I2816" s="127" t="s">
        <v>1249</v>
      </c>
      <c r="J2816" s="126">
        <v>4</v>
      </c>
      <c r="K2816" s="126">
        <v>40</v>
      </c>
      <c r="L2816" s="129">
        <f>INT(base[[#This Row],[Data de liquidação]])</f>
        <v>46191</v>
      </c>
      <c r="M2816" s="126">
        <f>base[[#This Row],[L/P Bruto]]-base[[#This Row],[L/P Líquido]]</f>
        <v>0</v>
      </c>
      <c r="N2816" s="126">
        <f>base[[#This Row],[L/P Líquido]]/base[[#This Row],[Stake/Responsabilidade]]</f>
        <v>-3</v>
      </c>
      <c r="O2816" s="132">
        <f>IF(base[[#This Row],[L/P Líquido]]&gt;0,1,0)</f>
        <v>0</v>
      </c>
      <c r="P2816" s="132"/>
      <c r="Q2816" s="132" t="str">
        <f>LEFT(base[[#This Row],[Evento / Mercado]],FIND("vs",base[[#This Row],[Evento / Mercado]])-2)</f>
        <v>FC Elva</v>
      </c>
      <c r="R28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Viimsi JK</v>
      </c>
      <c r="S2816" s="132" t="str">
        <f>LEFT(base[[#This Row],[Evento / Mercado]],FIND("/",base[[#This Row],[Evento / Mercado]])-2)</f>
        <v>FC Elva vs Viimsi JK</v>
      </c>
    </row>
    <row r="2817" spans="2:19" ht="15" customHeight="1">
      <c r="B2817" s="128" t="s">
        <v>2888</v>
      </c>
      <c r="C2817" s="128" t="s">
        <v>2981</v>
      </c>
      <c r="D2817" s="129">
        <v>46191.623888888891</v>
      </c>
      <c r="E2817" s="130">
        <v>31.84</v>
      </c>
      <c r="F2817" s="136">
        <v>4.4999999999999998E-2</v>
      </c>
      <c r="G2817" s="126">
        <f t="shared" si="51"/>
        <v>33.340314136125656</v>
      </c>
      <c r="H2817" s="126" t="s">
        <v>2821</v>
      </c>
      <c r="I2817" s="127" t="s">
        <v>476</v>
      </c>
      <c r="J2817" s="126">
        <v>15</v>
      </c>
      <c r="K2817" s="126">
        <v>458.62</v>
      </c>
      <c r="L2817" s="129">
        <f>INT(base[[#This Row],[Data de liquidação]])</f>
        <v>46191</v>
      </c>
      <c r="M2817" s="126">
        <f>base[[#This Row],[L/P Bruto]]-base[[#This Row],[L/P Líquido]]</f>
        <v>1.500314136125656</v>
      </c>
      <c r="N2817" s="126">
        <f>base[[#This Row],[L/P Líquido]]/base[[#This Row],[Stake/Responsabilidade]]</f>
        <v>6.9425668309275657E-2</v>
      </c>
      <c r="O2817" s="132">
        <f>IF(base[[#This Row],[L/P Líquido]]&gt;0,1,0)</f>
        <v>1</v>
      </c>
      <c r="P2817" s="132" t="s">
        <v>2818</v>
      </c>
      <c r="Q2817" s="132" t="str">
        <f>LEFT(base[[#This Row],[Evento / Mercado]],FIND("vs",base[[#This Row],[Evento / Mercado]])-2)</f>
        <v>Czech Republic</v>
      </c>
      <c r="R28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Africa</v>
      </c>
      <c r="S2817" s="132" t="str">
        <f>LEFT(base[[#This Row],[Evento / Mercado]],FIND("/",base[[#This Row],[Evento / Mercado]])-2)</f>
        <v>Czech Republic vs South Africa</v>
      </c>
    </row>
    <row r="2818" spans="2:19" ht="15" customHeight="1">
      <c r="B2818" s="128" t="s">
        <v>2888</v>
      </c>
      <c r="C2818" s="128" t="s">
        <v>2982</v>
      </c>
      <c r="D2818" s="129">
        <v>46191.623900462961</v>
      </c>
      <c r="E2818" s="130">
        <v>32.67</v>
      </c>
      <c r="F2818" s="136">
        <v>4.4999999999999998E-2</v>
      </c>
      <c r="G2818" s="126">
        <f t="shared" si="51"/>
        <v>34.209424083769633</v>
      </c>
      <c r="H2818" s="126" t="s">
        <v>2714</v>
      </c>
      <c r="I2818" s="127" t="s">
        <v>2716</v>
      </c>
      <c r="J2818" s="126"/>
      <c r="K2818" s="126">
        <v>100</v>
      </c>
      <c r="L2818" s="129">
        <f>INT(base[[#This Row],[Data de liquidação]])</f>
        <v>46191</v>
      </c>
      <c r="M2818" s="126">
        <f>base[[#This Row],[L/P Bruto]]-base[[#This Row],[L/P Líquido]]</f>
        <v>1.5394240837696316</v>
      </c>
      <c r="N2818" s="126">
        <f>base[[#This Row],[L/P Líquido]]/base[[#This Row],[Stake/Responsabilidade]]</f>
        <v>0.32669999999999999</v>
      </c>
      <c r="O2818" s="132">
        <f>IF(base[[#This Row],[L/P Líquido]]&gt;0,1,0)</f>
        <v>1</v>
      </c>
      <c r="P2818" s="132"/>
      <c r="Q2818" s="132" t="str">
        <f>LEFT(base[[#This Row],[Evento / Mercado]],FIND("vs",base[[#This Row],[Evento / Mercado]])-2)</f>
        <v>Czech Republic</v>
      </c>
      <c r="R28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Africa</v>
      </c>
      <c r="S2818" s="132" t="str">
        <f>LEFT(base[[#This Row],[Evento / Mercado]],FIND("/",base[[#This Row],[Evento / Mercado]])-2)</f>
        <v>Czech Republic vs South Africa</v>
      </c>
    </row>
    <row r="2819" spans="2:19" ht="15" customHeight="1">
      <c r="B2819" s="128" t="s">
        <v>2887</v>
      </c>
      <c r="C2819" s="128" t="s">
        <v>2982</v>
      </c>
      <c r="D2819" s="129">
        <v>46191.624247685184</v>
      </c>
      <c r="E2819" s="130">
        <v>7.44</v>
      </c>
      <c r="F2819" s="136">
        <v>4.4999999999999998E-2</v>
      </c>
      <c r="G2819" s="126">
        <f t="shared" ref="G2819:G2882" si="55">IF(E2819&gt;0,E2819/(1-F2819),E2819)</f>
        <v>7.7905759162303676</v>
      </c>
      <c r="H2819" s="126" t="s">
        <v>2817</v>
      </c>
      <c r="I2819" s="127" t="s">
        <v>2993</v>
      </c>
      <c r="J2819" s="126">
        <v>4.9000000000000004</v>
      </c>
      <c r="K2819" s="126">
        <v>50</v>
      </c>
      <c r="L2819" s="129">
        <f>INT(base[[#This Row],[Data de liquidação]])</f>
        <v>46191</v>
      </c>
      <c r="M2819" s="126">
        <f>base[[#This Row],[L/P Bruto]]-base[[#This Row],[L/P Líquido]]</f>
        <v>0.35057591623036721</v>
      </c>
      <c r="N2819" s="126">
        <f>base[[#This Row],[L/P Líquido]]/base[[#This Row],[Stake/Responsabilidade]]</f>
        <v>0.14880000000000002</v>
      </c>
      <c r="O2819" s="132">
        <f>IF(base[[#This Row],[L/P Líquido]]&gt;0,1,0)</f>
        <v>1</v>
      </c>
      <c r="P2819" s="132"/>
      <c r="Q2819" s="132" t="str">
        <f>LEFT(base[[#This Row],[Evento / Mercado]],FIND("vs",base[[#This Row],[Evento / Mercado]])-2)</f>
        <v>Czech Republic</v>
      </c>
      <c r="R28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Africa</v>
      </c>
      <c r="S2819" s="132" t="str">
        <f>LEFT(base[[#This Row],[Evento / Mercado]],FIND("/",base[[#This Row],[Evento / Mercado]])-2)</f>
        <v>Czech Republic vs South Africa</v>
      </c>
    </row>
    <row r="2820" spans="2:19" ht="15" customHeight="1">
      <c r="B2820" s="128" t="s">
        <v>2886</v>
      </c>
      <c r="C2820" s="128" t="s">
        <v>2982</v>
      </c>
      <c r="D2820" s="129">
        <v>46191.732314814813</v>
      </c>
      <c r="E2820" s="130">
        <v>38.200000000000003</v>
      </c>
      <c r="F2820" s="136">
        <v>4.4999999999999998E-2</v>
      </c>
      <c r="G2820" s="126">
        <f t="shared" si="55"/>
        <v>40.000000000000007</v>
      </c>
      <c r="H2820" s="126" t="s">
        <v>2693</v>
      </c>
      <c r="I2820" s="127" t="s">
        <v>379</v>
      </c>
      <c r="J2820" s="126">
        <v>4</v>
      </c>
      <c r="K2820" s="126">
        <v>40</v>
      </c>
      <c r="L2820" s="129">
        <f>INT(base[[#This Row],[Data de liquidação]])</f>
        <v>46191</v>
      </c>
      <c r="M2820" s="126">
        <f>base[[#This Row],[L/P Bruto]]-base[[#This Row],[L/P Líquido]]</f>
        <v>1.8000000000000043</v>
      </c>
      <c r="N2820" s="126">
        <f>base[[#This Row],[L/P Líquido]]/base[[#This Row],[Stake/Responsabilidade]]</f>
        <v>0.95500000000000007</v>
      </c>
      <c r="O2820" s="132">
        <f>IF(base[[#This Row],[L/P Líquido]]&gt;0,1,0)</f>
        <v>1</v>
      </c>
      <c r="P2820" s="132"/>
      <c r="Q2820" s="132" t="str">
        <f>LEFT(base[[#This Row],[Evento / Mercado]],FIND("vs",base[[#This Row],[Evento / Mercado]])-2)</f>
        <v>Switzerland</v>
      </c>
      <c r="R28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2820" s="132" t="str">
        <f>LEFT(base[[#This Row],[Evento / Mercado]],FIND("/",base[[#This Row],[Evento / Mercado]])-2)</f>
        <v>Switzerland vs Bosnia-Herzegovina</v>
      </c>
    </row>
    <row r="2821" spans="2:19" ht="15" customHeight="1">
      <c r="B2821" s="128" t="s">
        <v>2885</v>
      </c>
      <c r="C2821" s="128" t="s">
        <v>2982</v>
      </c>
      <c r="D2821" s="129">
        <v>46191.747928240744</v>
      </c>
      <c r="E2821" s="130">
        <v>37.340000000000003</v>
      </c>
      <c r="F2821" s="136">
        <v>4.4999999999999998E-2</v>
      </c>
      <c r="G2821" s="126">
        <f t="shared" si="55"/>
        <v>39.099476439790578</v>
      </c>
      <c r="H2821" s="126" t="s">
        <v>2714</v>
      </c>
      <c r="I2821" s="127" t="s">
        <v>2715</v>
      </c>
      <c r="J2821" s="126"/>
      <c r="K2821" s="126">
        <v>100</v>
      </c>
      <c r="L2821" s="129">
        <f>INT(base[[#This Row],[Data de liquidação]])</f>
        <v>46191</v>
      </c>
      <c r="M2821" s="126">
        <f>base[[#This Row],[L/P Bruto]]-base[[#This Row],[L/P Líquido]]</f>
        <v>1.7594764397905749</v>
      </c>
      <c r="N2821" s="126">
        <f>base[[#This Row],[L/P Líquido]]/base[[#This Row],[Stake/Responsabilidade]]</f>
        <v>0.37340000000000001</v>
      </c>
      <c r="O2821" s="132">
        <f>IF(base[[#This Row],[L/P Líquido]]&gt;0,1,0)</f>
        <v>1</v>
      </c>
      <c r="P2821" s="132"/>
      <c r="Q2821" s="132" t="str">
        <f>LEFT(base[[#This Row],[Evento / Mercado]],FIND("vs",base[[#This Row],[Evento / Mercado]])-2)</f>
        <v>Switzerland</v>
      </c>
      <c r="R28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2821" s="132" t="str">
        <f>LEFT(base[[#This Row],[Evento / Mercado]],FIND("/",base[[#This Row],[Evento / Mercado]])-2)</f>
        <v>Switzerland vs Bosnia-Herzegovina</v>
      </c>
    </row>
    <row r="2822" spans="2:19" ht="15" customHeight="1">
      <c r="B2822" s="128" t="s">
        <v>2885</v>
      </c>
      <c r="C2822" s="128" t="s">
        <v>2981</v>
      </c>
      <c r="D2822" s="129">
        <v>46191.747928240744</v>
      </c>
      <c r="E2822" s="130">
        <v>22.73</v>
      </c>
      <c r="F2822" s="136">
        <v>4.4999999999999998E-2</v>
      </c>
      <c r="G2822" s="126">
        <f t="shared" si="55"/>
        <v>23.801047120418851</v>
      </c>
      <c r="H2822" s="126" t="s">
        <v>2821</v>
      </c>
      <c r="I2822" s="127" t="s">
        <v>476</v>
      </c>
      <c r="J2822" s="126">
        <v>22</v>
      </c>
      <c r="K2822" s="126">
        <v>490.98</v>
      </c>
      <c r="L2822" s="129">
        <f>INT(base[[#This Row],[Data de liquidação]])</f>
        <v>46191</v>
      </c>
      <c r="M2822" s="126">
        <f>base[[#This Row],[L/P Bruto]]-base[[#This Row],[L/P Líquido]]</f>
        <v>1.0710471204188501</v>
      </c>
      <c r="N2822" s="126">
        <f>base[[#This Row],[L/P Líquido]]/base[[#This Row],[Stake/Responsabilidade]]</f>
        <v>4.6295164772495824E-2</v>
      </c>
      <c r="O2822" s="132">
        <f>IF(base[[#This Row],[L/P Líquido]]&gt;0,1,0)</f>
        <v>1</v>
      </c>
      <c r="P2822" s="132" t="s">
        <v>2818</v>
      </c>
      <c r="Q2822" s="132" t="str">
        <f>LEFT(base[[#This Row],[Evento / Mercado]],FIND("vs",base[[#This Row],[Evento / Mercado]])-2)</f>
        <v>Switzerland</v>
      </c>
      <c r="R28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2822" s="132" t="str">
        <f>LEFT(base[[#This Row],[Evento / Mercado]],FIND("/",base[[#This Row],[Evento / Mercado]])-2)</f>
        <v>Switzerland vs Bosnia-Herzegovina</v>
      </c>
    </row>
    <row r="2823" spans="2:19" ht="15" customHeight="1">
      <c r="B2823" s="128" t="s">
        <v>2884</v>
      </c>
      <c r="C2823" s="128" t="s">
        <v>2982</v>
      </c>
      <c r="D2823" s="129">
        <v>46191.748136574075</v>
      </c>
      <c r="E2823" s="130">
        <v>63.67</v>
      </c>
      <c r="F2823" s="136">
        <v>4.4999999999999998E-2</v>
      </c>
      <c r="G2823" s="126">
        <f t="shared" si="55"/>
        <v>66.670157068062835</v>
      </c>
      <c r="H2823" s="126" t="s">
        <v>145</v>
      </c>
      <c r="I2823" s="127" t="s">
        <v>2877</v>
      </c>
      <c r="J2823" s="126">
        <v>7</v>
      </c>
      <c r="K2823" s="126">
        <v>400.02</v>
      </c>
      <c r="L2823" s="129">
        <f>INT(base[[#This Row],[Data de liquidação]])</f>
        <v>46191</v>
      </c>
      <c r="M2823" s="126">
        <f>base[[#This Row],[L/P Bruto]]-base[[#This Row],[L/P Líquido]]</f>
        <v>3.0001570680628333</v>
      </c>
      <c r="N2823" s="126">
        <f>base[[#This Row],[L/P Líquido]]/base[[#This Row],[Stake/Responsabilidade]]</f>
        <v>0.15916704164791762</v>
      </c>
      <c r="O2823" s="132">
        <f>IF(base[[#This Row],[L/P Líquido]]&gt;0,1,0)</f>
        <v>1</v>
      </c>
      <c r="P2823" s="132" t="s">
        <v>2818</v>
      </c>
      <c r="Q2823" s="132" t="str">
        <f>LEFT(base[[#This Row],[Evento / Mercado]],FIND("vs",base[[#This Row],[Evento / Mercado]])-2)</f>
        <v>Switzerland</v>
      </c>
      <c r="R28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2823" s="132" t="str">
        <f>LEFT(base[[#This Row],[Evento / Mercado]],FIND("/",base[[#This Row],[Evento / Mercado]])-2)</f>
        <v>Switzerland vs Bosnia-Herzegovina</v>
      </c>
    </row>
    <row r="2824" spans="2:19" ht="15" customHeight="1">
      <c r="B2824" s="128" t="s">
        <v>2884</v>
      </c>
      <c r="C2824" s="128" t="s">
        <v>2981</v>
      </c>
      <c r="D2824" s="129">
        <v>46191.748136574075</v>
      </c>
      <c r="E2824" s="130">
        <v>1.3</v>
      </c>
      <c r="F2824" s="136">
        <v>4.4999999999999998E-2</v>
      </c>
      <c r="G2824" s="126">
        <f t="shared" si="55"/>
        <v>1.3612565445026179</v>
      </c>
      <c r="H2824" s="126" t="s">
        <v>2817</v>
      </c>
      <c r="I2824" s="127" t="s">
        <v>2992</v>
      </c>
      <c r="J2824" s="126">
        <v>7</v>
      </c>
      <c r="K2824" s="126">
        <v>48.36</v>
      </c>
      <c r="L2824" s="129">
        <f>INT(base[[#This Row],[Data de liquidação]])</f>
        <v>46191</v>
      </c>
      <c r="M2824" s="126">
        <f>base[[#This Row],[L/P Bruto]]-base[[#This Row],[L/P Líquido]]</f>
        <v>6.125654450261786E-2</v>
      </c>
      <c r="N2824" s="126">
        <f>base[[#This Row],[L/P Líquido]]/base[[#This Row],[Stake/Responsabilidade]]</f>
        <v>2.6881720430107527E-2</v>
      </c>
      <c r="O2824" s="132">
        <f>IF(base[[#This Row],[L/P Líquido]]&gt;0,1,0)</f>
        <v>1</v>
      </c>
      <c r="P2824" s="132"/>
      <c r="Q2824" s="132" t="str">
        <f>LEFT(base[[#This Row],[Evento / Mercado]],FIND("vs",base[[#This Row],[Evento / Mercado]])-2)</f>
        <v>Switzerland</v>
      </c>
      <c r="R28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2824" s="132" t="str">
        <f>LEFT(base[[#This Row],[Evento / Mercado]],FIND("/",base[[#This Row],[Evento / Mercado]])-2)</f>
        <v>Switzerland vs Bosnia-Herzegovina</v>
      </c>
    </row>
    <row r="2825" spans="2:19" ht="15" customHeight="1">
      <c r="B2825" s="128" t="s">
        <v>2883</v>
      </c>
      <c r="C2825" s="128" t="s">
        <v>2982</v>
      </c>
      <c r="D2825" s="129">
        <v>46191.876377314817</v>
      </c>
      <c r="E2825" s="130">
        <v>30.56</v>
      </c>
      <c r="F2825" s="136">
        <v>4.4999999999999998E-2</v>
      </c>
      <c r="G2825" s="126">
        <f t="shared" si="55"/>
        <v>32</v>
      </c>
      <c r="H2825" s="126" t="s">
        <v>145</v>
      </c>
      <c r="I2825" s="127" t="s">
        <v>2877</v>
      </c>
      <c r="J2825" s="126">
        <v>13.5</v>
      </c>
      <c r="K2825" s="126">
        <v>400</v>
      </c>
      <c r="L2825" s="129">
        <f>INT(base[[#This Row],[Data de liquidação]])</f>
        <v>46191</v>
      </c>
      <c r="M2825" s="126">
        <f>base[[#This Row],[L/P Bruto]]-base[[#This Row],[L/P Líquido]]</f>
        <v>1.4400000000000013</v>
      </c>
      <c r="N2825" s="126">
        <f>base[[#This Row],[L/P Líquido]]/base[[#This Row],[Stake/Responsabilidade]]</f>
        <v>7.6399999999999996E-2</v>
      </c>
      <c r="O2825" s="132">
        <f>IF(base[[#This Row],[L/P Líquido]]&gt;0,1,0)</f>
        <v>1</v>
      </c>
      <c r="P2825" s="132" t="s">
        <v>2818</v>
      </c>
      <c r="Q2825" s="132" t="str">
        <f>LEFT(base[[#This Row],[Evento / Mercado]],FIND("vs",base[[#This Row],[Evento / Mercado]])-2)</f>
        <v>Canada</v>
      </c>
      <c r="R28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Qatar</v>
      </c>
      <c r="S2825" s="132" t="str">
        <f>LEFT(base[[#This Row],[Evento / Mercado]],FIND("/",base[[#This Row],[Evento / Mercado]])-2)</f>
        <v>Canada vs Qatar</v>
      </c>
    </row>
    <row r="2826" spans="2:19" ht="15" customHeight="1">
      <c r="B2826" s="128" t="s">
        <v>2882</v>
      </c>
      <c r="C2826" s="128" t="s">
        <v>2982</v>
      </c>
      <c r="D2826" s="129">
        <v>46191.956921296296</v>
      </c>
      <c r="E2826" s="130">
        <v>5.45</v>
      </c>
      <c r="F2826" s="136">
        <v>4.4999999999999998E-2</v>
      </c>
      <c r="G2826" s="126">
        <f t="shared" si="55"/>
        <v>5.7068062827225132</v>
      </c>
      <c r="H2826" s="126" t="s">
        <v>1339</v>
      </c>
      <c r="I2826" s="127" t="s">
        <v>1430</v>
      </c>
      <c r="J2826" s="126">
        <v>21.3</v>
      </c>
      <c r="K2826" s="126">
        <v>115.91</v>
      </c>
      <c r="L2826" s="129">
        <f>INT(base[[#This Row],[Data de liquidação]])</f>
        <v>46191</v>
      </c>
      <c r="M2826" s="126">
        <f>base[[#This Row],[L/P Bruto]]-base[[#This Row],[L/P Líquido]]</f>
        <v>0.25680628272251305</v>
      </c>
      <c r="N2826" s="126">
        <f>base[[#This Row],[L/P Líquido]]/base[[#This Row],[Stake/Responsabilidade]]</f>
        <v>4.7019239064791649E-2</v>
      </c>
      <c r="O2826" s="132">
        <f>IF(base[[#This Row],[L/P Líquido]]&gt;0,1,0)</f>
        <v>1</v>
      </c>
      <c r="P2826" s="132"/>
      <c r="Q2826" s="132" t="str">
        <f>LEFT(base[[#This Row],[Evento / Mercado]],FIND("vs",base[[#This Row],[Evento / Mercado]])-2)</f>
        <v>Sport Club do Recife</v>
      </c>
      <c r="R28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Goianiense</v>
      </c>
      <c r="S2826" s="132" t="str">
        <f>LEFT(base[[#This Row],[Evento / Mercado]],FIND("/",base[[#This Row],[Evento / Mercado]])-2)</f>
        <v>Sport Club do Recife vs Atlético Goianiense</v>
      </c>
    </row>
    <row r="2827" spans="2:19" ht="15" customHeight="1">
      <c r="B2827" s="128" t="s">
        <v>2881</v>
      </c>
      <c r="C2827" s="128" t="s">
        <v>2982</v>
      </c>
      <c r="D2827" s="129">
        <v>46191.959409722222</v>
      </c>
      <c r="E2827" s="130">
        <v>5.2</v>
      </c>
      <c r="F2827" s="136">
        <v>4.4999999999999998E-2</v>
      </c>
      <c r="G2827" s="126">
        <f t="shared" si="55"/>
        <v>5.4450261780104716</v>
      </c>
      <c r="H2827" s="126" t="s">
        <v>1339</v>
      </c>
      <c r="I2827" s="127" t="s">
        <v>1430</v>
      </c>
      <c r="J2827" s="126">
        <v>23</v>
      </c>
      <c r="K2827" s="126">
        <v>119.9</v>
      </c>
      <c r="L2827" s="129">
        <f>INT(base[[#This Row],[Data de liquidação]])</f>
        <v>46191</v>
      </c>
      <c r="M2827" s="126">
        <f>base[[#This Row],[L/P Bruto]]-base[[#This Row],[L/P Líquido]]</f>
        <v>0.24502617801047144</v>
      </c>
      <c r="N2827" s="126">
        <f>base[[#This Row],[L/P Líquido]]/base[[#This Row],[Stake/Responsabilidade]]</f>
        <v>4.3369474562135114E-2</v>
      </c>
      <c r="O2827" s="132">
        <f>IF(base[[#This Row],[L/P Líquido]]&gt;0,1,0)</f>
        <v>1</v>
      </c>
      <c r="P2827" s="132"/>
      <c r="Q2827" s="132" t="str">
        <f>LEFT(base[[#This Row],[Evento / Mercado]],FIND("vs",base[[#This Row],[Evento / Mercado]])-2)</f>
        <v>Universidad de Chile</v>
      </c>
      <c r="R28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2827" s="132" t="str">
        <f>LEFT(base[[#This Row],[Evento / Mercado]],FIND("/",base[[#This Row],[Evento / Mercado]])-2)</f>
        <v>Universidad de Chile vs O'Higgins</v>
      </c>
    </row>
    <row r="2828" spans="2:19" ht="15" customHeight="1">
      <c r="B2828" s="128" t="s">
        <v>2880</v>
      </c>
      <c r="C2828" s="128" t="s">
        <v>2982</v>
      </c>
      <c r="D2828" s="129">
        <v>46191.966238425928</v>
      </c>
      <c r="E2828" s="130">
        <v>38.200000000000003</v>
      </c>
      <c r="F2828" s="136">
        <v>4.4999999999999998E-2</v>
      </c>
      <c r="G2828" s="126">
        <f t="shared" si="55"/>
        <v>40.000000000000007</v>
      </c>
      <c r="H2828" s="126" t="s">
        <v>2693</v>
      </c>
      <c r="I2828" s="127" t="s">
        <v>379</v>
      </c>
      <c r="J2828" s="126">
        <v>3.1</v>
      </c>
      <c r="K2828" s="126">
        <v>40</v>
      </c>
      <c r="L2828" s="129">
        <f>INT(base[[#This Row],[Data de liquidação]])</f>
        <v>46191</v>
      </c>
      <c r="M2828" s="126">
        <f>base[[#This Row],[L/P Bruto]]-base[[#This Row],[L/P Líquido]]</f>
        <v>1.8000000000000043</v>
      </c>
      <c r="N2828" s="126">
        <f>base[[#This Row],[L/P Líquido]]/base[[#This Row],[Stake/Responsabilidade]]</f>
        <v>0.95500000000000007</v>
      </c>
      <c r="O2828" s="132">
        <f>IF(base[[#This Row],[L/P Líquido]]&gt;0,1,0)</f>
        <v>1</v>
      </c>
      <c r="P2828" s="132"/>
      <c r="Q2828" s="132" t="str">
        <f>LEFT(base[[#This Row],[Evento / Mercado]],FIND("vs",base[[#This Row],[Evento / Mercado]])-2)</f>
        <v>Mexico</v>
      </c>
      <c r="R28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Korea</v>
      </c>
      <c r="S2828" s="132" t="str">
        <f>LEFT(base[[#This Row],[Evento / Mercado]],FIND("/",base[[#This Row],[Evento / Mercado]])-2)</f>
        <v>Mexico vs South Korea</v>
      </c>
    </row>
    <row r="2829" spans="2:19" ht="15" customHeight="1">
      <c r="B2829" s="128" t="s">
        <v>2879</v>
      </c>
      <c r="C2829" s="128" t="s">
        <v>2982</v>
      </c>
      <c r="D2829" s="129">
        <v>46191.99732638889</v>
      </c>
      <c r="E2829" s="130">
        <v>20.100000000000001</v>
      </c>
      <c r="F2829" s="136">
        <v>4.4999999999999998E-2</v>
      </c>
      <c r="G2829" s="126">
        <f t="shared" si="55"/>
        <v>21.04712041884817</v>
      </c>
      <c r="H2829" s="126" t="s">
        <v>122</v>
      </c>
      <c r="I2829" s="127" t="s">
        <v>75</v>
      </c>
      <c r="J2829" s="126">
        <v>10.5</v>
      </c>
      <c r="K2829" s="126">
        <v>199.98</v>
      </c>
      <c r="L2829" s="129">
        <f>INT(base[[#This Row],[Data de liquidação]])</f>
        <v>46191</v>
      </c>
      <c r="M2829" s="126">
        <f>base[[#This Row],[L/P Bruto]]-base[[#This Row],[L/P Líquido]]</f>
        <v>0.94712041884816855</v>
      </c>
      <c r="N2829" s="126">
        <f>base[[#This Row],[L/P Líquido]]/base[[#This Row],[Stake/Responsabilidade]]</f>
        <v>0.10051005100510052</v>
      </c>
      <c r="O2829" s="132">
        <f>IF(base[[#This Row],[L/P Líquido]]&gt;0,1,0)</f>
        <v>1</v>
      </c>
      <c r="P2829" s="132" t="s">
        <v>2818</v>
      </c>
      <c r="Q2829" s="132" t="str">
        <f>LEFT(base[[#This Row],[Evento / Mercado]],FIND("vs",base[[#This Row],[Evento / Mercado]])-2)</f>
        <v>Mexico</v>
      </c>
      <c r="R28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Korea</v>
      </c>
      <c r="S2829" s="132" t="str">
        <f>LEFT(base[[#This Row],[Evento / Mercado]],FIND("/",base[[#This Row],[Evento / Mercado]])-2)</f>
        <v>Mexico vs South Korea</v>
      </c>
    </row>
    <row r="2830" spans="2:19" ht="15" customHeight="1">
      <c r="B2830" s="128" t="s">
        <v>2879</v>
      </c>
      <c r="C2830" s="128" t="s">
        <v>2981</v>
      </c>
      <c r="D2830" s="129">
        <v>46191.99732638889</v>
      </c>
      <c r="E2830" s="130">
        <v>37.380000000000003</v>
      </c>
      <c r="F2830" s="136">
        <v>4.4999999999999998E-2</v>
      </c>
      <c r="G2830" s="126">
        <f t="shared" si="55"/>
        <v>39.141361256544506</v>
      </c>
      <c r="H2830" s="126" t="s">
        <v>2714</v>
      </c>
      <c r="I2830" s="127" t="s">
        <v>2716</v>
      </c>
      <c r="J2830" s="126"/>
      <c r="K2830" s="126">
        <v>100</v>
      </c>
      <c r="L2830" s="129">
        <f>INT(base[[#This Row],[Data de liquidação]])</f>
        <v>46191</v>
      </c>
      <c r="M2830" s="126">
        <f>base[[#This Row],[L/P Bruto]]-base[[#This Row],[L/P Líquido]]</f>
        <v>1.7613612565445038</v>
      </c>
      <c r="N2830" s="126">
        <f>base[[#This Row],[L/P Líquido]]/base[[#This Row],[Stake/Responsabilidade]]</f>
        <v>0.37380000000000002</v>
      </c>
      <c r="O2830" s="132">
        <f>IF(base[[#This Row],[L/P Líquido]]&gt;0,1,0)</f>
        <v>1</v>
      </c>
      <c r="P2830" s="132"/>
      <c r="Q2830" s="132" t="str">
        <f>LEFT(base[[#This Row],[Evento / Mercado]],FIND("vs",base[[#This Row],[Evento / Mercado]])-2)</f>
        <v>Mexico</v>
      </c>
      <c r="R28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Korea</v>
      </c>
      <c r="S2830" s="132" t="str">
        <f>LEFT(base[[#This Row],[Evento / Mercado]],FIND("/",base[[#This Row],[Evento / Mercado]])-2)</f>
        <v>Mexico vs South Korea</v>
      </c>
    </row>
    <row r="2831" spans="2:19" ht="15" customHeight="1">
      <c r="B2831" s="128" t="s">
        <v>2878</v>
      </c>
      <c r="C2831" s="128" t="s">
        <v>2982</v>
      </c>
      <c r="D2831" s="129">
        <v>46192.00540509259</v>
      </c>
      <c r="E2831" s="130">
        <v>23.15</v>
      </c>
      <c r="F2831" s="136">
        <v>4.4999999999999998E-2</v>
      </c>
      <c r="G2831" s="126">
        <f t="shared" si="55"/>
        <v>24.240837696335078</v>
      </c>
      <c r="H2831" s="126" t="s">
        <v>2895</v>
      </c>
      <c r="I2831" s="127" t="s">
        <v>2896</v>
      </c>
      <c r="J2831" s="126">
        <v>17.5</v>
      </c>
      <c r="K2831" s="126">
        <v>399.96</v>
      </c>
      <c r="L2831" s="129">
        <f>INT(base[[#This Row],[Data de liquidação]])</f>
        <v>46192</v>
      </c>
      <c r="M2831" s="126">
        <f>base[[#This Row],[L/P Bruto]]-base[[#This Row],[L/P Líquido]]</f>
        <v>1.090837696335079</v>
      </c>
      <c r="N2831" s="126">
        <f>base[[#This Row],[L/P Líquido]]/base[[#This Row],[Stake/Responsabilidade]]</f>
        <v>5.7880788078807879E-2</v>
      </c>
      <c r="O2831" s="132">
        <f>IF(base[[#This Row],[L/P Líquido]]&gt;0,1,0)</f>
        <v>1</v>
      </c>
      <c r="P2831" s="132"/>
      <c r="Q2831" s="132" t="e">
        <f>LEFT(base[[#This Row],[Evento / Mercado]],FIND("vs",base[[#This Row],[Evento / Mercado]])-2)</f>
        <v>#VALUE!</v>
      </c>
      <c r="R2831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831" s="132" t="str">
        <f>LEFT(base[[#This Row],[Evento / Mercado]],FIND("/",base[[#This Row],[Evento / Mercado]])-2)</f>
        <v>FIFA World Cup - Group A Winner</v>
      </c>
    </row>
    <row r="2832" spans="2:19" ht="15" customHeight="1">
      <c r="B2832" s="128" t="s">
        <v>2953</v>
      </c>
      <c r="C2832" s="128" t="s">
        <v>2982</v>
      </c>
      <c r="D2832" s="129">
        <v>46192.663958333331</v>
      </c>
      <c r="E2832" s="130">
        <v>-0.92</v>
      </c>
      <c r="F2832" s="136">
        <v>4.4999999999999998E-2</v>
      </c>
      <c r="G2832" s="126">
        <f t="shared" si="55"/>
        <v>-0.92</v>
      </c>
      <c r="H2832" s="126" t="s">
        <v>2817</v>
      </c>
      <c r="I2832" s="127" t="s">
        <v>2995</v>
      </c>
      <c r="J2832" s="126">
        <v>4.7</v>
      </c>
      <c r="K2832" s="126">
        <v>49.99</v>
      </c>
      <c r="L2832" s="129">
        <f>INT(base[[#This Row],[Data de liquidação]])</f>
        <v>46192</v>
      </c>
      <c r="M2832" s="126">
        <f>base[[#This Row],[L/P Bruto]]-base[[#This Row],[L/P Líquido]]</f>
        <v>0</v>
      </c>
      <c r="N2832" s="126">
        <f>base[[#This Row],[L/P Líquido]]/base[[#This Row],[Stake/Responsabilidade]]</f>
        <v>-1.8403680736147229E-2</v>
      </c>
      <c r="O2832" s="132">
        <f>IF(base[[#This Row],[L/P Líquido]]&gt;0,1,0)</f>
        <v>0</v>
      </c>
      <c r="P2832" s="132"/>
      <c r="Q2832" s="132" t="str">
        <f>LEFT(base[[#This Row],[Evento / Mercado]],FIND("vs",base[[#This Row],[Evento / Mercado]])-2)</f>
        <v>Ranheim</v>
      </c>
      <c r="R28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Lyn</v>
      </c>
      <c r="S2832" s="132" t="str">
        <f>LEFT(base[[#This Row],[Evento / Mercado]],FIND("/",base[[#This Row],[Evento / Mercado]])-2)</f>
        <v>Ranheim vs FK Lyn</v>
      </c>
    </row>
    <row r="2833" spans="2:21" ht="15" customHeight="1">
      <c r="B2833" s="128" t="s">
        <v>2952</v>
      </c>
      <c r="C2833" s="128" t="s">
        <v>2982</v>
      </c>
      <c r="D2833" s="129">
        <v>46192.683645833335</v>
      </c>
      <c r="E2833" s="130">
        <v>3.14</v>
      </c>
      <c r="F2833" s="136">
        <v>4.4999999999999998E-2</v>
      </c>
      <c r="G2833" s="126">
        <f t="shared" si="55"/>
        <v>3.2879581151832462</v>
      </c>
      <c r="H2833" s="126" t="s">
        <v>1339</v>
      </c>
      <c r="I2833" s="127" t="s">
        <v>2404</v>
      </c>
      <c r="J2833" s="126">
        <v>1.66</v>
      </c>
      <c r="K2833" s="126">
        <v>5</v>
      </c>
      <c r="L2833" s="129">
        <f>INT(base[[#This Row],[Data de liquidação]])</f>
        <v>46192</v>
      </c>
      <c r="M2833" s="126">
        <f>base[[#This Row],[L/P Bruto]]-base[[#This Row],[L/P Líquido]]</f>
        <v>0.14795811518324609</v>
      </c>
      <c r="N2833" s="126">
        <f>base[[#This Row],[L/P Líquido]]/base[[#This Row],[Stake/Responsabilidade]]</f>
        <v>0.628</v>
      </c>
      <c r="O2833" s="132">
        <f>IF(base[[#This Row],[L/P Líquido]]&gt;0,1,0)</f>
        <v>1</v>
      </c>
      <c r="P2833" s="132"/>
      <c r="Q2833" s="132" t="str">
        <f>LEFT(base[[#This Row],[Evento / Mercado]],FIND("vs",base[[#This Row],[Evento / Mercado]])-2)</f>
        <v>Bohemian FC</v>
      </c>
      <c r="R28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2833" s="132" t="str">
        <f>LEFT(base[[#This Row],[Evento / Mercado]],FIND("/",base[[#This Row],[Evento / Mercado]])-2)</f>
        <v>Bohemian FC vs Dundalk</v>
      </c>
    </row>
    <row r="2834" spans="2:21" ht="15" customHeight="1">
      <c r="B2834" s="128" t="s">
        <v>2951</v>
      </c>
      <c r="C2834" s="128" t="s">
        <v>2982</v>
      </c>
      <c r="D2834" s="129">
        <v>46192.728148148148</v>
      </c>
      <c r="E2834" s="130">
        <v>-2</v>
      </c>
      <c r="F2834" s="136">
        <v>4.4999999999999998E-2</v>
      </c>
      <c r="G2834" s="126">
        <f t="shared" si="55"/>
        <v>-2</v>
      </c>
      <c r="H2834" s="126" t="s">
        <v>1339</v>
      </c>
      <c r="I2834" s="127" t="s">
        <v>1994</v>
      </c>
      <c r="J2834" s="126">
        <v>4</v>
      </c>
      <c r="K2834" s="126">
        <v>2</v>
      </c>
      <c r="L2834" s="129">
        <f>INT(base[[#This Row],[Data de liquidação]])</f>
        <v>46192</v>
      </c>
      <c r="M2834" s="126">
        <f>base[[#This Row],[L/P Bruto]]-base[[#This Row],[L/P Líquido]]</f>
        <v>0</v>
      </c>
      <c r="N2834" s="126">
        <f>base[[#This Row],[L/P Líquido]]/base[[#This Row],[Stake/Responsabilidade]]</f>
        <v>-1</v>
      </c>
      <c r="O2834" s="132">
        <f>IF(base[[#This Row],[L/P Líquido]]&gt;0,1,0)</f>
        <v>0</v>
      </c>
      <c r="P2834" s="132"/>
      <c r="Q2834" s="132" t="str">
        <f>LEFT(base[[#This Row],[Evento / Mercado]],FIND("vs",base[[#This Row],[Evento / Mercado]])-2)</f>
        <v>Waterford FC</v>
      </c>
      <c r="R28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Shamrock Rovers</v>
      </c>
      <c r="S2834" s="132" t="str">
        <f>LEFT(base[[#This Row],[Evento / Mercado]],FIND("/",base[[#This Row],[Evento / Mercado]])-2)</f>
        <v>Waterford FC vs Shamrock Rovers</v>
      </c>
    </row>
    <row r="2835" spans="2:21" ht="15" customHeight="1">
      <c r="B2835" s="128" t="s">
        <v>2950</v>
      </c>
      <c r="C2835" s="128" t="s">
        <v>2982</v>
      </c>
      <c r="D2835" s="129">
        <v>46192.73027777778</v>
      </c>
      <c r="E2835" s="130">
        <v>31.83</v>
      </c>
      <c r="F2835" s="136">
        <v>4.4999999999999998E-2</v>
      </c>
      <c r="G2835" s="126">
        <f t="shared" si="55"/>
        <v>33.329842931937172</v>
      </c>
      <c r="H2835" s="126" t="s">
        <v>145</v>
      </c>
      <c r="I2835" s="127" t="s">
        <v>301</v>
      </c>
      <c r="J2835" s="126">
        <v>13</v>
      </c>
      <c r="K2835" s="126">
        <v>399.96</v>
      </c>
      <c r="L2835" s="129">
        <f>INT(base[[#This Row],[Data de liquidação]])</f>
        <v>46192</v>
      </c>
      <c r="M2835" s="126">
        <f>base[[#This Row],[L/P Bruto]]-base[[#This Row],[L/P Líquido]]</f>
        <v>1.4998429319371738</v>
      </c>
      <c r="N2835" s="126">
        <f>base[[#This Row],[L/P Líquido]]/base[[#This Row],[Stake/Responsabilidade]]</f>
        <v>7.9582958295829578E-2</v>
      </c>
      <c r="O2835" s="132">
        <f>IF(base[[#This Row],[L/P Líquido]]&gt;0,1,0)</f>
        <v>1</v>
      </c>
      <c r="P2835" s="132" t="s">
        <v>2954</v>
      </c>
      <c r="Q2835" s="132" t="str">
        <f>LEFT(base[[#This Row],[Evento / Mercado]],FIND("vs",base[[#This Row],[Evento / Mercado]])-2)</f>
        <v>Cork City FC</v>
      </c>
      <c r="R28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Treaty United</v>
      </c>
      <c r="S2835" s="132" t="str">
        <f>LEFT(base[[#This Row],[Evento / Mercado]],FIND("/",base[[#This Row],[Evento / Mercado]])-2)</f>
        <v>Cork City FC vs Treaty United</v>
      </c>
    </row>
    <row r="2836" spans="2:21" ht="15" customHeight="1">
      <c r="B2836" s="128" t="s">
        <v>2949</v>
      </c>
      <c r="C2836" s="128" t="s">
        <v>2982</v>
      </c>
      <c r="D2836" s="129">
        <v>46192.731354166666</v>
      </c>
      <c r="E2836" s="130">
        <v>-0.42</v>
      </c>
      <c r="F2836" s="136">
        <v>4.4999999999999998E-2</v>
      </c>
      <c r="G2836" s="126">
        <f t="shared" si="55"/>
        <v>-0.42</v>
      </c>
      <c r="H2836" s="126" t="s">
        <v>2820</v>
      </c>
      <c r="I2836" s="127" t="s">
        <v>16</v>
      </c>
      <c r="J2836" s="126">
        <v>1.76</v>
      </c>
      <c r="K2836" s="126">
        <v>25</v>
      </c>
      <c r="L2836" s="129">
        <f>INT(base[[#This Row],[Data de liquidação]])</f>
        <v>46192</v>
      </c>
      <c r="M2836" s="126">
        <f>base[[#This Row],[L/P Bruto]]-base[[#This Row],[L/P Líquido]]</f>
        <v>0</v>
      </c>
      <c r="N2836" s="126">
        <f>base[[#This Row],[L/P Líquido]]/base[[#This Row],[Stake/Responsabilidade]]</f>
        <v>-1.6799999999999999E-2</v>
      </c>
      <c r="O2836" s="132">
        <f>IF(base[[#This Row],[L/P Líquido]]&gt;0,1,0)</f>
        <v>0</v>
      </c>
      <c r="P2836" s="132"/>
      <c r="Q2836" s="132" t="str">
        <f>LEFT(base[[#This Row],[Evento / Mercado]],FIND("vs",base[[#This Row],[Evento / Mercado]])-2)</f>
        <v>Galway United</v>
      </c>
      <c r="R28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Derry City</v>
      </c>
      <c r="S2836" s="132" t="str">
        <f>LEFT(base[[#This Row],[Evento / Mercado]],FIND("/",base[[#This Row],[Evento / Mercado]])-2)</f>
        <v>Galway United vs Derry City</v>
      </c>
    </row>
    <row r="2837" spans="2:21" ht="15" customHeight="1">
      <c r="B2837" s="128" t="s">
        <v>2948</v>
      </c>
      <c r="C2837" s="128" t="s">
        <v>2982</v>
      </c>
      <c r="D2837" s="129">
        <v>46192.733275462961</v>
      </c>
      <c r="E2837" s="130">
        <v>38.199999999999996</v>
      </c>
      <c r="F2837" s="136">
        <v>4.4999999999999998E-2</v>
      </c>
      <c r="G2837" s="126">
        <f t="shared" si="55"/>
        <v>40</v>
      </c>
      <c r="H2837" s="126" t="s">
        <v>2693</v>
      </c>
      <c r="I2837" s="127" t="s">
        <v>379</v>
      </c>
      <c r="J2837" s="126">
        <v>3.45</v>
      </c>
      <c r="K2837" s="126">
        <v>40</v>
      </c>
      <c r="L2837" s="129">
        <f>INT(base[[#This Row],[Data de liquidação]])</f>
        <v>46192</v>
      </c>
      <c r="M2837" s="126">
        <f>base[[#This Row],[L/P Bruto]]-base[[#This Row],[L/P Líquido]]</f>
        <v>1.8000000000000043</v>
      </c>
      <c r="N2837" s="126">
        <f>base[[#This Row],[L/P Líquido]]/base[[#This Row],[Stake/Responsabilidade]]</f>
        <v>0.95499999999999985</v>
      </c>
      <c r="O2837" s="132">
        <f>IF(base[[#This Row],[L/P Líquido]]&gt;0,1,0)</f>
        <v>1</v>
      </c>
      <c r="P2837" s="132"/>
      <c r="Q2837" s="132" t="str">
        <f>LEFT(base[[#This Row],[Evento / Mercado]],FIND("vs",base[[#This Row],[Evento / Mercado]])-2)</f>
        <v>St. Patrick's Athletic</v>
      </c>
      <c r="R28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Sligo Rovers</v>
      </c>
      <c r="S2837" s="132" t="str">
        <f>LEFT(base[[#This Row],[Evento / Mercado]],FIND("/",base[[#This Row],[Evento / Mercado]])-2)</f>
        <v>St. Patrick's Athletic vs Sligo Rovers</v>
      </c>
      <c r="T2837" s="8">
        <v>40</v>
      </c>
      <c r="U2837" s="9">
        <f t="shared" ref="U2837:U2838" si="56">T2837*0.955</f>
        <v>38.199999999999996</v>
      </c>
    </row>
    <row r="2838" spans="2:21" ht="15" customHeight="1">
      <c r="B2838" s="128" t="s">
        <v>2948</v>
      </c>
      <c r="C2838" s="128" t="s">
        <v>2982</v>
      </c>
      <c r="D2838" s="129">
        <v>46192.733275462961</v>
      </c>
      <c r="E2838" s="130">
        <v>0.67804999999999993</v>
      </c>
      <c r="F2838" s="136">
        <v>4.4999999999999998E-2</v>
      </c>
      <c r="G2838" s="126">
        <f t="shared" si="55"/>
        <v>0.71</v>
      </c>
      <c r="H2838" s="126" t="s">
        <v>1339</v>
      </c>
      <c r="I2838" s="127" t="s">
        <v>1993</v>
      </c>
      <c r="J2838" s="126">
        <v>1.07</v>
      </c>
      <c r="K2838" s="126">
        <v>10</v>
      </c>
      <c r="L2838" s="129">
        <f>INT(base[[#This Row],[Data de liquidação]])</f>
        <v>46192</v>
      </c>
      <c r="M2838" s="126">
        <f>base[[#This Row],[L/P Bruto]]-base[[#This Row],[L/P Líquido]]</f>
        <v>3.1950000000000034E-2</v>
      </c>
      <c r="N2838" s="126">
        <f>base[[#This Row],[L/P Líquido]]/base[[#This Row],[Stake/Responsabilidade]]</f>
        <v>6.780499999999999E-2</v>
      </c>
      <c r="O2838" s="132">
        <f>IF(base[[#This Row],[L/P Líquido]]&gt;0,1,0)</f>
        <v>1</v>
      </c>
      <c r="P2838" s="132"/>
      <c r="Q2838" s="132" t="str">
        <f>LEFT(base[[#This Row],[Evento / Mercado]],FIND("vs",base[[#This Row],[Evento / Mercado]])-2)</f>
        <v>St. Patrick's Athletic</v>
      </c>
      <c r="R28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Sligo Rovers</v>
      </c>
      <c r="S2838" s="132" t="str">
        <f>LEFT(base[[#This Row],[Evento / Mercado]],FIND("/",base[[#This Row],[Evento / Mercado]])-2)</f>
        <v>St. Patrick's Athletic vs Sligo Rovers</v>
      </c>
      <c r="T2838" s="8">
        <v>0.71</v>
      </c>
      <c r="U2838" s="9">
        <f t="shared" si="56"/>
        <v>0.67804999999999993</v>
      </c>
    </row>
    <row r="2839" spans="2:21" ht="15" customHeight="1">
      <c r="B2839" s="128" t="s">
        <v>2947</v>
      </c>
      <c r="C2839" s="128" t="s">
        <v>2982</v>
      </c>
      <c r="D2839" s="129">
        <v>46192.733796296299</v>
      </c>
      <c r="E2839" s="130">
        <v>-399.98</v>
      </c>
      <c r="F2839" s="136">
        <v>4.4999999999999998E-2</v>
      </c>
      <c r="G2839" s="126">
        <f t="shared" si="55"/>
        <v>-399.98</v>
      </c>
      <c r="H2839" s="126" t="s">
        <v>145</v>
      </c>
      <c r="I2839" s="127" t="s">
        <v>301</v>
      </c>
      <c r="J2839" s="126">
        <v>6.4</v>
      </c>
      <c r="K2839" s="126">
        <v>399.98</v>
      </c>
      <c r="L2839" s="129">
        <f>INT(base[[#This Row],[Data de liquidação]])</f>
        <v>46192</v>
      </c>
      <c r="M2839" s="126">
        <f>base[[#This Row],[L/P Bruto]]-base[[#This Row],[L/P Líquido]]</f>
        <v>0</v>
      </c>
      <c r="N2839" s="126">
        <f>base[[#This Row],[L/P Líquido]]/base[[#This Row],[Stake/Responsabilidade]]</f>
        <v>-1</v>
      </c>
      <c r="O2839" s="132">
        <f>IF(base[[#This Row],[L/P Líquido]]&gt;0,1,0)</f>
        <v>0</v>
      </c>
      <c r="P2839" s="132" t="s">
        <v>2954</v>
      </c>
      <c r="Q2839" s="132" t="str">
        <f>LEFT(base[[#This Row],[Evento / Mercado]],FIND("vs",base[[#This Row],[Evento / Mercado]])-2)</f>
        <v>UCD</v>
      </c>
      <c r="R28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Kerry FC</v>
      </c>
      <c r="S2839" s="132" t="str">
        <f>LEFT(base[[#This Row],[Evento / Mercado]],FIND("/",base[[#This Row],[Evento / Mercado]])-2)</f>
        <v>UCD vs Kerry FC</v>
      </c>
    </row>
    <row r="2840" spans="2:21" ht="15" customHeight="1">
      <c r="B2840" s="128" t="s">
        <v>2946</v>
      </c>
      <c r="C2840" s="128" t="s">
        <v>2982</v>
      </c>
      <c r="D2840" s="129">
        <v>46192.734097222223</v>
      </c>
      <c r="E2840" s="130">
        <v>24.65</v>
      </c>
      <c r="F2840" s="136">
        <v>4.4999999999999998E-2</v>
      </c>
      <c r="G2840" s="126">
        <f t="shared" si="55"/>
        <v>25.811518324607331</v>
      </c>
      <c r="H2840" s="126" t="s">
        <v>145</v>
      </c>
      <c r="I2840" s="127" t="s">
        <v>301</v>
      </c>
      <c r="J2840" s="126">
        <v>16.5</v>
      </c>
      <c r="K2840" s="126">
        <v>400.06</v>
      </c>
      <c r="L2840" s="129">
        <f>INT(base[[#This Row],[Data de liquidação]])</f>
        <v>46192</v>
      </c>
      <c r="M2840" s="126">
        <f>base[[#This Row],[L/P Bruto]]-base[[#This Row],[L/P Líquido]]</f>
        <v>1.1615183246073322</v>
      </c>
      <c r="N2840" s="126">
        <f>base[[#This Row],[L/P Líquido]]/base[[#This Row],[Stake/Responsabilidade]]</f>
        <v>6.1615757636354546E-2</v>
      </c>
      <c r="O2840" s="132">
        <f>IF(base[[#This Row],[L/P Líquido]]&gt;0,1,0)</f>
        <v>1</v>
      </c>
      <c r="P2840" s="132" t="s">
        <v>1788</v>
      </c>
      <c r="Q2840" s="132" t="str">
        <f>LEFT(base[[#This Row],[Evento / Mercado]],FIND("vs",base[[#This Row],[Evento / Mercado]])-2)</f>
        <v>St. Patrick's Athletic</v>
      </c>
      <c r="R28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Sligo Rovers</v>
      </c>
      <c r="S2840" s="132" t="str">
        <f>LEFT(base[[#This Row],[Evento / Mercado]],FIND("/",base[[#This Row],[Evento / Mercado]])-2)</f>
        <v>St. Patrick's Athletic vs Sligo Rovers</v>
      </c>
    </row>
    <row r="2841" spans="2:21" ht="15" customHeight="1">
      <c r="B2841" s="128" t="s">
        <v>2945</v>
      </c>
      <c r="C2841" s="128" t="s">
        <v>2982</v>
      </c>
      <c r="D2841" s="129">
        <v>46192.734953703701</v>
      </c>
      <c r="E2841" s="130">
        <v>4.68</v>
      </c>
      <c r="F2841" s="136">
        <v>4.4999999999999998E-2</v>
      </c>
      <c r="G2841" s="126">
        <f t="shared" si="55"/>
        <v>4.9005235602094244</v>
      </c>
      <c r="H2841" s="126" t="s">
        <v>1339</v>
      </c>
      <c r="I2841" s="127" t="s">
        <v>1963</v>
      </c>
      <c r="J2841" s="126">
        <v>1.07</v>
      </c>
      <c r="K2841" s="126">
        <v>70</v>
      </c>
      <c r="L2841" s="129">
        <f>INT(base[[#This Row],[Data de liquidação]])</f>
        <v>46192</v>
      </c>
      <c r="M2841" s="126">
        <f>base[[#This Row],[L/P Bruto]]-base[[#This Row],[L/P Líquido]]</f>
        <v>0.22052356020942465</v>
      </c>
      <c r="N2841" s="126">
        <f>base[[#This Row],[L/P Líquido]]/base[[#This Row],[Stake/Responsabilidade]]</f>
        <v>6.6857142857142851E-2</v>
      </c>
      <c r="O2841" s="132">
        <f>IF(base[[#This Row],[L/P Líquido]]&gt;0,1,0)</f>
        <v>1</v>
      </c>
      <c r="P2841" s="132"/>
      <c r="Q2841" s="132" t="str">
        <f>LEFT(base[[#This Row],[Evento / Mercado]],FIND("vs",base[[#This Row],[Evento / Mercado]])-2)</f>
        <v>Galway United</v>
      </c>
      <c r="R28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Derry City</v>
      </c>
      <c r="S2841" s="132" t="str">
        <f>LEFT(base[[#This Row],[Evento / Mercado]],FIND("/",base[[#This Row],[Evento / Mercado]])-2)</f>
        <v>Galway United vs Derry City</v>
      </c>
    </row>
    <row r="2842" spans="2:21" ht="15" customHeight="1">
      <c r="B2842" s="128" t="s">
        <v>2944</v>
      </c>
      <c r="C2842" s="128" t="s">
        <v>2982</v>
      </c>
      <c r="D2842" s="129">
        <v>46192.752650462964</v>
      </c>
      <c r="E2842" s="130">
        <v>26.55</v>
      </c>
      <c r="F2842" s="136">
        <v>4.4999999999999998E-2</v>
      </c>
      <c r="G2842" s="126">
        <f t="shared" si="55"/>
        <v>27.801047120418851</v>
      </c>
      <c r="H2842" s="126" t="s">
        <v>2714</v>
      </c>
      <c r="I2842" s="127" t="s">
        <v>2716</v>
      </c>
      <c r="J2842" s="126"/>
      <c r="K2842" s="126">
        <v>100</v>
      </c>
      <c r="L2842" s="129">
        <f>INT(base[[#This Row],[Data de liquidação]])</f>
        <v>46192</v>
      </c>
      <c r="M2842" s="126">
        <f>base[[#This Row],[L/P Bruto]]-base[[#This Row],[L/P Líquido]]</f>
        <v>1.2510471204188498</v>
      </c>
      <c r="N2842" s="126">
        <f>base[[#This Row],[L/P Líquido]]/base[[#This Row],[Stake/Responsabilidade]]</f>
        <v>0.26550000000000001</v>
      </c>
      <c r="O2842" s="132">
        <f>IF(base[[#This Row],[L/P Líquido]]&gt;0,1,0)</f>
        <v>1</v>
      </c>
      <c r="P2842" s="132"/>
      <c r="Q2842" s="132" t="str">
        <f>LEFT(base[[#This Row],[Evento / Mercado]],FIND("vs",base[[#This Row],[Evento / Mercado]])-2)</f>
        <v>USA</v>
      </c>
      <c r="R28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Australia</v>
      </c>
      <c r="S2842" s="132" t="str">
        <f>LEFT(base[[#This Row],[Evento / Mercado]],FIND("/",base[[#This Row],[Evento / Mercado]])-2)</f>
        <v>USA vs Australia</v>
      </c>
    </row>
    <row r="2843" spans="2:21" ht="15" customHeight="1">
      <c r="B2843" s="128" t="s">
        <v>2944</v>
      </c>
      <c r="C2843" s="128" t="s">
        <v>2981</v>
      </c>
      <c r="D2843" s="129">
        <v>46192.752650462964</v>
      </c>
      <c r="E2843" s="130">
        <v>31.51</v>
      </c>
      <c r="F2843" s="136">
        <v>4.4999999999999998E-2</v>
      </c>
      <c r="G2843" s="126">
        <f t="shared" si="55"/>
        <v>32.994764397905762</v>
      </c>
      <c r="H2843" s="126" t="s">
        <v>2821</v>
      </c>
      <c r="I2843" s="127" t="s">
        <v>476</v>
      </c>
      <c r="J2843" s="126">
        <v>17.5</v>
      </c>
      <c r="K2843" s="126">
        <v>534.92999999999995</v>
      </c>
      <c r="L2843" s="129">
        <f>INT(base[[#This Row],[Data de liquidação]])</f>
        <v>46192</v>
      </c>
      <c r="M2843" s="126">
        <f>base[[#This Row],[L/P Bruto]]-base[[#This Row],[L/P Líquido]]</f>
        <v>1.4847643979057601</v>
      </c>
      <c r="N2843" s="126">
        <f>base[[#This Row],[L/P Líquido]]/base[[#This Row],[Stake/Responsabilidade]]</f>
        <v>5.8904903445310609E-2</v>
      </c>
      <c r="O2843" s="132">
        <f>IF(base[[#This Row],[L/P Líquido]]&gt;0,1,0)</f>
        <v>1</v>
      </c>
      <c r="P2843" s="132"/>
      <c r="Q2843" s="132" t="str">
        <f>LEFT(base[[#This Row],[Evento / Mercado]],FIND("vs",base[[#This Row],[Evento / Mercado]])-2)</f>
        <v>USA</v>
      </c>
      <c r="R28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Australia</v>
      </c>
      <c r="S2843" s="132" t="str">
        <f>LEFT(base[[#This Row],[Evento / Mercado]],FIND("/",base[[#This Row],[Evento / Mercado]])-2)</f>
        <v>USA vs Australia</v>
      </c>
    </row>
    <row r="2844" spans="2:21" ht="15" customHeight="1">
      <c r="B2844" s="128" t="s">
        <v>2943</v>
      </c>
      <c r="C2844" s="128" t="s">
        <v>2982</v>
      </c>
      <c r="D2844" s="129">
        <v>46192.752928240741</v>
      </c>
      <c r="E2844" s="130">
        <v>86.82</v>
      </c>
      <c r="F2844" s="136">
        <v>4.4999999999999998E-2</v>
      </c>
      <c r="G2844" s="126">
        <f t="shared" si="55"/>
        <v>90.910994764397898</v>
      </c>
      <c r="H2844" s="126" t="s">
        <v>145</v>
      </c>
      <c r="I2844" s="127" t="s">
        <v>2877</v>
      </c>
      <c r="J2844" s="126">
        <v>5.4</v>
      </c>
      <c r="K2844" s="126">
        <v>400</v>
      </c>
      <c r="L2844" s="129">
        <f>INT(base[[#This Row],[Data de liquidação]])</f>
        <v>46192</v>
      </c>
      <c r="M2844" s="126">
        <f>base[[#This Row],[L/P Bruto]]-base[[#This Row],[L/P Líquido]]</f>
        <v>4.0909947643979052</v>
      </c>
      <c r="N2844" s="126">
        <f>base[[#This Row],[L/P Líquido]]/base[[#This Row],[Stake/Responsabilidade]]</f>
        <v>0.21704999999999999</v>
      </c>
      <c r="O2844" s="132">
        <f>IF(base[[#This Row],[L/P Líquido]]&gt;0,1,0)</f>
        <v>1</v>
      </c>
      <c r="P2844" s="132" t="s">
        <v>2818</v>
      </c>
      <c r="Q2844" s="132" t="str">
        <f>LEFT(base[[#This Row],[Evento / Mercado]],FIND("vs",base[[#This Row],[Evento / Mercado]])-2)</f>
        <v>USA</v>
      </c>
      <c r="R28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Australia</v>
      </c>
      <c r="S2844" s="132" t="str">
        <f>LEFT(base[[#This Row],[Evento / Mercado]],FIND("/",base[[#This Row],[Evento / Mercado]])-2)</f>
        <v>USA vs Australia</v>
      </c>
    </row>
    <row r="2845" spans="2:21" ht="15" customHeight="1">
      <c r="B2845" s="128" t="s">
        <v>2943</v>
      </c>
      <c r="C2845" s="128" t="s">
        <v>2981</v>
      </c>
      <c r="D2845" s="129">
        <v>46192.752928240741</v>
      </c>
      <c r="E2845" s="130">
        <v>6.45</v>
      </c>
      <c r="F2845" s="136">
        <v>4.4999999999999998E-2</v>
      </c>
      <c r="G2845" s="126">
        <f t="shared" si="55"/>
        <v>6.7539267015706814</v>
      </c>
      <c r="H2845" s="126" t="s">
        <v>2817</v>
      </c>
      <c r="I2845" s="127" t="s">
        <v>2993</v>
      </c>
      <c r="J2845" s="126">
        <v>5.8</v>
      </c>
      <c r="K2845" s="126">
        <v>50.02</v>
      </c>
      <c r="L2845" s="129">
        <f>INT(base[[#This Row],[Data de liquidação]])</f>
        <v>46192</v>
      </c>
      <c r="M2845" s="126">
        <f>base[[#This Row],[L/P Bruto]]-base[[#This Row],[L/P Líquido]]</f>
        <v>0.30392670157068125</v>
      </c>
      <c r="N2845" s="126">
        <f>base[[#This Row],[L/P Líquido]]/base[[#This Row],[Stake/Responsabilidade]]</f>
        <v>0.1289484206317473</v>
      </c>
      <c r="O2845" s="132">
        <f>IF(base[[#This Row],[L/P Líquido]]&gt;0,1,0)</f>
        <v>1</v>
      </c>
      <c r="P2845" s="132"/>
      <c r="Q2845" s="132" t="str">
        <f>LEFT(base[[#This Row],[Evento / Mercado]],FIND("vs",base[[#This Row],[Evento / Mercado]])-2)</f>
        <v>USA</v>
      </c>
      <c r="R28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Australia</v>
      </c>
      <c r="S2845" s="132" t="str">
        <f>LEFT(base[[#This Row],[Evento / Mercado]],FIND("/",base[[#This Row],[Evento / Mercado]])-2)</f>
        <v>USA vs Australia</v>
      </c>
    </row>
    <row r="2846" spans="2:21" ht="15" customHeight="1">
      <c r="B2846" s="128" t="s">
        <v>2942</v>
      </c>
      <c r="C2846" s="128" t="s">
        <v>2982</v>
      </c>
      <c r="D2846" s="129">
        <v>46192.753159722219</v>
      </c>
      <c r="E2846" s="130">
        <v>-120</v>
      </c>
      <c r="F2846" s="136">
        <v>4.4999999999999998E-2</v>
      </c>
      <c r="G2846" s="126">
        <f t="shared" si="55"/>
        <v>-120</v>
      </c>
      <c r="H2846" s="126" t="s">
        <v>2693</v>
      </c>
      <c r="I2846" s="127" t="s">
        <v>213</v>
      </c>
      <c r="J2846" s="126">
        <v>4</v>
      </c>
      <c r="K2846" s="126">
        <v>40</v>
      </c>
      <c r="L2846" s="129">
        <f>INT(base[[#This Row],[Data de liquidação]])</f>
        <v>46192</v>
      </c>
      <c r="M2846" s="126">
        <f>base[[#This Row],[L/P Bruto]]-base[[#This Row],[L/P Líquido]]</f>
        <v>0</v>
      </c>
      <c r="N2846" s="126">
        <f>base[[#This Row],[L/P Líquido]]/base[[#This Row],[Stake/Responsabilidade]]</f>
        <v>-3</v>
      </c>
      <c r="O2846" s="132">
        <f>IF(base[[#This Row],[L/P Líquido]]&gt;0,1,0)</f>
        <v>0</v>
      </c>
      <c r="P2846" s="132"/>
      <c r="Q2846" s="132" t="str">
        <f>LEFT(base[[#This Row],[Evento / Mercado]],FIND("vs",base[[#This Row],[Evento / Mercado]])-2)</f>
        <v>USA</v>
      </c>
      <c r="R28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Australia</v>
      </c>
      <c r="S2846" s="132" t="str">
        <f>LEFT(base[[#This Row],[Evento / Mercado]],FIND("/",base[[#This Row],[Evento / Mercado]])-2)</f>
        <v>USA vs Australia</v>
      </c>
    </row>
    <row r="2847" spans="2:21" ht="15" customHeight="1">
      <c r="B2847" s="128" t="s">
        <v>2941</v>
      </c>
      <c r="C2847" s="128" t="s">
        <v>2982</v>
      </c>
      <c r="D2847" s="129">
        <v>46192.874305555553</v>
      </c>
      <c r="E2847" s="130">
        <v>40.31</v>
      </c>
      <c r="F2847" s="136">
        <v>4.4999999999999998E-2</v>
      </c>
      <c r="G2847" s="126">
        <f t="shared" si="55"/>
        <v>42.20942408376964</v>
      </c>
      <c r="H2847" s="126" t="s">
        <v>2714</v>
      </c>
      <c r="I2847" s="127" t="s">
        <v>2715</v>
      </c>
      <c r="J2847" s="126"/>
      <c r="K2847" s="126">
        <v>100</v>
      </c>
      <c r="L2847" s="129">
        <f>INT(base[[#This Row],[Data de liquidação]])</f>
        <v>46192</v>
      </c>
      <c r="M2847" s="126">
        <f>base[[#This Row],[L/P Bruto]]-base[[#This Row],[L/P Líquido]]</f>
        <v>1.8994240837696381</v>
      </c>
      <c r="N2847" s="126">
        <f>base[[#This Row],[L/P Líquido]]/base[[#This Row],[Stake/Responsabilidade]]</f>
        <v>0.40310000000000001</v>
      </c>
      <c r="O2847" s="132">
        <f>IF(base[[#This Row],[L/P Líquido]]&gt;0,1,0)</f>
        <v>1</v>
      </c>
      <c r="P2847" s="132"/>
      <c r="Q2847" s="132" t="str">
        <f>LEFT(base[[#This Row],[Evento / Mercado]],FIND("vs",base[[#This Row],[Evento / Mercado]])-2)</f>
        <v>Scotland</v>
      </c>
      <c r="R28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2847" s="132" t="str">
        <f>LEFT(base[[#This Row],[Evento / Mercado]],FIND("/",base[[#This Row],[Evento / Mercado]])-2)</f>
        <v>Scotland vs Morocco</v>
      </c>
    </row>
    <row r="2848" spans="2:21" ht="15" customHeight="1">
      <c r="B2848" s="128" t="s">
        <v>2941</v>
      </c>
      <c r="C2848" s="128" t="s">
        <v>2981</v>
      </c>
      <c r="D2848" s="129">
        <v>46192.874305555553</v>
      </c>
      <c r="E2848" s="130">
        <v>35.5</v>
      </c>
      <c r="F2848" s="136">
        <v>4.4999999999999998E-2</v>
      </c>
      <c r="G2848" s="126">
        <f t="shared" si="55"/>
        <v>37.172774869109951</v>
      </c>
      <c r="H2848" s="126" t="s">
        <v>2821</v>
      </c>
      <c r="I2848" s="127" t="s">
        <v>542</v>
      </c>
      <c r="J2848" s="126">
        <v>16.5</v>
      </c>
      <c r="K2848" s="126">
        <v>566.02</v>
      </c>
      <c r="L2848" s="129">
        <f>INT(base[[#This Row],[Data de liquidação]])</f>
        <v>46192</v>
      </c>
      <c r="M2848" s="126">
        <f>base[[#This Row],[L/P Bruto]]-base[[#This Row],[L/P Líquido]]</f>
        <v>1.6727748691099507</v>
      </c>
      <c r="N2848" s="126">
        <f>base[[#This Row],[L/P Líquido]]/base[[#This Row],[Stake/Responsabilidade]]</f>
        <v>6.2718631850464654E-2</v>
      </c>
      <c r="O2848" s="132">
        <f>IF(base[[#This Row],[L/P Líquido]]&gt;0,1,0)</f>
        <v>1</v>
      </c>
      <c r="P2848" s="132"/>
      <c r="Q2848" s="132" t="str">
        <f>LEFT(base[[#This Row],[Evento / Mercado]],FIND("vs",base[[#This Row],[Evento / Mercado]])-2)</f>
        <v>Scotland</v>
      </c>
      <c r="R28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2848" s="132" t="str">
        <f>LEFT(base[[#This Row],[Evento / Mercado]],FIND("/",base[[#This Row],[Evento / Mercado]])-2)</f>
        <v>Scotland vs Morocco</v>
      </c>
    </row>
    <row r="2849" spans="2:21" ht="15" customHeight="1">
      <c r="B2849" s="128" t="s">
        <v>2940</v>
      </c>
      <c r="C2849" s="128" t="s">
        <v>2982</v>
      </c>
      <c r="D2849" s="129">
        <v>46192.874710648146</v>
      </c>
      <c r="E2849" s="130">
        <v>-102</v>
      </c>
      <c r="F2849" s="136">
        <v>4.4999999999999998E-2</v>
      </c>
      <c r="G2849" s="126">
        <f t="shared" si="55"/>
        <v>-102</v>
      </c>
      <c r="H2849" s="126" t="s">
        <v>2693</v>
      </c>
      <c r="I2849" s="127" t="s">
        <v>1249</v>
      </c>
      <c r="J2849" s="126">
        <v>3.55</v>
      </c>
      <c r="K2849" s="126">
        <v>40</v>
      </c>
      <c r="L2849" s="129">
        <f>INT(base[[#This Row],[Data de liquidação]])</f>
        <v>46192</v>
      </c>
      <c r="M2849" s="126">
        <f>base[[#This Row],[L/P Bruto]]-base[[#This Row],[L/P Líquido]]</f>
        <v>0</v>
      </c>
      <c r="N2849" s="126">
        <f>base[[#This Row],[L/P Líquido]]/base[[#This Row],[Stake/Responsabilidade]]</f>
        <v>-2.5499999999999998</v>
      </c>
      <c r="O2849" s="132">
        <f>IF(base[[#This Row],[L/P Líquido]]&gt;0,1,0)</f>
        <v>0</v>
      </c>
      <c r="P2849" s="132"/>
      <c r="Q2849" s="132" t="str">
        <f>LEFT(base[[#This Row],[Evento / Mercado]],FIND("vs",base[[#This Row],[Evento / Mercado]])-2)</f>
        <v>Scotland</v>
      </c>
      <c r="R28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2849" s="132" t="str">
        <f>LEFT(base[[#This Row],[Evento / Mercado]],FIND("/",base[[#This Row],[Evento / Mercado]])-2)</f>
        <v>Scotland vs Morocco</v>
      </c>
    </row>
    <row r="2850" spans="2:21" ht="15" customHeight="1">
      <c r="B2850" s="128" t="s">
        <v>2939</v>
      </c>
      <c r="C2850" s="128" t="s">
        <v>2982</v>
      </c>
      <c r="D2850" s="129">
        <v>46192.87604166667</v>
      </c>
      <c r="E2850" s="130">
        <v>68.22</v>
      </c>
      <c r="F2850" s="136">
        <v>4.4999999999999998E-2</v>
      </c>
      <c r="G2850" s="126">
        <f t="shared" si="55"/>
        <v>71.434554973821989</v>
      </c>
      <c r="H2850" s="126" t="s">
        <v>145</v>
      </c>
      <c r="I2850" s="127" t="s">
        <v>2877</v>
      </c>
      <c r="J2850" s="126">
        <v>6.6</v>
      </c>
      <c r="K2850" s="126">
        <v>399.96</v>
      </c>
      <c r="L2850" s="129">
        <f>INT(base[[#This Row],[Data de liquidação]])</f>
        <v>46192</v>
      </c>
      <c r="M2850" s="126">
        <f>base[[#This Row],[L/P Bruto]]-base[[#This Row],[L/P Líquido]]</f>
        <v>3.2145549738219898</v>
      </c>
      <c r="N2850" s="126">
        <f>base[[#This Row],[L/P Líquido]]/base[[#This Row],[Stake/Responsabilidade]]</f>
        <v>0.17056705670567057</v>
      </c>
      <c r="O2850" s="132">
        <f>IF(base[[#This Row],[L/P Líquido]]&gt;0,1,0)</f>
        <v>1</v>
      </c>
      <c r="P2850" s="132" t="s">
        <v>2818</v>
      </c>
      <c r="Q2850" s="132" t="str">
        <f>LEFT(base[[#This Row],[Evento / Mercado]],FIND("vs",base[[#This Row],[Evento / Mercado]])-2)</f>
        <v>Scotland</v>
      </c>
      <c r="R28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2850" s="132" t="str">
        <f>LEFT(base[[#This Row],[Evento / Mercado]],FIND("/",base[[#This Row],[Evento / Mercado]])-2)</f>
        <v>Scotland vs Morocco</v>
      </c>
    </row>
    <row r="2851" spans="2:21" ht="15" customHeight="1">
      <c r="B2851" s="128" t="s">
        <v>2938</v>
      </c>
      <c r="C2851" s="128" t="s">
        <v>2982</v>
      </c>
      <c r="D2851" s="129">
        <v>46192.980057870373</v>
      </c>
      <c r="E2851" s="130">
        <v>34.723799999999997</v>
      </c>
      <c r="F2851" s="136">
        <v>4.4999999999999998E-2</v>
      </c>
      <c r="G2851" s="126">
        <f t="shared" si="55"/>
        <v>36.36</v>
      </c>
      <c r="H2851" s="126" t="s">
        <v>1233</v>
      </c>
      <c r="I2851" s="127"/>
      <c r="J2851" s="126">
        <v>12</v>
      </c>
      <c r="K2851" s="126">
        <v>399.96</v>
      </c>
      <c r="L2851" s="129">
        <f>INT(base[[#This Row],[Data de liquidação]])</f>
        <v>46192</v>
      </c>
      <c r="M2851" s="126">
        <f>base[[#This Row],[L/P Bruto]]-base[[#This Row],[L/P Líquido]]</f>
        <v>1.6362000000000023</v>
      </c>
      <c r="N2851" s="126">
        <f>base[[#This Row],[L/P Líquido]]/base[[#This Row],[Stake/Responsabilidade]]</f>
        <v>8.6818181818181822E-2</v>
      </c>
      <c r="O2851" s="132">
        <f>IF(base[[#This Row],[L/P Líquido]]&gt;0,1,0)</f>
        <v>1</v>
      </c>
      <c r="P2851" s="132" t="s">
        <v>2818</v>
      </c>
      <c r="Q2851" s="132" t="str">
        <f>LEFT(base[[#This Row],[Evento / Mercado]],FIND("vs",base[[#This Row],[Evento / Mercado]])-2)</f>
        <v>Brazil</v>
      </c>
      <c r="R28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Haiti</v>
      </c>
      <c r="S2851" s="132" t="str">
        <f>LEFT(base[[#This Row],[Evento / Mercado]],FIND("/",base[[#This Row],[Evento / Mercado]])-2)</f>
        <v>Brazil vs Haiti</v>
      </c>
      <c r="T2851" s="8">
        <v>36.36</v>
      </c>
      <c r="U2851" s="9">
        <f t="shared" ref="U2851:U2852" si="57">T2851*0.955</f>
        <v>34.723799999999997</v>
      </c>
    </row>
    <row r="2852" spans="2:21" ht="15" customHeight="1">
      <c r="B2852" s="128" t="s">
        <v>2938</v>
      </c>
      <c r="C2852" s="128" t="s">
        <v>2982</v>
      </c>
      <c r="D2852" s="129">
        <v>46192.980057870373</v>
      </c>
      <c r="E2852" s="130">
        <v>15.28</v>
      </c>
      <c r="F2852" s="136">
        <v>4.4999999999999998E-2</v>
      </c>
      <c r="G2852" s="126">
        <f t="shared" si="55"/>
        <v>16</v>
      </c>
      <c r="H2852" s="126" t="s">
        <v>145</v>
      </c>
      <c r="I2852" s="127" t="s">
        <v>2877</v>
      </c>
      <c r="J2852" s="126">
        <v>26</v>
      </c>
      <c r="K2852" s="126">
        <v>400</v>
      </c>
      <c r="L2852" s="129">
        <f>INT(base[[#This Row],[Data de liquidação]])</f>
        <v>46192</v>
      </c>
      <c r="M2852" s="126">
        <f>base[[#This Row],[L/P Bruto]]-base[[#This Row],[L/P Líquido]]</f>
        <v>0.72000000000000064</v>
      </c>
      <c r="N2852" s="126">
        <f>base[[#This Row],[L/P Líquido]]/base[[#This Row],[Stake/Responsabilidade]]</f>
        <v>3.8199999999999998E-2</v>
      </c>
      <c r="O2852" s="132">
        <f>IF(base[[#This Row],[L/P Líquido]]&gt;0,1,0)</f>
        <v>1</v>
      </c>
      <c r="P2852" s="132" t="s">
        <v>2818</v>
      </c>
      <c r="Q2852" s="132" t="str">
        <f>LEFT(base[[#This Row],[Evento / Mercado]],FIND("vs",base[[#This Row],[Evento / Mercado]])-2)</f>
        <v>Brazil</v>
      </c>
      <c r="R28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Haiti</v>
      </c>
      <c r="S2852" s="132" t="str">
        <f>LEFT(base[[#This Row],[Evento / Mercado]],FIND("/",base[[#This Row],[Evento / Mercado]])-2)</f>
        <v>Brazil vs Haiti</v>
      </c>
      <c r="T2852" s="8">
        <v>16</v>
      </c>
      <c r="U2852" s="9">
        <f t="shared" si="57"/>
        <v>15.28</v>
      </c>
    </row>
    <row r="2853" spans="2:21" ht="15" customHeight="1">
      <c r="B2853" s="128" t="s">
        <v>2937</v>
      </c>
      <c r="C2853" s="128" t="s">
        <v>2982</v>
      </c>
      <c r="D2853" s="129">
        <v>46192.980381944442</v>
      </c>
      <c r="E2853" s="130">
        <v>-55.2</v>
      </c>
      <c r="F2853" s="136">
        <v>4.4999999999999998E-2</v>
      </c>
      <c r="G2853" s="126">
        <f t="shared" si="55"/>
        <v>-55.2</v>
      </c>
      <c r="H2853" s="126" t="s">
        <v>2693</v>
      </c>
      <c r="I2853" s="127" t="s">
        <v>299</v>
      </c>
      <c r="J2853" s="126">
        <v>2.38</v>
      </c>
      <c r="K2853" s="126">
        <v>40</v>
      </c>
      <c r="L2853" s="129">
        <f>INT(base[[#This Row],[Data de liquidação]])</f>
        <v>46192</v>
      </c>
      <c r="M2853" s="126">
        <f>base[[#This Row],[L/P Bruto]]-base[[#This Row],[L/P Líquido]]</f>
        <v>0</v>
      </c>
      <c r="N2853" s="126">
        <f>base[[#This Row],[L/P Líquido]]/base[[#This Row],[Stake/Responsabilidade]]</f>
        <v>-1.3800000000000001</v>
      </c>
      <c r="O2853" s="132">
        <f>IF(base[[#This Row],[L/P Líquido]]&gt;0,1,0)</f>
        <v>0</v>
      </c>
      <c r="P2853" s="132"/>
      <c r="Q2853" s="132" t="str">
        <f>LEFT(base[[#This Row],[Evento / Mercado]],FIND("vs",base[[#This Row],[Evento / Mercado]])-2)</f>
        <v>Brazil</v>
      </c>
      <c r="R28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Haiti</v>
      </c>
      <c r="S2853" s="132" t="str">
        <f>LEFT(base[[#This Row],[Evento / Mercado]],FIND("/",base[[#This Row],[Evento / Mercado]])-2)</f>
        <v>Brazil vs Haiti</v>
      </c>
    </row>
    <row r="2854" spans="2:21" ht="15" customHeight="1">
      <c r="B2854" s="128" t="s">
        <v>2957</v>
      </c>
      <c r="C2854" s="128" t="s">
        <v>2981</v>
      </c>
      <c r="D2854" s="129">
        <v>46193.087199074071</v>
      </c>
      <c r="E2854" s="130">
        <v>-400</v>
      </c>
      <c r="F2854" s="136">
        <v>4.4999999999999998E-2</v>
      </c>
      <c r="G2854" s="126">
        <f t="shared" si="55"/>
        <v>-400</v>
      </c>
      <c r="H2854" s="126" t="s">
        <v>2821</v>
      </c>
      <c r="I2854" s="127" t="s">
        <v>476</v>
      </c>
      <c r="J2854" s="126">
        <v>13.5</v>
      </c>
      <c r="K2854" s="126">
        <v>400</v>
      </c>
      <c r="L2854" s="129">
        <f>INT(base[[#This Row],[Data de liquidação]])</f>
        <v>46193</v>
      </c>
      <c r="M2854" s="126">
        <f>base[[#This Row],[L/P Bruto]]-base[[#This Row],[L/P Líquido]]</f>
        <v>0</v>
      </c>
      <c r="N2854" s="126">
        <f>base[[#This Row],[L/P Líquido]]/base[[#This Row],[Stake/Responsabilidade]]</f>
        <v>-1</v>
      </c>
      <c r="O2854" s="132">
        <f>IF(base[[#This Row],[L/P Líquido]]&gt;0,1,0)</f>
        <v>0</v>
      </c>
      <c r="P2854" s="132"/>
      <c r="Q2854" s="132" t="str">
        <f>LEFT(base[[#This Row],[Evento / Mercado]],FIND("vs",base[[#This Row],[Evento / Mercado]])-2)</f>
        <v>Turkey</v>
      </c>
      <c r="R28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Paraguay</v>
      </c>
      <c r="S2854" s="132" t="str">
        <f>LEFT(base[[#This Row],[Evento / Mercado]],FIND("/",base[[#This Row],[Evento / Mercado]])-2)</f>
        <v>Turkey vs Paraguay</v>
      </c>
    </row>
    <row r="2855" spans="2:21" ht="15" customHeight="1">
      <c r="B2855" s="128" t="s">
        <v>2936</v>
      </c>
      <c r="C2855" s="128" t="s">
        <v>2982</v>
      </c>
      <c r="D2855" s="129">
        <v>46193.518865740742</v>
      </c>
      <c r="E2855" s="130">
        <v>38.199999999999996</v>
      </c>
      <c r="F2855" s="136">
        <v>4.4999999999999998E-2</v>
      </c>
      <c r="G2855" s="126">
        <f t="shared" si="55"/>
        <v>40</v>
      </c>
      <c r="H2855" s="126" t="s">
        <v>2693</v>
      </c>
      <c r="I2855" s="127" t="s">
        <v>379</v>
      </c>
      <c r="J2855" s="126">
        <v>3.35</v>
      </c>
      <c r="K2855" s="126">
        <v>40</v>
      </c>
      <c r="L2855" s="129">
        <f>INT(base[[#This Row],[Data de liquidação]])</f>
        <v>46193</v>
      </c>
      <c r="M2855" s="126">
        <f>base[[#This Row],[L/P Bruto]]-base[[#This Row],[L/P Líquido]]</f>
        <v>1.8000000000000043</v>
      </c>
      <c r="N2855" s="126">
        <f>base[[#This Row],[L/P Líquido]]/base[[#This Row],[Stake/Responsabilidade]]</f>
        <v>0.95499999999999985</v>
      </c>
      <c r="O2855" s="132">
        <f>IF(base[[#This Row],[L/P Líquido]]&gt;0,1,0)</f>
        <v>1</v>
      </c>
      <c r="P2855" s="132"/>
      <c r="Q2855" s="132" t="str">
        <f>LEFT(base[[#This Row],[Evento / Mercado]],FIND("vs",base[[#This Row],[Evento / Mercado]])-2)</f>
        <v>Londrina</v>
      </c>
      <c r="R28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2855" s="132" t="str">
        <f>LEFT(base[[#This Row],[Evento / Mercado]],FIND("/",base[[#This Row],[Evento / Mercado]])-2)</f>
        <v>Londrina vs Athletic Club MG</v>
      </c>
      <c r="T2855" s="8">
        <v>40</v>
      </c>
      <c r="U2855" s="9">
        <f t="shared" ref="U2855:U2856" si="58">T2855*0.955</f>
        <v>38.199999999999996</v>
      </c>
    </row>
    <row r="2856" spans="2:21" ht="15" customHeight="1">
      <c r="B2856" s="128" t="s">
        <v>2936</v>
      </c>
      <c r="C2856" s="128" t="s">
        <v>2982</v>
      </c>
      <c r="D2856" s="129">
        <v>46193.518865740742</v>
      </c>
      <c r="E2856" s="130">
        <v>7.8787499999999993</v>
      </c>
      <c r="F2856" s="136">
        <v>4.4999999999999998E-2</v>
      </c>
      <c r="G2856" s="126">
        <f t="shared" si="55"/>
        <v>8.25</v>
      </c>
      <c r="H2856" s="126" t="s">
        <v>1339</v>
      </c>
      <c r="I2856" s="127" t="s">
        <v>1933</v>
      </c>
      <c r="J2856" s="126">
        <v>1.55</v>
      </c>
      <c r="K2856" s="126">
        <v>15</v>
      </c>
      <c r="L2856" s="129">
        <f>INT(base[[#This Row],[Data de liquidação]])</f>
        <v>46193</v>
      </c>
      <c r="M2856" s="126">
        <f>base[[#This Row],[L/P Bruto]]-base[[#This Row],[L/P Líquido]]</f>
        <v>0.37125000000000075</v>
      </c>
      <c r="N2856" s="126">
        <f>base[[#This Row],[L/P Líquido]]/base[[#This Row],[Stake/Responsabilidade]]</f>
        <v>0.52524999999999999</v>
      </c>
      <c r="O2856" s="132">
        <f>IF(base[[#This Row],[L/P Líquido]]&gt;0,1,0)</f>
        <v>1</v>
      </c>
      <c r="P2856" s="132"/>
      <c r="Q2856" s="132" t="str">
        <f>LEFT(base[[#This Row],[Evento / Mercado]],FIND("vs",base[[#This Row],[Evento / Mercado]])-2)</f>
        <v>Londrina</v>
      </c>
      <c r="R28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2856" s="132" t="str">
        <f>LEFT(base[[#This Row],[Evento / Mercado]],FIND("/",base[[#This Row],[Evento / Mercado]])-2)</f>
        <v>Londrina vs Athletic Club MG</v>
      </c>
      <c r="T2856" s="8">
        <v>8.25</v>
      </c>
      <c r="U2856" s="9">
        <f t="shared" si="58"/>
        <v>7.8787499999999993</v>
      </c>
    </row>
    <row r="2857" spans="2:21" ht="15" customHeight="1">
      <c r="B2857" s="128" t="s">
        <v>2935</v>
      </c>
      <c r="C2857" s="128" t="s">
        <v>2982</v>
      </c>
      <c r="D2857" s="129">
        <v>46193.538703703707</v>
      </c>
      <c r="E2857" s="130">
        <v>-118.08</v>
      </c>
      <c r="F2857" s="136">
        <v>4.4999999999999998E-2</v>
      </c>
      <c r="G2857" s="126">
        <f t="shared" si="55"/>
        <v>-118.08</v>
      </c>
      <c r="H2857" s="126" t="s">
        <v>2693</v>
      </c>
      <c r="I2857" s="127" t="s">
        <v>379</v>
      </c>
      <c r="J2857" s="126">
        <v>6.6</v>
      </c>
      <c r="K2857" s="126">
        <v>40</v>
      </c>
      <c r="L2857" s="129">
        <f>INT(base[[#This Row],[Data de liquidação]])</f>
        <v>46193</v>
      </c>
      <c r="M2857" s="126">
        <f>base[[#This Row],[L/P Bruto]]-base[[#This Row],[L/P Líquido]]</f>
        <v>0</v>
      </c>
      <c r="N2857" s="126">
        <f>base[[#This Row],[L/P Líquido]]/base[[#This Row],[Stake/Responsabilidade]]</f>
        <v>-2.952</v>
      </c>
      <c r="O2857" s="132">
        <f>IF(base[[#This Row],[L/P Líquido]]&gt;0,1,0)</f>
        <v>0</v>
      </c>
      <c r="P2857" s="132"/>
      <c r="Q2857" s="132" t="str">
        <f>LEFT(base[[#This Row],[Evento / Mercado]],FIND("vs",base[[#This Row],[Evento / Mercado]])-2)</f>
        <v>Tallinna FC Levadia</v>
      </c>
      <c r="R28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Nõmme Kalju FC</v>
      </c>
      <c r="S2857" s="132" t="str">
        <f>LEFT(base[[#This Row],[Evento / Mercado]],FIND("/",base[[#This Row],[Evento / Mercado]])-2)</f>
        <v>Tallinna FC Levadia vs Nõmme Kalju FC</v>
      </c>
      <c r="U2857" s="9"/>
    </row>
    <row r="2858" spans="2:21" ht="15" customHeight="1">
      <c r="B2858" s="128" t="s">
        <v>2934</v>
      </c>
      <c r="C2858" s="128" t="s">
        <v>2981</v>
      </c>
      <c r="D2858" s="129">
        <v>46193.664351851854</v>
      </c>
      <c r="E2858" s="130">
        <v>16.899999999999999</v>
      </c>
      <c r="F2858" s="136">
        <v>4.4999999999999998E-2</v>
      </c>
      <c r="G2858" s="126">
        <f t="shared" si="55"/>
        <v>17.69633507853403</v>
      </c>
      <c r="H2858" s="126" t="s">
        <v>2821</v>
      </c>
      <c r="I2858" s="127" t="s">
        <v>476</v>
      </c>
      <c r="J2858" s="126">
        <v>24</v>
      </c>
      <c r="K2858" s="126">
        <v>399.97</v>
      </c>
      <c r="L2858" s="129">
        <f>INT(base[[#This Row],[Data de liquidação]])</f>
        <v>46193</v>
      </c>
      <c r="M2858" s="126">
        <f>base[[#This Row],[L/P Bruto]]-base[[#This Row],[L/P Líquido]]</f>
        <v>0.79633507853403174</v>
      </c>
      <c r="N2858" s="126">
        <f>base[[#This Row],[L/P Líquido]]/base[[#This Row],[Stake/Responsabilidade]]</f>
        <v>4.2253168987674068E-2</v>
      </c>
      <c r="O2858" s="132">
        <f>IF(base[[#This Row],[L/P Líquido]]&gt;0,1,0)</f>
        <v>1</v>
      </c>
      <c r="P2858" s="132"/>
      <c r="Q2858" s="132" t="str">
        <f>LEFT(base[[#This Row],[Evento / Mercado]],FIND("vs",base[[#This Row],[Evento / Mercado]])-2)</f>
        <v>Netherlands</v>
      </c>
      <c r="R28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Sweden</v>
      </c>
      <c r="S2858" s="132" t="str">
        <f>LEFT(base[[#This Row],[Evento / Mercado]],FIND("/",base[[#This Row],[Evento / Mercado]])-2)</f>
        <v>Netherlands vs Sweden</v>
      </c>
      <c r="U2858" s="9"/>
    </row>
    <row r="2859" spans="2:21" ht="15" customHeight="1">
      <c r="B2859" s="128" t="s">
        <v>2934</v>
      </c>
      <c r="C2859" s="128" t="s">
        <v>2982</v>
      </c>
      <c r="D2859" s="129">
        <v>46193.664363425924</v>
      </c>
      <c r="E2859" s="130">
        <v>39.97</v>
      </c>
      <c r="F2859" s="136">
        <v>4.4999999999999998E-2</v>
      </c>
      <c r="G2859" s="126">
        <f t="shared" si="55"/>
        <v>41.853403141361255</v>
      </c>
      <c r="H2859" s="126" t="s">
        <v>2714</v>
      </c>
      <c r="I2859" s="127" t="s">
        <v>2716</v>
      </c>
      <c r="J2859" s="126"/>
      <c r="K2859" s="126">
        <v>100</v>
      </c>
      <c r="L2859" s="129">
        <f>INT(base[[#This Row],[Data de liquidação]])</f>
        <v>46193</v>
      </c>
      <c r="M2859" s="126">
        <f>base[[#This Row],[L/P Bruto]]-base[[#This Row],[L/P Líquido]]</f>
        <v>1.8834031413612564</v>
      </c>
      <c r="N2859" s="126">
        <f>base[[#This Row],[L/P Líquido]]/base[[#This Row],[Stake/Responsabilidade]]</f>
        <v>0.3997</v>
      </c>
      <c r="O2859" s="132">
        <f>IF(base[[#This Row],[L/P Líquido]]&gt;0,1,0)</f>
        <v>1</v>
      </c>
      <c r="P2859" s="132"/>
      <c r="Q2859" s="132" t="str">
        <f>LEFT(base[[#This Row],[Evento / Mercado]],FIND("vs",base[[#This Row],[Evento / Mercado]])-2)</f>
        <v>Netherlands</v>
      </c>
      <c r="R28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Sweden</v>
      </c>
      <c r="S2859" s="132" t="str">
        <f>LEFT(base[[#This Row],[Evento / Mercado]],FIND("/",base[[#This Row],[Evento / Mercado]])-2)</f>
        <v>Netherlands vs Sweden</v>
      </c>
    </row>
    <row r="2860" spans="2:21" ht="15" customHeight="1">
      <c r="B2860" s="128" t="s">
        <v>2933</v>
      </c>
      <c r="C2860" s="128" t="s">
        <v>2982</v>
      </c>
      <c r="D2860" s="129">
        <v>46193.664583333331</v>
      </c>
      <c r="E2860" s="130">
        <v>9.8699999999999992</v>
      </c>
      <c r="F2860" s="136">
        <v>4.4999999999999998E-2</v>
      </c>
      <c r="G2860" s="126">
        <f t="shared" si="55"/>
        <v>10.335078534031414</v>
      </c>
      <c r="H2860" s="126" t="s">
        <v>2817</v>
      </c>
      <c r="I2860" s="127" t="s">
        <v>2994</v>
      </c>
      <c r="J2860" s="126">
        <v>5.3</v>
      </c>
      <c r="K2860" s="126">
        <v>74.989999999999995</v>
      </c>
      <c r="L2860" s="129">
        <f>INT(base[[#This Row],[Data de liquidação]])</f>
        <v>46193</v>
      </c>
      <c r="M2860" s="126">
        <f>base[[#This Row],[L/P Bruto]]-base[[#This Row],[L/P Líquido]]</f>
        <v>0.46507853403141475</v>
      </c>
      <c r="N2860" s="126">
        <f>base[[#This Row],[L/P Líquido]]/base[[#This Row],[Stake/Responsabilidade]]</f>
        <v>0.13161754900653419</v>
      </c>
      <c r="O2860" s="132">
        <f>IF(base[[#This Row],[L/P Líquido]]&gt;0,1,0)</f>
        <v>1</v>
      </c>
      <c r="P2860" s="132"/>
      <c r="Q2860" s="132" t="str">
        <f>LEFT(base[[#This Row],[Evento / Mercado]],FIND("vs",base[[#This Row],[Evento / Mercado]])-2)</f>
        <v>Netherlands</v>
      </c>
      <c r="R28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Sweden</v>
      </c>
      <c r="S2860" s="132" t="str">
        <f>LEFT(base[[#This Row],[Evento / Mercado]],FIND("/",base[[#This Row],[Evento / Mercado]])-2)</f>
        <v>Netherlands vs Sweden</v>
      </c>
    </row>
    <row r="2861" spans="2:21" ht="15" customHeight="1">
      <c r="B2861" s="128" t="s">
        <v>2932</v>
      </c>
      <c r="C2861" s="128" t="s">
        <v>2982</v>
      </c>
      <c r="D2861" s="129">
        <v>46193.747604166667</v>
      </c>
      <c r="E2861" s="130">
        <v>38.200000000000003</v>
      </c>
      <c r="F2861" s="136">
        <v>4.4999999999999998E-2</v>
      </c>
      <c r="G2861" s="126">
        <f t="shared" si="55"/>
        <v>40.000000000000007</v>
      </c>
      <c r="H2861" s="126" t="s">
        <v>2693</v>
      </c>
      <c r="I2861" s="127" t="s">
        <v>379</v>
      </c>
      <c r="J2861" s="126">
        <v>3.94</v>
      </c>
      <c r="K2861" s="126">
        <v>40</v>
      </c>
      <c r="L2861" s="129">
        <f>INT(base[[#This Row],[Data de liquidação]])</f>
        <v>46193</v>
      </c>
      <c r="M2861" s="126">
        <f>base[[#This Row],[L/P Bruto]]-base[[#This Row],[L/P Líquido]]</f>
        <v>1.8000000000000043</v>
      </c>
      <c r="N2861" s="126">
        <f>base[[#This Row],[L/P Líquido]]/base[[#This Row],[Stake/Responsabilidade]]</f>
        <v>0.95500000000000007</v>
      </c>
      <c r="O2861" s="132">
        <f>IF(base[[#This Row],[L/P Líquido]]&gt;0,1,0)</f>
        <v>1</v>
      </c>
      <c r="P2861" s="132"/>
      <c r="Q2861" s="132" t="str">
        <f>LEFT(base[[#This Row],[Evento / Mercado]],FIND("vs",base[[#This Row],[Evento / Mercado]])-2)</f>
        <v>UD Almería</v>
      </c>
      <c r="R28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Málaga</v>
      </c>
      <c r="S2861" s="132" t="str">
        <f>LEFT(base[[#This Row],[Evento / Mercado]],FIND("/",base[[#This Row],[Evento / Mercado]])-2)</f>
        <v>UD Almería vs Málaga</v>
      </c>
    </row>
    <row r="2862" spans="2:21" ht="15" customHeight="1">
      <c r="B2862" s="128" t="s">
        <v>2931</v>
      </c>
      <c r="C2862" s="128" t="s">
        <v>2982</v>
      </c>
      <c r="D2862" s="129">
        <v>46193.771863425929</v>
      </c>
      <c r="E2862" s="130">
        <v>38.200000000000003</v>
      </c>
      <c r="F2862" s="136">
        <v>4.4999999999999998E-2</v>
      </c>
      <c r="G2862" s="126">
        <f t="shared" si="55"/>
        <v>40.000000000000007</v>
      </c>
      <c r="H2862" s="126" t="s">
        <v>2693</v>
      </c>
      <c r="I2862" s="127" t="s">
        <v>1249</v>
      </c>
      <c r="J2862" s="126">
        <v>3.7</v>
      </c>
      <c r="K2862" s="126">
        <v>40</v>
      </c>
      <c r="L2862" s="129">
        <f>INT(base[[#This Row],[Data de liquidação]])</f>
        <v>46193</v>
      </c>
      <c r="M2862" s="126">
        <f>base[[#This Row],[L/P Bruto]]-base[[#This Row],[L/P Líquido]]</f>
        <v>1.8000000000000043</v>
      </c>
      <c r="N2862" s="126">
        <f>base[[#This Row],[L/P Líquido]]/base[[#This Row],[Stake/Responsabilidade]]</f>
        <v>0.95500000000000007</v>
      </c>
      <c r="O2862" s="132">
        <f>IF(base[[#This Row],[L/P Líquido]]&gt;0,1,0)</f>
        <v>1</v>
      </c>
      <c r="P2862" s="132"/>
      <c r="Q2862" s="132" t="str">
        <f>LEFT(base[[#This Row],[Evento / Mercado]],FIND("vs",base[[#This Row],[Evento / Mercado]])-2)</f>
        <v>Germany</v>
      </c>
      <c r="R28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Ivory Coast</v>
      </c>
      <c r="S2862" s="132" t="str">
        <f>LEFT(base[[#This Row],[Evento / Mercado]],FIND("/",base[[#This Row],[Evento / Mercado]])-2)</f>
        <v>Germany vs Ivory Coast</v>
      </c>
    </row>
    <row r="2863" spans="2:21" ht="15" customHeight="1">
      <c r="B2863" s="128" t="s">
        <v>2930</v>
      </c>
      <c r="C2863" s="128" t="s">
        <v>2982</v>
      </c>
      <c r="D2863" s="129">
        <v>46193.790381944447</v>
      </c>
      <c r="E2863" s="130">
        <v>86.37</v>
      </c>
      <c r="F2863" s="136">
        <v>4.4999999999999998E-2</v>
      </c>
      <c r="G2863" s="126">
        <f t="shared" si="55"/>
        <v>90.439790575916234</v>
      </c>
      <c r="H2863" s="126" t="s">
        <v>2820</v>
      </c>
      <c r="I2863" s="127" t="s">
        <v>13</v>
      </c>
      <c r="J2863" s="126">
        <f>(1.76*25+2.26*25+3*50)/base[[#This Row],[Stake/Responsabilidade]]</f>
        <v>2.5049999999999999</v>
      </c>
      <c r="K2863" s="126">
        <v>100</v>
      </c>
      <c r="L2863" s="129">
        <f>INT(base[[#This Row],[Data de liquidação]])</f>
        <v>46193</v>
      </c>
      <c r="M2863" s="126">
        <f>base[[#This Row],[L/P Bruto]]-base[[#This Row],[L/P Líquido]]</f>
        <v>4.0697905759162296</v>
      </c>
      <c r="N2863" s="126">
        <f>base[[#This Row],[L/P Líquido]]/base[[#This Row],[Stake/Responsabilidade]]</f>
        <v>0.86370000000000002</v>
      </c>
      <c r="O2863" s="132">
        <f>IF(base[[#This Row],[L/P Líquido]]&gt;0,1,0)</f>
        <v>1</v>
      </c>
      <c r="P2863" s="132"/>
      <c r="Q2863" s="132" t="str">
        <f>LEFT(base[[#This Row],[Evento / Mercado]],FIND("vs",base[[#This Row],[Evento / Mercado]])-2)</f>
        <v>Germany</v>
      </c>
      <c r="R28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Ivory Coast</v>
      </c>
      <c r="S2863" s="132" t="str">
        <f>LEFT(base[[#This Row],[Evento / Mercado]],FIND("/",base[[#This Row],[Evento / Mercado]])-2)</f>
        <v>Germany vs Ivory Coast</v>
      </c>
    </row>
    <row r="2864" spans="2:21" ht="15" customHeight="1">
      <c r="B2864" s="128" t="s">
        <v>2956</v>
      </c>
      <c r="C2864" s="128" t="s">
        <v>2981</v>
      </c>
      <c r="D2864" s="129">
        <v>46193.791666666664</v>
      </c>
      <c r="E2864" s="130">
        <v>13.07</v>
      </c>
      <c r="F2864" s="136">
        <v>4.4999999999999998E-2</v>
      </c>
      <c r="G2864" s="126">
        <f t="shared" si="55"/>
        <v>13.68586387434555</v>
      </c>
      <c r="H2864" s="126" t="s">
        <v>2821</v>
      </c>
      <c r="I2864" s="127" t="s">
        <v>476</v>
      </c>
      <c r="J2864" s="126">
        <v>32</v>
      </c>
      <c r="K2864" s="126">
        <v>416.95</v>
      </c>
      <c r="L2864" s="129">
        <f>INT(base[[#This Row],[Data de liquidação]])</f>
        <v>46193</v>
      </c>
      <c r="M2864" s="126">
        <f>base[[#This Row],[L/P Bruto]]-base[[#This Row],[L/P Líquido]]</f>
        <v>0.61586387434554979</v>
      </c>
      <c r="N2864" s="126">
        <f>base[[#This Row],[L/P Líquido]]/base[[#This Row],[Stake/Responsabilidade]]</f>
        <v>3.1346684254706804E-2</v>
      </c>
      <c r="O2864" s="132">
        <f>IF(base[[#This Row],[L/P Líquido]]&gt;0,1,0)</f>
        <v>1</v>
      </c>
      <c r="P2864" s="132"/>
      <c r="Q2864" s="132" t="str">
        <f>LEFT(base[[#This Row],[Evento / Mercado]],FIND("vs",base[[#This Row],[Evento / Mercado]])-2)</f>
        <v>Germany</v>
      </c>
      <c r="R28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Ivory Coast</v>
      </c>
      <c r="S2864" s="132" t="str">
        <f>LEFT(base[[#This Row],[Evento / Mercado]],FIND("/",base[[#This Row],[Evento / Mercado]])-2)</f>
        <v>Germany vs Ivory Coast</v>
      </c>
    </row>
    <row r="2865" spans="2:21" ht="15" customHeight="1">
      <c r="B2865" s="128" t="s">
        <v>2929</v>
      </c>
      <c r="C2865" s="128" t="s">
        <v>2982</v>
      </c>
      <c r="D2865" s="129">
        <v>46193.792094907411</v>
      </c>
      <c r="E2865" s="130">
        <v>-37.840000000000003</v>
      </c>
      <c r="F2865" s="136">
        <v>4.4999999999999998E-2</v>
      </c>
      <c r="G2865" s="126">
        <f t="shared" si="55"/>
        <v>-37.840000000000003</v>
      </c>
      <c r="H2865" s="126" t="s">
        <v>2894</v>
      </c>
      <c r="I2865" s="127"/>
      <c r="J2865" s="126">
        <v>7.8</v>
      </c>
      <c r="K2865" s="126">
        <v>145.72</v>
      </c>
      <c r="L2865" s="129">
        <f>INT(base[[#This Row],[Data de liquidação]])</f>
        <v>46193</v>
      </c>
      <c r="M2865" s="126">
        <f>base[[#This Row],[L/P Bruto]]-base[[#This Row],[L/P Líquido]]</f>
        <v>0</v>
      </c>
      <c r="N2865" s="126">
        <f>base[[#This Row],[L/P Líquido]]/base[[#This Row],[Stake/Responsabilidade]]</f>
        <v>-0.25967609113368106</v>
      </c>
      <c r="O2865" s="132">
        <f>IF(base[[#This Row],[L/P Líquido]]&gt;0,1,0)</f>
        <v>0</v>
      </c>
      <c r="P2865" s="132"/>
      <c r="Q2865" s="132" t="str">
        <f>LEFT(base[[#This Row],[Evento / Mercado]],FIND("vs",base[[#This Row],[Evento / Mercado]])-2)</f>
        <v>Germany</v>
      </c>
      <c r="R28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Ivory Coast</v>
      </c>
      <c r="S2865" s="132" t="str">
        <f>LEFT(base[[#This Row],[Evento / Mercado]],FIND("/",base[[#This Row],[Evento / Mercado]])-2)</f>
        <v>Germany vs Ivory Coast</v>
      </c>
    </row>
    <row r="2866" spans="2:21" ht="15" customHeight="1">
      <c r="B2866" s="128" t="s">
        <v>2928</v>
      </c>
      <c r="C2866" s="128" t="s">
        <v>2982</v>
      </c>
      <c r="D2866" s="129">
        <v>46193.874502314815</v>
      </c>
      <c r="E2866" s="130">
        <v>0.11</v>
      </c>
      <c r="F2866" s="136">
        <v>4.4999999999999998E-2</v>
      </c>
      <c r="G2866" s="126">
        <f t="shared" si="55"/>
        <v>0.11518324607329844</v>
      </c>
      <c r="H2866" s="126" t="s">
        <v>2817</v>
      </c>
      <c r="I2866" s="127" t="s">
        <v>2994</v>
      </c>
      <c r="J2866" s="126">
        <v>5.2</v>
      </c>
      <c r="K2866" s="126">
        <v>75.010000000000005</v>
      </c>
      <c r="L2866" s="129">
        <f>INT(base[[#This Row],[Data de liquidação]])</f>
        <v>46193</v>
      </c>
      <c r="M2866" s="126">
        <f>base[[#This Row],[L/P Bruto]]-base[[#This Row],[L/P Líquido]]</f>
        <v>5.1832460732984392E-3</v>
      </c>
      <c r="N2866" s="126">
        <f>base[[#This Row],[L/P Líquido]]/base[[#This Row],[Stake/Responsabilidade]]</f>
        <v>1.4664711371817089E-3</v>
      </c>
      <c r="O2866" s="132">
        <f>IF(base[[#This Row],[L/P Líquido]]&gt;0,1,0)</f>
        <v>1</v>
      </c>
      <c r="P2866" s="132"/>
      <c r="Q2866" s="132" t="str">
        <f>LEFT(base[[#This Row],[Evento / Mercado]],FIND("vs",base[[#This Row],[Evento / Mercado]])-2)</f>
        <v>Ceará SC</v>
      </c>
      <c r="R28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2866" s="132" t="str">
        <f>LEFT(base[[#This Row],[Evento / Mercado]],FIND("/",base[[#This Row],[Evento / Mercado]])-2)</f>
        <v>Ceará SC vs Botafogo SP</v>
      </c>
    </row>
    <row r="2867" spans="2:21" ht="15" customHeight="1">
      <c r="B2867" s="128" t="s">
        <v>2927</v>
      </c>
      <c r="C2867" s="128" t="s">
        <v>2982</v>
      </c>
      <c r="D2867" s="129">
        <v>46193.874537037038</v>
      </c>
      <c r="E2867" s="130">
        <v>19.099999999999998</v>
      </c>
      <c r="F2867" s="136">
        <v>4.4999999999999998E-2</v>
      </c>
      <c r="G2867" s="126">
        <f t="shared" si="55"/>
        <v>20</v>
      </c>
      <c r="H2867" s="126" t="s">
        <v>122</v>
      </c>
      <c r="I2867" s="127" t="s">
        <v>75</v>
      </c>
      <c r="J2867" s="126">
        <v>11</v>
      </c>
      <c r="K2867" s="126">
        <v>200</v>
      </c>
      <c r="L2867" s="129">
        <f>INT(base[[#This Row],[Data de liquidação]])</f>
        <v>46193</v>
      </c>
      <c r="M2867" s="126">
        <f>base[[#This Row],[L/P Bruto]]-base[[#This Row],[L/P Líquido]]</f>
        <v>0.90000000000000213</v>
      </c>
      <c r="N2867" s="126">
        <f>base[[#This Row],[L/P Líquido]]/base[[#This Row],[Stake/Responsabilidade]]</f>
        <v>9.5499999999999988E-2</v>
      </c>
      <c r="O2867" s="132">
        <f>IF(base[[#This Row],[L/P Líquido]]&gt;0,1,0)</f>
        <v>1</v>
      </c>
      <c r="P2867" s="132"/>
      <c r="Q2867" s="132" t="str">
        <f>LEFT(base[[#This Row],[Evento / Mercado]],FIND("vs",base[[#This Row],[Evento / Mercado]])-2)</f>
        <v>Vila Nova FC</v>
      </c>
      <c r="R28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2867" s="132" t="str">
        <f>LEFT(base[[#This Row],[Evento / Mercado]],FIND("/",base[[#This Row],[Evento / Mercado]])-2)</f>
        <v>Vila Nova FC vs Clube Náutico Capibaribe</v>
      </c>
      <c r="U2867" s="9"/>
    </row>
    <row r="2868" spans="2:21" ht="15" customHeight="1">
      <c r="B2868" s="128" t="s">
        <v>2927</v>
      </c>
      <c r="C2868" s="128" t="s">
        <v>2981</v>
      </c>
      <c r="D2868" s="129">
        <v>46193.874537037038</v>
      </c>
      <c r="E2868" s="130">
        <v>-100.53</v>
      </c>
      <c r="F2868" s="136">
        <v>4.4999999999999998E-2</v>
      </c>
      <c r="G2868" s="126">
        <f t="shared" si="55"/>
        <v>-100.53</v>
      </c>
      <c r="H2868" s="126" t="s">
        <v>2714</v>
      </c>
      <c r="I2868" s="127" t="s">
        <v>2716</v>
      </c>
      <c r="J2868" s="126"/>
      <c r="K2868" s="126">
        <v>100.53</v>
      </c>
      <c r="L2868" s="129">
        <f>INT(base[[#This Row],[Data de liquidação]])</f>
        <v>46193</v>
      </c>
      <c r="M2868" s="126">
        <f>base[[#This Row],[L/P Bruto]]-base[[#This Row],[L/P Líquido]]</f>
        <v>0</v>
      </c>
      <c r="N2868" s="126">
        <f>base[[#This Row],[L/P Líquido]]/base[[#This Row],[Stake/Responsabilidade]]</f>
        <v>-1</v>
      </c>
      <c r="O2868" s="132">
        <f>IF(base[[#This Row],[L/P Líquido]]&gt;0,1,0)</f>
        <v>0</v>
      </c>
      <c r="P2868" s="132"/>
      <c r="Q2868" s="132" t="str">
        <f>LEFT(base[[#This Row],[Evento / Mercado]],FIND("vs",base[[#This Row],[Evento / Mercado]])-2)</f>
        <v>Vila Nova FC</v>
      </c>
      <c r="R28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2868" s="132" t="str">
        <f>LEFT(base[[#This Row],[Evento / Mercado]],FIND("/",base[[#This Row],[Evento / Mercado]])-2)</f>
        <v>Vila Nova FC vs Clube Náutico Capibaribe</v>
      </c>
      <c r="U2868" s="9"/>
    </row>
    <row r="2869" spans="2:21" ht="15" customHeight="1">
      <c r="B2869" s="128" t="s">
        <v>2926</v>
      </c>
      <c r="C2869" s="128" t="s">
        <v>2982</v>
      </c>
      <c r="D2869" s="129">
        <v>46193.8750462963</v>
      </c>
      <c r="E2869" s="130">
        <v>14.38</v>
      </c>
      <c r="F2869" s="136">
        <v>4.4999999999999998E-2</v>
      </c>
      <c r="G2869" s="126">
        <f t="shared" si="55"/>
        <v>15.05759162303665</v>
      </c>
      <c r="H2869" s="126" t="s">
        <v>2817</v>
      </c>
      <c r="I2869" s="127" t="s">
        <v>2994</v>
      </c>
      <c r="J2869" s="126">
        <v>3.65</v>
      </c>
      <c r="K2869" s="126">
        <v>75</v>
      </c>
      <c r="L2869" s="129">
        <f>INT(base[[#This Row],[Data de liquidação]])</f>
        <v>46193</v>
      </c>
      <c r="M2869" s="126">
        <f>base[[#This Row],[L/P Bruto]]-base[[#This Row],[L/P Líquido]]</f>
        <v>0.67759162303664944</v>
      </c>
      <c r="N2869" s="126">
        <f>base[[#This Row],[L/P Líquido]]/base[[#This Row],[Stake/Responsabilidade]]</f>
        <v>0.19173333333333334</v>
      </c>
      <c r="O2869" s="132">
        <f>IF(base[[#This Row],[L/P Líquido]]&gt;0,1,0)</f>
        <v>1</v>
      </c>
      <c r="P2869" s="132"/>
      <c r="Q2869" s="132" t="str">
        <f>LEFT(base[[#This Row],[Evento / Mercado]],FIND("vs",base[[#This Row],[Evento / Mercado]])-2)</f>
        <v>Vila Nova FC</v>
      </c>
      <c r="R28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2869" s="132" t="str">
        <f>LEFT(base[[#This Row],[Evento / Mercado]],FIND("/",base[[#This Row],[Evento / Mercado]])-2)</f>
        <v>Vila Nova FC vs Clube Náutico Capibaribe</v>
      </c>
    </row>
    <row r="2870" spans="2:21" ht="15" customHeight="1">
      <c r="B2870" s="128" t="s">
        <v>2925</v>
      </c>
      <c r="C2870" s="128" t="s">
        <v>2982</v>
      </c>
      <c r="D2870" s="129">
        <v>46193.932951388888</v>
      </c>
      <c r="E2870" s="130">
        <v>5.68</v>
      </c>
      <c r="F2870" s="136">
        <v>4.4999999999999998E-2</v>
      </c>
      <c r="G2870" s="126">
        <f t="shared" si="55"/>
        <v>5.9476439790575917</v>
      </c>
      <c r="H2870" s="126" t="s">
        <v>1339</v>
      </c>
      <c r="I2870" s="127" t="s">
        <v>2470</v>
      </c>
      <c r="J2870" s="126">
        <v>9.4</v>
      </c>
      <c r="K2870" s="126">
        <v>49.98</v>
      </c>
      <c r="L2870" s="129">
        <f>INT(base[[#This Row],[Data de liquidação]])</f>
        <v>46193</v>
      </c>
      <c r="M2870" s="126">
        <f>base[[#This Row],[L/P Bruto]]-base[[#This Row],[L/P Líquido]]</f>
        <v>0.26764397905759196</v>
      </c>
      <c r="N2870" s="126">
        <f>base[[#This Row],[L/P Líquido]]/base[[#This Row],[Stake/Responsabilidade]]</f>
        <v>0.1136454581832733</v>
      </c>
      <c r="O2870" s="132">
        <f>IF(base[[#This Row],[L/P Líquido]]&gt;0,1,0)</f>
        <v>1</v>
      </c>
      <c r="P2870" s="132"/>
      <c r="Q2870" s="132" t="str">
        <f>LEFT(base[[#This Row],[Evento / Mercado]],FIND("vs",base[[#This Row],[Evento / Mercado]])-2)</f>
        <v>Ituano FC</v>
      </c>
      <c r="R28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Figueirense FC</v>
      </c>
      <c r="S2870" s="132" t="str">
        <f>LEFT(base[[#This Row],[Evento / Mercado]],FIND("/",base[[#This Row],[Evento / Mercado]])-2)</f>
        <v>Ituano FC vs Figueirense FC</v>
      </c>
    </row>
    <row r="2871" spans="2:21" ht="15" customHeight="1">
      <c r="B2871" s="128" t="s">
        <v>2924</v>
      </c>
      <c r="C2871" s="128" t="s">
        <v>2982</v>
      </c>
      <c r="D2871" s="129">
        <v>46193.955625000002</v>
      </c>
      <c r="E2871" s="130">
        <v>21.22</v>
      </c>
      <c r="F2871" s="136">
        <v>4.4999999999999998E-2</v>
      </c>
      <c r="G2871" s="126">
        <f t="shared" si="55"/>
        <v>22.219895287958114</v>
      </c>
      <c r="H2871" s="126" t="s">
        <v>145</v>
      </c>
      <c r="I2871" s="127" t="s">
        <v>2877</v>
      </c>
      <c r="J2871" s="126">
        <v>19</v>
      </c>
      <c r="K2871" s="126">
        <v>399.96</v>
      </c>
      <c r="L2871" s="129">
        <f>INT(base[[#This Row],[Data de liquidação]])</f>
        <v>46193</v>
      </c>
      <c r="M2871" s="126">
        <f>base[[#This Row],[L/P Bruto]]-base[[#This Row],[L/P Líquido]]</f>
        <v>0.99989528795811466</v>
      </c>
      <c r="N2871" s="126">
        <f>base[[#This Row],[L/P Líquido]]/base[[#This Row],[Stake/Responsabilidade]]</f>
        <v>5.3055305530553057E-2</v>
      </c>
      <c r="O2871" s="132">
        <f>IF(base[[#This Row],[L/P Líquido]]&gt;0,1,0)</f>
        <v>1</v>
      </c>
      <c r="P2871" s="132" t="s">
        <v>2818</v>
      </c>
      <c r="Q2871" s="132" t="str">
        <f>LEFT(base[[#This Row],[Evento / Mercado]],FIND("vs",base[[#This Row],[Evento / Mercado]])-2)</f>
        <v>Ecuador</v>
      </c>
      <c r="R28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Curaçao</v>
      </c>
      <c r="S2871" s="132" t="str">
        <f>LEFT(base[[#This Row],[Evento / Mercado]],FIND("/",base[[#This Row],[Evento / Mercado]])-2)</f>
        <v>Ecuador vs Curaçao</v>
      </c>
    </row>
    <row r="2872" spans="2:21" ht="15" customHeight="1">
      <c r="B2872" s="128" t="s">
        <v>2923</v>
      </c>
      <c r="C2872" s="128" t="s">
        <v>2982</v>
      </c>
      <c r="D2872" s="129">
        <v>46193.956319444442</v>
      </c>
      <c r="E2872" s="130">
        <v>-120</v>
      </c>
      <c r="F2872" s="136">
        <v>4.4999999999999998E-2</v>
      </c>
      <c r="G2872" s="126">
        <f t="shared" si="55"/>
        <v>-120</v>
      </c>
      <c r="H2872" s="126" t="s">
        <v>2693</v>
      </c>
      <c r="I2872" s="127" t="s">
        <v>379</v>
      </c>
      <c r="J2872" s="126">
        <v>4</v>
      </c>
      <c r="K2872" s="126">
        <v>40</v>
      </c>
      <c r="L2872" s="129">
        <f>INT(base[[#This Row],[Data de liquidação]])</f>
        <v>46193</v>
      </c>
      <c r="M2872" s="126">
        <f>base[[#This Row],[L/P Bruto]]-base[[#This Row],[L/P Líquido]]</f>
        <v>0</v>
      </c>
      <c r="N2872" s="126">
        <f>base[[#This Row],[L/P Líquido]]/base[[#This Row],[Stake/Responsabilidade]]</f>
        <v>-3</v>
      </c>
      <c r="O2872" s="132">
        <f>IF(base[[#This Row],[L/P Líquido]]&gt;0,1,0)</f>
        <v>0</v>
      </c>
      <c r="P2872" s="132"/>
      <c r="Q2872" s="132" t="str">
        <f>LEFT(base[[#This Row],[Evento / Mercado]],FIND("vs",base[[#This Row],[Evento / Mercado]])-2)</f>
        <v>Ecuador</v>
      </c>
      <c r="R28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Curaçao</v>
      </c>
      <c r="S2872" s="132" t="str">
        <f>LEFT(base[[#This Row],[Evento / Mercado]],FIND("/",base[[#This Row],[Evento / Mercado]])-2)</f>
        <v>Ecuador vs Curaçao</v>
      </c>
    </row>
    <row r="2873" spans="2:21" ht="15" customHeight="1">
      <c r="B2873" s="128" t="s">
        <v>2922</v>
      </c>
      <c r="C2873" s="128" t="s">
        <v>2982</v>
      </c>
      <c r="D2873" s="129">
        <v>46194.434976851851</v>
      </c>
      <c r="E2873" s="130">
        <v>-72.8</v>
      </c>
      <c r="F2873" s="136">
        <v>4.4999999999999998E-2</v>
      </c>
      <c r="G2873" s="126">
        <f t="shared" si="55"/>
        <v>-72.8</v>
      </c>
      <c r="H2873" s="126" t="s">
        <v>2761</v>
      </c>
      <c r="I2873" s="127" t="s">
        <v>476</v>
      </c>
      <c r="J2873" s="126">
        <f>(15.5*773.29+15*27.02)/base[[#This Row],[Stake/Responsabilidade]]</f>
        <v>15.483119041371467</v>
      </c>
      <c r="K2873" s="126">
        <f>773.29+27.02</f>
        <v>800.31</v>
      </c>
      <c r="L2873" s="129">
        <f>INT(base[[#This Row],[Data de liquidação]])</f>
        <v>46194</v>
      </c>
      <c r="M2873" s="126">
        <f>base[[#This Row],[L/P Bruto]]-base[[#This Row],[L/P Líquido]]</f>
        <v>0</v>
      </c>
      <c r="N2873" s="126">
        <f>base[[#This Row],[L/P Líquido]]/base[[#This Row],[Stake/Responsabilidade]]</f>
        <v>-9.0964751158925924E-2</v>
      </c>
      <c r="O2873" s="132">
        <f>IF(base[[#This Row],[L/P Líquido]]&gt;0,1,0)</f>
        <v>0</v>
      </c>
      <c r="P2873" s="132"/>
      <c r="Q2873" s="132" t="str">
        <f>LEFT(base[[#This Row],[Evento / Mercado]],FIND("vs",base[[#This Row],[Evento / Mercado]])-2)</f>
        <v>Tartu JK Tammeka</v>
      </c>
      <c r="R28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Narva Trans</v>
      </c>
      <c r="S2873" s="132" t="str">
        <f>LEFT(base[[#This Row],[Evento / Mercado]],FIND("/",base[[#This Row],[Evento / Mercado]])-2)</f>
        <v>Tartu JK Tammeka vs Narva Trans</v>
      </c>
    </row>
    <row r="2874" spans="2:21" ht="15" customHeight="1">
      <c r="B2874" s="128" t="s">
        <v>2922</v>
      </c>
      <c r="C2874" s="128" t="s">
        <v>2981</v>
      </c>
      <c r="D2874" s="129">
        <v>46194.434976851851</v>
      </c>
      <c r="E2874" s="130">
        <v>2.1</v>
      </c>
      <c r="F2874" s="136">
        <v>4.4999999999999998E-2</v>
      </c>
      <c r="G2874" s="126">
        <f t="shared" si="55"/>
        <v>2.1989528795811522</v>
      </c>
      <c r="H2874" s="126" t="s">
        <v>2761</v>
      </c>
      <c r="I2874" s="127" t="s">
        <v>476</v>
      </c>
      <c r="J2874" s="126">
        <v>7.6</v>
      </c>
      <c r="K2874" s="126">
        <v>400.03</v>
      </c>
      <c r="L2874" s="129">
        <f>INT(base[[#This Row],[Data de liquidação]])</f>
        <v>46194</v>
      </c>
      <c r="M2874" s="126">
        <f>base[[#This Row],[L/P Bruto]]-base[[#This Row],[L/P Líquido]]</f>
        <v>9.8952879581152065E-2</v>
      </c>
      <c r="N2874" s="126">
        <f>base[[#This Row],[L/P Líquido]]/base[[#This Row],[Stake/Responsabilidade]]</f>
        <v>5.2496062795290357E-3</v>
      </c>
      <c r="O2874" s="132">
        <f>IF(base[[#This Row],[L/P Líquido]]&gt;0,1,0)</f>
        <v>1</v>
      </c>
      <c r="P2874" s="132"/>
      <c r="Q2874" s="132" t="str">
        <f>LEFT(base[[#This Row],[Evento / Mercado]],FIND("vs",base[[#This Row],[Evento / Mercado]])-2)</f>
        <v>Tartu JK Tammeka</v>
      </c>
      <c r="R28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Narva Trans</v>
      </c>
      <c r="S2874" s="132" t="str">
        <f>LEFT(base[[#This Row],[Evento / Mercado]],FIND("/",base[[#This Row],[Evento / Mercado]])-2)</f>
        <v>Tartu JK Tammeka vs Narva Trans</v>
      </c>
    </row>
    <row r="2875" spans="2:21" ht="15" customHeight="1">
      <c r="B2875" s="128" t="s">
        <v>2921</v>
      </c>
      <c r="C2875" s="128" t="s">
        <v>2982</v>
      </c>
      <c r="D2875" s="129">
        <v>46194.524907407409</v>
      </c>
      <c r="E2875" s="130">
        <v>38.200000000000003</v>
      </c>
      <c r="F2875" s="136">
        <v>4.4999999999999998E-2</v>
      </c>
      <c r="G2875" s="126">
        <f t="shared" si="55"/>
        <v>40.000000000000007</v>
      </c>
      <c r="H2875" s="126" t="s">
        <v>2693</v>
      </c>
      <c r="I2875" s="127" t="s">
        <v>1249</v>
      </c>
      <c r="J2875" s="126">
        <v>4</v>
      </c>
      <c r="K2875" s="126">
        <v>40</v>
      </c>
      <c r="L2875" s="129">
        <f>INT(base[[#This Row],[Data de liquidação]])</f>
        <v>46194</v>
      </c>
      <c r="M2875" s="126">
        <f>base[[#This Row],[L/P Bruto]]-base[[#This Row],[L/P Líquido]]</f>
        <v>1.8000000000000043</v>
      </c>
      <c r="N2875" s="126">
        <f>base[[#This Row],[L/P Líquido]]/base[[#This Row],[Stake/Responsabilidade]]</f>
        <v>0.95500000000000007</v>
      </c>
      <c r="O2875" s="132">
        <f>IF(base[[#This Row],[L/P Líquido]]&gt;0,1,0)</f>
        <v>1</v>
      </c>
      <c r="P2875" s="132"/>
      <c r="Q2875" s="132" t="str">
        <f>LEFT(base[[#This Row],[Evento / Mercado]],FIND("vs",base[[#This Row],[Evento / Mercado]])-2)</f>
        <v>Moss</v>
      </c>
      <c r="R28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Sandnes Ulf</v>
      </c>
      <c r="S2875" s="132" t="str">
        <f>LEFT(base[[#This Row],[Evento / Mercado]],FIND("/",base[[#This Row],[Evento / Mercado]])-2)</f>
        <v>Moss vs Sandnes Ulf</v>
      </c>
    </row>
    <row r="2876" spans="2:21" ht="15" customHeight="1">
      <c r="B2876" s="128" t="s">
        <v>2920</v>
      </c>
      <c r="C2876" s="128" t="s">
        <v>2982</v>
      </c>
      <c r="D2876" s="129">
        <v>46194.529305555552</v>
      </c>
      <c r="E2876" s="130">
        <v>133.27000000000001</v>
      </c>
      <c r="F2876" s="136">
        <v>4.4999999999999998E-2</v>
      </c>
      <c r="G2876" s="126">
        <f t="shared" si="55"/>
        <v>139.54973821989532</v>
      </c>
      <c r="H2876" s="126" t="s">
        <v>2820</v>
      </c>
      <c r="I2876" s="127" t="s">
        <v>2874</v>
      </c>
      <c r="J2876" s="126">
        <f>(1.64*25+2.36*25+3.02*50)/base[[#This Row],[Stake/Responsabilidade]]</f>
        <v>2.5099999999999998</v>
      </c>
      <c r="K2876" s="126">
        <f>25+25+50</f>
        <v>100</v>
      </c>
      <c r="L2876" s="129">
        <f>INT(base[[#This Row],[Data de liquidação]])</f>
        <v>46194</v>
      </c>
      <c r="M2876" s="126">
        <f>base[[#This Row],[L/P Bruto]]-base[[#This Row],[L/P Líquido]]</f>
        <v>6.2797382198953073</v>
      </c>
      <c r="N2876" s="126">
        <f>base[[#This Row],[L/P Líquido]]/base[[#This Row],[Stake/Responsabilidade]]</f>
        <v>1.3327</v>
      </c>
      <c r="O2876" s="132">
        <f>IF(base[[#This Row],[L/P Líquido]]&gt;0,1,0)</f>
        <v>1</v>
      </c>
      <c r="P2876" s="132"/>
      <c r="Q2876" s="132" t="str">
        <f>LEFT(base[[#This Row],[Evento / Mercado]],FIND("vs",base[[#This Row],[Evento / Mercado]])-2)</f>
        <v>Moss</v>
      </c>
      <c r="R28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Sandnes Ulf</v>
      </c>
      <c r="S2876" s="132" t="str">
        <f>LEFT(base[[#This Row],[Evento / Mercado]],FIND("/",base[[#This Row],[Evento / Mercado]])-2)</f>
        <v>Moss vs Sandnes Ulf</v>
      </c>
    </row>
    <row r="2877" spans="2:21" ht="15" customHeight="1">
      <c r="B2877" s="128" t="s">
        <v>2919</v>
      </c>
      <c r="C2877" s="128" t="s">
        <v>2982</v>
      </c>
      <c r="D2877" s="129">
        <v>46194.535254629627</v>
      </c>
      <c r="E2877" s="130">
        <v>-148.47999999999999</v>
      </c>
      <c r="F2877" s="136">
        <v>4.4999999999999998E-2</v>
      </c>
      <c r="G2877" s="126">
        <f t="shared" si="55"/>
        <v>-148.47999999999999</v>
      </c>
      <c r="H2877" s="126" t="s">
        <v>2817</v>
      </c>
      <c r="I2877" s="127" t="s">
        <v>2994</v>
      </c>
      <c r="J2877" s="126">
        <f>(3.55*75+1.97*73.49)/base[[#This Row],[Stake/Responsabilidade]]</f>
        <v>2.7680335376119602</v>
      </c>
      <c r="K2877" s="126">
        <f>75+73.49</f>
        <v>148.49</v>
      </c>
      <c r="L2877" s="129">
        <f>INT(base[[#This Row],[Data de liquidação]])</f>
        <v>46194</v>
      </c>
      <c r="M2877" s="126">
        <f>base[[#This Row],[L/P Bruto]]-base[[#This Row],[L/P Líquido]]</f>
        <v>0</v>
      </c>
      <c r="N2877" s="126">
        <f>base[[#This Row],[L/P Líquido]]/base[[#This Row],[Stake/Responsabilidade]]</f>
        <v>-0.99993265539766973</v>
      </c>
      <c r="O2877" s="132">
        <f>IF(base[[#This Row],[L/P Líquido]]&gt;0,1,0)</f>
        <v>0</v>
      </c>
      <c r="P2877" s="132"/>
      <c r="Q2877" s="132" t="str">
        <f>LEFT(base[[#This Row],[Evento / Mercado]],FIND("vs",base[[#This Row],[Evento / Mercado]])-2)</f>
        <v>Moss</v>
      </c>
      <c r="R28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Sandnes Ulf</v>
      </c>
      <c r="S2877" s="132" t="str">
        <f>LEFT(base[[#This Row],[Evento / Mercado]],FIND("/",base[[#This Row],[Evento / Mercado]])-2)</f>
        <v>Moss vs Sandnes Ulf</v>
      </c>
    </row>
    <row r="2878" spans="2:21" ht="15" customHeight="1">
      <c r="B2878" s="128" t="s">
        <v>2918</v>
      </c>
      <c r="C2878" s="128" t="s">
        <v>2982</v>
      </c>
      <c r="D2878" s="129">
        <v>46194.536423611113</v>
      </c>
      <c r="E2878" s="130">
        <v>-70.42</v>
      </c>
      <c r="F2878" s="136">
        <v>4.4999999999999998E-2</v>
      </c>
      <c r="G2878" s="126">
        <f t="shared" si="55"/>
        <v>-70.42</v>
      </c>
      <c r="H2878" s="126" t="s">
        <v>2821</v>
      </c>
      <c r="I2878" s="127" t="s">
        <v>476</v>
      </c>
      <c r="J2878" s="126">
        <v>15.4</v>
      </c>
      <c r="K2878" s="126">
        <v>800.4</v>
      </c>
      <c r="L2878" s="129">
        <f>INT(base[[#This Row],[Data de liquidação]])</f>
        <v>46194</v>
      </c>
      <c r="M2878" s="126">
        <f>base[[#This Row],[L/P Bruto]]-base[[#This Row],[L/P Líquido]]</f>
        <v>0</v>
      </c>
      <c r="N2878" s="126">
        <f>base[[#This Row],[L/P Líquido]]/base[[#This Row],[Stake/Responsabilidade]]</f>
        <v>-8.798100949525238E-2</v>
      </c>
      <c r="O2878" s="132">
        <f>IF(base[[#This Row],[L/P Líquido]]&gt;0,1,0)</f>
        <v>0</v>
      </c>
      <c r="P2878" s="132"/>
      <c r="Q2878" s="132" t="str">
        <f>LEFT(base[[#This Row],[Evento / Mercado]],FIND("vs",base[[#This Row],[Evento / Mercado]])-2)</f>
        <v>Odds Ballklubb</v>
      </c>
      <c r="R28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Hødd</v>
      </c>
      <c r="S2878" s="132" t="str">
        <f>LEFT(base[[#This Row],[Evento / Mercado]],FIND("/",base[[#This Row],[Evento / Mercado]])-2)</f>
        <v>Odds Ballklubb vs Hødd</v>
      </c>
    </row>
    <row r="2879" spans="2:21" ht="15" customHeight="1">
      <c r="B2879" s="128" t="s">
        <v>2917</v>
      </c>
      <c r="C2879" s="128" t="s">
        <v>2982</v>
      </c>
      <c r="D2879" s="129">
        <v>46194.540219907409</v>
      </c>
      <c r="E2879" s="130">
        <v>97.94</v>
      </c>
      <c r="F2879" s="136">
        <v>4.4999999999999998E-2</v>
      </c>
      <c r="G2879" s="126">
        <f t="shared" si="55"/>
        <v>102.55497382198953</v>
      </c>
      <c r="H2879" s="126" t="s">
        <v>2894</v>
      </c>
      <c r="I2879" s="127"/>
      <c r="J2879" s="126">
        <v>8.8000000000000007</v>
      </c>
      <c r="K2879" s="126">
        <v>799.97</v>
      </c>
      <c r="L2879" s="129">
        <f>INT(base[[#This Row],[Data de liquidação]])</f>
        <v>46194</v>
      </c>
      <c r="M2879" s="126">
        <f>base[[#This Row],[L/P Bruto]]-base[[#This Row],[L/P Líquido]]</f>
        <v>4.6149738219895369</v>
      </c>
      <c r="N2879" s="126">
        <f>base[[#This Row],[L/P Líquido]]/base[[#This Row],[Stake/Responsabilidade]]</f>
        <v>0.1224295911096666</v>
      </c>
      <c r="O2879" s="132">
        <f>IF(base[[#This Row],[L/P Líquido]]&gt;0,1,0)</f>
        <v>1</v>
      </c>
      <c r="P2879" s="132"/>
      <c r="Q2879" s="132" t="str">
        <f>LEFT(base[[#This Row],[Evento / Mercado]],FIND("vs",base[[#This Row],[Evento / Mercado]])-2)</f>
        <v>Bryne</v>
      </c>
      <c r="R28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Åsane</v>
      </c>
      <c r="S2879" s="132" t="str">
        <f>LEFT(base[[#This Row],[Evento / Mercado]],FIND("/",base[[#This Row],[Evento / Mercado]])-2)</f>
        <v>Bryne vs Åsane</v>
      </c>
    </row>
    <row r="2880" spans="2:21" ht="15" customHeight="1">
      <c r="B2880" s="128" t="s">
        <v>2916</v>
      </c>
      <c r="C2880" s="128" t="s">
        <v>2982</v>
      </c>
      <c r="D2880" s="129">
        <v>46194.540231481478</v>
      </c>
      <c r="E2880" s="130">
        <v>-120</v>
      </c>
      <c r="F2880" s="136">
        <v>4.4999999999999998E-2</v>
      </c>
      <c r="G2880" s="126">
        <f t="shared" si="55"/>
        <v>-120</v>
      </c>
      <c r="H2880" s="126" t="s">
        <v>2693</v>
      </c>
      <c r="I2880" s="127" t="s">
        <v>1249</v>
      </c>
      <c r="J2880" s="126">
        <v>4</v>
      </c>
      <c r="K2880" s="126">
        <v>40</v>
      </c>
      <c r="L2880" s="129">
        <f>INT(base[[#This Row],[Data de liquidação]])</f>
        <v>46194</v>
      </c>
      <c r="M2880" s="126">
        <f>base[[#This Row],[L/P Bruto]]-base[[#This Row],[L/P Líquido]]</f>
        <v>0</v>
      </c>
      <c r="N2880" s="126">
        <f>base[[#This Row],[L/P Líquido]]/base[[#This Row],[Stake/Responsabilidade]]</f>
        <v>-3</v>
      </c>
      <c r="O2880" s="132">
        <f>IF(base[[#This Row],[L/P Líquido]]&gt;0,1,0)</f>
        <v>0</v>
      </c>
      <c r="P2880" s="132"/>
      <c r="Q2880" s="132" t="str">
        <f>LEFT(base[[#This Row],[Evento / Mercado]],FIND("vs",base[[#This Row],[Evento / Mercado]])-2)</f>
        <v>Bryne</v>
      </c>
      <c r="R28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Åsane</v>
      </c>
      <c r="S2880" s="132" t="str">
        <f>LEFT(base[[#This Row],[Evento / Mercado]],FIND("/",base[[#This Row],[Evento / Mercado]])-2)</f>
        <v>Bryne vs Åsane</v>
      </c>
    </row>
    <row r="2881" spans="2:19" ht="15" customHeight="1">
      <c r="B2881" s="128" t="s">
        <v>2915</v>
      </c>
      <c r="C2881" s="128" t="s">
        <v>2982</v>
      </c>
      <c r="D2881" s="129">
        <v>46194.578715277778</v>
      </c>
      <c r="E2881" s="130">
        <v>-117.65</v>
      </c>
      <c r="F2881" s="136">
        <v>4.4999999999999998E-2</v>
      </c>
      <c r="G2881" s="126">
        <f t="shared" si="55"/>
        <v>-117.65</v>
      </c>
      <c r="H2881" s="126" t="s">
        <v>2693</v>
      </c>
      <c r="I2881" s="127" t="s">
        <v>379</v>
      </c>
      <c r="J2881" s="126">
        <v>3.94</v>
      </c>
      <c r="K2881" s="126">
        <v>40</v>
      </c>
      <c r="L2881" s="129">
        <f>INT(base[[#This Row],[Data de liquidação]])</f>
        <v>46194</v>
      </c>
      <c r="M2881" s="126">
        <f>base[[#This Row],[L/P Bruto]]-base[[#This Row],[L/P Líquido]]</f>
        <v>0</v>
      </c>
      <c r="N2881" s="126">
        <f>base[[#This Row],[L/P Líquido]]/base[[#This Row],[Stake/Responsabilidade]]</f>
        <v>-2.9412500000000001</v>
      </c>
      <c r="O2881" s="132">
        <f>IF(base[[#This Row],[L/P Líquido]]&gt;0,1,0)</f>
        <v>0</v>
      </c>
      <c r="P2881" s="132"/>
      <c r="Q2881" s="132" t="str">
        <f>LEFT(base[[#This Row],[Evento / Mercado]],FIND("vs",base[[#This Row],[Evento / Mercado]])-2)</f>
        <v>Norrby IF</v>
      </c>
      <c r="R28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United IK Nordic</v>
      </c>
      <c r="S2881" s="132" t="str">
        <f>LEFT(base[[#This Row],[Evento / Mercado]],FIND("/",base[[#This Row],[Evento / Mercado]])-2)</f>
        <v>Norrby IF vs United IK Nordic</v>
      </c>
    </row>
    <row r="2882" spans="2:19" ht="15" customHeight="1">
      <c r="B2882" s="128" t="s">
        <v>2914</v>
      </c>
      <c r="C2882" s="128" t="s">
        <v>2982</v>
      </c>
      <c r="D2882" s="129">
        <v>46194.626226851855</v>
      </c>
      <c r="E2882" s="130">
        <v>13.17</v>
      </c>
      <c r="F2882" s="136">
        <v>4.4999999999999998E-2</v>
      </c>
      <c r="G2882" s="126">
        <f t="shared" si="55"/>
        <v>13.790575916230367</v>
      </c>
      <c r="H2882" s="126" t="s">
        <v>145</v>
      </c>
      <c r="I2882" s="127" t="s">
        <v>2877</v>
      </c>
      <c r="J2882" s="126">
        <v>30</v>
      </c>
      <c r="K2882" s="126">
        <v>399.91</v>
      </c>
      <c r="L2882" s="129">
        <f>INT(base[[#This Row],[Data de liquidação]])</f>
        <v>46194</v>
      </c>
      <c r="M2882" s="126">
        <f>base[[#This Row],[L/P Bruto]]-base[[#This Row],[L/P Líquido]]</f>
        <v>0.62057591623036679</v>
      </c>
      <c r="N2882" s="126">
        <f>base[[#This Row],[L/P Líquido]]/base[[#This Row],[Stake/Responsabilidade]]</f>
        <v>3.2932409792203243E-2</v>
      </c>
      <c r="O2882" s="132">
        <f>IF(base[[#This Row],[L/P Líquido]]&gt;0,1,0)</f>
        <v>1</v>
      </c>
      <c r="P2882" s="132" t="s">
        <v>2818</v>
      </c>
      <c r="Q2882" s="132" t="str">
        <f>LEFT(base[[#This Row],[Evento / Mercado]],FIND("vs",base[[#This Row],[Evento / Mercado]])-2)</f>
        <v>Spain</v>
      </c>
      <c r="R28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Saudi Arabia</v>
      </c>
      <c r="S2882" s="132" t="str">
        <f>LEFT(base[[#This Row],[Evento / Mercado]],FIND("/",base[[#This Row],[Evento / Mercado]])-2)</f>
        <v>Spain vs Saudi Arabia</v>
      </c>
    </row>
    <row r="2883" spans="2:19" ht="15" customHeight="1">
      <c r="B2883" s="128" t="s">
        <v>2913</v>
      </c>
      <c r="C2883" s="128" t="s">
        <v>2982</v>
      </c>
      <c r="D2883" s="129">
        <v>46194.687997685185</v>
      </c>
      <c r="E2883" s="130">
        <v>38.200000000000003</v>
      </c>
      <c r="F2883" s="136">
        <v>4.4999999999999998E-2</v>
      </c>
      <c r="G2883" s="126">
        <f t="shared" ref="G2883:G2946" si="59">IF(E2883&gt;0,E2883/(1-F2883),E2883)</f>
        <v>40.000000000000007</v>
      </c>
      <c r="H2883" s="126" t="s">
        <v>2693</v>
      </c>
      <c r="I2883" s="127" t="s">
        <v>1249</v>
      </c>
      <c r="J2883" s="126">
        <v>4</v>
      </c>
      <c r="K2883" s="126">
        <v>40</v>
      </c>
      <c r="L2883" s="129">
        <f>INT(base[[#This Row],[Data de liquidação]])</f>
        <v>46194</v>
      </c>
      <c r="M2883" s="126">
        <f>base[[#This Row],[L/P Bruto]]-base[[#This Row],[L/P Líquido]]</f>
        <v>1.8000000000000043</v>
      </c>
      <c r="N2883" s="126">
        <f>base[[#This Row],[L/P Líquido]]/base[[#This Row],[Stake/Responsabilidade]]</f>
        <v>0.95500000000000007</v>
      </c>
      <c r="O2883" s="132">
        <f>IF(base[[#This Row],[L/P Líquido]]&gt;0,1,0)</f>
        <v>1</v>
      </c>
      <c r="P2883" s="132"/>
      <c r="Q2883" s="132" t="str">
        <f>LEFT(base[[#This Row],[Evento / Mercado]],FIND("vs",base[[#This Row],[Evento / Mercado]])-2)</f>
        <v>Valur</v>
      </c>
      <c r="R28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Keflavik IF</v>
      </c>
      <c r="S2883" s="132" t="str">
        <f>LEFT(base[[#This Row],[Evento / Mercado]],FIND("/",base[[#This Row],[Evento / Mercado]])-2)</f>
        <v>Valur vs Keflavik IF</v>
      </c>
    </row>
    <row r="2884" spans="2:19" ht="15" customHeight="1">
      <c r="B2884" s="128" t="s">
        <v>2912</v>
      </c>
      <c r="C2884" s="128" t="s">
        <v>2982</v>
      </c>
      <c r="D2884" s="129">
        <v>46194.704363425924</v>
      </c>
      <c r="E2884" s="130">
        <v>-120</v>
      </c>
      <c r="F2884" s="136">
        <v>4.4999999999999998E-2</v>
      </c>
      <c r="G2884" s="126">
        <f t="shared" si="59"/>
        <v>-120</v>
      </c>
      <c r="H2884" s="126" t="s">
        <v>2693</v>
      </c>
      <c r="I2884" s="127" t="s">
        <v>299</v>
      </c>
      <c r="J2884" s="126">
        <v>4</v>
      </c>
      <c r="K2884" s="126">
        <v>40</v>
      </c>
      <c r="L2884" s="129">
        <f>INT(base[[#This Row],[Data de liquidação]])</f>
        <v>46194</v>
      </c>
      <c r="M2884" s="126">
        <f>base[[#This Row],[L/P Bruto]]-base[[#This Row],[L/P Líquido]]</f>
        <v>0</v>
      </c>
      <c r="N2884" s="126">
        <f>base[[#This Row],[L/P Líquido]]/base[[#This Row],[Stake/Responsabilidade]]</f>
        <v>-3</v>
      </c>
      <c r="O2884" s="132">
        <f>IF(base[[#This Row],[L/P Líquido]]&gt;0,1,0)</f>
        <v>0</v>
      </c>
      <c r="P2884" s="132"/>
      <c r="Q2884" s="132" t="str">
        <f>LEFT(base[[#This Row],[Evento / Mercado]],FIND("vs",base[[#This Row],[Evento / Mercado]])-2)</f>
        <v>ÍB Vestmannaeyja</v>
      </c>
      <c r="R28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Stjarnan</v>
      </c>
      <c r="S2884" s="132" t="str">
        <f>LEFT(base[[#This Row],[Evento / Mercado]],FIND("/",base[[#This Row],[Evento / Mercado]])-2)</f>
        <v>ÍB Vestmannaeyja vs Stjarnan</v>
      </c>
    </row>
    <row r="2885" spans="2:19" ht="15" customHeight="1">
      <c r="B2885" s="128" t="s">
        <v>2911</v>
      </c>
      <c r="C2885" s="128" t="s">
        <v>2982</v>
      </c>
      <c r="D2885" s="129">
        <v>46194.707199074073</v>
      </c>
      <c r="E2885" s="130">
        <v>54.57</v>
      </c>
      <c r="F2885" s="136">
        <v>4.4999999999999998E-2</v>
      </c>
      <c r="G2885" s="126">
        <f t="shared" si="59"/>
        <v>57.141361256544506</v>
      </c>
      <c r="H2885" s="126" t="s">
        <v>2895</v>
      </c>
      <c r="I2885" s="127" t="s">
        <v>2896</v>
      </c>
      <c r="J2885" s="126">
        <v>8</v>
      </c>
      <c r="K2885" s="126">
        <v>399.98</v>
      </c>
      <c r="L2885" s="129">
        <f>INT(base[[#This Row],[Data de liquidação]])</f>
        <v>46194</v>
      </c>
      <c r="M2885" s="126">
        <f>base[[#This Row],[L/P Bruto]]-base[[#This Row],[L/P Líquido]]</f>
        <v>2.5713612565445061</v>
      </c>
      <c r="N2885" s="126">
        <f>base[[#This Row],[L/P Líquido]]/base[[#This Row],[Stake/Responsabilidade]]</f>
        <v>0.13643182159107956</v>
      </c>
      <c r="O2885" s="132">
        <f>IF(base[[#This Row],[L/P Líquido]]&gt;0,1,0)</f>
        <v>1</v>
      </c>
      <c r="P2885" s="132"/>
      <c r="Q2885" s="132" t="e">
        <f>LEFT(base[[#This Row],[Evento / Mercado]],FIND("vs",base[[#This Row],[Evento / Mercado]])-2)</f>
        <v>#VALUE!</v>
      </c>
      <c r="R2885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885" s="132" t="str">
        <f>LEFT(base[[#This Row],[Evento / Mercado]],FIND("/",base[[#This Row],[Evento / Mercado]])-2)</f>
        <v>FIFA World Cup - Group E Winner</v>
      </c>
    </row>
    <row r="2886" spans="2:19" ht="15" customHeight="1">
      <c r="B2886" s="128" t="s">
        <v>2910</v>
      </c>
      <c r="C2886" s="128" t="s">
        <v>2982</v>
      </c>
      <c r="D2886" s="129">
        <v>46194.712673611109</v>
      </c>
      <c r="E2886" s="130">
        <v>40.22</v>
      </c>
      <c r="F2886" s="136">
        <v>4.4999999999999998E-2</v>
      </c>
      <c r="G2886" s="126">
        <f t="shared" si="59"/>
        <v>42.1151832460733</v>
      </c>
      <c r="H2886" s="126" t="s">
        <v>2895</v>
      </c>
      <c r="I2886" s="127" t="s">
        <v>2896</v>
      </c>
      <c r="J2886" s="126">
        <v>10.5</v>
      </c>
      <c r="K2886" s="126">
        <v>400.05</v>
      </c>
      <c r="L2886" s="129">
        <f>INT(base[[#This Row],[Data de liquidação]])</f>
        <v>46194</v>
      </c>
      <c r="M2886" s="126">
        <f>base[[#This Row],[L/P Bruto]]-base[[#This Row],[L/P Líquido]]</f>
        <v>1.8951832460733016</v>
      </c>
      <c r="N2886" s="126">
        <f>base[[#This Row],[L/P Líquido]]/base[[#This Row],[Stake/Responsabilidade]]</f>
        <v>0.10053743282089739</v>
      </c>
      <c r="O2886" s="132">
        <f>IF(base[[#This Row],[L/P Líquido]]&gt;0,1,0)</f>
        <v>1</v>
      </c>
      <c r="P2886" s="132"/>
      <c r="Q2886" s="132" t="e">
        <f>LEFT(base[[#This Row],[Evento / Mercado]],FIND("vs",base[[#This Row],[Evento / Mercado]])-2)</f>
        <v>#VALUE!</v>
      </c>
      <c r="R2886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886" s="132" t="str">
        <f>LEFT(base[[#This Row],[Evento / Mercado]],FIND("/",base[[#This Row],[Evento / Mercado]])-2)</f>
        <v>FIFA World Cup - Group D Winner</v>
      </c>
    </row>
    <row r="2887" spans="2:19" ht="15" customHeight="1">
      <c r="B2887" s="128" t="s">
        <v>2909</v>
      </c>
      <c r="C2887" s="128" t="s">
        <v>2982</v>
      </c>
      <c r="D2887" s="129">
        <v>46194.739282407405</v>
      </c>
      <c r="E2887" s="130">
        <v>38.200000000000003</v>
      </c>
      <c r="F2887" s="136">
        <v>4.4999999999999998E-2</v>
      </c>
      <c r="G2887" s="126">
        <f t="shared" si="59"/>
        <v>40.000000000000007</v>
      </c>
      <c r="H2887" s="126" t="s">
        <v>2693</v>
      </c>
      <c r="I2887" s="127" t="s">
        <v>1249</v>
      </c>
      <c r="J2887" s="126">
        <v>4</v>
      </c>
      <c r="K2887" s="126">
        <v>40</v>
      </c>
      <c r="L2887" s="129">
        <f>INT(base[[#This Row],[Data de liquidação]])</f>
        <v>46194</v>
      </c>
      <c r="M2887" s="126">
        <f>base[[#This Row],[L/P Bruto]]-base[[#This Row],[L/P Líquido]]</f>
        <v>1.8000000000000043</v>
      </c>
      <c r="N2887" s="126">
        <f>base[[#This Row],[L/P Líquido]]/base[[#This Row],[Stake/Responsabilidade]]</f>
        <v>0.95500000000000007</v>
      </c>
      <c r="O2887" s="132">
        <f>IF(base[[#This Row],[L/P Líquido]]&gt;0,1,0)</f>
        <v>1</v>
      </c>
      <c r="P2887" s="132"/>
      <c r="Q2887" s="132" t="str">
        <f>LEFT(base[[#This Row],[Evento / Mercado]],FIND("vs",base[[#This Row],[Evento / Mercado]])-2)</f>
        <v>CRB</v>
      </c>
      <c r="R28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EC</v>
      </c>
      <c r="S2887" s="132" t="str">
        <f>LEFT(base[[#This Row],[Evento / Mercado]],FIND("/",base[[#This Row],[Evento / Mercado]])-2)</f>
        <v>CRB vs Fortaleza EC</v>
      </c>
    </row>
    <row r="2888" spans="2:19" ht="15" customHeight="1">
      <c r="B2888" s="128" t="s">
        <v>2908</v>
      </c>
      <c r="C2888" s="128" t="s">
        <v>2982</v>
      </c>
      <c r="D2888" s="129">
        <v>46194.750509259262</v>
      </c>
      <c r="E2888" s="130">
        <v>-32</v>
      </c>
      <c r="F2888" s="136">
        <v>4.4999999999999998E-2</v>
      </c>
      <c r="G2888" s="126">
        <f t="shared" si="59"/>
        <v>-32</v>
      </c>
      <c r="H2888" s="126" t="s">
        <v>2821</v>
      </c>
      <c r="I2888" s="127" t="s">
        <v>476</v>
      </c>
      <c r="J2888" s="126">
        <v>26</v>
      </c>
      <c r="K2888" s="126">
        <v>800</v>
      </c>
      <c r="L2888" s="129">
        <f>INT(base[[#This Row],[Data de liquidação]])</f>
        <v>46194</v>
      </c>
      <c r="M2888" s="126">
        <f>base[[#This Row],[L/P Bruto]]-base[[#This Row],[L/P Líquido]]</f>
        <v>0</v>
      </c>
      <c r="N2888" s="126">
        <f>base[[#This Row],[L/P Líquido]]/base[[#This Row],[Stake/Responsabilidade]]</f>
        <v>-0.04</v>
      </c>
      <c r="O2888" s="132">
        <f>IF(base[[#This Row],[L/P Líquido]]&gt;0,1,0)</f>
        <v>0</v>
      </c>
      <c r="P2888" s="132"/>
      <c r="Q2888" s="132" t="str">
        <f>LEFT(base[[#This Row],[Evento / Mercado]],FIND("vs",base[[#This Row],[Evento / Mercado]])-2)</f>
        <v>Belgium</v>
      </c>
      <c r="R28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Iran</v>
      </c>
      <c r="S2888" s="132" t="str">
        <f>LEFT(base[[#This Row],[Evento / Mercado]],FIND("/",base[[#This Row],[Evento / Mercado]])-2)</f>
        <v>Belgium vs Iran</v>
      </c>
    </row>
    <row r="2889" spans="2:19" ht="15" customHeight="1">
      <c r="B2889" s="128" t="s">
        <v>2907</v>
      </c>
      <c r="C2889" s="128" t="s">
        <v>2982</v>
      </c>
      <c r="D2889" s="129">
        <v>46194.750798611109</v>
      </c>
      <c r="E2889" s="130">
        <v>-120</v>
      </c>
      <c r="F2889" s="136">
        <v>4.4999999999999998E-2</v>
      </c>
      <c r="G2889" s="126">
        <f t="shared" si="59"/>
        <v>-120</v>
      </c>
      <c r="H2889" s="126" t="s">
        <v>2693</v>
      </c>
      <c r="I2889" s="127" t="s">
        <v>1249</v>
      </c>
      <c r="J2889" s="126">
        <v>4</v>
      </c>
      <c r="K2889" s="126">
        <v>40</v>
      </c>
      <c r="L2889" s="129">
        <f>INT(base[[#This Row],[Data de liquidação]])</f>
        <v>46194</v>
      </c>
      <c r="M2889" s="126">
        <f>base[[#This Row],[L/P Bruto]]-base[[#This Row],[L/P Líquido]]</f>
        <v>0</v>
      </c>
      <c r="N2889" s="126">
        <f>base[[#This Row],[L/P Líquido]]/base[[#This Row],[Stake/Responsabilidade]]</f>
        <v>-3</v>
      </c>
      <c r="O2889" s="132">
        <f>IF(base[[#This Row],[L/P Líquido]]&gt;0,1,0)</f>
        <v>0</v>
      </c>
      <c r="P2889" s="132"/>
      <c r="Q2889" s="132" t="str">
        <f>LEFT(base[[#This Row],[Evento / Mercado]],FIND("vs",base[[#This Row],[Evento / Mercado]])-2)</f>
        <v>Belgium</v>
      </c>
      <c r="R28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Iran</v>
      </c>
      <c r="S2889" s="132" t="str">
        <f>LEFT(base[[#This Row],[Evento / Mercado]],FIND("/",base[[#This Row],[Evento / Mercado]])-2)</f>
        <v>Belgium vs Iran</v>
      </c>
    </row>
    <row r="2890" spans="2:19" ht="15" customHeight="1">
      <c r="B2890" s="128" t="s">
        <v>2906</v>
      </c>
      <c r="C2890" s="128" t="s">
        <v>2982</v>
      </c>
      <c r="D2890" s="129">
        <v>46194.750879629632</v>
      </c>
      <c r="E2890" s="130">
        <v>48.97</v>
      </c>
      <c r="F2890" s="136">
        <v>4.4999999999999998E-2</v>
      </c>
      <c r="G2890" s="126">
        <f t="shared" si="59"/>
        <v>51.277486910994767</v>
      </c>
      <c r="H2890" s="126" t="s">
        <v>145</v>
      </c>
      <c r="I2890" s="127" t="s">
        <v>2877</v>
      </c>
      <c r="J2890" s="126">
        <v>8.8000000000000007</v>
      </c>
      <c r="K2890" s="126">
        <v>399.98</v>
      </c>
      <c r="L2890" s="129">
        <f>INT(base[[#This Row],[Data de liquidação]])</f>
        <v>46194</v>
      </c>
      <c r="M2890" s="126">
        <f>base[[#This Row],[L/P Bruto]]-base[[#This Row],[L/P Líquido]]</f>
        <v>2.3074869109947684</v>
      </c>
      <c r="N2890" s="126">
        <f>base[[#This Row],[L/P Líquido]]/base[[#This Row],[Stake/Responsabilidade]]</f>
        <v>0.1224311215560778</v>
      </c>
      <c r="O2890" s="132">
        <f>IF(base[[#This Row],[L/P Líquido]]&gt;0,1,0)</f>
        <v>1</v>
      </c>
      <c r="P2890" s="132" t="s">
        <v>2818</v>
      </c>
      <c r="Q2890" s="132" t="str">
        <f>LEFT(base[[#This Row],[Evento / Mercado]],FIND("vs",base[[#This Row],[Evento / Mercado]])-2)</f>
        <v>Belgium</v>
      </c>
      <c r="R28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Iran</v>
      </c>
      <c r="S2890" s="132" t="str">
        <f>LEFT(base[[#This Row],[Evento / Mercado]],FIND("/",base[[#This Row],[Evento / Mercado]])-2)</f>
        <v>Belgium vs Iran</v>
      </c>
    </row>
    <row r="2891" spans="2:19" ht="15" customHeight="1">
      <c r="B2891" s="128" t="s">
        <v>2905</v>
      </c>
      <c r="C2891" s="128" t="s">
        <v>2982</v>
      </c>
      <c r="D2891" s="129">
        <v>46194.795613425929</v>
      </c>
      <c r="E2891" s="130">
        <v>24.65</v>
      </c>
      <c r="F2891" s="136">
        <v>4.4999999999999998E-2</v>
      </c>
      <c r="G2891" s="126">
        <f t="shared" si="59"/>
        <v>25.811518324607331</v>
      </c>
      <c r="H2891" s="126" t="s">
        <v>2821</v>
      </c>
      <c r="I2891" s="127" t="s">
        <v>542</v>
      </c>
      <c r="J2891" s="126">
        <v>32</v>
      </c>
      <c r="K2891" s="126">
        <v>800.11</v>
      </c>
      <c r="L2891" s="129">
        <f>INT(base[[#This Row],[Data de liquidação]])</f>
        <v>46194</v>
      </c>
      <c r="M2891" s="126">
        <f>base[[#This Row],[L/P Bruto]]-base[[#This Row],[L/P Líquido]]</f>
        <v>1.1615183246073322</v>
      </c>
      <c r="N2891" s="126">
        <f>base[[#This Row],[L/P Líquido]]/base[[#This Row],[Stake/Responsabilidade]]</f>
        <v>3.0808263863718738E-2</v>
      </c>
      <c r="O2891" s="132">
        <f>IF(base[[#This Row],[L/P Líquido]]&gt;0,1,0)</f>
        <v>1</v>
      </c>
      <c r="P2891" s="132"/>
      <c r="Q2891" s="132" t="str">
        <f>LEFT(base[[#This Row],[Evento / Mercado]],FIND("vs",base[[#This Row],[Evento / Mercado]])-2)</f>
        <v>Fram Reykjavik</v>
      </c>
      <c r="R28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Víkingur</v>
      </c>
      <c r="S2891" s="132" t="str">
        <f>LEFT(base[[#This Row],[Evento / Mercado]],FIND("/",base[[#This Row],[Evento / Mercado]])-2)</f>
        <v>Fram Reykjavik vs Víkingur</v>
      </c>
    </row>
    <row r="2892" spans="2:19" ht="15" customHeight="1">
      <c r="B2892" s="128" t="s">
        <v>2904</v>
      </c>
      <c r="C2892" s="128" t="s">
        <v>2982</v>
      </c>
      <c r="D2892" s="129">
        <v>46194.848738425928</v>
      </c>
      <c r="E2892" s="130">
        <v>-114</v>
      </c>
      <c r="F2892" s="136">
        <v>4.4999999999999998E-2</v>
      </c>
      <c r="G2892" s="126">
        <f t="shared" si="59"/>
        <v>-114</v>
      </c>
      <c r="H2892" s="126" t="s">
        <v>2693</v>
      </c>
      <c r="I2892" s="127" t="s">
        <v>299</v>
      </c>
      <c r="J2892" s="126">
        <v>3.85</v>
      </c>
      <c r="K2892" s="126">
        <v>40</v>
      </c>
      <c r="L2892" s="129">
        <f>INT(base[[#This Row],[Data de liquidação]])</f>
        <v>46194</v>
      </c>
      <c r="M2892" s="126">
        <f>base[[#This Row],[L/P Bruto]]-base[[#This Row],[L/P Líquido]]</f>
        <v>0</v>
      </c>
      <c r="N2892" s="126">
        <f>base[[#This Row],[L/P Líquido]]/base[[#This Row],[Stake/Responsabilidade]]</f>
        <v>-2.85</v>
      </c>
      <c r="O2892" s="132">
        <f>IF(base[[#This Row],[L/P Líquido]]&gt;0,1,0)</f>
        <v>0</v>
      </c>
      <c r="P2892" s="132"/>
      <c r="Q2892" s="132" t="str">
        <f>LEFT(base[[#This Row],[Evento / Mercado]],FIND("vs",base[[#This Row],[Evento / Mercado]])-2)</f>
        <v>Goiás EC</v>
      </c>
      <c r="R28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Operário Ferroviário</v>
      </c>
      <c r="S2892" s="132" t="str">
        <f>LEFT(base[[#This Row],[Evento / Mercado]],FIND("/",base[[#This Row],[Evento / Mercado]])-2)</f>
        <v>Goiás EC vs Operário Ferroviário</v>
      </c>
    </row>
    <row r="2893" spans="2:19" ht="15" customHeight="1">
      <c r="B2893" s="128" t="s">
        <v>2903</v>
      </c>
      <c r="C2893" s="128" t="s">
        <v>2982</v>
      </c>
      <c r="D2893" s="129">
        <v>46194.848749999997</v>
      </c>
      <c r="E2893" s="130">
        <v>-149.99</v>
      </c>
      <c r="F2893" s="136">
        <v>4.4999999999999998E-2</v>
      </c>
      <c r="G2893" s="126">
        <f t="shared" si="59"/>
        <v>-149.99</v>
      </c>
      <c r="H2893" s="126" t="s">
        <v>2817</v>
      </c>
      <c r="I2893" s="127" t="s">
        <v>2994</v>
      </c>
      <c r="J2893" s="126">
        <f>(3.65+2.08)/2</f>
        <v>2.8650000000000002</v>
      </c>
      <c r="K2893" s="126">
        <v>150</v>
      </c>
      <c r="L2893" s="129">
        <f>INT(base[[#This Row],[Data de liquidação]])</f>
        <v>46194</v>
      </c>
      <c r="M2893" s="126">
        <f>base[[#This Row],[L/P Bruto]]-base[[#This Row],[L/P Líquido]]</f>
        <v>0</v>
      </c>
      <c r="N2893" s="126">
        <f>base[[#This Row],[L/P Líquido]]/base[[#This Row],[Stake/Responsabilidade]]</f>
        <v>-0.99993333333333334</v>
      </c>
      <c r="O2893" s="132">
        <f>IF(base[[#This Row],[L/P Líquido]]&gt;0,1,0)</f>
        <v>0</v>
      </c>
      <c r="P2893" s="132"/>
      <c r="Q2893" s="132" t="str">
        <f>LEFT(base[[#This Row],[Evento / Mercado]],FIND("vs",base[[#This Row],[Evento / Mercado]])-2)</f>
        <v>Goiás EC</v>
      </c>
      <c r="R28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Operário Ferroviário</v>
      </c>
      <c r="S2893" s="132" t="str">
        <f>LEFT(base[[#This Row],[Evento / Mercado]],FIND("/",base[[#This Row],[Evento / Mercado]])-2)</f>
        <v>Goiás EC vs Operário Ferroviário</v>
      </c>
    </row>
    <row r="2894" spans="2:19" ht="15" customHeight="1">
      <c r="B2894" s="128" t="s">
        <v>2902</v>
      </c>
      <c r="C2894" s="128" t="s">
        <v>2982</v>
      </c>
      <c r="D2894" s="129">
        <v>46194.848773148151</v>
      </c>
      <c r="E2894" s="130">
        <v>-100</v>
      </c>
      <c r="F2894" s="136">
        <v>4.4999999999999998E-2</v>
      </c>
      <c r="G2894" s="126">
        <f t="shared" si="59"/>
        <v>-100</v>
      </c>
      <c r="H2894" s="126" t="s">
        <v>2820</v>
      </c>
      <c r="I2894" s="127" t="s">
        <v>2955</v>
      </c>
      <c r="J2894" s="126">
        <f>(4+2.66)/2</f>
        <v>3.33</v>
      </c>
      <c r="K2894" s="126">
        <v>100</v>
      </c>
      <c r="L2894" s="129">
        <f>INT(base[[#This Row],[Data de liquidação]])</f>
        <v>46194</v>
      </c>
      <c r="M2894" s="126">
        <f>base[[#This Row],[L/P Bruto]]-base[[#This Row],[L/P Líquido]]</f>
        <v>0</v>
      </c>
      <c r="N2894" s="126">
        <f>base[[#This Row],[L/P Líquido]]/base[[#This Row],[Stake/Responsabilidade]]</f>
        <v>-1</v>
      </c>
      <c r="O2894" s="132">
        <f>IF(base[[#This Row],[L/P Líquido]]&gt;0,1,0)</f>
        <v>0</v>
      </c>
      <c r="P2894" s="132"/>
      <c r="Q2894" s="132" t="str">
        <f>LEFT(base[[#This Row],[Evento / Mercado]],FIND("vs",base[[#This Row],[Evento / Mercado]])-2)</f>
        <v>Goiás EC</v>
      </c>
      <c r="R28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Operário Ferroviário</v>
      </c>
      <c r="S2894" s="132" t="str">
        <f>LEFT(base[[#This Row],[Evento / Mercado]],FIND("/",base[[#This Row],[Evento / Mercado]])-2)</f>
        <v>Goiás EC vs Operário Ferroviário</v>
      </c>
    </row>
    <row r="2895" spans="2:19" ht="15" customHeight="1">
      <c r="B2895" s="128" t="s">
        <v>2901</v>
      </c>
      <c r="C2895" s="128" t="s">
        <v>2982</v>
      </c>
      <c r="D2895" s="129">
        <v>46194.85224537037</v>
      </c>
      <c r="E2895" s="130">
        <v>5.42</v>
      </c>
      <c r="F2895" s="136">
        <v>4.4999999999999998E-2</v>
      </c>
      <c r="G2895" s="126">
        <f t="shared" si="59"/>
        <v>5.6753926701570681</v>
      </c>
      <c r="H2895" s="126" t="s">
        <v>1339</v>
      </c>
      <c r="I2895" s="127" t="s">
        <v>2470</v>
      </c>
      <c r="J2895" s="126">
        <v>9.6</v>
      </c>
      <c r="K2895" s="126">
        <v>48.85</v>
      </c>
      <c r="L2895" s="129">
        <f>INT(base[[#This Row],[Data de liquidação]])</f>
        <v>46194</v>
      </c>
      <c r="M2895" s="126">
        <f>base[[#This Row],[L/P Bruto]]-base[[#This Row],[L/P Líquido]]</f>
        <v>0.25539267015706812</v>
      </c>
      <c r="N2895" s="126">
        <f>base[[#This Row],[L/P Líquido]]/base[[#This Row],[Stake/Responsabilidade]]</f>
        <v>0.11095189355168884</v>
      </c>
      <c r="O2895" s="132">
        <f>IF(base[[#This Row],[L/P Líquido]]&gt;0,1,0)</f>
        <v>1</v>
      </c>
      <c r="P2895" s="132"/>
      <c r="Q2895" s="132" t="str">
        <f>LEFT(base[[#This Row],[Evento / Mercado]],FIND("vs",base[[#This Row],[Evento / Mercado]])-2)</f>
        <v>Barra FC</v>
      </c>
      <c r="R28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Amazonas FC</v>
      </c>
      <c r="S2895" s="132" t="str">
        <f>LEFT(base[[#This Row],[Evento / Mercado]],FIND("/",base[[#This Row],[Evento / Mercado]])-2)</f>
        <v>Barra FC vs Amazonas FC</v>
      </c>
    </row>
    <row r="2896" spans="2:19" ht="15" customHeight="1">
      <c r="B2896" s="128" t="s">
        <v>2900</v>
      </c>
      <c r="C2896" s="128" t="s">
        <v>2982</v>
      </c>
      <c r="D2896" s="129">
        <v>46194.852777777778</v>
      </c>
      <c r="E2896" s="130">
        <v>38.200000000000003</v>
      </c>
      <c r="F2896" s="136">
        <v>4.4999999999999998E-2</v>
      </c>
      <c r="G2896" s="126">
        <f t="shared" si="59"/>
        <v>40.000000000000007</v>
      </c>
      <c r="H2896" s="126" t="s">
        <v>2693</v>
      </c>
      <c r="I2896" s="127" t="s">
        <v>299</v>
      </c>
      <c r="J2896" s="126">
        <v>3.38</v>
      </c>
      <c r="K2896" s="126">
        <v>40</v>
      </c>
      <c r="L2896" s="129">
        <f>INT(base[[#This Row],[Data de liquidação]])</f>
        <v>46194</v>
      </c>
      <c r="M2896" s="126">
        <f>base[[#This Row],[L/P Bruto]]-base[[#This Row],[L/P Líquido]]</f>
        <v>1.8000000000000043</v>
      </c>
      <c r="N2896" s="126">
        <f>base[[#This Row],[L/P Líquido]]/base[[#This Row],[Stake/Responsabilidade]]</f>
        <v>0.95500000000000007</v>
      </c>
      <c r="O2896" s="132">
        <f>IF(base[[#This Row],[L/P Líquido]]&gt;0,1,0)</f>
        <v>1</v>
      </c>
      <c r="P2896" s="132"/>
      <c r="Q2896" s="132" t="str">
        <f>LEFT(base[[#This Row],[Evento / Mercado]],FIND("vs",base[[#This Row],[Evento / Mercado]])-2)</f>
        <v>Uruguay</v>
      </c>
      <c r="R28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Cape Verde</v>
      </c>
      <c r="S2896" s="132" t="str">
        <f>LEFT(base[[#This Row],[Evento / Mercado]],FIND("/",base[[#This Row],[Evento / Mercado]])-2)</f>
        <v>Uruguay vs Cape Verde</v>
      </c>
    </row>
    <row r="2897" spans="2:21" ht="15" customHeight="1">
      <c r="B2897" s="128" t="s">
        <v>2899</v>
      </c>
      <c r="C2897" s="128" t="s">
        <v>2982</v>
      </c>
      <c r="D2897" s="129">
        <v>46194.878310185188</v>
      </c>
      <c r="E2897" s="130">
        <v>-147.5</v>
      </c>
      <c r="F2897" s="136">
        <v>4.4999999999999998E-2</v>
      </c>
      <c r="G2897" s="126">
        <f t="shared" si="59"/>
        <v>-147.5</v>
      </c>
      <c r="H2897" s="126" t="s">
        <v>2894</v>
      </c>
      <c r="I2897" s="127"/>
      <c r="J2897" s="126">
        <v>11</v>
      </c>
      <c r="K2897" s="126">
        <v>800</v>
      </c>
      <c r="L2897" s="129">
        <f>INT(base[[#This Row],[Data de liquidação]])</f>
        <v>46194</v>
      </c>
      <c r="M2897" s="126">
        <f>base[[#This Row],[L/P Bruto]]-base[[#This Row],[L/P Líquido]]</f>
        <v>0</v>
      </c>
      <c r="N2897" s="126">
        <f>base[[#This Row],[L/P Líquido]]/base[[#This Row],[Stake/Responsabilidade]]</f>
        <v>-0.18437500000000001</v>
      </c>
      <c r="O2897" s="132">
        <f>IF(base[[#This Row],[L/P Líquido]]&gt;0,1,0)</f>
        <v>0</v>
      </c>
      <c r="P2897" s="132"/>
      <c r="Q2897" s="132" t="str">
        <f>LEFT(base[[#This Row],[Evento / Mercado]],FIND("vs",base[[#This Row],[Evento / Mercado]])-2)</f>
        <v>Uruguay</v>
      </c>
      <c r="R28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Cape Verde</v>
      </c>
      <c r="S2897" s="132" t="str">
        <f>LEFT(base[[#This Row],[Evento / Mercado]],FIND("/",base[[#This Row],[Evento / Mercado]])-2)</f>
        <v>Uruguay vs Cape Verde</v>
      </c>
    </row>
    <row r="2898" spans="2:21" ht="15" customHeight="1">
      <c r="B2898" s="128" t="s">
        <v>2898</v>
      </c>
      <c r="C2898" s="128" t="s">
        <v>2982</v>
      </c>
      <c r="D2898" s="129">
        <v>46194.978495370371</v>
      </c>
      <c r="E2898" s="130">
        <v>22.47</v>
      </c>
      <c r="F2898" s="136">
        <v>4.4999999999999998E-2</v>
      </c>
      <c r="G2898" s="126">
        <f t="shared" si="59"/>
        <v>23.528795811518325</v>
      </c>
      <c r="H2898" s="126" t="s">
        <v>2820</v>
      </c>
      <c r="I2898" s="127" t="s">
        <v>16</v>
      </c>
      <c r="J2898" s="126">
        <v>2.02</v>
      </c>
      <c r="K2898" s="126">
        <v>50</v>
      </c>
      <c r="L2898" s="129">
        <f>INT(base[[#This Row],[Data de liquidação]])</f>
        <v>46194</v>
      </c>
      <c r="M2898" s="126">
        <f>base[[#This Row],[L/P Bruto]]-base[[#This Row],[L/P Líquido]]</f>
        <v>1.0587958115183262</v>
      </c>
      <c r="N2898" s="126">
        <f>base[[#This Row],[L/P Líquido]]/base[[#This Row],[Stake/Responsabilidade]]</f>
        <v>0.44939999999999997</v>
      </c>
      <c r="O2898" s="132">
        <f>IF(base[[#This Row],[L/P Líquido]]&gt;0,1,0)</f>
        <v>1</v>
      </c>
      <c r="P2898" s="132"/>
      <c r="Q2898" s="132" t="str">
        <f>LEFT(base[[#This Row],[Evento / Mercado]],FIND("vs",base[[#This Row],[Evento / Mercado]])-2)</f>
        <v>New Zealand</v>
      </c>
      <c r="R28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2898" s="132" t="str">
        <f>LEFT(base[[#This Row],[Evento / Mercado]],FIND("/",base[[#This Row],[Evento / Mercado]])-2)</f>
        <v>New Zealand vs Egypt</v>
      </c>
    </row>
    <row r="2899" spans="2:21" ht="15" customHeight="1">
      <c r="B2899" s="128" t="s">
        <v>2897</v>
      </c>
      <c r="C2899" s="128" t="s">
        <v>2982</v>
      </c>
      <c r="D2899" s="129">
        <v>46195.000428240739</v>
      </c>
      <c r="E2899" s="130">
        <v>15.92</v>
      </c>
      <c r="F2899" s="136">
        <v>4.4999999999999998E-2</v>
      </c>
      <c r="G2899" s="126">
        <f t="shared" si="59"/>
        <v>16.670157068062828</v>
      </c>
      <c r="H2899" s="126" t="s">
        <v>122</v>
      </c>
      <c r="I2899" s="127" t="s">
        <v>75</v>
      </c>
      <c r="J2899" s="126">
        <v>13</v>
      </c>
      <c r="K2899" s="126">
        <v>200.04</v>
      </c>
      <c r="L2899" s="129">
        <f>INT(base[[#This Row],[Data de liquidação]])</f>
        <v>46195</v>
      </c>
      <c r="M2899" s="126">
        <f>base[[#This Row],[L/P Bruto]]-base[[#This Row],[L/P Líquido]]</f>
        <v>0.750157068062828</v>
      </c>
      <c r="N2899" s="126">
        <f>base[[#This Row],[L/P Líquido]]/base[[#This Row],[Stake/Responsabilidade]]</f>
        <v>7.9584083183363324E-2</v>
      </c>
      <c r="O2899" s="132">
        <f>IF(base[[#This Row],[L/P Líquido]]&gt;0,1,0)</f>
        <v>1</v>
      </c>
      <c r="P2899" s="132"/>
      <c r="Q2899" s="132" t="str">
        <f>LEFT(base[[#This Row],[Evento / Mercado]],FIND("vs",base[[#This Row],[Evento / Mercado]])-2)</f>
        <v>New Zealand</v>
      </c>
      <c r="R28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2899" s="132" t="str">
        <f>LEFT(base[[#This Row],[Evento / Mercado]],FIND("/",base[[#This Row],[Evento / Mercado]])-2)</f>
        <v>New Zealand vs Egypt</v>
      </c>
    </row>
    <row r="2900" spans="2:21" ht="15" customHeight="1">
      <c r="B2900" s="128" t="s">
        <v>2969</v>
      </c>
      <c r="C2900" s="128" t="s">
        <v>2982</v>
      </c>
      <c r="D2900" s="129">
        <v>46195.662662037037</v>
      </c>
      <c r="E2900" s="130">
        <v>47.75</v>
      </c>
      <c r="F2900" s="136">
        <v>4.4999999999999998E-2</v>
      </c>
      <c r="G2900" s="126">
        <f t="shared" si="59"/>
        <v>50</v>
      </c>
      <c r="H2900" s="126" t="s">
        <v>2761</v>
      </c>
      <c r="I2900" s="127" t="s">
        <v>476</v>
      </c>
      <c r="J2900" s="126">
        <v>17</v>
      </c>
      <c r="K2900" s="126">
        <v>800</v>
      </c>
      <c r="L2900" s="129">
        <f>INT(base[[#This Row],[Data de liquidação]])</f>
        <v>46195</v>
      </c>
      <c r="M2900" s="126">
        <f>base[[#This Row],[L/P Bruto]]-base[[#This Row],[L/P Líquido]]</f>
        <v>2.25</v>
      </c>
      <c r="N2900" s="126">
        <f>base[[#This Row],[L/P Líquido]]/base[[#This Row],[Stake/Responsabilidade]]</f>
        <v>5.9687499999999998E-2</v>
      </c>
      <c r="O2900" s="132">
        <f>IF(base[[#This Row],[L/P Líquido]]&gt;0,1,0)</f>
        <v>1</v>
      </c>
      <c r="P2900" s="132"/>
      <c r="Q2900" s="132" t="str">
        <f>LEFT(base[[#This Row],[Evento / Mercado]],FIND("vs",base[[#This Row],[Evento / Mercado]])-2)</f>
        <v>Varbergs BoIS</v>
      </c>
      <c r="R29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Landskrona BoIS</v>
      </c>
      <c r="S2900" s="132" t="str">
        <f>LEFT(base[[#This Row],[Evento / Mercado]],FIND("/",base[[#This Row],[Evento / Mercado]])-2)</f>
        <v>Varbergs BoIS vs Landskrona BoIS</v>
      </c>
    </row>
    <row r="2901" spans="2:21" ht="15" customHeight="1">
      <c r="B2901" s="128" t="s">
        <v>2968</v>
      </c>
      <c r="C2901" s="128" t="s">
        <v>2982</v>
      </c>
      <c r="D2901" s="129">
        <v>46195.664097222223</v>
      </c>
      <c r="E2901" s="130">
        <v>-94.12</v>
      </c>
      <c r="F2901" s="136">
        <v>4.4999999999999998E-2</v>
      </c>
      <c r="G2901" s="126">
        <f t="shared" si="59"/>
        <v>-94.12</v>
      </c>
      <c r="H2901" s="126" t="s">
        <v>2761</v>
      </c>
      <c r="I2901" s="127" t="s">
        <v>476</v>
      </c>
      <c r="J2901" s="126">
        <v>18</v>
      </c>
      <c r="K2901" s="126">
        <v>800.02</v>
      </c>
      <c r="L2901" s="129">
        <f>INT(base[[#This Row],[Data de liquidação]])</f>
        <v>46195</v>
      </c>
      <c r="M2901" s="126">
        <f>base[[#This Row],[L/P Bruto]]-base[[#This Row],[L/P Líquido]]</f>
        <v>0</v>
      </c>
      <c r="N2901" s="126">
        <f>base[[#This Row],[L/P Líquido]]/base[[#This Row],[Stake/Responsabilidade]]</f>
        <v>-0.11764705882352942</v>
      </c>
      <c r="O2901" s="132">
        <f>IF(base[[#This Row],[L/P Líquido]]&gt;0,1,0)</f>
        <v>0</v>
      </c>
      <c r="P2901" s="132"/>
      <c r="Q2901" s="132" t="str">
        <f>LEFT(base[[#This Row],[Evento / Mercado]],FIND("vs",base[[#This Row],[Evento / Mercado]])-2)</f>
        <v>IK Oddevold</v>
      </c>
      <c r="R29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Ljungskile SK</v>
      </c>
      <c r="S2901" s="132" t="str">
        <f>LEFT(base[[#This Row],[Evento / Mercado]],FIND("/",base[[#This Row],[Evento / Mercado]])-2)</f>
        <v>IK Oddevold vs Ljungskile SK</v>
      </c>
    </row>
    <row r="2902" spans="2:21" ht="15" customHeight="1">
      <c r="B2902" s="128" t="s">
        <v>2967</v>
      </c>
      <c r="C2902" s="128" t="s">
        <v>2982</v>
      </c>
      <c r="D2902" s="129">
        <v>46195.664212962962</v>
      </c>
      <c r="E2902" s="130">
        <v>-5</v>
      </c>
      <c r="F2902" s="136">
        <v>4.4999999999999998E-2</v>
      </c>
      <c r="G2902" s="126">
        <f t="shared" si="59"/>
        <v>-5</v>
      </c>
      <c r="H2902" s="126" t="s">
        <v>1339</v>
      </c>
      <c r="I2902" s="127" t="s">
        <v>2404</v>
      </c>
      <c r="J2902" s="126">
        <v>1.67</v>
      </c>
      <c r="K2902" s="126">
        <v>5</v>
      </c>
      <c r="L2902" s="129">
        <f>INT(base[[#This Row],[Data de liquidação]])</f>
        <v>46195</v>
      </c>
      <c r="M2902" s="126">
        <f>base[[#This Row],[L/P Bruto]]-base[[#This Row],[L/P Líquido]]</f>
        <v>0</v>
      </c>
      <c r="N2902" s="126">
        <f>base[[#This Row],[L/P Líquido]]/base[[#This Row],[Stake/Responsabilidade]]</f>
        <v>-1</v>
      </c>
      <c r="O2902" s="132">
        <f>IF(base[[#This Row],[L/P Líquido]]&gt;0,1,0)</f>
        <v>0</v>
      </c>
      <c r="P2902" s="132"/>
      <c r="Q2902" s="132" t="str">
        <f>LEFT(base[[#This Row],[Evento / Mercado]],FIND("vs",base[[#This Row],[Evento / Mercado]])-2)</f>
        <v>IK Oddevold</v>
      </c>
      <c r="R29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Ljungskile SK</v>
      </c>
      <c r="S2902" s="132" t="str">
        <f>LEFT(base[[#This Row],[Evento / Mercado]],FIND("/",base[[#This Row],[Evento / Mercado]])-2)</f>
        <v>IK Oddevold vs Ljungskile SK</v>
      </c>
    </row>
    <row r="2903" spans="2:21" ht="15" customHeight="1">
      <c r="B2903" s="128" t="s">
        <v>2966</v>
      </c>
      <c r="C2903" s="128" t="s">
        <v>2982</v>
      </c>
      <c r="D2903" s="129">
        <v>46195.668310185189</v>
      </c>
      <c r="E2903" s="130">
        <v>6.62</v>
      </c>
      <c r="F2903" s="136">
        <v>4.4999999999999998E-2</v>
      </c>
      <c r="G2903" s="126">
        <f t="shared" si="59"/>
        <v>6.9319371727748695</v>
      </c>
      <c r="H2903" s="126" t="s">
        <v>2817</v>
      </c>
      <c r="I2903" s="127" t="s">
        <v>2992</v>
      </c>
      <c r="J2903" s="126">
        <v>9.1999999999999993</v>
      </c>
      <c r="K2903" s="126">
        <v>75.03</v>
      </c>
      <c r="L2903" s="129">
        <f>INT(base[[#This Row],[Data de liquidação]])</f>
        <v>46195</v>
      </c>
      <c r="M2903" s="126">
        <f>base[[#This Row],[L/P Bruto]]-base[[#This Row],[L/P Líquido]]</f>
        <v>0.31193717277486943</v>
      </c>
      <c r="N2903" s="126">
        <f>base[[#This Row],[L/P Líquido]]/base[[#This Row],[Stake/Responsabilidade]]</f>
        <v>8.8231374117019853E-2</v>
      </c>
      <c r="O2903" s="132">
        <f>IF(base[[#This Row],[L/P Líquido]]&gt;0,1,0)</f>
        <v>1</v>
      </c>
      <c r="P2903" s="132"/>
      <c r="Q2903" s="132" t="str">
        <f>LEFT(base[[#This Row],[Evento / Mercado]],FIND("vs",base[[#This Row],[Evento / Mercado]])-2)</f>
        <v>Argentina</v>
      </c>
      <c r="R29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Austria</v>
      </c>
      <c r="S2903" s="132" t="str">
        <f>LEFT(base[[#This Row],[Evento / Mercado]],FIND("/",base[[#This Row],[Evento / Mercado]])-2)</f>
        <v>Argentina vs Austria</v>
      </c>
    </row>
    <row r="2904" spans="2:21" ht="15" customHeight="1">
      <c r="B2904" s="128" t="s">
        <v>2966</v>
      </c>
      <c r="C2904" s="128" t="s">
        <v>2981</v>
      </c>
      <c r="D2904" s="129">
        <v>46195.668310185189</v>
      </c>
      <c r="E2904" s="130">
        <v>48.6</v>
      </c>
      <c r="F2904" s="136">
        <v>4.4999999999999998E-2</v>
      </c>
      <c r="G2904" s="126">
        <f t="shared" si="59"/>
        <v>50.890052356020945</v>
      </c>
      <c r="H2904" s="126" t="s">
        <v>145</v>
      </c>
      <c r="I2904" s="127" t="s">
        <v>2877</v>
      </c>
      <c r="J2904" s="126">
        <v>9</v>
      </c>
      <c r="K2904" s="126">
        <v>400</v>
      </c>
      <c r="L2904" s="129">
        <f>INT(base[[#This Row],[Data de liquidação]])</f>
        <v>46195</v>
      </c>
      <c r="M2904" s="126">
        <f>base[[#This Row],[L/P Bruto]]-base[[#This Row],[L/P Líquido]]</f>
        <v>2.2900523560209436</v>
      </c>
      <c r="N2904" s="126">
        <f>base[[#This Row],[L/P Líquido]]/base[[#This Row],[Stake/Responsabilidade]]</f>
        <v>0.1215</v>
      </c>
      <c r="O2904" s="132">
        <f>IF(base[[#This Row],[L/P Líquido]]&gt;0,1,0)</f>
        <v>1</v>
      </c>
      <c r="P2904" s="132" t="s">
        <v>2818</v>
      </c>
      <c r="Q2904" s="132" t="str">
        <f>LEFT(base[[#This Row],[Evento / Mercado]],FIND("vs",base[[#This Row],[Evento / Mercado]])-2)</f>
        <v>Argentina</v>
      </c>
      <c r="R29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Austria</v>
      </c>
      <c r="S2904" s="132" t="str">
        <f>LEFT(base[[#This Row],[Evento / Mercado]],FIND("/",base[[#This Row],[Evento / Mercado]])-2)</f>
        <v>Argentina vs Austria</v>
      </c>
    </row>
    <row r="2905" spans="2:21" ht="15" customHeight="1">
      <c r="B2905" s="128" t="s">
        <v>2965</v>
      </c>
      <c r="C2905" s="128" t="s">
        <v>2982</v>
      </c>
      <c r="D2905" s="129">
        <v>46195.734259259261</v>
      </c>
      <c r="E2905" s="130">
        <v>40.22</v>
      </c>
      <c r="F2905" s="136">
        <v>4.4999999999999998E-2</v>
      </c>
      <c r="G2905" s="126">
        <f t="shared" si="59"/>
        <v>42.1151832460733</v>
      </c>
      <c r="H2905" s="126" t="s">
        <v>74</v>
      </c>
      <c r="I2905" s="127" t="s">
        <v>477</v>
      </c>
      <c r="J2905" s="126">
        <v>10.5</v>
      </c>
      <c r="K2905" s="126">
        <v>400.05</v>
      </c>
      <c r="L2905" s="129">
        <f>INT(base[[#This Row],[Data de liquidação]])</f>
        <v>46195</v>
      </c>
      <c r="M2905" s="126">
        <f>base[[#This Row],[L/P Bruto]]-base[[#This Row],[L/P Líquido]]</f>
        <v>1.8951832460733016</v>
      </c>
      <c r="N2905" s="126">
        <f>base[[#This Row],[L/P Líquido]]/base[[#This Row],[Stake/Responsabilidade]]</f>
        <v>0.10053743282089739</v>
      </c>
      <c r="O2905" s="132">
        <f>IF(base[[#This Row],[L/P Líquido]]&gt;0,1,0)</f>
        <v>1</v>
      </c>
      <c r="P2905" s="132" t="s">
        <v>1788</v>
      </c>
      <c r="Q2905" s="132" t="str">
        <f>LEFT(base[[#This Row],[Evento / Mercado]],FIND("vs",base[[#This Row],[Evento / Mercado]])-2)</f>
        <v>Shelbourne FC</v>
      </c>
      <c r="R29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Bohemian FC</v>
      </c>
      <c r="S2905" s="132" t="str">
        <f>LEFT(base[[#This Row],[Evento / Mercado]],FIND("/",base[[#This Row],[Evento / Mercado]])-2)</f>
        <v>Shelbourne FC vs Bohemian FC</v>
      </c>
    </row>
    <row r="2906" spans="2:21" ht="15" customHeight="1">
      <c r="B2906" s="128" t="s">
        <v>2964</v>
      </c>
      <c r="C2906" s="128" t="s">
        <v>2982</v>
      </c>
      <c r="D2906" s="129">
        <v>46195.746782407405</v>
      </c>
      <c r="E2906" s="130">
        <v>-2</v>
      </c>
      <c r="F2906" s="136">
        <v>4.4999999999999998E-2</v>
      </c>
      <c r="G2906" s="126">
        <f t="shared" si="59"/>
        <v>-2</v>
      </c>
      <c r="H2906" s="126" t="s">
        <v>1339</v>
      </c>
      <c r="I2906" s="127" t="s">
        <v>1429</v>
      </c>
      <c r="J2906" s="126">
        <v>2.12</v>
      </c>
      <c r="K2906" s="126">
        <v>2</v>
      </c>
      <c r="L2906" s="129">
        <f>INT(base[[#This Row],[Data de liquidação]])</f>
        <v>46195</v>
      </c>
      <c r="M2906" s="126">
        <f>base[[#This Row],[L/P Bruto]]-base[[#This Row],[L/P Líquido]]</f>
        <v>0</v>
      </c>
      <c r="N2906" s="126">
        <f>base[[#This Row],[L/P Líquido]]/base[[#This Row],[Stake/Responsabilidade]]</f>
        <v>-1</v>
      </c>
      <c r="O2906" s="132">
        <f>IF(base[[#This Row],[L/P Líquido]]&gt;0,1,0)</f>
        <v>0</v>
      </c>
      <c r="P2906" s="132"/>
      <c r="Q2906" s="132" t="str">
        <f>LEFT(base[[#This Row],[Evento / Mercado]],FIND("vs",base[[#This Row],[Evento / Mercado]])-2)</f>
        <v>Shamrock Rovers</v>
      </c>
      <c r="R29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Derry City</v>
      </c>
      <c r="S2906" s="132" t="str">
        <f>LEFT(base[[#This Row],[Evento / Mercado]],FIND("/",base[[#This Row],[Evento / Mercado]])-2)</f>
        <v>Shamrock Rovers vs Derry City</v>
      </c>
    </row>
    <row r="2907" spans="2:21" ht="15" customHeight="1">
      <c r="B2907" s="128" t="s">
        <v>2963</v>
      </c>
      <c r="C2907" s="128" t="s">
        <v>2982</v>
      </c>
      <c r="D2907" s="129">
        <v>46195.746817129628</v>
      </c>
      <c r="E2907" s="130">
        <v>-19.77</v>
      </c>
      <c r="F2907" s="136">
        <v>4.4999999999999998E-2</v>
      </c>
      <c r="G2907" s="126">
        <f t="shared" si="59"/>
        <v>-19.77</v>
      </c>
      <c r="H2907" s="126" t="s">
        <v>2820</v>
      </c>
      <c r="I2907" s="127" t="s">
        <v>13</v>
      </c>
      <c r="J2907" s="126">
        <f>(2.27+3.35)/2</f>
        <v>2.81</v>
      </c>
      <c r="K2907" s="126">
        <v>100</v>
      </c>
      <c r="L2907" s="129">
        <f>INT(base[[#This Row],[Data de liquidação]])</f>
        <v>46195</v>
      </c>
      <c r="M2907" s="126">
        <f>base[[#This Row],[L/P Bruto]]-base[[#This Row],[L/P Líquido]]</f>
        <v>0</v>
      </c>
      <c r="N2907" s="126">
        <f>base[[#This Row],[L/P Líquido]]/base[[#This Row],[Stake/Responsabilidade]]</f>
        <v>-0.19769999999999999</v>
      </c>
      <c r="O2907" s="132">
        <f>IF(base[[#This Row],[L/P Líquido]]&gt;0,1,0)</f>
        <v>0</v>
      </c>
      <c r="P2907" s="132"/>
      <c r="Q2907" s="132" t="str">
        <f>LEFT(base[[#This Row],[Evento / Mercado]],FIND("vs",base[[#This Row],[Evento / Mercado]])-2)</f>
        <v>Shamrock Rovers</v>
      </c>
      <c r="R29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Derry City</v>
      </c>
      <c r="S2907" s="132" t="str">
        <f>LEFT(base[[#This Row],[Evento / Mercado]],FIND("/",base[[#This Row],[Evento / Mercado]])-2)</f>
        <v>Shamrock Rovers vs Derry City</v>
      </c>
    </row>
    <row r="2908" spans="2:21" ht="15" customHeight="1">
      <c r="B2908" s="128" t="s">
        <v>2962</v>
      </c>
      <c r="C2908" s="128" t="s">
        <v>2982</v>
      </c>
      <c r="D2908" s="129">
        <v>46195.756886574076</v>
      </c>
      <c r="E2908" s="130">
        <v>16.25</v>
      </c>
      <c r="F2908" s="136">
        <v>4.4999999999999998E-2</v>
      </c>
      <c r="G2908" s="126">
        <f t="shared" si="59"/>
        <v>17.015706806282722</v>
      </c>
      <c r="H2908" s="126" t="s">
        <v>2821</v>
      </c>
      <c r="I2908" s="127" t="s">
        <v>476</v>
      </c>
      <c r="J2908" s="126">
        <v>48</v>
      </c>
      <c r="K2908" s="126">
        <v>799.94</v>
      </c>
      <c r="L2908" s="129">
        <f>INT(base[[#This Row],[Data de liquidação]])</f>
        <v>46195</v>
      </c>
      <c r="M2908" s="126">
        <f>base[[#This Row],[L/P Bruto]]-base[[#This Row],[L/P Líquido]]</f>
        <v>0.76570680628272214</v>
      </c>
      <c r="N2908" s="126">
        <f>base[[#This Row],[L/P Líquido]]/base[[#This Row],[Stake/Responsabilidade]]</f>
        <v>2.031402355176638E-2</v>
      </c>
      <c r="O2908" s="132">
        <f>IF(base[[#This Row],[L/P Líquido]]&gt;0,1,0)</f>
        <v>1</v>
      </c>
      <c r="P2908" s="132"/>
      <c r="Q2908" s="132" t="str">
        <f>LEFT(base[[#This Row],[Evento / Mercado]],FIND("vs",base[[#This Row],[Evento / Mercado]])-2)</f>
        <v>KR Reykjavik</v>
      </c>
      <c r="R29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IA Akranes</v>
      </c>
      <c r="S2908" s="132" t="str">
        <f>LEFT(base[[#This Row],[Evento / Mercado]],FIND("/",base[[#This Row],[Evento / Mercado]])-2)</f>
        <v>KR Reykjavik vs IA Akranes</v>
      </c>
    </row>
    <row r="2909" spans="2:21" ht="15" customHeight="1">
      <c r="B2909" s="128" t="s">
        <v>2961</v>
      </c>
      <c r="C2909" s="128" t="s">
        <v>2982</v>
      </c>
      <c r="D2909" s="129">
        <v>46195.908680555556</v>
      </c>
      <c r="E2909" s="130">
        <v>10.323550000000001</v>
      </c>
      <c r="F2909" s="136">
        <v>4.4999999999999998E-2</v>
      </c>
      <c r="G2909" s="126">
        <f t="shared" si="59"/>
        <v>10.810000000000002</v>
      </c>
      <c r="H2909" s="126" t="s">
        <v>145</v>
      </c>
      <c r="I2909" s="127" t="s">
        <v>2877</v>
      </c>
      <c r="J2909" s="126">
        <v>38</v>
      </c>
      <c r="K2909" s="126">
        <v>399.97</v>
      </c>
      <c r="L2909" s="129">
        <f>INT(base[[#This Row],[Data de liquidação]])</f>
        <v>46195</v>
      </c>
      <c r="M2909" s="126">
        <f>base[[#This Row],[L/P Bruto]]-base[[#This Row],[L/P Líquido]]</f>
        <v>0.48645000000000138</v>
      </c>
      <c r="N2909" s="126">
        <f>base[[#This Row],[L/P Líquido]]/base[[#This Row],[Stake/Responsabilidade]]</f>
        <v>2.5810810810810811E-2</v>
      </c>
      <c r="O2909" s="132">
        <f>IF(base[[#This Row],[L/P Líquido]]&gt;0,1,0)</f>
        <v>1</v>
      </c>
      <c r="P2909" s="132" t="s">
        <v>2818</v>
      </c>
      <c r="Q2909" s="132" t="str">
        <f>LEFT(base[[#This Row],[Evento / Mercado]],FIND("vs",base[[#This Row],[Evento / Mercado]])-2)</f>
        <v>France</v>
      </c>
      <c r="R29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Iraq</v>
      </c>
      <c r="S2909" s="132" t="str">
        <f>LEFT(base[[#This Row],[Evento / Mercado]],FIND("/",base[[#This Row],[Evento / Mercado]])-2)</f>
        <v>France vs Iraq</v>
      </c>
      <c r="T2909" s="8">
        <v>10.81</v>
      </c>
      <c r="U2909" s="9">
        <f t="shared" ref="U2909:U2910" si="60">T2909*0.955</f>
        <v>10.323550000000001</v>
      </c>
    </row>
    <row r="2910" spans="2:21" ht="15" customHeight="1">
      <c r="B2910" s="128" t="s">
        <v>2961</v>
      </c>
      <c r="C2910" s="128" t="s">
        <v>2982</v>
      </c>
      <c r="D2910" s="129">
        <v>46195.908680555556</v>
      </c>
      <c r="E2910" s="130">
        <v>28.29665</v>
      </c>
      <c r="F2910" s="136">
        <v>4.4999999999999998E-2</v>
      </c>
      <c r="G2910" s="126">
        <f t="shared" si="59"/>
        <v>29.630000000000003</v>
      </c>
      <c r="H2910" s="126" t="s">
        <v>1233</v>
      </c>
      <c r="I2910" s="127"/>
      <c r="J2910" s="126">
        <v>14.5</v>
      </c>
      <c r="K2910" s="126">
        <v>400.01</v>
      </c>
      <c r="L2910" s="129">
        <f>INT(base[[#This Row],[Data de liquidação]])</f>
        <v>46195</v>
      </c>
      <c r="M2910" s="126">
        <f>base[[#This Row],[L/P Bruto]]-base[[#This Row],[L/P Líquido]]</f>
        <v>1.3333500000000029</v>
      </c>
      <c r="N2910" s="126">
        <f>base[[#This Row],[L/P Líquido]]/base[[#This Row],[Stake/Responsabilidade]]</f>
        <v>7.0739856503587412E-2</v>
      </c>
      <c r="O2910" s="132">
        <f>IF(base[[#This Row],[L/P Líquido]]&gt;0,1,0)</f>
        <v>1</v>
      </c>
      <c r="P2910" s="132" t="s">
        <v>2818</v>
      </c>
      <c r="Q2910" s="132" t="str">
        <f>LEFT(base[[#This Row],[Evento / Mercado]],FIND("vs",base[[#This Row],[Evento / Mercado]])-2)</f>
        <v>France</v>
      </c>
      <c r="R29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Iraq</v>
      </c>
      <c r="S2910" s="132" t="str">
        <f>LEFT(base[[#This Row],[Evento / Mercado]],FIND("/",base[[#This Row],[Evento / Mercado]])-2)</f>
        <v>France vs Iraq</v>
      </c>
      <c r="T2910" s="8">
        <v>29.63</v>
      </c>
      <c r="U2910" s="9">
        <f t="shared" si="60"/>
        <v>28.29665</v>
      </c>
    </row>
    <row r="2911" spans="2:21" ht="15" customHeight="1">
      <c r="B2911" s="128" t="s">
        <v>2960</v>
      </c>
      <c r="C2911" s="128" t="s">
        <v>2982</v>
      </c>
      <c r="D2911" s="129">
        <v>46195.958194444444</v>
      </c>
      <c r="E2911" s="130">
        <v>16.88</v>
      </c>
      <c r="F2911" s="136">
        <v>4.4999999999999998E-2</v>
      </c>
      <c r="G2911" s="126">
        <f t="shared" si="59"/>
        <v>17.675392670157066</v>
      </c>
      <c r="H2911" s="126" t="s">
        <v>2817</v>
      </c>
      <c r="I2911" s="127" t="s">
        <v>2993</v>
      </c>
      <c r="J2911" s="126">
        <v>3.3</v>
      </c>
      <c r="K2911" s="126">
        <v>73.39</v>
      </c>
      <c r="L2911" s="129">
        <f>INT(base[[#This Row],[Data de liquidação]])</f>
        <v>46195</v>
      </c>
      <c r="M2911" s="126">
        <f>base[[#This Row],[L/P Bruto]]-base[[#This Row],[L/P Líquido]]</f>
        <v>0.79539267015706727</v>
      </c>
      <c r="N2911" s="126">
        <f>base[[#This Row],[L/P Líquido]]/base[[#This Row],[Stake/Responsabilidade]]</f>
        <v>0.2300040877503747</v>
      </c>
      <c r="O2911" s="132">
        <f>IF(base[[#This Row],[L/P Líquido]]&gt;0,1,0)</f>
        <v>1</v>
      </c>
      <c r="P2911" s="132"/>
      <c r="Q2911" s="132" t="str">
        <f>LEFT(base[[#This Row],[Evento / Mercado]],FIND("vs",base[[#This Row],[Evento / Mercado]])-2)</f>
        <v>Norway</v>
      </c>
      <c r="R29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2911" s="132" t="str">
        <f>LEFT(base[[#This Row],[Evento / Mercado]],FIND("/",base[[#This Row],[Evento / Mercado]])-2)</f>
        <v>Norway vs Senegal</v>
      </c>
    </row>
    <row r="2912" spans="2:21" ht="15" customHeight="1">
      <c r="B2912" s="128" t="s">
        <v>2959</v>
      </c>
      <c r="C2912" s="128" t="s">
        <v>2982</v>
      </c>
      <c r="D2912" s="129">
        <v>46196.083414351851</v>
      </c>
      <c r="E2912" s="130">
        <v>10.06</v>
      </c>
      <c r="F2912" s="136">
        <v>4.4999999999999998E-2</v>
      </c>
      <c r="G2912" s="126">
        <f t="shared" si="59"/>
        <v>10.534031413612567</v>
      </c>
      <c r="H2912" s="126" t="s">
        <v>2821</v>
      </c>
      <c r="I2912" s="127" t="s">
        <v>542</v>
      </c>
      <c r="J2912" s="126">
        <v>20</v>
      </c>
      <c r="K2912" s="126">
        <v>200.07</v>
      </c>
      <c r="L2912" s="129">
        <f>INT(base[[#This Row],[Data de liquidação]])</f>
        <v>46196</v>
      </c>
      <c r="M2912" s="126">
        <f>base[[#This Row],[L/P Bruto]]-base[[#This Row],[L/P Líquido]]</f>
        <v>0.47403141361256651</v>
      </c>
      <c r="N2912" s="126">
        <f>base[[#This Row],[L/P Líquido]]/base[[#This Row],[Stake/Responsabilidade]]</f>
        <v>5.0282401159594148E-2</v>
      </c>
      <c r="O2912" s="132">
        <f>IF(base[[#This Row],[L/P Líquido]]&gt;0,1,0)</f>
        <v>1</v>
      </c>
      <c r="P2912" s="132"/>
      <c r="Q2912" s="132" t="str">
        <f>LEFT(base[[#This Row],[Evento / Mercado]],FIND("vs",base[[#This Row],[Evento / Mercado]])-2)</f>
        <v>Jordan</v>
      </c>
      <c r="R29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Algeria</v>
      </c>
      <c r="S2912" s="132" t="str">
        <f>LEFT(base[[#This Row],[Evento / Mercado]],FIND("/",base[[#This Row],[Evento / Mercado]])-2)</f>
        <v>Jordan vs Algeria</v>
      </c>
    </row>
    <row r="2913" spans="2:21" ht="15" customHeight="1">
      <c r="B2913" s="128" t="s">
        <v>2974</v>
      </c>
      <c r="C2913" s="128" t="s">
        <v>2982</v>
      </c>
      <c r="D2913" s="129">
        <v>46196.579629629632</v>
      </c>
      <c r="E2913" s="130">
        <v>5.83</v>
      </c>
      <c r="F2913" s="136">
        <v>4.4999999999999998E-2</v>
      </c>
      <c r="G2913" s="126">
        <f t="shared" si="59"/>
        <v>6.1047120418848166</v>
      </c>
      <c r="H2913" s="126" t="s">
        <v>1339</v>
      </c>
      <c r="I2913" s="127" t="s">
        <v>2470</v>
      </c>
      <c r="J2913" s="126">
        <v>9</v>
      </c>
      <c r="K2913" s="126">
        <v>48.8</v>
      </c>
      <c r="L2913" s="129">
        <f>INT(base[[#This Row],[Data de liquidação]])</f>
        <v>46196</v>
      </c>
      <c r="M2913" s="126">
        <f>base[[#This Row],[L/P Bruto]]-base[[#This Row],[L/P Líquido]]</f>
        <v>0.27471204188481657</v>
      </c>
      <c r="N2913" s="126">
        <f>base[[#This Row],[L/P Líquido]]/base[[#This Row],[Stake/Responsabilidade]]</f>
        <v>0.11946721311475411</v>
      </c>
      <c r="O2913" s="132">
        <f>IF(base[[#This Row],[L/P Líquido]]&gt;0,1,0)</f>
        <v>1</v>
      </c>
      <c r="P2913" s="132"/>
      <c r="Q2913" s="132" t="str">
        <f>LEFT(base[[#This Row],[Evento / Mercado]],FIND("vs",base[[#This Row],[Evento / Mercado]])-2)</f>
        <v>FC Lahti</v>
      </c>
      <c r="R29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TPS</v>
      </c>
      <c r="S2913" s="132" t="str">
        <f>LEFT(base[[#This Row],[Evento / Mercado]],FIND("/",base[[#This Row],[Evento / Mercado]])-2)</f>
        <v>FC Lahti vs TPS</v>
      </c>
    </row>
    <row r="2914" spans="2:21" ht="15" customHeight="1">
      <c r="B2914" s="128" t="s">
        <v>2973</v>
      </c>
      <c r="C2914" s="128" t="s">
        <v>2982</v>
      </c>
      <c r="D2914" s="129">
        <v>46196.621238425927</v>
      </c>
      <c r="E2914" s="130">
        <v>34.46555</v>
      </c>
      <c r="F2914" s="136">
        <v>4.4999999999999998E-2</v>
      </c>
      <c r="G2914" s="126">
        <f t="shared" si="59"/>
        <v>36.089581151832462</v>
      </c>
      <c r="H2914" s="126" t="s">
        <v>2817</v>
      </c>
      <c r="I2914" s="127" t="s">
        <v>2993</v>
      </c>
      <c r="J2914" s="126">
        <f>(5.6*74.98+2.12*73.68)/base[[#This Row],[Stake/Responsabilidade]]</f>
        <v>3.875215928965424</v>
      </c>
      <c r="K2914" s="126">
        <f>74.98+73.68</f>
        <v>148.66000000000003</v>
      </c>
      <c r="L2914" s="129">
        <f>INT(base[[#This Row],[Data de liquidação]])</f>
        <v>46196</v>
      </c>
      <c r="M2914" s="126">
        <f>base[[#This Row],[L/P Bruto]]-base[[#This Row],[L/P Líquido]]</f>
        <v>1.6240311518324617</v>
      </c>
      <c r="N2914" s="126">
        <f>base[[#This Row],[L/P Líquido]]/base[[#This Row],[Stake/Responsabilidade]]</f>
        <v>0.2318414502892506</v>
      </c>
      <c r="O2914" s="132">
        <f>IF(base[[#This Row],[L/P Líquido]]&gt;0,1,0)</f>
        <v>1</v>
      </c>
      <c r="P2914" s="132"/>
      <c r="Q2914" s="132" t="str">
        <f>LEFT(base[[#This Row],[Evento / Mercado]],FIND("vs",base[[#This Row],[Evento / Mercado]])-2)</f>
        <v>FC Inter Turku</v>
      </c>
      <c r="R29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2914" s="132" t="str">
        <f>LEFT(base[[#This Row],[Evento / Mercado]],FIND("/",base[[#This Row],[Evento / Mercado]])-2)</f>
        <v>FC Inter Turku vs SJK</v>
      </c>
      <c r="U2914" s="9"/>
    </row>
    <row r="2915" spans="2:21" ht="15" customHeight="1">
      <c r="B2915" s="128" t="s">
        <v>2973</v>
      </c>
      <c r="C2915" s="128" t="s">
        <v>2982</v>
      </c>
      <c r="D2915" s="129">
        <v>46196.621238425927</v>
      </c>
      <c r="E2915" s="130">
        <v>25.584449999999997</v>
      </c>
      <c r="F2915" s="136">
        <v>4.4999999999999998E-2</v>
      </c>
      <c r="G2915" s="126">
        <f t="shared" si="59"/>
        <v>26.79</v>
      </c>
      <c r="H2915" s="126" t="s">
        <v>1339</v>
      </c>
      <c r="I2915" s="127" t="s">
        <v>1446</v>
      </c>
      <c r="J2915" s="126">
        <v>2.08</v>
      </c>
      <c r="K2915" s="126">
        <v>28.93</v>
      </c>
      <c r="L2915" s="129">
        <f>INT(base[[#This Row],[Data de liquidação]])</f>
        <v>46196</v>
      </c>
      <c r="M2915" s="126">
        <f>base[[#This Row],[L/P Bruto]]-base[[#This Row],[L/P Líquido]]</f>
        <v>1.2055500000000023</v>
      </c>
      <c r="N2915" s="126">
        <f>base[[#This Row],[L/P Líquido]]/base[[#This Row],[Stake/Responsabilidade]]</f>
        <v>0.88435706878672649</v>
      </c>
      <c r="O2915" s="132">
        <f>IF(base[[#This Row],[L/P Líquido]]&gt;0,1,0)</f>
        <v>1</v>
      </c>
      <c r="P2915" s="132"/>
      <c r="Q2915" s="132" t="str">
        <f>LEFT(base[[#This Row],[Evento / Mercado]],FIND("vs",base[[#This Row],[Evento / Mercado]])-2)</f>
        <v>FC Inter Turku</v>
      </c>
      <c r="R29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2915" s="132" t="str">
        <f>LEFT(base[[#This Row],[Evento / Mercado]],FIND("/",base[[#This Row],[Evento / Mercado]])-2)</f>
        <v>FC Inter Turku vs SJK</v>
      </c>
      <c r="T2915" s="8">
        <v>26.79</v>
      </c>
      <c r="U2915" s="9">
        <f t="shared" ref="U2915" si="61">T2915*0.955</f>
        <v>25.584449999999997</v>
      </c>
    </row>
    <row r="2916" spans="2:21" ht="15" customHeight="1">
      <c r="B2916" s="128" t="s">
        <v>2972</v>
      </c>
      <c r="C2916" s="128" t="s">
        <v>2982</v>
      </c>
      <c r="D2916" s="129">
        <v>46196.621261574073</v>
      </c>
      <c r="E2916" s="130">
        <v>0.49</v>
      </c>
      <c r="F2916" s="136">
        <v>4.4999999999999998E-2</v>
      </c>
      <c r="G2916" s="126">
        <f t="shared" si="59"/>
        <v>0.51308900523560208</v>
      </c>
      <c r="H2916" s="126" t="s">
        <v>2820</v>
      </c>
      <c r="I2916" s="127" t="s">
        <v>13</v>
      </c>
      <c r="J2916" s="126">
        <v>1.97</v>
      </c>
      <c r="K2916" s="126">
        <v>50</v>
      </c>
      <c r="L2916" s="129">
        <f>INT(base[[#This Row],[Data de liquidação]])</f>
        <v>46196</v>
      </c>
      <c r="M2916" s="126">
        <f>base[[#This Row],[L/P Bruto]]-base[[#This Row],[L/P Líquido]]</f>
        <v>2.3089005235602089E-2</v>
      </c>
      <c r="N2916" s="126">
        <f>base[[#This Row],[L/P Líquido]]/base[[#This Row],[Stake/Responsabilidade]]</f>
        <v>9.7999999999999997E-3</v>
      </c>
      <c r="O2916" s="132">
        <f>IF(base[[#This Row],[L/P Líquido]]&gt;0,1,0)</f>
        <v>1</v>
      </c>
      <c r="P2916" s="132"/>
      <c r="Q2916" s="132" t="str">
        <f>LEFT(base[[#This Row],[Evento / Mercado]],FIND("vs",base[[#This Row],[Evento / Mercado]])-2)</f>
        <v>FC Inter Turku</v>
      </c>
      <c r="R29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2916" s="132" t="str">
        <f>LEFT(base[[#This Row],[Evento / Mercado]],FIND("/",base[[#This Row],[Evento / Mercado]])-2)</f>
        <v>FC Inter Turku vs SJK</v>
      </c>
    </row>
    <row r="2917" spans="2:21" ht="15" customHeight="1">
      <c r="B2917" s="128" t="s">
        <v>2978</v>
      </c>
      <c r="C2917" s="128" t="s">
        <v>2981</v>
      </c>
      <c r="D2917" s="129">
        <v>46196.666620370372</v>
      </c>
      <c r="E2917" s="130">
        <v>16.2</v>
      </c>
      <c r="F2917" s="136">
        <v>4.4999999999999998E-2</v>
      </c>
      <c r="G2917" s="126">
        <f t="shared" si="59"/>
        <v>16.963350785340314</v>
      </c>
      <c r="H2917" s="126" t="s">
        <v>145</v>
      </c>
      <c r="I2917" s="127" t="s">
        <v>2877</v>
      </c>
      <c r="J2917" s="126">
        <v>25</v>
      </c>
      <c r="K2917" s="126">
        <v>400.08</v>
      </c>
      <c r="L2917" s="129">
        <f>INT(base[[#This Row],[Data de liquidação]])</f>
        <v>46196</v>
      </c>
      <c r="M2917" s="126">
        <f>base[[#This Row],[L/P Bruto]]-base[[#This Row],[L/P Líquido]]</f>
        <v>0.76335078534031453</v>
      </c>
      <c r="N2917" s="126">
        <f>base[[#This Row],[L/P Líquido]]/base[[#This Row],[Stake/Responsabilidade]]</f>
        <v>4.0491901619676064E-2</v>
      </c>
      <c r="O2917" s="132">
        <f>IF(base[[#This Row],[L/P Líquido]]&gt;0,1,0)</f>
        <v>1</v>
      </c>
      <c r="P2917" s="132" t="s">
        <v>2818</v>
      </c>
      <c r="Q2917" s="132" t="str">
        <f>LEFT(base[[#This Row],[Evento / Mercado]],FIND("vs",base[[#This Row],[Evento / Mercado]])-2)</f>
        <v>Portugal</v>
      </c>
      <c r="R29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Uzbekistan</v>
      </c>
      <c r="S2917" s="132" t="str">
        <f>LEFT(base[[#This Row],[Evento / Mercado]],FIND("/",base[[#This Row],[Evento / Mercado]])-2)</f>
        <v>Portugal vs Uzbekistan</v>
      </c>
    </row>
    <row r="2918" spans="2:21" ht="15" customHeight="1">
      <c r="B2918" s="128" t="s">
        <v>2977</v>
      </c>
      <c r="C2918" s="128" t="s">
        <v>2981</v>
      </c>
      <c r="D2918" s="129">
        <v>46196.79210648148</v>
      </c>
      <c r="E2918" s="130">
        <v>19.440000000000001</v>
      </c>
      <c r="F2918" s="136">
        <v>4.4999999999999998E-2</v>
      </c>
      <c r="G2918" s="126">
        <f t="shared" si="59"/>
        <v>20.356020942408378</v>
      </c>
      <c r="H2918" s="126" t="s">
        <v>145</v>
      </c>
      <c r="I2918" s="127" t="s">
        <v>2877</v>
      </c>
      <c r="J2918" s="126">
        <v>21</v>
      </c>
      <c r="K2918" s="126">
        <v>400</v>
      </c>
      <c r="L2918" s="129">
        <f>INT(base[[#This Row],[Data de liquidação]])</f>
        <v>46196</v>
      </c>
      <c r="M2918" s="126">
        <f>base[[#This Row],[L/P Bruto]]-base[[#This Row],[L/P Líquido]]</f>
        <v>0.91602094240837673</v>
      </c>
      <c r="N2918" s="126">
        <f>base[[#This Row],[L/P Líquido]]/base[[#This Row],[Stake/Responsabilidade]]</f>
        <v>4.8600000000000004E-2</v>
      </c>
      <c r="O2918" s="132">
        <f>IF(base[[#This Row],[L/P Líquido]]&gt;0,1,0)</f>
        <v>1</v>
      </c>
      <c r="P2918" s="132" t="s">
        <v>2818</v>
      </c>
      <c r="Q2918" s="132" t="str">
        <f>LEFT(base[[#This Row],[Evento / Mercado]],FIND("vs",base[[#This Row],[Evento / Mercado]])-2)</f>
        <v>England</v>
      </c>
      <c r="R29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Ghana</v>
      </c>
      <c r="S2918" s="132" t="str">
        <f>LEFT(base[[#This Row],[Evento / Mercado]],FIND("/",base[[#This Row],[Evento / Mercado]])-2)</f>
        <v>England vs Ghana</v>
      </c>
      <c r="U2918" s="9"/>
    </row>
    <row r="2919" spans="2:21" ht="15" customHeight="1">
      <c r="B2919" s="128" t="s">
        <v>2971</v>
      </c>
      <c r="C2919" s="128" t="s">
        <v>2982</v>
      </c>
      <c r="D2919" s="129">
        <v>46196.912569444445</v>
      </c>
      <c r="E2919" s="130">
        <v>27.28</v>
      </c>
      <c r="F2919" s="136">
        <v>4.4999999999999998E-2</v>
      </c>
      <c r="G2919" s="126">
        <f t="shared" si="59"/>
        <v>28.565445026178011</v>
      </c>
      <c r="H2919" s="126" t="s">
        <v>2821</v>
      </c>
      <c r="I2919" s="127" t="s">
        <v>542</v>
      </c>
      <c r="J2919" s="126">
        <v>29</v>
      </c>
      <c r="K2919" s="126">
        <v>799.96</v>
      </c>
      <c r="L2919" s="129">
        <f>INT(base[[#This Row],[Data de liquidação]])</f>
        <v>46196</v>
      </c>
      <c r="M2919" s="126">
        <f>base[[#This Row],[L/P Bruto]]-base[[#This Row],[L/P Líquido]]</f>
        <v>1.2854450261780102</v>
      </c>
      <c r="N2919" s="126">
        <f>base[[#This Row],[L/P Líquido]]/base[[#This Row],[Stake/Responsabilidade]]</f>
        <v>3.4101705085254265E-2</v>
      </c>
      <c r="O2919" s="132">
        <f>IF(base[[#This Row],[L/P Líquido]]&gt;0,1,0)</f>
        <v>1</v>
      </c>
      <c r="P2919" s="132"/>
      <c r="Q2919" s="132" t="str">
        <f>LEFT(base[[#This Row],[Evento / Mercado]],FIND("vs",base[[#This Row],[Evento / Mercado]])-2)</f>
        <v>Panama</v>
      </c>
      <c r="R29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919" s="132" t="str">
        <f>LEFT(base[[#This Row],[Evento / Mercado]],FIND("/",base[[#This Row],[Evento / Mercado]])-2)</f>
        <v>Panama vs Croatia</v>
      </c>
    </row>
    <row r="2920" spans="2:21" ht="15" customHeight="1">
      <c r="B2920" s="128" t="s">
        <v>2971</v>
      </c>
      <c r="C2920" s="128" t="s">
        <v>2981</v>
      </c>
      <c r="D2920" s="129">
        <v>46196.912569444445</v>
      </c>
      <c r="E2920" s="130">
        <v>34.54</v>
      </c>
      <c r="F2920" s="136">
        <v>4.4999999999999998E-2</v>
      </c>
      <c r="G2920" s="126">
        <f t="shared" si="59"/>
        <v>36.167539267015705</v>
      </c>
      <c r="H2920" s="126" t="s">
        <v>2714</v>
      </c>
      <c r="I2920" s="127" t="s">
        <v>2715</v>
      </c>
      <c r="J2920" s="126"/>
      <c r="K2920" s="126">
        <v>100</v>
      </c>
      <c r="L2920" s="129">
        <f>INT(base[[#This Row],[Data de liquidação]])</f>
        <v>46196</v>
      </c>
      <c r="M2920" s="126">
        <f>base[[#This Row],[L/P Bruto]]-base[[#This Row],[L/P Líquido]]</f>
        <v>1.6275392670157061</v>
      </c>
      <c r="N2920" s="126">
        <f>base[[#This Row],[L/P Líquido]]/base[[#This Row],[Stake/Responsabilidade]]</f>
        <v>0.34539999999999998</v>
      </c>
      <c r="O2920" s="132">
        <f>IF(base[[#This Row],[L/P Líquido]]&gt;0,1,0)</f>
        <v>1</v>
      </c>
      <c r="P2920" s="132"/>
      <c r="Q2920" s="132" t="str">
        <f>LEFT(base[[#This Row],[Evento / Mercado]],FIND("vs",base[[#This Row],[Evento / Mercado]])-2)</f>
        <v>Panama</v>
      </c>
      <c r="R29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920" s="132" t="str">
        <f>LEFT(base[[#This Row],[Evento / Mercado]],FIND("/",base[[#This Row],[Evento / Mercado]])-2)</f>
        <v>Panama vs Croatia</v>
      </c>
    </row>
    <row r="2921" spans="2:21" ht="15" customHeight="1">
      <c r="B2921" s="128" t="s">
        <v>2976</v>
      </c>
      <c r="C2921" s="128" t="s">
        <v>2981</v>
      </c>
      <c r="D2921" s="129">
        <v>46196.912824074076</v>
      </c>
      <c r="E2921" s="130">
        <v>57.17</v>
      </c>
      <c r="F2921" s="136">
        <v>4.4999999999999998E-2</v>
      </c>
      <c r="G2921" s="126">
        <f t="shared" si="59"/>
        <v>59.863874345549739</v>
      </c>
      <c r="H2921" s="126" t="s">
        <v>145</v>
      </c>
      <c r="I2921" s="127" t="s">
        <v>2877</v>
      </c>
      <c r="J2921" s="126">
        <v>7.8</v>
      </c>
      <c r="K2921" s="126">
        <v>399.98</v>
      </c>
      <c r="L2921" s="129">
        <f>INT(base[[#This Row],[Data de liquidação]])</f>
        <v>46196</v>
      </c>
      <c r="M2921" s="126">
        <f>base[[#This Row],[L/P Bruto]]-base[[#This Row],[L/P Líquido]]</f>
        <v>2.6938743455497374</v>
      </c>
      <c r="N2921" s="126">
        <f>base[[#This Row],[L/P Líquido]]/base[[#This Row],[Stake/Responsabilidade]]</f>
        <v>0.14293214660733036</v>
      </c>
      <c r="O2921" s="132">
        <f>IF(base[[#This Row],[L/P Líquido]]&gt;0,1,0)</f>
        <v>1</v>
      </c>
      <c r="P2921" s="132" t="s">
        <v>2818</v>
      </c>
      <c r="Q2921" s="132" t="str">
        <f>LEFT(base[[#This Row],[Evento / Mercado]],FIND("vs",base[[#This Row],[Evento / Mercado]])-2)</f>
        <v>Panama</v>
      </c>
      <c r="R29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921" s="132" t="str">
        <f>LEFT(base[[#This Row],[Evento / Mercado]],FIND("/",base[[#This Row],[Evento / Mercado]])-2)</f>
        <v>Panama vs Croatia</v>
      </c>
    </row>
    <row r="2922" spans="2:21" ht="15" customHeight="1">
      <c r="B2922" s="128" t="s">
        <v>2976</v>
      </c>
      <c r="C2922" s="128" t="s">
        <v>2980</v>
      </c>
      <c r="D2922" s="129">
        <v>46196.912824074076</v>
      </c>
      <c r="E2922" s="130">
        <v>47.75</v>
      </c>
      <c r="F2922" s="136">
        <v>4.4999999999999998E-2</v>
      </c>
      <c r="G2922" s="126">
        <f t="shared" si="59"/>
        <v>50</v>
      </c>
      <c r="H2922" s="126" t="s">
        <v>2743</v>
      </c>
      <c r="I2922" s="127" t="s">
        <v>1233</v>
      </c>
      <c r="J2922" s="126">
        <v>5</v>
      </c>
      <c r="K2922" s="126">
        <v>200</v>
      </c>
      <c r="L2922" s="129">
        <f>INT(base[[#This Row],[Data de liquidação]])</f>
        <v>46196</v>
      </c>
      <c r="M2922" s="126">
        <f>base[[#This Row],[L/P Bruto]]-base[[#This Row],[L/P Líquido]]</f>
        <v>2.25</v>
      </c>
      <c r="N2922" s="126">
        <f>base[[#This Row],[L/P Líquido]]/base[[#This Row],[Stake/Responsabilidade]]</f>
        <v>0.23874999999999999</v>
      </c>
      <c r="O2922" s="132">
        <f>IF(base[[#This Row],[L/P Líquido]]&gt;0,1,0)</f>
        <v>1</v>
      </c>
      <c r="P2922" s="132"/>
      <c r="Q2922" s="132" t="str">
        <f>LEFT(base[[#This Row],[Evento / Mercado]],FIND("vs",base[[#This Row],[Evento / Mercado]])-2)</f>
        <v>Panama</v>
      </c>
      <c r="R29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922" s="132" t="str">
        <f>LEFT(base[[#This Row],[Evento / Mercado]],FIND("/",base[[#This Row],[Evento / Mercado]])-2)</f>
        <v>Panama vs Croatia</v>
      </c>
    </row>
    <row r="2923" spans="2:21" ht="15" customHeight="1">
      <c r="B2923" s="128" t="s">
        <v>2971</v>
      </c>
      <c r="C2923" s="128" t="s">
        <v>2980</v>
      </c>
      <c r="D2923" s="129">
        <v>46196.912824074076</v>
      </c>
      <c r="E2923" s="130">
        <v>-21.06</v>
      </c>
      <c r="F2923" s="136">
        <v>4.4999999999999998E-2</v>
      </c>
      <c r="G2923" s="126">
        <f t="shared" si="59"/>
        <v>-21.06</v>
      </c>
      <c r="H2923" s="126" t="s">
        <v>2743</v>
      </c>
      <c r="I2923" s="127" t="s">
        <v>2744</v>
      </c>
      <c r="J2923" s="126">
        <v>10.5</v>
      </c>
      <c r="K2923" s="126">
        <f>10.53*2</f>
        <v>21.06</v>
      </c>
      <c r="L2923" s="129">
        <f>INT(base[[#This Row],[Data de liquidação]])</f>
        <v>46196</v>
      </c>
      <c r="M2923" s="126">
        <f>base[[#This Row],[L/P Bruto]]-base[[#This Row],[L/P Líquido]]</f>
        <v>0</v>
      </c>
      <c r="N2923" s="126">
        <f>base[[#This Row],[L/P Líquido]]/base[[#This Row],[Stake/Responsabilidade]]</f>
        <v>-1</v>
      </c>
      <c r="O2923" s="132">
        <f>IF(base[[#This Row],[L/P Líquido]]&gt;0,1,0)</f>
        <v>0</v>
      </c>
      <c r="P2923" s="132"/>
      <c r="Q2923" s="132" t="str">
        <f>LEFT(base[[#This Row],[Evento / Mercado]],FIND("vs",base[[#This Row],[Evento / Mercado]])-2)</f>
        <v>Panama</v>
      </c>
      <c r="R29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923" s="132" t="str">
        <f>LEFT(base[[#This Row],[Evento / Mercado]],FIND("/",base[[#This Row],[Evento / Mercado]])-2)</f>
        <v>Panama vs Croatia</v>
      </c>
    </row>
    <row r="2924" spans="2:21" ht="15" customHeight="1">
      <c r="B2924" s="128" t="s">
        <v>2970</v>
      </c>
      <c r="C2924" s="128" t="s">
        <v>2982</v>
      </c>
      <c r="D2924" s="129">
        <v>46197.040196759262</v>
      </c>
      <c r="E2924" s="130">
        <v>-16.93</v>
      </c>
      <c r="F2924" s="136">
        <v>4.4999999999999998E-2</v>
      </c>
      <c r="G2924" s="126">
        <f t="shared" si="59"/>
        <v>-16.93</v>
      </c>
      <c r="H2924" s="126" t="s">
        <v>2821</v>
      </c>
      <c r="I2924" s="127" t="s">
        <v>476</v>
      </c>
      <c r="J2924" s="126">
        <v>18.5</v>
      </c>
      <c r="K2924" s="126">
        <v>799.93</v>
      </c>
      <c r="L2924" s="129">
        <f>INT(base[[#This Row],[Data de liquidação]])</f>
        <v>46197</v>
      </c>
      <c r="M2924" s="126">
        <f>base[[#This Row],[L/P Bruto]]-base[[#This Row],[L/P Líquido]]</f>
        <v>0</v>
      </c>
      <c r="N2924" s="126">
        <f>base[[#This Row],[L/P Líquido]]/base[[#This Row],[Stake/Responsabilidade]]</f>
        <v>-2.1164351880789571E-2</v>
      </c>
      <c r="O2924" s="132">
        <f>IF(base[[#This Row],[L/P Líquido]]&gt;0,1,0)</f>
        <v>0</v>
      </c>
      <c r="P2924" s="132"/>
      <c r="Q2924" s="132" t="str">
        <f>LEFT(base[[#This Row],[Evento / Mercado]],FIND("vs",base[[#This Row],[Evento / Mercado]])-2)</f>
        <v>Colombia</v>
      </c>
      <c r="R29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Congo DR</v>
      </c>
      <c r="S2924" s="132" t="str">
        <f>LEFT(base[[#This Row],[Evento / Mercado]],FIND("/",base[[#This Row],[Evento / Mercado]])-2)</f>
        <v>Colombia vs Congo DR</v>
      </c>
    </row>
    <row r="2925" spans="2:21" ht="15" customHeight="1">
      <c r="B2925" s="128" t="s">
        <v>2970</v>
      </c>
      <c r="C2925" s="128" t="s">
        <v>2981</v>
      </c>
      <c r="D2925" s="129">
        <v>46197.040196759262</v>
      </c>
      <c r="E2925" s="130">
        <v>18.19275</v>
      </c>
      <c r="F2925" s="136">
        <v>4.4999999999999998E-2</v>
      </c>
      <c r="G2925" s="126">
        <f t="shared" si="59"/>
        <v>19.05</v>
      </c>
      <c r="H2925" s="126" t="s">
        <v>122</v>
      </c>
      <c r="I2925" s="127" t="s">
        <v>75</v>
      </c>
      <c r="J2925" s="126">
        <v>11.5</v>
      </c>
      <c r="K2925" s="126">
        <v>200.03</v>
      </c>
      <c r="L2925" s="129">
        <f>INT(base[[#This Row],[Data de liquidação]])</f>
        <v>46197</v>
      </c>
      <c r="M2925" s="126">
        <f>base[[#This Row],[L/P Bruto]]-base[[#This Row],[L/P Líquido]]</f>
        <v>0.85725000000000051</v>
      </c>
      <c r="N2925" s="126">
        <f>base[[#This Row],[L/P Líquido]]/base[[#This Row],[Stake/Responsabilidade]]</f>
        <v>9.0950107483877413E-2</v>
      </c>
      <c r="O2925" s="132">
        <f>IF(base[[#This Row],[L/P Líquido]]&gt;0,1,0)</f>
        <v>1</v>
      </c>
      <c r="P2925" s="132" t="s">
        <v>2818</v>
      </c>
      <c r="Q2925" s="132" t="str">
        <f>LEFT(base[[#This Row],[Evento / Mercado]],FIND("vs",base[[#This Row],[Evento / Mercado]])-2)</f>
        <v>Colombia</v>
      </c>
      <c r="R29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Congo DR</v>
      </c>
      <c r="S2925" s="132" t="str">
        <f>LEFT(base[[#This Row],[Evento / Mercado]],FIND("/",base[[#This Row],[Evento / Mercado]])-2)</f>
        <v>Colombia vs Congo DR</v>
      </c>
      <c r="T2925" s="8">
        <v>19.05</v>
      </c>
      <c r="U2925" s="9">
        <f t="shared" ref="U2925" si="62">T2925*0.955</f>
        <v>18.19275</v>
      </c>
    </row>
    <row r="2926" spans="2:21" ht="15" customHeight="1">
      <c r="B2926" s="128" t="s">
        <v>2970</v>
      </c>
      <c r="C2926" s="128" t="s">
        <v>2981</v>
      </c>
      <c r="D2926" s="129">
        <v>46197.040196759262</v>
      </c>
      <c r="E2926" s="130">
        <v>29.957249999999998</v>
      </c>
      <c r="F2926" s="136">
        <v>4.4999999999999998E-2</v>
      </c>
      <c r="G2926" s="126">
        <f t="shared" si="59"/>
        <v>31.368848167539266</v>
      </c>
      <c r="H2926" s="126" t="s">
        <v>2714</v>
      </c>
      <c r="I2926" s="127" t="s">
        <v>2715</v>
      </c>
      <c r="J2926" s="126"/>
      <c r="K2926" s="126">
        <v>100</v>
      </c>
      <c r="L2926" s="129">
        <f>INT(base[[#This Row],[Data de liquidação]])</f>
        <v>46197</v>
      </c>
      <c r="M2926" s="126">
        <f>base[[#This Row],[L/P Bruto]]-base[[#This Row],[L/P Líquido]]</f>
        <v>1.4115981675392675</v>
      </c>
      <c r="N2926" s="126">
        <f>base[[#This Row],[L/P Líquido]]/base[[#This Row],[Stake/Responsabilidade]]</f>
        <v>0.29957249999999996</v>
      </c>
      <c r="O2926" s="132">
        <f>IF(base[[#This Row],[L/P Líquido]]&gt;0,1,0)</f>
        <v>1</v>
      </c>
      <c r="P2926" s="132"/>
      <c r="Q2926" s="132" t="str">
        <f>LEFT(base[[#This Row],[Evento / Mercado]],FIND("vs",base[[#This Row],[Evento / Mercado]])-2)</f>
        <v>Colombia</v>
      </c>
      <c r="R29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Congo DR</v>
      </c>
      <c r="S2926" s="132" t="str">
        <f>LEFT(base[[#This Row],[Evento / Mercado]],FIND("/",base[[#This Row],[Evento / Mercado]])-2)</f>
        <v>Colombia vs Congo DR</v>
      </c>
    </row>
    <row r="2927" spans="2:21" ht="15" customHeight="1">
      <c r="B2927" s="128" t="s">
        <v>2975</v>
      </c>
      <c r="C2927" s="128" t="s">
        <v>2981</v>
      </c>
      <c r="D2927" s="129">
        <v>46197.04042824074</v>
      </c>
      <c r="E2927" s="130">
        <v>58.91</v>
      </c>
      <c r="F2927" s="136">
        <v>4.4999999999999998E-2</v>
      </c>
      <c r="G2927" s="126">
        <f t="shared" si="59"/>
        <v>61.68586387434555</v>
      </c>
      <c r="H2927" s="126" t="s">
        <v>145</v>
      </c>
      <c r="I2927" s="127" t="s">
        <v>2877</v>
      </c>
      <c r="J2927" s="126">
        <v>7.6</v>
      </c>
      <c r="K2927" s="126">
        <v>400.03</v>
      </c>
      <c r="L2927" s="129">
        <f>INT(base[[#This Row],[Data de liquidação]])</f>
        <v>46197</v>
      </c>
      <c r="M2927" s="126">
        <f>base[[#This Row],[L/P Bruto]]-base[[#This Row],[L/P Líquido]]</f>
        <v>2.7758638743455535</v>
      </c>
      <c r="N2927" s="126">
        <f>base[[#This Row],[L/P Líquido]]/base[[#This Row],[Stake/Responsabilidade]]</f>
        <v>0.14726395520335975</v>
      </c>
      <c r="O2927" s="132">
        <f>IF(base[[#This Row],[L/P Líquido]]&gt;0,1,0)</f>
        <v>1</v>
      </c>
      <c r="P2927" s="132" t="s">
        <v>2818</v>
      </c>
      <c r="Q2927" s="132" t="str">
        <f>LEFT(base[[#This Row],[Evento / Mercado]],FIND("vs",base[[#This Row],[Evento / Mercado]])-2)</f>
        <v>Colombia</v>
      </c>
      <c r="R29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Congo DR</v>
      </c>
      <c r="S2927" s="132" t="str">
        <f>LEFT(base[[#This Row],[Evento / Mercado]],FIND("/",base[[#This Row],[Evento / Mercado]])-2)</f>
        <v>Colombia vs Congo DR</v>
      </c>
    </row>
    <row r="2928" spans="2:21" ht="15" customHeight="1">
      <c r="B2928" s="128" t="s">
        <v>2990</v>
      </c>
      <c r="C2928" s="128" t="s">
        <v>2980</v>
      </c>
      <c r="D2928" s="129">
        <v>46197.584513888891</v>
      </c>
      <c r="E2928" s="130">
        <v>32.659999999999997</v>
      </c>
      <c r="F2928" s="136">
        <v>4.4999999999999998E-2</v>
      </c>
      <c r="G2928" s="126">
        <f t="shared" si="59"/>
        <v>34.198952879581149</v>
      </c>
      <c r="H2928" s="126" t="s">
        <v>2743</v>
      </c>
      <c r="I2928" s="127" t="s">
        <v>1233</v>
      </c>
      <c r="J2928" s="126">
        <v>5.4</v>
      </c>
      <c r="K2928" s="126">
        <v>199.98</v>
      </c>
      <c r="L2928" s="129">
        <f>INT(base[[#This Row],[Data de liquidação]])</f>
        <v>46197</v>
      </c>
      <c r="M2928" s="126">
        <f>base[[#This Row],[L/P Bruto]]-base[[#This Row],[L/P Líquido]]</f>
        <v>1.5389528795811529</v>
      </c>
      <c r="N2928" s="126">
        <f>base[[#This Row],[L/P Líquido]]/base[[#This Row],[Stake/Responsabilidade]]</f>
        <v>0.16331633163316331</v>
      </c>
      <c r="O2928" s="132">
        <f>IF(base[[#This Row],[L/P Líquido]]&gt;0,1,0)</f>
        <v>1</v>
      </c>
      <c r="P2928" s="132"/>
      <c r="Q2928" s="132" t="str">
        <f>LEFT(base[[#This Row],[Evento / Mercado]],FIND("vs",base[[#This Row],[Evento / Mercado]])-2)</f>
        <v>Bosnia-Herzegovina</v>
      </c>
      <c r="R29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Qatar</v>
      </c>
      <c r="S2928" s="132" t="str">
        <f>LEFT(base[[#This Row],[Evento / Mercado]],FIND("/",base[[#This Row],[Evento / Mercado]])-2)</f>
        <v>Bosnia-Herzegovina vs Qatar</v>
      </c>
    </row>
    <row r="2929" spans="2:19" ht="15" customHeight="1">
      <c r="B2929" s="128" t="s">
        <v>2991</v>
      </c>
      <c r="C2929" s="128" t="s">
        <v>2980</v>
      </c>
      <c r="D2929" s="129">
        <v>46197.584513888891</v>
      </c>
      <c r="E2929" s="130">
        <v>-20</v>
      </c>
      <c r="F2929" s="136">
        <v>4.4999999999999998E-2</v>
      </c>
      <c r="G2929" s="126">
        <f t="shared" si="59"/>
        <v>-20</v>
      </c>
      <c r="H2929" s="126" t="s">
        <v>2743</v>
      </c>
      <c r="I2929" s="127" t="s">
        <v>2744</v>
      </c>
      <c r="J2929" s="126">
        <v>11</v>
      </c>
      <c r="K2929" s="126">
        <v>20</v>
      </c>
      <c r="L2929" s="129">
        <f>INT(base[[#This Row],[Data de liquidação]])</f>
        <v>46197</v>
      </c>
      <c r="M2929" s="126">
        <f>base[[#This Row],[L/P Bruto]]-base[[#This Row],[L/P Líquido]]</f>
        <v>0</v>
      </c>
      <c r="N2929" s="126">
        <f>base[[#This Row],[L/P Líquido]]/base[[#This Row],[Stake/Responsabilidade]]</f>
        <v>-1</v>
      </c>
      <c r="O2929" s="132">
        <f>IF(base[[#This Row],[L/P Líquido]]&gt;0,1,0)</f>
        <v>0</v>
      </c>
      <c r="P2929" s="132"/>
      <c r="Q2929" s="132" t="str">
        <f>LEFT(base[[#This Row],[Evento / Mercado]],FIND("vs",base[[#This Row],[Evento / Mercado]])-2)</f>
        <v>Bosnia-Herzegovina</v>
      </c>
      <c r="R29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Qatar</v>
      </c>
      <c r="S2929" s="132" t="str">
        <f>LEFT(base[[#This Row],[Evento / Mercado]],FIND("/",base[[#This Row],[Evento / Mercado]])-2)</f>
        <v>Bosnia-Herzegovina vs Qatar</v>
      </c>
    </row>
    <row r="2930" spans="2:19" ht="15" customHeight="1">
      <c r="B2930" s="128" t="s">
        <v>2986</v>
      </c>
      <c r="C2930" s="128" t="s">
        <v>2982</v>
      </c>
      <c r="D2930" s="129">
        <v>46197.750625000001</v>
      </c>
      <c r="E2930" s="130">
        <v>51.62</v>
      </c>
      <c r="F2930" s="136">
        <v>4.4999999999999998E-2</v>
      </c>
      <c r="G2930" s="126">
        <f t="shared" si="59"/>
        <v>54.052356020942405</v>
      </c>
      <c r="H2930" s="126" t="s">
        <v>2895</v>
      </c>
      <c r="I2930" s="127" t="s">
        <v>2896</v>
      </c>
      <c r="J2930" s="126">
        <v>8.4</v>
      </c>
      <c r="K2930" s="126">
        <v>399.97</v>
      </c>
      <c r="L2930" s="129">
        <f>INT(base[[#This Row],[Data de liquidação]])</f>
        <v>46197</v>
      </c>
      <c r="M2930" s="126">
        <f>base[[#This Row],[L/P Bruto]]-base[[#This Row],[L/P Líquido]]</f>
        <v>2.4323560209424073</v>
      </c>
      <c r="N2930" s="126">
        <f>base[[#This Row],[L/P Líquido]]/base[[#This Row],[Stake/Responsabilidade]]</f>
        <v>0.12905967947596067</v>
      </c>
      <c r="O2930" s="132">
        <f>IF(base[[#This Row],[L/P Líquido]]&gt;0,1,0)</f>
        <v>1</v>
      </c>
      <c r="P2930" s="132"/>
      <c r="Q2930" s="132" t="e">
        <f>LEFT(base[[#This Row],[Evento / Mercado]],FIND("vs",base[[#This Row],[Evento / Mercado]])-2)</f>
        <v>#VALUE!</v>
      </c>
      <c r="R2930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930" s="132" t="str">
        <f>LEFT(base[[#This Row],[Evento / Mercado]],FIND("/",base[[#This Row],[Evento / Mercado]])-2)</f>
        <v>FIFA World Cup - Group B Winner</v>
      </c>
    </row>
    <row r="2931" spans="2:19" ht="15" customHeight="1">
      <c r="B2931" s="128" t="s">
        <v>2988</v>
      </c>
      <c r="C2931" s="128" t="s">
        <v>2981</v>
      </c>
      <c r="D2931" s="129">
        <v>46197.87604166667</v>
      </c>
      <c r="E2931" s="130">
        <v>18.52</v>
      </c>
      <c r="F2931" s="136">
        <v>4.4999999999999998E-2</v>
      </c>
      <c r="G2931" s="126">
        <f t="shared" si="59"/>
        <v>19.392670157068064</v>
      </c>
      <c r="H2931" s="126" t="s">
        <v>145</v>
      </c>
      <c r="I2931" s="127" t="s">
        <v>2877</v>
      </c>
      <c r="J2931" s="126">
        <v>22</v>
      </c>
      <c r="K2931" s="126">
        <v>400.05</v>
      </c>
      <c r="L2931" s="129">
        <f>INT(base[[#This Row],[Data de liquidação]])</f>
        <v>46197</v>
      </c>
      <c r="M2931" s="126">
        <f>base[[#This Row],[L/P Bruto]]-base[[#This Row],[L/P Líquido]]</f>
        <v>0.87267015706806461</v>
      </c>
      <c r="N2931" s="126">
        <f>base[[#This Row],[L/P Líquido]]/base[[#This Row],[Stake/Responsabilidade]]</f>
        <v>4.6294213223347078E-2</v>
      </c>
      <c r="O2931" s="132">
        <f>IF(base[[#This Row],[L/P Líquido]]&gt;0,1,0)</f>
        <v>1</v>
      </c>
      <c r="P2931" s="132" t="s">
        <v>2818</v>
      </c>
      <c r="Q2931" s="132" t="str">
        <f>LEFT(base[[#This Row],[Evento / Mercado]],FIND("vs",base[[#This Row],[Evento / Mercado]])-2)</f>
        <v>Morocco</v>
      </c>
      <c r="R29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Haiti</v>
      </c>
      <c r="S2931" s="132" t="str">
        <f>LEFT(base[[#This Row],[Evento / Mercado]],FIND("/",base[[#This Row],[Evento / Mercado]])-2)</f>
        <v>Morocco vs Haiti</v>
      </c>
    </row>
    <row r="2932" spans="2:19" ht="15" customHeight="1">
      <c r="B2932" s="128" t="s">
        <v>2985</v>
      </c>
      <c r="C2932" s="128" t="s">
        <v>2982</v>
      </c>
      <c r="D2932" s="129">
        <v>46197.876180555555</v>
      </c>
      <c r="E2932" s="130">
        <v>28.3</v>
      </c>
      <c r="F2932" s="136">
        <v>4.4999999999999998E-2</v>
      </c>
      <c r="G2932" s="126">
        <f t="shared" si="59"/>
        <v>29.633507853403142</v>
      </c>
      <c r="H2932" s="126" t="s">
        <v>2821</v>
      </c>
      <c r="I2932" s="127" t="s">
        <v>542</v>
      </c>
      <c r="J2932" s="126">
        <v>28</v>
      </c>
      <c r="K2932" s="126">
        <v>800.01</v>
      </c>
      <c r="L2932" s="129">
        <f>INT(base[[#This Row],[Data de liquidação]])</f>
        <v>46197</v>
      </c>
      <c r="M2932" s="126">
        <f>base[[#This Row],[L/P Bruto]]-base[[#This Row],[L/P Líquido]]</f>
        <v>1.333507853403141</v>
      </c>
      <c r="N2932" s="126">
        <f>base[[#This Row],[L/P Líquido]]/base[[#This Row],[Stake/Responsabilidade]]</f>
        <v>3.5374557818027279E-2</v>
      </c>
      <c r="O2932" s="132">
        <f>IF(base[[#This Row],[L/P Líquido]]&gt;0,1,0)</f>
        <v>1</v>
      </c>
      <c r="P2932" s="132"/>
      <c r="Q2932" s="132" t="str">
        <f>LEFT(base[[#This Row],[Evento / Mercado]],FIND("vs",base[[#This Row],[Evento / Mercado]])-2)</f>
        <v>Scotland</v>
      </c>
      <c r="R29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Brazil</v>
      </c>
      <c r="S2932" s="132" t="str">
        <f>LEFT(base[[#This Row],[Evento / Mercado]],FIND("/",base[[#This Row],[Evento / Mercado]])-2)</f>
        <v>Scotland vs Brazil</v>
      </c>
    </row>
    <row r="2933" spans="2:19" ht="15" customHeight="1">
      <c r="B2933" s="128" t="s">
        <v>2987</v>
      </c>
      <c r="C2933" s="128" t="s">
        <v>2981</v>
      </c>
      <c r="D2933" s="129">
        <v>46197.876435185186</v>
      </c>
      <c r="E2933" s="130">
        <v>37.03</v>
      </c>
      <c r="F2933" s="136">
        <v>4.4999999999999998E-2</v>
      </c>
      <c r="G2933" s="126">
        <f t="shared" si="59"/>
        <v>38.774869109947645</v>
      </c>
      <c r="H2933" s="126" t="s">
        <v>145</v>
      </c>
      <c r="I2933" s="127" t="s">
        <v>2877</v>
      </c>
      <c r="J2933" s="126">
        <v>11.5</v>
      </c>
      <c r="K2933" s="126">
        <v>400.05</v>
      </c>
      <c r="L2933" s="129">
        <f>INT(base[[#This Row],[Data de liquidação]])</f>
        <v>46197</v>
      </c>
      <c r="M2933" s="126">
        <f>base[[#This Row],[L/P Bruto]]-base[[#This Row],[L/P Líquido]]</f>
        <v>1.7448691099476434</v>
      </c>
      <c r="N2933" s="126">
        <f>base[[#This Row],[L/P Líquido]]/base[[#This Row],[Stake/Responsabilidade]]</f>
        <v>9.256342957130359E-2</v>
      </c>
      <c r="O2933" s="132">
        <f>IF(base[[#This Row],[L/P Líquido]]&gt;0,1,0)</f>
        <v>1</v>
      </c>
      <c r="P2933" s="132" t="s">
        <v>2818</v>
      </c>
      <c r="Q2933" s="132" t="str">
        <f>LEFT(base[[#This Row],[Evento / Mercado]],FIND("vs",base[[#This Row],[Evento / Mercado]])-2)</f>
        <v>Scotland</v>
      </c>
      <c r="R29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Brazil</v>
      </c>
      <c r="S2933" s="132" t="str">
        <f>LEFT(base[[#This Row],[Evento / Mercado]],FIND("/",base[[#This Row],[Evento / Mercado]])-2)</f>
        <v>Scotland vs Brazil</v>
      </c>
    </row>
    <row r="2934" spans="2:19" ht="15" customHeight="1">
      <c r="B2934" s="128" t="s">
        <v>2984</v>
      </c>
      <c r="C2934" s="128" t="s">
        <v>2982</v>
      </c>
      <c r="D2934" s="129">
        <v>46197.878599537034</v>
      </c>
      <c r="E2934" s="130">
        <v>33.21</v>
      </c>
      <c r="F2934" s="136">
        <v>4.4999999999999998E-2</v>
      </c>
      <c r="G2934" s="126">
        <f t="shared" si="59"/>
        <v>34.774869109947645</v>
      </c>
      <c r="H2934" s="126" t="s">
        <v>2895</v>
      </c>
      <c r="I2934" s="127" t="s">
        <v>2896</v>
      </c>
      <c r="J2934" s="126">
        <v>12.5</v>
      </c>
      <c r="K2934" s="126">
        <v>399.97</v>
      </c>
      <c r="L2934" s="129">
        <f>INT(base[[#This Row],[Data de liquidação]])</f>
        <v>46197</v>
      </c>
      <c r="M2934" s="126">
        <f>base[[#This Row],[L/P Bruto]]-base[[#This Row],[L/P Líquido]]</f>
        <v>1.5648691099476437</v>
      </c>
      <c r="N2934" s="126">
        <f>base[[#This Row],[L/P Líquido]]/base[[#This Row],[Stake/Responsabilidade]]</f>
        <v>8.3031227342050651E-2</v>
      </c>
      <c r="O2934" s="132">
        <f>IF(base[[#This Row],[L/P Líquido]]&gt;0,1,0)</f>
        <v>1</v>
      </c>
      <c r="P2934" s="132"/>
      <c r="Q2934" s="132" t="e">
        <f>LEFT(base[[#This Row],[Evento / Mercado]],FIND("vs",base[[#This Row],[Evento / Mercado]])-2)</f>
        <v>#VALUE!</v>
      </c>
      <c r="R2934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934" s="132" t="str">
        <f>LEFT(base[[#This Row],[Evento / Mercado]],FIND("/",base[[#This Row],[Evento / Mercado]])-2)</f>
        <v>FIFA World Cup - Group C Winner</v>
      </c>
    </row>
    <row r="2935" spans="2:19" ht="15" customHeight="1">
      <c r="B2935" s="128" t="s">
        <v>2983</v>
      </c>
      <c r="C2935" s="128" t="s">
        <v>2982</v>
      </c>
      <c r="D2935" s="129">
        <v>46197.998402777775</v>
      </c>
      <c r="E2935" s="130">
        <v>-147.78</v>
      </c>
      <c r="F2935" s="136">
        <v>4.4999999999999998E-2</v>
      </c>
      <c r="G2935" s="126">
        <f t="shared" si="59"/>
        <v>-147.78</v>
      </c>
      <c r="H2935" s="126" t="s">
        <v>2817</v>
      </c>
      <c r="I2935" s="127" t="s">
        <v>2992</v>
      </c>
      <c r="J2935" s="126">
        <f>(5.9*75.02+1.65*72.76)/base[[#This Row],[Stake/Responsabilidade]]</f>
        <v>3.8074976316145621</v>
      </c>
      <c r="K2935" s="126">
        <f>75.02+72.76</f>
        <v>147.78</v>
      </c>
      <c r="L2935" s="129">
        <f>INT(base[[#This Row],[Data de liquidação]])</f>
        <v>46197</v>
      </c>
      <c r="M2935" s="126">
        <f>base[[#This Row],[L/P Bruto]]-base[[#This Row],[L/P Líquido]]</f>
        <v>0</v>
      </c>
      <c r="N2935" s="126">
        <f>base[[#This Row],[L/P Líquido]]/base[[#This Row],[Stake/Responsabilidade]]</f>
        <v>-1</v>
      </c>
      <c r="O2935" s="132">
        <f>IF(base[[#This Row],[L/P Líquido]]&gt;0,1,0)</f>
        <v>0</v>
      </c>
      <c r="P2935" s="132"/>
      <c r="Q2935" s="132" t="str">
        <f>LEFT(base[[#This Row],[Evento / Mercado]],FIND("vs",base[[#This Row],[Evento / Mercado]])-2)</f>
        <v>South Africa</v>
      </c>
      <c r="R29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Korea</v>
      </c>
      <c r="S2935" s="132" t="str">
        <f>LEFT(base[[#This Row],[Evento / Mercado]],FIND("/",base[[#This Row],[Evento / Mercado]])-2)</f>
        <v>South Africa vs South Korea</v>
      </c>
    </row>
    <row r="2936" spans="2:19" ht="15" customHeight="1">
      <c r="B2936" s="128" t="s">
        <v>2983</v>
      </c>
      <c r="C2936" s="128" t="s">
        <v>2980</v>
      </c>
      <c r="D2936" s="129">
        <v>46197.998402777775</v>
      </c>
      <c r="E2936" s="130">
        <v>67.02</v>
      </c>
      <c r="F2936" s="136">
        <v>4.4999999999999998E-2</v>
      </c>
      <c r="G2936" s="126">
        <f t="shared" si="59"/>
        <v>70.178010471204189</v>
      </c>
      <c r="H2936" s="126" t="s">
        <v>2743</v>
      </c>
      <c r="I2936" s="127" t="s">
        <v>2744</v>
      </c>
      <c r="J2936" s="126">
        <v>7.6</v>
      </c>
      <c r="K2936" s="126">
        <v>30.3</v>
      </c>
      <c r="L2936" s="129">
        <f>INT(base[[#This Row],[Data de liquidação]])</f>
        <v>46197</v>
      </c>
      <c r="M2936" s="126">
        <f>base[[#This Row],[L/P Bruto]]-base[[#This Row],[L/P Líquido]]</f>
        <v>3.158010471204193</v>
      </c>
      <c r="N2936" s="126">
        <f>base[[#This Row],[L/P Líquido]]/base[[#This Row],[Stake/Responsabilidade]]</f>
        <v>2.2118811881188116</v>
      </c>
      <c r="O2936" s="132">
        <f>IF(base[[#This Row],[L/P Líquido]]&gt;0,1,0)</f>
        <v>1</v>
      </c>
      <c r="P2936" s="132"/>
      <c r="Q2936" s="132" t="str">
        <f>LEFT(base[[#This Row],[Evento / Mercado]],FIND("vs",base[[#This Row],[Evento / Mercado]])-2)</f>
        <v>South Africa</v>
      </c>
      <c r="R29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Korea</v>
      </c>
      <c r="S2936" s="132" t="str">
        <f>LEFT(base[[#This Row],[Evento / Mercado]],FIND("/",base[[#This Row],[Evento / Mercado]])-2)</f>
        <v>South Africa vs South Korea</v>
      </c>
    </row>
    <row r="2937" spans="2:19" ht="15" customHeight="1">
      <c r="B2937" s="128" t="s">
        <v>2989</v>
      </c>
      <c r="C2937" s="128" t="s">
        <v>2980</v>
      </c>
      <c r="D2937" s="129">
        <v>46197.998402777775</v>
      </c>
      <c r="E2937" s="130">
        <v>-30.3</v>
      </c>
      <c r="F2937" s="136">
        <v>4.4999999999999998E-2</v>
      </c>
      <c r="G2937" s="126">
        <f t="shared" si="59"/>
        <v>-30.3</v>
      </c>
      <c r="H2937" s="126" t="s">
        <v>2743</v>
      </c>
      <c r="I2937" s="127" t="s">
        <v>1233</v>
      </c>
      <c r="J2937" s="126">
        <v>3.8</v>
      </c>
      <c r="K2937" s="126">
        <v>196.5</v>
      </c>
      <c r="L2937" s="129">
        <f>INT(base[[#This Row],[Data de liquidação]])</f>
        <v>46197</v>
      </c>
      <c r="M2937" s="126">
        <f>base[[#This Row],[L/P Bruto]]-base[[#This Row],[L/P Líquido]]</f>
        <v>0</v>
      </c>
      <c r="N2937" s="126">
        <f>base[[#This Row],[L/P Líquido]]/base[[#This Row],[Stake/Responsabilidade]]</f>
        <v>-0.15419847328244274</v>
      </c>
      <c r="O2937" s="132">
        <f>IF(base[[#This Row],[L/P Líquido]]&gt;0,1,0)</f>
        <v>0</v>
      </c>
      <c r="P2937" s="132"/>
      <c r="Q2937" s="132" t="str">
        <f>LEFT(base[[#This Row],[Evento / Mercado]],FIND("vs",base[[#This Row],[Evento / Mercado]])-2)</f>
        <v>South Africa</v>
      </c>
      <c r="R29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Korea</v>
      </c>
      <c r="S2937" s="132" t="str">
        <f>LEFT(base[[#This Row],[Evento / Mercado]],FIND("/",base[[#This Row],[Evento / Mercado]])-2)</f>
        <v>South Africa vs South Korea</v>
      </c>
    </row>
    <row r="2938" spans="2:19" ht="15" customHeight="1">
      <c r="B2938" s="128" t="s">
        <v>3003</v>
      </c>
      <c r="C2938" s="128" t="s">
        <v>2982</v>
      </c>
      <c r="D2938" s="129">
        <v>46198.578657407408</v>
      </c>
      <c r="E2938" s="130">
        <v>-120</v>
      </c>
      <c r="F2938" s="136">
        <v>4.4999999999999998E-2</v>
      </c>
      <c r="G2938" s="126">
        <f t="shared" si="59"/>
        <v>-120</v>
      </c>
      <c r="H2938" s="126" t="s">
        <v>2693</v>
      </c>
      <c r="I2938" s="127" t="s">
        <v>379</v>
      </c>
      <c r="J2938" s="126">
        <v>4</v>
      </c>
      <c r="K2938" s="126">
        <v>40</v>
      </c>
      <c r="L2938" s="129">
        <f>INT(base[[#This Row],[Data de liquidação]])</f>
        <v>46198</v>
      </c>
      <c r="M2938" s="126">
        <f>base[[#This Row],[L/P Bruto]]-base[[#This Row],[L/P Líquido]]</f>
        <v>0</v>
      </c>
      <c r="N2938" s="126">
        <f>base[[#This Row],[L/P Líquido]]/base[[#This Row],[Stake/Responsabilidade]]</f>
        <v>-3</v>
      </c>
      <c r="O2938" s="132">
        <f>IF(base[[#This Row],[L/P Líquido]]&gt;0,1,0)</f>
        <v>0</v>
      </c>
      <c r="P2938" s="132"/>
      <c r="Q2938" s="132" t="str">
        <f>LEFT(base[[#This Row],[Evento / Mercado]],FIND("vs",base[[#This Row],[Evento / Mercado]])-2)</f>
        <v>BFC Daugavpils</v>
      </c>
      <c r="R29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Riga FC</v>
      </c>
      <c r="S2938" s="132" t="str">
        <f>LEFT(base[[#This Row],[Evento / Mercado]],FIND("/",base[[#This Row],[Evento / Mercado]])-2)</f>
        <v>BFC Daugavpils vs Riga FC</v>
      </c>
    </row>
    <row r="2939" spans="2:19" ht="15" customHeight="1">
      <c r="B2939" s="128" t="s">
        <v>3002</v>
      </c>
      <c r="C2939" s="128" t="s">
        <v>2982</v>
      </c>
      <c r="D2939" s="129">
        <v>46198.777384259258</v>
      </c>
      <c r="E2939" s="130">
        <v>46.33</v>
      </c>
      <c r="F2939" s="136">
        <v>4.4999999999999998E-2</v>
      </c>
      <c r="G2939" s="126">
        <f t="shared" si="59"/>
        <v>48.513089005235599</v>
      </c>
      <c r="H2939" s="126" t="s">
        <v>3004</v>
      </c>
      <c r="I2939" s="127" t="s">
        <v>232</v>
      </c>
      <c r="J2939" s="126">
        <v>1.65</v>
      </c>
      <c r="K2939" s="126">
        <v>50</v>
      </c>
      <c r="L2939" s="129">
        <f>INT(base[[#This Row],[Data de liquidação]])</f>
        <v>46198</v>
      </c>
      <c r="M2939" s="126">
        <f>base[[#This Row],[L/P Bruto]]-base[[#This Row],[L/P Líquido]]</f>
        <v>2.1830890052356011</v>
      </c>
      <c r="N2939" s="126">
        <f>base[[#This Row],[L/P Líquido]]/base[[#This Row],[Stake/Responsabilidade]]</f>
        <v>0.92659999999999998</v>
      </c>
      <c r="O2939" s="132">
        <f>IF(base[[#This Row],[L/P Líquido]]&gt;0,1,0)</f>
        <v>1</v>
      </c>
      <c r="P2939" s="132"/>
      <c r="Q2939" s="132" t="str">
        <f>LEFT(base[[#This Row],[Evento / Mercado]],FIND("vs",base[[#This Row],[Evento / Mercado]])-2)</f>
        <v>Ecuador</v>
      </c>
      <c r="R29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Germany</v>
      </c>
      <c r="S2939" s="132" t="str">
        <f>LEFT(base[[#This Row],[Evento / Mercado]],FIND("/",base[[#This Row],[Evento / Mercado]])-2)</f>
        <v>Ecuador vs Germany</v>
      </c>
    </row>
    <row r="2940" spans="2:19" ht="15" customHeight="1">
      <c r="B2940" s="128" t="s">
        <v>3001</v>
      </c>
      <c r="C2940" s="128" t="s">
        <v>2982</v>
      </c>
      <c r="D2940" s="129">
        <v>46198.790162037039</v>
      </c>
      <c r="E2940" s="130">
        <v>20.100000000000001</v>
      </c>
      <c r="F2940" s="136">
        <v>4.4999999999999998E-2</v>
      </c>
      <c r="G2940" s="126">
        <f t="shared" si="59"/>
        <v>21.04712041884817</v>
      </c>
      <c r="H2940" s="126" t="s">
        <v>2821</v>
      </c>
      <c r="I2940" s="127" t="s">
        <v>542</v>
      </c>
      <c r="J2940" s="126">
        <v>19.5</v>
      </c>
      <c r="K2940" s="126">
        <v>389.43</v>
      </c>
      <c r="L2940" s="129">
        <f>INT(base[[#This Row],[Data de liquidação]])</f>
        <v>46198</v>
      </c>
      <c r="M2940" s="126">
        <f>base[[#This Row],[L/P Bruto]]-base[[#This Row],[L/P Líquido]]</f>
        <v>0.94712041884816855</v>
      </c>
      <c r="N2940" s="126">
        <f>base[[#This Row],[L/P Líquido]]/base[[#This Row],[Stake/Responsabilidade]]</f>
        <v>5.1613897234419538E-2</v>
      </c>
      <c r="O2940" s="132">
        <f>IF(base[[#This Row],[L/P Líquido]]&gt;0,1,0)</f>
        <v>1</v>
      </c>
      <c r="P2940" s="132"/>
      <c r="Q2940" s="132" t="str">
        <f>LEFT(base[[#This Row],[Evento / Mercado]],FIND("vs",base[[#This Row],[Evento / Mercado]])-2)</f>
        <v>Ecuador</v>
      </c>
      <c r="R29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Germany</v>
      </c>
      <c r="S2940" s="132" t="str">
        <f>LEFT(base[[#This Row],[Evento / Mercado]],FIND("/",base[[#This Row],[Evento / Mercado]])-2)</f>
        <v>Ecuador vs Germany</v>
      </c>
    </row>
    <row r="2941" spans="2:19" ht="15" customHeight="1">
      <c r="B2941" s="128" t="s">
        <v>3000</v>
      </c>
      <c r="C2941" s="128" t="s">
        <v>2982</v>
      </c>
      <c r="D2941" s="129">
        <v>46198.887106481481</v>
      </c>
      <c r="E2941" s="130">
        <v>38.200000000000003</v>
      </c>
      <c r="F2941" s="136">
        <v>4.4999999999999998E-2</v>
      </c>
      <c r="G2941" s="126">
        <f t="shared" si="59"/>
        <v>40.000000000000007</v>
      </c>
      <c r="H2941" s="126" t="s">
        <v>2693</v>
      </c>
      <c r="I2941" s="127" t="s">
        <v>379</v>
      </c>
      <c r="J2941" s="126">
        <v>3.6</v>
      </c>
      <c r="K2941" s="126">
        <v>40</v>
      </c>
      <c r="L2941" s="129">
        <f>INT(base[[#This Row],[Data de liquidação]])</f>
        <v>46198</v>
      </c>
      <c r="M2941" s="126">
        <f>base[[#This Row],[L/P Bruto]]-base[[#This Row],[L/P Líquido]]</f>
        <v>1.8000000000000043</v>
      </c>
      <c r="N2941" s="126">
        <f>base[[#This Row],[L/P Líquido]]/base[[#This Row],[Stake/Responsabilidade]]</f>
        <v>0.95500000000000007</v>
      </c>
      <c r="O2941" s="132">
        <f>IF(base[[#This Row],[L/P Líquido]]&gt;0,1,0)</f>
        <v>1</v>
      </c>
      <c r="P2941" s="132"/>
      <c r="Q2941" s="132" t="str">
        <f>LEFT(base[[#This Row],[Evento / Mercado]],FIND("vs",base[[#This Row],[Evento / Mercado]])-2)</f>
        <v>Japan</v>
      </c>
      <c r="R29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Sweden</v>
      </c>
      <c r="S2941" s="132" t="str">
        <f>LEFT(base[[#This Row],[Evento / Mercado]],FIND("/",base[[#This Row],[Evento / Mercado]])-2)</f>
        <v>Japan vs Sweden</v>
      </c>
    </row>
    <row r="2942" spans="2:19" ht="15" customHeight="1">
      <c r="B2942" s="128" t="s">
        <v>2999</v>
      </c>
      <c r="C2942" s="128" t="s">
        <v>2982</v>
      </c>
      <c r="D2942" s="129">
        <v>46198.915312500001</v>
      </c>
      <c r="E2942" s="130">
        <v>29.79</v>
      </c>
      <c r="F2942" s="136">
        <v>4.4999999999999998E-2</v>
      </c>
      <c r="G2942" s="126">
        <f t="shared" si="59"/>
        <v>31.193717277486911</v>
      </c>
      <c r="H2942" s="126" t="s">
        <v>2821</v>
      </c>
      <c r="I2942" s="127" t="s">
        <v>476</v>
      </c>
      <c r="J2942" s="126">
        <v>14.5</v>
      </c>
      <c r="K2942" s="126">
        <v>421.07</v>
      </c>
      <c r="L2942" s="129">
        <f>INT(base[[#This Row],[Data de liquidação]])</f>
        <v>46198</v>
      </c>
      <c r="M2942" s="126">
        <f>base[[#This Row],[L/P Bruto]]-base[[#This Row],[L/P Líquido]]</f>
        <v>1.403717277486912</v>
      </c>
      <c r="N2942" s="126">
        <f>base[[#This Row],[L/P Líquido]]/base[[#This Row],[Stake/Responsabilidade]]</f>
        <v>7.0748331631320202E-2</v>
      </c>
      <c r="O2942" s="132">
        <f>IF(base[[#This Row],[L/P Líquido]]&gt;0,1,0)</f>
        <v>1</v>
      </c>
      <c r="P2942" s="132"/>
      <c r="Q2942" s="132" t="str">
        <f>LEFT(base[[#This Row],[Evento / Mercado]],FIND("vs",base[[#This Row],[Evento / Mercado]])-2)</f>
        <v>Japan</v>
      </c>
      <c r="R29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Sweden</v>
      </c>
      <c r="S2942" s="132" t="str">
        <f>LEFT(base[[#This Row],[Evento / Mercado]],FIND("/",base[[#This Row],[Evento / Mercado]])-2)</f>
        <v>Japan vs Sweden</v>
      </c>
    </row>
    <row r="2943" spans="2:19" ht="15" customHeight="1">
      <c r="B2943" s="128" t="s">
        <v>2998</v>
      </c>
      <c r="C2943" s="128" t="s">
        <v>2982</v>
      </c>
      <c r="D2943" s="129">
        <v>46198.935428240744</v>
      </c>
      <c r="E2943" s="130">
        <v>-31.25</v>
      </c>
      <c r="F2943" s="136">
        <v>4.4999999999999998E-2</v>
      </c>
      <c r="G2943" s="126">
        <f t="shared" si="59"/>
        <v>-31.25</v>
      </c>
      <c r="H2943" s="126" t="s">
        <v>2743</v>
      </c>
      <c r="I2943" s="127" t="s">
        <v>2744</v>
      </c>
      <c r="J2943" s="126">
        <v>7.4</v>
      </c>
      <c r="K2943" s="126">
        <v>31.25</v>
      </c>
      <c r="L2943" s="129">
        <f>INT(base[[#This Row],[Data de liquidação]])</f>
        <v>46198</v>
      </c>
      <c r="M2943" s="126">
        <f>base[[#This Row],[L/P Bruto]]-base[[#This Row],[L/P Líquido]]</f>
        <v>0</v>
      </c>
      <c r="N2943" s="126">
        <f>base[[#This Row],[L/P Líquido]]/base[[#This Row],[Stake/Responsabilidade]]</f>
        <v>-1</v>
      </c>
      <c r="O2943" s="132">
        <f>IF(base[[#This Row],[L/P Líquido]]&gt;0,1,0)</f>
        <v>0</v>
      </c>
      <c r="P2943" s="132"/>
      <c r="Q2943" s="132" t="str">
        <f>LEFT(base[[#This Row],[Evento / Mercado]],FIND("vs",base[[#This Row],[Evento / Mercado]])-2)</f>
        <v>Cuiabá EC</v>
      </c>
      <c r="R29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Londrina</v>
      </c>
      <c r="S2943" s="132" t="str">
        <f>LEFT(base[[#This Row],[Evento / Mercado]],FIND("/",base[[#This Row],[Evento / Mercado]])-2)</f>
        <v>Cuiabá EC vs Londrina</v>
      </c>
    </row>
    <row r="2944" spans="2:19" ht="15" customHeight="1">
      <c r="B2944" s="128" t="s">
        <v>2997</v>
      </c>
      <c r="C2944" s="128" t="s">
        <v>2982</v>
      </c>
      <c r="D2944" s="129">
        <v>46198.935555555552</v>
      </c>
      <c r="E2944" s="130">
        <v>33.72</v>
      </c>
      <c r="F2944" s="136">
        <v>4.4999999999999998E-2</v>
      </c>
      <c r="G2944" s="126">
        <f t="shared" si="59"/>
        <v>35.308900523560212</v>
      </c>
      <c r="H2944" s="126" t="s">
        <v>2743</v>
      </c>
      <c r="I2944" s="127" t="s">
        <v>1233</v>
      </c>
      <c r="J2944" s="126">
        <v>3.4</v>
      </c>
      <c r="K2944" s="126">
        <v>199.99</v>
      </c>
      <c r="L2944" s="129">
        <f>INT(base[[#This Row],[Data de liquidação]])</f>
        <v>46198</v>
      </c>
      <c r="M2944" s="126">
        <f>base[[#This Row],[L/P Bruto]]-base[[#This Row],[L/P Líquido]]</f>
        <v>1.5889005235602127</v>
      </c>
      <c r="N2944" s="126">
        <f>base[[#This Row],[L/P Líquido]]/base[[#This Row],[Stake/Responsabilidade]]</f>
        <v>0.16860843042152107</v>
      </c>
      <c r="O2944" s="132">
        <f>IF(base[[#This Row],[L/P Líquido]]&gt;0,1,0)</f>
        <v>1</v>
      </c>
      <c r="P2944" s="132"/>
      <c r="Q2944" s="132" t="str">
        <f>LEFT(base[[#This Row],[Evento / Mercado]],FIND("vs",base[[#This Row],[Evento / Mercado]])-2)</f>
        <v>Cuiabá EC</v>
      </c>
      <c r="R29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Londrina</v>
      </c>
      <c r="S2944" s="132" t="str">
        <f>LEFT(base[[#This Row],[Evento / Mercado]],FIND("/",base[[#This Row],[Evento / Mercado]])-2)</f>
        <v>Cuiabá EC vs Londrina</v>
      </c>
    </row>
    <row r="2945" spans="2:21" ht="15" customHeight="1">
      <c r="B2945" s="128" t="s">
        <v>3050</v>
      </c>
      <c r="C2945" s="128" t="s">
        <v>2982</v>
      </c>
      <c r="D2945" s="129">
        <v>46199.595347222225</v>
      </c>
      <c r="E2945" s="130">
        <v>2.6</v>
      </c>
      <c r="F2945" s="136">
        <v>4.4999999999999998E-2</v>
      </c>
      <c r="G2945" s="126">
        <f t="shared" si="59"/>
        <v>2.7225130890052358</v>
      </c>
      <c r="H2945" s="126" t="s">
        <v>1339</v>
      </c>
      <c r="I2945" s="127" t="s">
        <v>2404</v>
      </c>
      <c r="J2945" s="126">
        <v>1.54</v>
      </c>
      <c r="K2945" s="126">
        <v>5</v>
      </c>
      <c r="L2945" s="129">
        <f>INT(base[[#This Row],[Data de liquidação]])</f>
        <v>46199</v>
      </c>
      <c r="M2945" s="126">
        <f>base[[#This Row],[L/P Bruto]]-base[[#This Row],[L/P Líquido]]</f>
        <v>0.12251308900523572</v>
      </c>
      <c r="N2945" s="126">
        <f>base[[#This Row],[L/P Líquido]]/base[[#This Row],[Stake/Responsabilidade]]</f>
        <v>0.52</v>
      </c>
      <c r="O2945" s="132">
        <f>IF(base[[#This Row],[L/P Líquido]]&gt;0,1,0)</f>
        <v>1</v>
      </c>
      <c r="P2945" s="132"/>
      <c r="Q2945" s="132" t="str">
        <f>LEFT(base[[#This Row],[Evento / Mercado]],FIND("vs",base[[#This Row],[Evento / Mercado]])-2)</f>
        <v>IK Brage</v>
      </c>
      <c r="R29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Falkenbergs FF</v>
      </c>
      <c r="S2945" s="132" t="str">
        <f>LEFT(base[[#This Row],[Evento / Mercado]],FIND("/",base[[#This Row],[Evento / Mercado]])-2)</f>
        <v>IK Brage vs Falkenbergs FF</v>
      </c>
    </row>
    <row r="2946" spans="2:21" ht="15" customHeight="1">
      <c r="B2946" s="128" t="s">
        <v>3049</v>
      </c>
      <c r="C2946" s="128" t="s">
        <v>2982</v>
      </c>
      <c r="D2946" s="129">
        <v>46199.621354166666</v>
      </c>
      <c r="E2946" s="130">
        <v>13.55</v>
      </c>
      <c r="F2946" s="136">
        <v>4.4999999999999998E-2</v>
      </c>
      <c r="G2946" s="126">
        <f t="shared" si="59"/>
        <v>14.188481675392671</v>
      </c>
      <c r="H2946" s="126" t="s">
        <v>2821</v>
      </c>
      <c r="I2946" s="127" t="s">
        <v>542</v>
      </c>
      <c r="J2946" s="126">
        <v>32</v>
      </c>
      <c r="K2946" s="126">
        <v>439.89</v>
      </c>
      <c r="L2946" s="129">
        <f>INT(base[[#This Row],[Data de liquidação]])</f>
        <v>46199</v>
      </c>
      <c r="M2946" s="126">
        <f>base[[#This Row],[L/P Bruto]]-base[[#This Row],[L/P Líquido]]</f>
        <v>0.63848167539267031</v>
      </c>
      <c r="N2946" s="126">
        <f>base[[#This Row],[L/P Líquido]]/base[[#This Row],[Stake/Responsabilidade]]</f>
        <v>3.080315533428812E-2</v>
      </c>
      <c r="O2946" s="132">
        <f>IF(base[[#This Row],[L/P Líquido]]&gt;0,1,0)</f>
        <v>1</v>
      </c>
      <c r="P2946" s="132"/>
      <c r="Q2946" s="132" t="str">
        <f>LEFT(base[[#This Row],[Evento / Mercado]],FIND("vs",base[[#This Row],[Evento / Mercado]])-2)</f>
        <v>FK Liepaja</v>
      </c>
      <c r="R29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Rigas Futbola Skola</v>
      </c>
      <c r="S2946" s="132" t="str">
        <f>LEFT(base[[#This Row],[Evento / Mercado]],FIND("/",base[[#This Row],[Evento / Mercado]])-2)</f>
        <v>FK Liepaja vs Rigas Futbola Skola</v>
      </c>
    </row>
    <row r="2947" spans="2:21" ht="15" customHeight="1">
      <c r="B2947" s="128" t="s">
        <v>3048</v>
      </c>
      <c r="C2947" s="128" t="s">
        <v>2982</v>
      </c>
      <c r="D2947" s="129">
        <v>46199.719976851855</v>
      </c>
      <c r="E2947" s="130">
        <v>38.200000000000003</v>
      </c>
      <c r="F2947" s="136">
        <v>4.4999999999999998E-2</v>
      </c>
      <c r="G2947" s="126">
        <f t="shared" ref="G2947:G3010" si="63">IF(E2947&gt;0,E2947/(1-F2947),E2947)</f>
        <v>40.000000000000007</v>
      </c>
      <c r="H2947" s="126" t="s">
        <v>2693</v>
      </c>
      <c r="I2947" s="127" t="s">
        <v>213</v>
      </c>
      <c r="J2947" s="126">
        <v>4</v>
      </c>
      <c r="K2947" s="126">
        <v>40</v>
      </c>
      <c r="L2947" s="129">
        <f>INT(base[[#This Row],[Data de liquidação]])</f>
        <v>46199</v>
      </c>
      <c r="M2947" s="126">
        <f>base[[#This Row],[L/P Bruto]]-base[[#This Row],[L/P Líquido]]</f>
        <v>1.8000000000000043</v>
      </c>
      <c r="N2947" s="126">
        <f>base[[#This Row],[L/P Líquido]]/base[[#This Row],[Stake/Responsabilidade]]</f>
        <v>0.95500000000000007</v>
      </c>
      <c r="O2947" s="132">
        <f>IF(base[[#This Row],[L/P Líquido]]&gt;0,1,0)</f>
        <v>1</v>
      </c>
      <c r="P2947" s="132"/>
      <c r="Q2947" s="132" t="str">
        <f>LEFT(base[[#This Row],[Evento / Mercado]],FIND("vs",base[[#This Row],[Evento / Mercado]])-2)</f>
        <v>Shamrock Rovers</v>
      </c>
      <c r="R29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2947" s="132" t="str">
        <f>LEFT(base[[#This Row],[Evento / Mercado]],FIND("/",base[[#This Row],[Evento / Mercado]])-2)</f>
        <v>Shamrock Rovers vs Galway United</v>
      </c>
    </row>
    <row r="2948" spans="2:21" ht="15" customHeight="1">
      <c r="B2948" s="128" t="s">
        <v>3025</v>
      </c>
      <c r="C2948" s="128" t="s">
        <v>2981</v>
      </c>
      <c r="D2948" s="129">
        <v>46199.725613425922</v>
      </c>
      <c r="E2948" s="130">
        <v>-22.22</v>
      </c>
      <c r="F2948" s="136">
        <v>4.4999999999999998E-2</v>
      </c>
      <c r="G2948" s="126">
        <f t="shared" si="63"/>
        <v>-22.22</v>
      </c>
      <c r="H2948" s="126" t="s">
        <v>2743</v>
      </c>
      <c r="I2948" s="127" t="s">
        <v>2744</v>
      </c>
      <c r="J2948" s="126">
        <v>10</v>
      </c>
      <c r="K2948" s="126">
        <v>22.22</v>
      </c>
      <c r="L2948" s="129">
        <f>INT(base[[#This Row],[Data de liquidação]])</f>
        <v>46199</v>
      </c>
      <c r="M2948" s="126">
        <f>base[[#This Row],[L/P Bruto]]-base[[#This Row],[L/P Líquido]]</f>
        <v>0</v>
      </c>
      <c r="N2948" s="126">
        <f>base[[#This Row],[L/P Líquido]]/base[[#This Row],[Stake/Responsabilidade]]</f>
        <v>-1</v>
      </c>
      <c r="O2948" s="132">
        <f>IF(base[[#This Row],[L/P Líquido]]&gt;0,1,0)</f>
        <v>0</v>
      </c>
      <c r="P2948" s="132"/>
      <c r="Q2948" s="132" t="str">
        <f>LEFT(base[[#This Row],[Evento / Mercado]],FIND("vs",base[[#This Row],[Evento / Mercado]])-2)</f>
        <v>Shamrock Rovers</v>
      </c>
      <c r="R29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2948" s="132" t="str">
        <f>LEFT(base[[#This Row],[Evento / Mercado]],FIND("/",base[[#This Row],[Evento / Mercado]])-2)</f>
        <v>Shamrock Rovers vs Galway United</v>
      </c>
    </row>
    <row r="2949" spans="2:21" ht="15" customHeight="1">
      <c r="B2949" s="128" t="s">
        <v>3025</v>
      </c>
      <c r="C2949" s="128" t="s">
        <v>2982</v>
      </c>
      <c r="D2949" s="129">
        <v>46199.725613425922</v>
      </c>
      <c r="E2949" s="130">
        <v>27.28</v>
      </c>
      <c r="F2949" s="136">
        <v>4.4999999999999998E-2</v>
      </c>
      <c r="G2949" s="126">
        <f t="shared" si="63"/>
        <v>28.565445026178011</v>
      </c>
      <c r="H2949" s="126" t="s">
        <v>2761</v>
      </c>
      <c r="I2949" s="127" t="s">
        <v>476</v>
      </c>
      <c r="J2949" s="126">
        <v>15</v>
      </c>
      <c r="K2949" s="126">
        <v>399.98</v>
      </c>
      <c r="L2949" s="129">
        <f>INT(base[[#This Row],[Data de liquidação]])</f>
        <v>46199</v>
      </c>
      <c r="M2949" s="126">
        <f>base[[#This Row],[L/P Bruto]]-base[[#This Row],[L/P Líquido]]</f>
        <v>1.2854450261780102</v>
      </c>
      <c r="N2949" s="126">
        <f>base[[#This Row],[L/P Líquido]]/base[[#This Row],[Stake/Responsabilidade]]</f>
        <v>6.820341017050853E-2</v>
      </c>
      <c r="O2949" s="132">
        <f>IF(base[[#This Row],[L/P Líquido]]&gt;0,1,0)</f>
        <v>1</v>
      </c>
      <c r="P2949" s="132"/>
      <c r="Q2949" s="132" t="str">
        <f>LEFT(base[[#This Row],[Evento / Mercado]],FIND("vs",base[[#This Row],[Evento / Mercado]])-2)</f>
        <v>Shamrock Rovers</v>
      </c>
      <c r="R29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2949" s="132" t="str">
        <f>LEFT(base[[#This Row],[Evento / Mercado]],FIND("/",base[[#This Row],[Evento / Mercado]])-2)</f>
        <v>Shamrock Rovers vs Galway United</v>
      </c>
    </row>
    <row r="2950" spans="2:21" ht="15" customHeight="1">
      <c r="B2950" s="128" t="s">
        <v>3024</v>
      </c>
      <c r="C2950" s="128" t="s">
        <v>2981</v>
      </c>
      <c r="D2950" s="129">
        <v>46199.726087962961</v>
      </c>
      <c r="E2950" s="130">
        <v>39.25</v>
      </c>
      <c r="F2950" s="136">
        <v>4.4999999999999998E-2</v>
      </c>
      <c r="G2950" s="126">
        <f t="shared" si="63"/>
        <v>41.099476439790578</v>
      </c>
      <c r="H2950" s="126" t="s">
        <v>2743</v>
      </c>
      <c r="I2950" s="127" t="s">
        <v>1233</v>
      </c>
      <c r="J2950" s="126">
        <v>5</v>
      </c>
      <c r="K2950" s="126">
        <v>200</v>
      </c>
      <c r="L2950" s="129">
        <f>INT(base[[#This Row],[Data de liquidação]])</f>
        <v>46199</v>
      </c>
      <c r="M2950" s="126">
        <f>base[[#This Row],[L/P Bruto]]-base[[#This Row],[L/P Líquido]]</f>
        <v>1.8494764397905783</v>
      </c>
      <c r="N2950" s="126">
        <f>base[[#This Row],[L/P Líquido]]/base[[#This Row],[Stake/Responsabilidade]]</f>
        <v>0.19625000000000001</v>
      </c>
      <c r="O2950" s="132">
        <f>IF(base[[#This Row],[L/P Líquido]]&gt;0,1,0)</f>
        <v>1</v>
      </c>
      <c r="P2950" s="132"/>
      <c r="Q2950" s="132" t="str">
        <f>LEFT(base[[#This Row],[Evento / Mercado]],FIND("vs",base[[#This Row],[Evento / Mercado]])-2)</f>
        <v>Shamrock Rovers</v>
      </c>
      <c r="R29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2950" s="132" t="str">
        <f>LEFT(base[[#This Row],[Evento / Mercado]],FIND("/",base[[#This Row],[Evento / Mercado]])-2)</f>
        <v>Shamrock Rovers vs Galway United</v>
      </c>
    </row>
    <row r="2951" spans="2:21" ht="15" customHeight="1">
      <c r="B2951" s="128" t="s">
        <v>3024</v>
      </c>
      <c r="C2951" s="128" t="s">
        <v>2982</v>
      </c>
      <c r="D2951" s="129">
        <v>46199.726087962961</v>
      </c>
      <c r="E2951" s="130">
        <v>5.51</v>
      </c>
      <c r="F2951" s="136">
        <v>4.4999999999999998E-2</v>
      </c>
      <c r="G2951" s="126">
        <f t="shared" si="63"/>
        <v>5.7696335078534036</v>
      </c>
      <c r="H2951" s="126" t="s">
        <v>2817</v>
      </c>
      <c r="I2951" s="127" t="s">
        <v>2992</v>
      </c>
      <c r="J2951" s="126">
        <v>8.8000000000000007</v>
      </c>
      <c r="K2951" s="126">
        <v>75.040000000000006</v>
      </c>
      <c r="L2951" s="129">
        <f>INT(base[[#This Row],[Data de liquidação]])</f>
        <v>46199</v>
      </c>
      <c r="M2951" s="126">
        <f>base[[#This Row],[L/P Bruto]]-base[[#This Row],[L/P Líquido]]</f>
        <v>0.25963350785340378</v>
      </c>
      <c r="N2951" s="126">
        <f>base[[#This Row],[L/P Líquido]]/base[[#This Row],[Stake/Responsabilidade]]</f>
        <v>7.3427505330490403E-2</v>
      </c>
      <c r="O2951" s="132">
        <f>IF(base[[#This Row],[L/P Líquido]]&gt;0,1,0)</f>
        <v>1</v>
      </c>
      <c r="P2951" s="132"/>
      <c r="Q2951" s="132" t="str">
        <f>LEFT(base[[#This Row],[Evento / Mercado]],FIND("vs",base[[#This Row],[Evento / Mercado]])-2)</f>
        <v>Shamrock Rovers</v>
      </c>
      <c r="R29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2951" s="132" t="str">
        <f>LEFT(base[[#This Row],[Evento / Mercado]],FIND("/",base[[#This Row],[Evento / Mercado]])-2)</f>
        <v>Shamrock Rovers vs Galway United</v>
      </c>
    </row>
    <row r="2952" spans="2:21" ht="15" customHeight="1">
      <c r="B2952" s="128" t="s">
        <v>3047</v>
      </c>
      <c r="C2952" s="128" t="s">
        <v>2982</v>
      </c>
      <c r="D2952" s="129">
        <v>46199.73228009259</v>
      </c>
      <c r="E2952" s="130">
        <v>-399.37</v>
      </c>
      <c r="F2952" s="136">
        <v>4.4999999999999998E-2</v>
      </c>
      <c r="G2952" s="126">
        <f t="shared" si="63"/>
        <v>-399.37</v>
      </c>
      <c r="H2952" s="126" t="s">
        <v>145</v>
      </c>
      <c r="I2952" s="127" t="s">
        <v>301</v>
      </c>
      <c r="J2952" s="126">
        <v>6.2</v>
      </c>
      <c r="K2952" s="126">
        <f>62.4+336.97</f>
        <v>399.37</v>
      </c>
      <c r="L2952" s="129">
        <f>INT(base[[#This Row],[Data de liquidação]])</f>
        <v>46199</v>
      </c>
      <c r="M2952" s="126">
        <f>base[[#This Row],[L/P Bruto]]-base[[#This Row],[L/P Líquido]]</f>
        <v>0</v>
      </c>
      <c r="N2952" s="126">
        <f>base[[#This Row],[L/P Líquido]]/base[[#This Row],[Stake/Responsabilidade]]</f>
        <v>-1</v>
      </c>
      <c r="O2952" s="132">
        <f>IF(base[[#This Row],[L/P Líquido]]&gt;0,1,0)</f>
        <v>0</v>
      </c>
      <c r="P2952" s="132" t="s">
        <v>1788</v>
      </c>
      <c r="Q2952" s="132" t="str">
        <f>LEFT(base[[#This Row],[Evento / Mercado]],FIND("vs",base[[#This Row],[Evento / Mercado]])-2)</f>
        <v>Dundalk</v>
      </c>
      <c r="R29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Waterford FC</v>
      </c>
      <c r="S2952" s="132" t="str">
        <f>LEFT(base[[#This Row],[Evento / Mercado]],FIND("/",base[[#This Row],[Evento / Mercado]])-2)</f>
        <v>Dundalk vs Waterford FC</v>
      </c>
    </row>
    <row r="2953" spans="2:21" ht="15" customHeight="1">
      <c r="B2953" s="128" t="s">
        <v>3046</v>
      </c>
      <c r="C2953" s="128" t="s">
        <v>2982</v>
      </c>
      <c r="D2953" s="129">
        <v>46199.749039351853</v>
      </c>
      <c r="E2953" s="130">
        <f>-184.85-40</f>
        <v>-224.85</v>
      </c>
      <c r="F2953" s="136">
        <v>4.4999999999999998E-2</v>
      </c>
      <c r="G2953" s="126">
        <f t="shared" si="63"/>
        <v>-224.85</v>
      </c>
      <c r="H2953" s="126" t="s">
        <v>3004</v>
      </c>
      <c r="I2953" s="127" t="s">
        <v>3052</v>
      </c>
      <c r="J2953" s="126">
        <v>1.23</v>
      </c>
      <c r="K2953" s="126">
        <v>50</v>
      </c>
      <c r="L2953" s="129">
        <f>INT(base[[#This Row],[Data de liquidação]])</f>
        <v>46199</v>
      </c>
      <c r="M2953" s="126">
        <f>base[[#This Row],[L/P Bruto]]-base[[#This Row],[L/P Líquido]]</f>
        <v>0</v>
      </c>
      <c r="N2953" s="126">
        <f>base[[#This Row],[L/P Líquido]]/base[[#This Row],[Stake/Responsabilidade]]</f>
        <v>-4.4969999999999999</v>
      </c>
      <c r="O2953" s="132">
        <f>IF(base[[#This Row],[L/P Líquido]]&gt;0,1,0)</f>
        <v>0</v>
      </c>
      <c r="P2953" s="132"/>
      <c r="Q2953" s="132" t="str">
        <f>LEFT(base[[#This Row],[Evento / Mercado]],FIND("vs",base[[#This Row],[Evento / Mercado]])-2)</f>
        <v>Norway</v>
      </c>
      <c r="R29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France</v>
      </c>
      <c r="S2953" s="132" t="str">
        <f>LEFT(base[[#This Row],[Evento / Mercado]],FIND("/",base[[#This Row],[Evento / Mercado]])-2)</f>
        <v>Norway vs France</v>
      </c>
    </row>
    <row r="2954" spans="2:21" ht="15" customHeight="1">
      <c r="B2954" s="128" t="s">
        <v>3046</v>
      </c>
      <c r="C2954" s="128" t="s">
        <v>2982</v>
      </c>
      <c r="D2954" s="129">
        <v>46199.749039351853</v>
      </c>
      <c r="E2954" s="130">
        <v>40</v>
      </c>
      <c r="F2954" s="136">
        <v>0</v>
      </c>
      <c r="G2954" s="126">
        <f t="shared" si="63"/>
        <v>40</v>
      </c>
      <c r="H2954" s="126" t="s">
        <v>2693</v>
      </c>
      <c r="I2954" s="127" t="s">
        <v>3051</v>
      </c>
      <c r="J2954" s="126">
        <v>3.5</v>
      </c>
      <c r="K2954" s="126">
        <v>40</v>
      </c>
      <c r="L2954" s="129">
        <f>INT(base[[#This Row],[Data de liquidação]])</f>
        <v>46199</v>
      </c>
      <c r="M2954" s="126">
        <f>base[[#This Row],[L/P Bruto]]-base[[#This Row],[L/P Líquido]]</f>
        <v>0</v>
      </c>
      <c r="N2954" s="126">
        <f>base[[#This Row],[L/P Líquido]]/base[[#This Row],[Stake/Responsabilidade]]</f>
        <v>1</v>
      </c>
      <c r="O2954" s="132">
        <f>IF(base[[#This Row],[L/P Líquido]]&gt;0,1,0)</f>
        <v>1</v>
      </c>
      <c r="P2954" s="132"/>
      <c r="Q2954" s="132" t="str">
        <f>LEFT(base[[#This Row],[Evento / Mercado]],FIND("vs",base[[#This Row],[Evento / Mercado]])-2)</f>
        <v>Norway</v>
      </c>
      <c r="R29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France</v>
      </c>
      <c r="S2954" s="132" t="str">
        <f>LEFT(base[[#This Row],[Evento / Mercado]],FIND("/",base[[#This Row],[Evento / Mercado]])-2)</f>
        <v>Norway vs France</v>
      </c>
      <c r="T2954" s="8">
        <v>40</v>
      </c>
      <c r="U2954" s="9">
        <f t="shared" ref="U2954" si="64">T2954*0.955</f>
        <v>38.199999999999996</v>
      </c>
    </row>
    <row r="2955" spans="2:21" ht="15" customHeight="1">
      <c r="B2955" s="128" t="s">
        <v>3045</v>
      </c>
      <c r="C2955" s="128" t="s">
        <v>2982</v>
      </c>
      <c r="D2955" s="129">
        <v>46199.749537037038</v>
      </c>
      <c r="E2955" s="130">
        <v>6.99</v>
      </c>
      <c r="F2955" s="136">
        <v>4.4999999999999998E-2</v>
      </c>
      <c r="G2955" s="126">
        <f t="shared" si="63"/>
        <v>7.3193717277486918</v>
      </c>
      <c r="H2955" s="126" t="s">
        <v>2821</v>
      </c>
      <c r="I2955" s="127" t="s">
        <v>542</v>
      </c>
      <c r="J2955" s="126">
        <v>32</v>
      </c>
      <c r="K2955" s="126">
        <v>226.92</v>
      </c>
      <c r="L2955" s="129">
        <f>INT(base[[#This Row],[Data de liquidação]])</f>
        <v>46199</v>
      </c>
      <c r="M2955" s="126">
        <f>base[[#This Row],[L/P Bruto]]-base[[#This Row],[L/P Líquido]]</f>
        <v>0.32937172774869161</v>
      </c>
      <c r="N2955" s="126">
        <f>base[[#This Row],[L/P Líquido]]/base[[#This Row],[Stake/Responsabilidade]]</f>
        <v>3.0803807509254367E-2</v>
      </c>
      <c r="O2955" s="132">
        <f>IF(base[[#This Row],[L/P Líquido]]&gt;0,1,0)</f>
        <v>1</v>
      </c>
      <c r="P2955" s="132"/>
      <c r="Q2955" s="132" t="str">
        <f>LEFT(base[[#This Row],[Evento / Mercado]],FIND("vs",base[[#This Row],[Evento / Mercado]])-2)</f>
        <v>Norway</v>
      </c>
      <c r="R29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France</v>
      </c>
      <c r="S2955" s="132" t="str">
        <f>LEFT(base[[#This Row],[Evento / Mercado]],FIND("/",base[[#This Row],[Evento / Mercado]])-2)</f>
        <v>Norway vs France</v>
      </c>
    </row>
    <row r="2956" spans="2:21" ht="15" customHeight="1">
      <c r="B2956" s="128" t="s">
        <v>3044</v>
      </c>
      <c r="C2956" s="128" t="s">
        <v>2982</v>
      </c>
      <c r="D2956" s="129">
        <v>46199.761944444443</v>
      </c>
      <c r="E2956" s="130">
        <v>47.75</v>
      </c>
      <c r="F2956" s="136">
        <v>4.4999999999999998E-2</v>
      </c>
      <c r="G2956" s="126">
        <f t="shared" si="63"/>
        <v>50</v>
      </c>
      <c r="H2956" s="126" t="s">
        <v>2895</v>
      </c>
      <c r="I2956" s="127" t="s">
        <v>2896</v>
      </c>
      <c r="J2956" s="126">
        <v>9</v>
      </c>
      <c r="K2956" s="126">
        <v>400</v>
      </c>
      <c r="L2956" s="129">
        <f>INT(base[[#This Row],[Data de liquidação]])</f>
        <v>46199</v>
      </c>
      <c r="M2956" s="126">
        <f>base[[#This Row],[L/P Bruto]]-base[[#This Row],[L/P Líquido]]</f>
        <v>2.25</v>
      </c>
      <c r="N2956" s="126">
        <f>base[[#This Row],[L/P Líquido]]/base[[#This Row],[Stake/Responsabilidade]]</f>
        <v>0.119375</v>
      </c>
      <c r="O2956" s="132">
        <f>IF(base[[#This Row],[L/P Líquido]]&gt;0,1,0)</f>
        <v>1</v>
      </c>
      <c r="P2956" s="132"/>
      <c r="Q2956" s="132" t="e">
        <f>LEFT(base[[#This Row],[Evento / Mercado]],FIND("vs",base[[#This Row],[Evento / Mercado]])-2)</f>
        <v>#VALUE!</v>
      </c>
      <c r="R2956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956" s="132" t="str">
        <f>LEFT(base[[#This Row],[Evento / Mercado]],FIND("/",base[[#This Row],[Evento / Mercado]])-2)</f>
        <v>FIFA World Cup - Group I Winner</v>
      </c>
    </row>
    <row r="2957" spans="2:21" ht="15" customHeight="1">
      <c r="B2957" s="128" t="s">
        <v>3023</v>
      </c>
      <c r="C2957" s="128" t="s">
        <v>2981</v>
      </c>
      <c r="D2957" s="129">
        <v>46199.958043981482</v>
      </c>
      <c r="E2957" s="130">
        <v>-201.39</v>
      </c>
      <c r="F2957" s="136">
        <v>4.4999999999999998E-2</v>
      </c>
      <c r="G2957" s="126">
        <f t="shared" si="63"/>
        <v>-201.39</v>
      </c>
      <c r="H2957" s="126" t="s">
        <v>122</v>
      </c>
      <c r="I2957" s="127" t="s">
        <v>75</v>
      </c>
      <c r="J2957" s="126">
        <v>11.5</v>
      </c>
      <c r="K2957" s="126">
        <v>201.39</v>
      </c>
      <c r="L2957" s="129">
        <f>INT(base[[#This Row],[Data de liquidação]])</f>
        <v>46199</v>
      </c>
      <c r="M2957" s="126">
        <f>base[[#This Row],[L/P Bruto]]-base[[#This Row],[L/P Líquido]]</f>
        <v>0</v>
      </c>
      <c r="N2957" s="126">
        <f>base[[#This Row],[L/P Líquido]]/base[[#This Row],[Stake/Responsabilidade]]</f>
        <v>-1</v>
      </c>
      <c r="O2957" s="132">
        <f>IF(base[[#This Row],[L/P Líquido]]&gt;0,1,0)</f>
        <v>0</v>
      </c>
      <c r="P2957" s="132"/>
      <c r="Q2957" s="132" t="str">
        <f>LEFT(base[[#This Row],[Evento / Mercado]],FIND("vs",base[[#This Row],[Evento / Mercado]])-2)</f>
        <v>Cape Verde</v>
      </c>
      <c r="R29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Saudi Arabia</v>
      </c>
      <c r="S2957" s="132" t="str">
        <f>LEFT(base[[#This Row],[Evento / Mercado]],FIND("/",base[[#This Row],[Evento / Mercado]])-2)</f>
        <v>Cape Verde vs Saudi Arabia</v>
      </c>
    </row>
    <row r="2958" spans="2:21" ht="15" customHeight="1">
      <c r="B2958" s="128" t="s">
        <v>3043</v>
      </c>
      <c r="C2958" s="128" t="s">
        <v>2982</v>
      </c>
      <c r="D2958" s="129">
        <v>46199.959074074075</v>
      </c>
      <c r="E2958" s="130">
        <v>30.29</v>
      </c>
      <c r="F2958" s="136">
        <v>4.4999999999999998E-2</v>
      </c>
      <c r="G2958" s="126">
        <f t="shared" si="63"/>
        <v>31.717277486910994</v>
      </c>
      <c r="H2958" s="126" t="s">
        <v>2821</v>
      </c>
      <c r="I2958" s="127" t="s">
        <v>542</v>
      </c>
      <c r="J2958" s="126">
        <v>15.5</v>
      </c>
      <c r="K2958" s="126">
        <v>459.94</v>
      </c>
      <c r="L2958" s="129">
        <f>INT(base[[#This Row],[Data de liquidação]])</f>
        <v>46199</v>
      </c>
      <c r="M2958" s="126">
        <f>base[[#This Row],[L/P Bruto]]-base[[#This Row],[L/P Líquido]]</f>
        <v>1.4272774869109952</v>
      </c>
      <c r="N2958" s="126">
        <f>base[[#This Row],[L/P Líquido]]/base[[#This Row],[Stake/Responsabilidade]]</f>
        <v>6.5856416054267952E-2</v>
      </c>
      <c r="O2958" s="132">
        <f>IF(base[[#This Row],[L/P Líquido]]&gt;0,1,0)</f>
        <v>1</v>
      </c>
      <c r="P2958" s="132"/>
      <c r="Q2958" s="132" t="str">
        <f>LEFT(base[[#This Row],[Evento / Mercado]],FIND("vs",base[[#This Row],[Evento / Mercado]])-2)</f>
        <v>Uruguay</v>
      </c>
      <c r="R29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Spain</v>
      </c>
      <c r="S2958" s="132" t="str">
        <f>LEFT(base[[#This Row],[Evento / Mercado]],FIND("/",base[[#This Row],[Evento / Mercado]])-2)</f>
        <v>Uruguay vs Spain</v>
      </c>
    </row>
    <row r="2959" spans="2:21" ht="15" customHeight="1">
      <c r="B2959" s="128" t="s">
        <v>3022</v>
      </c>
      <c r="C2959" s="128" t="s">
        <v>2981</v>
      </c>
      <c r="D2959" s="129">
        <v>46199.959618055553</v>
      </c>
      <c r="E2959" s="130">
        <v>72</v>
      </c>
      <c r="F2959" s="136">
        <v>4.4999999999999998E-2</v>
      </c>
      <c r="G2959" s="126">
        <f t="shared" si="63"/>
        <v>75.392670157068068</v>
      </c>
      <c r="H2959" s="126" t="s">
        <v>145</v>
      </c>
      <c r="I2959" s="127" t="s">
        <v>2877</v>
      </c>
      <c r="J2959" s="126">
        <v>6.4</v>
      </c>
      <c r="K2959" s="126">
        <v>399.98</v>
      </c>
      <c r="L2959" s="129">
        <f>INT(base[[#This Row],[Data de liquidação]])</f>
        <v>46199</v>
      </c>
      <c r="M2959" s="126">
        <f>base[[#This Row],[L/P Bruto]]-base[[#This Row],[L/P Líquido]]</f>
        <v>3.3926701570680677</v>
      </c>
      <c r="N2959" s="126">
        <f>base[[#This Row],[L/P Líquido]]/base[[#This Row],[Stake/Responsabilidade]]</f>
        <v>0.18000900045002249</v>
      </c>
      <c r="O2959" s="132">
        <f>IF(base[[#This Row],[L/P Líquido]]&gt;0,1,0)</f>
        <v>1</v>
      </c>
      <c r="P2959" s="132" t="s">
        <v>2818</v>
      </c>
      <c r="Q2959" s="132" t="str">
        <f>LEFT(base[[#This Row],[Evento / Mercado]],FIND("vs",base[[#This Row],[Evento / Mercado]])-2)</f>
        <v>Uruguay</v>
      </c>
      <c r="R29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Spain</v>
      </c>
      <c r="S2959" s="132" t="str">
        <f>LEFT(base[[#This Row],[Evento / Mercado]],FIND("/",base[[#This Row],[Evento / Mercado]])-2)</f>
        <v>Uruguay vs Spain</v>
      </c>
    </row>
    <row r="2960" spans="2:21" ht="15" customHeight="1">
      <c r="B2960" s="128" t="s">
        <v>3021</v>
      </c>
      <c r="C2960" s="128" t="s">
        <v>2981</v>
      </c>
      <c r="D2960" s="129">
        <v>46200.08184027778</v>
      </c>
      <c r="E2960" s="130">
        <v>25.09</v>
      </c>
      <c r="F2960" s="136">
        <v>4.4999999999999998E-2</v>
      </c>
      <c r="G2960" s="126">
        <f t="shared" si="63"/>
        <v>26.272251308900525</v>
      </c>
      <c r="H2960" s="126" t="s">
        <v>145</v>
      </c>
      <c r="I2960" s="127" t="s">
        <v>2877</v>
      </c>
      <c r="J2960" s="126">
        <v>16.5</v>
      </c>
      <c r="K2960" s="126">
        <v>400.06</v>
      </c>
      <c r="L2960" s="129">
        <f>INT(base[[#This Row],[Data de liquidação]])</f>
        <v>46200</v>
      </c>
      <c r="M2960" s="126">
        <f>base[[#This Row],[L/P Bruto]]-base[[#This Row],[L/P Líquido]]</f>
        <v>1.1822513089005255</v>
      </c>
      <c r="N2960" s="126">
        <f>base[[#This Row],[L/P Líquido]]/base[[#This Row],[Stake/Responsabilidade]]</f>
        <v>6.2715592661100827E-2</v>
      </c>
      <c r="O2960" s="132">
        <f>IF(base[[#This Row],[L/P Líquido]]&gt;0,1,0)</f>
        <v>1</v>
      </c>
      <c r="P2960" s="132" t="s">
        <v>2818</v>
      </c>
      <c r="Q2960" s="132" t="str">
        <f>LEFT(base[[#This Row],[Evento / Mercado]],FIND("vs",base[[#This Row],[Evento / Mercado]])-2)</f>
        <v>New Zealand</v>
      </c>
      <c r="R29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Belgium</v>
      </c>
      <c r="S2960" s="132" t="str">
        <f>LEFT(base[[#This Row],[Evento / Mercado]],FIND("/",base[[#This Row],[Evento / Mercado]])-2)</f>
        <v>New Zealand vs Belgium</v>
      </c>
    </row>
    <row r="2961" spans="2:19" ht="15" customHeight="1">
      <c r="B2961" s="128" t="s">
        <v>3042</v>
      </c>
      <c r="C2961" s="128" t="s">
        <v>2982</v>
      </c>
      <c r="D2961" s="129">
        <v>46200.410995370374</v>
      </c>
      <c r="E2961" s="130">
        <v>1.08</v>
      </c>
      <c r="F2961" s="136">
        <v>4.4999999999999998E-2</v>
      </c>
      <c r="G2961" s="126">
        <f t="shared" si="63"/>
        <v>1.130890052356021</v>
      </c>
      <c r="H2961" s="126" t="s">
        <v>2693</v>
      </c>
      <c r="I2961" s="127" t="s">
        <v>213</v>
      </c>
      <c r="J2961" s="126">
        <v>3.8</v>
      </c>
      <c r="K2961" s="126">
        <v>3.16</v>
      </c>
      <c r="L2961" s="129">
        <f>INT(base[[#This Row],[Data de liquidação]])</f>
        <v>46200</v>
      </c>
      <c r="M2961" s="126">
        <f>base[[#This Row],[L/P Bruto]]-base[[#This Row],[L/P Líquido]]</f>
        <v>5.0890052356020954E-2</v>
      </c>
      <c r="N2961" s="126">
        <f>base[[#This Row],[L/P Líquido]]/base[[#This Row],[Stake/Responsabilidade]]</f>
        <v>0.34177215189873417</v>
      </c>
      <c r="O2961" s="132">
        <f>IF(base[[#This Row],[L/P Líquido]]&gt;0,1,0)</f>
        <v>1</v>
      </c>
      <c r="P2961" s="132"/>
      <c r="Q2961" s="132" t="str">
        <f>LEFT(base[[#This Row],[Evento / Mercado]],FIND("vs",base[[#This Row],[Evento / Mercado]])-2)</f>
        <v>Henan Songshan Longmen</v>
      </c>
      <c r="R29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Port</v>
      </c>
      <c r="S2961" s="132" t="str">
        <f>LEFT(base[[#This Row],[Evento / Mercado]],FIND("/",base[[#This Row],[Evento / Mercado]])-2)</f>
        <v>Henan Songshan Longmen vs Shanghai Port</v>
      </c>
    </row>
    <row r="2962" spans="2:19" ht="15" customHeight="1">
      <c r="B2962" s="128" t="s">
        <v>3041</v>
      </c>
      <c r="C2962" s="128" t="s">
        <v>2982</v>
      </c>
      <c r="D2962" s="129">
        <v>46200.412835648145</v>
      </c>
      <c r="E2962" s="130">
        <v>38.200000000000003</v>
      </c>
      <c r="F2962" s="136">
        <v>4.4999999999999998E-2</v>
      </c>
      <c r="G2962" s="126">
        <f t="shared" si="63"/>
        <v>40.000000000000007</v>
      </c>
      <c r="H2962" s="126" t="s">
        <v>2693</v>
      </c>
      <c r="I2962" s="127" t="s">
        <v>1249</v>
      </c>
      <c r="J2962" s="126">
        <v>4</v>
      </c>
      <c r="K2962" s="126">
        <v>40</v>
      </c>
      <c r="L2962" s="129">
        <f>INT(base[[#This Row],[Data de liquidação]])</f>
        <v>46200</v>
      </c>
      <c r="M2962" s="126">
        <f>base[[#This Row],[L/P Bruto]]-base[[#This Row],[L/P Líquido]]</f>
        <v>1.8000000000000043</v>
      </c>
      <c r="N2962" s="126">
        <f>base[[#This Row],[L/P Líquido]]/base[[#This Row],[Stake/Responsabilidade]]</f>
        <v>0.95500000000000007</v>
      </c>
      <c r="O2962" s="132">
        <f>IF(base[[#This Row],[L/P Líquido]]&gt;0,1,0)</f>
        <v>1</v>
      </c>
      <c r="P2962" s="132"/>
      <c r="Q2962" s="132" t="str">
        <f>LEFT(base[[#This Row],[Evento / Mercado]],FIND("vs",base[[#This Row],[Evento / Mercado]])-2)</f>
        <v>Shenzhen Peng City</v>
      </c>
      <c r="R29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2962" s="132" t="str">
        <f>LEFT(base[[#This Row],[Evento / Mercado]],FIND("/",base[[#This Row],[Evento / Mercado]])-2)</f>
        <v>Shenzhen Peng City vs Chengdu Rongcheng</v>
      </c>
    </row>
    <row r="2963" spans="2:19" ht="15" customHeight="1">
      <c r="B2963" s="128" t="s">
        <v>3040</v>
      </c>
      <c r="C2963" s="128" t="s">
        <v>2982</v>
      </c>
      <c r="D2963" s="129">
        <v>46200.458634259259</v>
      </c>
      <c r="E2963" s="130">
        <v>11.41</v>
      </c>
      <c r="F2963" s="136">
        <v>4.4999999999999998E-2</v>
      </c>
      <c r="G2963" s="126">
        <f t="shared" si="63"/>
        <v>11.947643979057592</v>
      </c>
      <c r="H2963" s="126" t="s">
        <v>2821</v>
      </c>
      <c r="I2963" s="127" t="s">
        <v>476</v>
      </c>
      <c r="J2963" s="126">
        <v>42</v>
      </c>
      <c r="K2963" s="126">
        <v>489.95</v>
      </c>
      <c r="L2963" s="129">
        <f>INT(base[[#This Row],[Data de liquidação]])</f>
        <v>46200</v>
      </c>
      <c r="M2963" s="126">
        <f>base[[#This Row],[L/P Bruto]]-base[[#This Row],[L/P Líquido]]</f>
        <v>0.53764397905759154</v>
      </c>
      <c r="N2963" s="126">
        <f>base[[#This Row],[L/P Líquido]]/base[[#This Row],[Stake/Responsabilidade]]</f>
        <v>2.3288090621491991E-2</v>
      </c>
      <c r="O2963" s="132">
        <f>IF(base[[#This Row],[L/P Líquido]]&gt;0,1,0)</f>
        <v>1</v>
      </c>
      <c r="P2963" s="132"/>
      <c r="Q2963" s="132" t="str">
        <f>LEFT(base[[#This Row],[Evento / Mercado]],FIND("vs",base[[#This Row],[Evento / Mercado]])-2)</f>
        <v>Beijing Guoan</v>
      </c>
      <c r="R29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2963" s="132" t="str">
        <f>LEFT(base[[#This Row],[Evento / Mercado]],FIND("/",base[[#This Row],[Evento / Mercado]])-2)</f>
        <v>Beijing Guoan vs Wuhan Three Towns</v>
      </c>
    </row>
    <row r="2964" spans="2:19" ht="15" customHeight="1">
      <c r="B2964" s="128" t="s">
        <v>3039</v>
      </c>
      <c r="C2964" s="128" t="s">
        <v>2982</v>
      </c>
      <c r="D2964" s="129">
        <v>46200.496238425927</v>
      </c>
      <c r="E2964" s="130">
        <v>27.02</v>
      </c>
      <c r="F2964" s="136">
        <v>4.4999999999999998E-2</v>
      </c>
      <c r="G2964" s="126">
        <f t="shared" si="63"/>
        <v>28.293193717277486</v>
      </c>
      <c r="H2964" s="126" t="s">
        <v>2821</v>
      </c>
      <c r="I2964" s="127" t="s">
        <v>476</v>
      </c>
      <c r="J2964" s="126">
        <f>(19*489.46+11*11)/base[[#This Row],[Stake/Responsabilidade]]</f>
        <v>18.824161771170523</v>
      </c>
      <c r="K2964" s="126">
        <f>489.46+11</f>
        <v>500.46</v>
      </c>
      <c r="L2964" s="129">
        <f>INT(base[[#This Row],[Data de liquidação]])</f>
        <v>46200</v>
      </c>
      <c r="M2964" s="126">
        <f>base[[#This Row],[L/P Bruto]]-base[[#This Row],[L/P Líquido]]</f>
        <v>1.2731937172774863</v>
      </c>
      <c r="N2964" s="126">
        <f>base[[#This Row],[L/P Líquido]]/base[[#This Row],[Stake/Responsabilidade]]</f>
        <v>5.3990328897414383E-2</v>
      </c>
      <c r="O2964" s="132">
        <f>IF(base[[#This Row],[L/P Líquido]]&gt;0,1,0)</f>
        <v>1</v>
      </c>
      <c r="P2964" s="132"/>
      <c r="Q2964" s="132" t="str">
        <f>LEFT(base[[#This Row],[Evento / Mercado]],FIND("vs",base[[#This Row],[Evento / Mercado]])-2)</f>
        <v>Varbergs BoIS</v>
      </c>
      <c r="R29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 IF</v>
      </c>
      <c r="S2964" s="132" t="str">
        <f>LEFT(base[[#This Row],[Evento / Mercado]],FIND("/",base[[#This Row],[Evento / Mercado]])-2)</f>
        <v>Varbergs BoIS vs Östers IF</v>
      </c>
    </row>
    <row r="2965" spans="2:19" ht="15" customHeight="1">
      <c r="B2965" s="128" t="s">
        <v>3020</v>
      </c>
      <c r="C2965" s="128" t="s">
        <v>2981</v>
      </c>
      <c r="D2965" s="129">
        <v>46200.535624999997</v>
      </c>
      <c r="E2965" s="130">
        <v>-25</v>
      </c>
      <c r="F2965" s="136">
        <v>4.4999999999999998E-2</v>
      </c>
      <c r="G2965" s="126">
        <f t="shared" si="63"/>
        <v>-25</v>
      </c>
      <c r="H2965" s="126" t="s">
        <v>2743</v>
      </c>
      <c r="I2965" s="127" t="s">
        <v>2744</v>
      </c>
      <c r="J2965" s="126">
        <v>9</v>
      </c>
      <c r="K2965" s="126">
        <v>25</v>
      </c>
      <c r="L2965" s="129">
        <f>INT(base[[#This Row],[Data de liquidação]])</f>
        <v>46200</v>
      </c>
      <c r="M2965" s="126">
        <f>base[[#This Row],[L/P Bruto]]-base[[#This Row],[L/P Líquido]]</f>
        <v>0</v>
      </c>
      <c r="N2965" s="126">
        <f>base[[#This Row],[L/P Líquido]]/base[[#This Row],[Stake/Responsabilidade]]</f>
        <v>-1</v>
      </c>
      <c r="O2965" s="132">
        <f>IF(base[[#This Row],[L/P Líquido]]&gt;0,1,0)</f>
        <v>0</v>
      </c>
      <c r="P2965" s="132"/>
      <c r="Q2965" s="132" t="str">
        <f>LEFT(base[[#This Row],[Evento / Mercado]],FIND("vs",base[[#This Row],[Evento / Mercado]])-2)</f>
        <v>Sandnes Ulf</v>
      </c>
      <c r="R29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Raufoss</v>
      </c>
      <c r="S2965" s="132" t="str">
        <f>LEFT(base[[#This Row],[Evento / Mercado]],FIND("/",base[[#This Row],[Evento / Mercado]])-2)</f>
        <v>Sandnes Ulf vs Raufoss</v>
      </c>
    </row>
    <row r="2966" spans="2:19" ht="15" customHeight="1">
      <c r="B2966" s="128" t="s">
        <v>3019</v>
      </c>
      <c r="C2966" s="128" t="s">
        <v>2981</v>
      </c>
      <c r="D2966" s="129">
        <v>46200.535717592589</v>
      </c>
      <c r="E2966" s="130">
        <v>51.75</v>
      </c>
      <c r="F2966" s="136">
        <v>4.4999999999999998E-2</v>
      </c>
      <c r="G2966" s="126">
        <f t="shared" si="63"/>
        <v>54.188481675392673</v>
      </c>
      <c r="H2966" s="126" t="s">
        <v>2743</v>
      </c>
      <c r="I2966" s="127" t="s">
        <v>1233</v>
      </c>
      <c r="J2966" s="126">
        <v>4.5999999999999996</v>
      </c>
      <c r="K2966" s="126">
        <v>200.02</v>
      </c>
      <c r="L2966" s="129">
        <f>INT(base[[#This Row],[Data de liquidação]])</f>
        <v>46200</v>
      </c>
      <c r="M2966" s="126">
        <f>base[[#This Row],[L/P Bruto]]-base[[#This Row],[L/P Líquido]]</f>
        <v>2.4384816753926728</v>
      </c>
      <c r="N2966" s="126">
        <f>base[[#This Row],[L/P Líquido]]/base[[#This Row],[Stake/Responsabilidade]]</f>
        <v>0.25872412758724128</v>
      </c>
      <c r="O2966" s="132">
        <f>IF(base[[#This Row],[L/P Líquido]]&gt;0,1,0)</f>
        <v>1</v>
      </c>
      <c r="P2966" s="132"/>
      <c r="Q2966" s="132" t="str">
        <f>LEFT(base[[#This Row],[Evento / Mercado]],FIND("vs",base[[#This Row],[Evento / Mercado]])-2)</f>
        <v>Sandnes Ulf</v>
      </c>
      <c r="R29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Raufoss</v>
      </c>
      <c r="S2966" s="132" t="str">
        <f>LEFT(base[[#This Row],[Evento / Mercado]],FIND("/",base[[#This Row],[Evento / Mercado]])-2)</f>
        <v>Sandnes Ulf vs Raufoss</v>
      </c>
    </row>
    <row r="2967" spans="2:19" ht="15" customHeight="1">
      <c r="B2967" s="128" t="s">
        <v>3019</v>
      </c>
      <c r="C2967" s="128" t="s">
        <v>2982</v>
      </c>
      <c r="D2967" s="129">
        <v>46200.535717592589</v>
      </c>
      <c r="E2967" s="130">
        <v>15.57</v>
      </c>
      <c r="F2967" s="136">
        <v>4.4999999999999998E-2</v>
      </c>
      <c r="G2967" s="126">
        <f t="shared" si="63"/>
        <v>16.30366492146597</v>
      </c>
      <c r="H2967" s="126" t="s">
        <v>2817</v>
      </c>
      <c r="I2967" s="127" t="s">
        <v>2993</v>
      </c>
      <c r="J2967" s="126">
        <v>5.6</v>
      </c>
      <c r="K2967" s="126">
        <v>74.98</v>
      </c>
      <c r="L2967" s="129">
        <f>INT(base[[#This Row],[Data de liquidação]])</f>
        <v>46200</v>
      </c>
      <c r="M2967" s="126">
        <f>base[[#This Row],[L/P Bruto]]-base[[#This Row],[L/P Líquido]]</f>
        <v>0.7336649214659694</v>
      </c>
      <c r="N2967" s="126">
        <f>base[[#This Row],[L/P Líquido]]/base[[#This Row],[Stake/Responsabilidade]]</f>
        <v>0.20765537476660442</v>
      </c>
      <c r="O2967" s="132">
        <f>IF(base[[#This Row],[L/P Líquido]]&gt;0,1,0)</f>
        <v>1</v>
      </c>
      <c r="P2967" s="132"/>
      <c r="Q2967" s="132" t="str">
        <f>LEFT(base[[#This Row],[Evento / Mercado]],FIND("vs",base[[#This Row],[Evento / Mercado]])-2)</f>
        <v>Sandnes Ulf</v>
      </c>
      <c r="R29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Raufoss</v>
      </c>
      <c r="S2967" s="132" t="str">
        <f>LEFT(base[[#This Row],[Evento / Mercado]],FIND("/",base[[#This Row],[Evento / Mercado]])-2)</f>
        <v>Sandnes Ulf vs Raufoss</v>
      </c>
    </row>
    <row r="2968" spans="2:19" ht="15" customHeight="1">
      <c r="B2968" s="128" t="s">
        <v>3038</v>
      </c>
      <c r="C2968" s="128" t="s">
        <v>2982</v>
      </c>
      <c r="D2968" s="129">
        <v>46200.537731481483</v>
      </c>
      <c r="E2968" s="130">
        <v>18.72</v>
      </c>
      <c r="F2968" s="136">
        <v>4.4999999999999998E-2</v>
      </c>
      <c r="G2968" s="126">
        <f t="shared" si="63"/>
        <v>19.602094240837697</v>
      </c>
      <c r="H2968" s="126" t="s">
        <v>2821</v>
      </c>
      <c r="I2968" s="127" t="s">
        <v>476</v>
      </c>
      <c r="J2968" s="126">
        <v>26</v>
      </c>
      <c r="K2968" s="126">
        <v>490</v>
      </c>
      <c r="L2968" s="129">
        <f>INT(base[[#This Row],[Data de liquidação]])</f>
        <v>46200</v>
      </c>
      <c r="M2968" s="126">
        <f>base[[#This Row],[L/P Bruto]]-base[[#This Row],[L/P Líquido]]</f>
        <v>0.88209424083769861</v>
      </c>
      <c r="N2968" s="126">
        <f>base[[#This Row],[L/P Líquido]]/base[[#This Row],[Stake/Responsabilidade]]</f>
        <v>3.8204081632653056E-2</v>
      </c>
      <c r="O2968" s="132">
        <f>IF(base[[#This Row],[L/P Líquido]]&gt;0,1,0)</f>
        <v>1</v>
      </c>
      <c r="P2968" s="132"/>
      <c r="Q2968" s="132" t="str">
        <f>LEFT(base[[#This Row],[Evento / Mercado]],FIND("vs",base[[#This Row],[Evento / Mercado]])-2)</f>
        <v>Stabæk</v>
      </c>
      <c r="R29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Bryne</v>
      </c>
      <c r="S2968" s="132" t="str">
        <f>LEFT(base[[#This Row],[Evento / Mercado]],FIND("/",base[[#This Row],[Evento / Mercado]])-2)</f>
        <v>Stabæk vs Bryne</v>
      </c>
    </row>
    <row r="2969" spans="2:19" ht="15" customHeight="1">
      <c r="B2969" s="128" t="s">
        <v>3018</v>
      </c>
      <c r="C2969" s="128" t="s">
        <v>2981</v>
      </c>
      <c r="D2969" s="129">
        <v>46200.539479166669</v>
      </c>
      <c r="E2969" s="130">
        <v>-31.25</v>
      </c>
      <c r="F2969" s="136">
        <v>4.4999999999999998E-2</v>
      </c>
      <c r="G2969" s="126">
        <f t="shared" si="63"/>
        <v>-31.25</v>
      </c>
      <c r="H2969" s="126" t="s">
        <v>2743</v>
      </c>
      <c r="I2969" s="127" t="s">
        <v>2744</v>
      </c>
      <c r="J2969" s="126">
        <v>7.4</v>
      </c>
      <c r="K2969" s="126">
        <v>31.25</v>
      </c>
      <c r="L2969" s="129">
        <f>INT(base[[#This Row],[Data de liquidação]])</f>
        <v>46200</v>
      </c>
      <c r="M2969" s="126">
        <f>base[[#This Row],[L/P Bruto]]-base[[#This Row],[L/P Líquido]]</f>
        <v>0</v>
      </c>
      <c r="N2969" s="126">
        <f>base[[#This Row],[L/P Líquido]]/base[[#This Row],[Stake/Responsabilidade]]</f>
        <v>-1</v>
      </c>
      <c r="O2969" s="132">
        <f>IF(base[[#This Row],[L/P Líquido]]&gt;0,1,0)</f>
        <v>0</v>
      </c>
      <c r="P2969" s="132"/>
      <c r="Q2969" s="132" t="str">
        <f>LEFT(base[[#This Row],[Evento / Mercado]],FIND("vs",base[[#This Row],[Evento / Mercado]])-2)</f>
        <v>Operário Ferroviário</v>
      </c>
      <c r="R29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2969" s="132" t="str">
        <f>LEFT(base[[#This Row],[Evento / Mercado]],FIND("/",base[[#This Row],[Evento / Mercado]])-2)</f>
        <v>Operário Ferroviário vs América-MG</v>
      </c>
    </row>
    <row r="2970" spans="2:19" ht="15" customHeight="1">
      <c r="B2970" s="128" t="s">
        <v>3017</v>
      </c>
      <c r="C2970" s="128" t="s">
        <v>2981</v>
      </c>
      <c r="D2970" s="129">
        <v>46200.539687500001</v>
      </c>
      <c r="E2970" s="130">
        <v>74.77</v>
      </c>
      <c r="F2970" s="136">
        <v>4.4999999999999998E-2</v>
      </c>
      <c r="G2970" s="126">
        <f t="shared" si="63"/>
        <v>78.293193717277489</v>
      </c>
      <c r="H2970" s="126" t="s">
        <v>2743</v>
      </c>
      <c r="I2970" s="127" t="s">
        <v>1233</v>
      </c>
      <c r="J2970" s="126">
        <v>3.6</v>
      </c>
      <c r="K2970" s="126">
        <v>199.99</v>
      </c>
      <c r="L2970" s="129">
        <f>INT(base[[#This Row],[Data de liquidação]])</f>
        <v>46200</v>
      </c>
      <c r="M2970" s="126">
        <f>base[[#This Row],[L/P Bruto]]-base[[#This Row],[L/P Líquido]]</f>
        <v>3.5231937172774934</v>
      </c>
      <c r="N2970" s="126">
        <f>base[[#This Row],[L/P Líquido]]/base[[#This Row],[Stake/Responsabilidade]]</f>
        <v>0.37386869343467172</v>
      </c>
      <c r="O2970" s="132">
        <f>IF(base[[#This Row],[L/P Líquido]]&gt;0,1,0)</f>
        <v>1</v>
      </c>
      <c r="P2970" s="132"/>
      <c r="Q2970" s="132" t="str">
        <f>LEFT(base[[#This Row],[Evento / Mercado]],FIND("vs",base[[#This Row],[Evento / Mercado]])-2)</f>
        <v>Operário Ferroviário</v>
      </c>
      <c r="R29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2970" s="132" t="str">
        <f>LEFT(base[[#This Row],[Evento / Mercado]],FIND("/",base[[#This Row],[Evento / Mercado]])-2)</f>
        <v>Operário Ferroviário vs América-MG</v>
      </c>
    </row>
    <row r="2971" spans="2:19" ht="15" customHeight="1">
      <c r="B2971" s="128" t="s">
        <v>3017</v>
      </c>
      <c r="C2971" s="128" t="s">
        <v>2982</v>
      </c>
      <c r="D2971" s="129">
        <v>46200.539687500001</v>
      </c>
      <c r="E2971" s="130">
        <v>14.55</v>
      </c>
      <c r="F2971" s="136">
        <v>4.4999999999999998E-2</v>
      </c>
      <c r="G2971" s="126">
        <f t="shared" si="63"/>
        <v>15.235602094240839</v>
      </c>
      <c r="H2971" s="126" t="s">
        <v>2817</v>
      </c>
      <c r="I2971" s="127" t="s">
        <v>2993</v>
      </c>
      <c r="J2971" s="126">
        <v>5.3</v>
      </c>
      <c r="K2971" s="126">
        <v>74.989999999999995</v>
      </c>
      <c r="L2971" s="129">
        <f>INT(base[[#This Row],[Data de liquidação]])</f>
        <v>46200</v>
      </c>
      <c r="M2971" s="126">
        <f>base[[#This Row],[L/P Bruto]]-base[[#This Row],[L/P Líquido]]</f>
        <v>0.68560209424083851</v>
      </c>
      <c r="N2971" s="126">
        <f>base[[#This Row],[L/P Líquido]]/base[[#This Row],[Stake/Responsabilidade]]</f>
        <v>0.19402587011601549</v>
      </c>
      <c r="O2971" s="132">
        <f>IF(base[[#This Row],[L/P Líquido]]&gt;0,1,0)</f>
        <v>1</v>
      </c>
      <c r="P2971" s="132"/>
      <c r="Q2971" s="132" t="str">
        <f>LEFT(base[[#This Row],[Evento / Mercado]],FIND("vs",base[[#This Row],[Evento / Mercado]])-2)</f>
        <v>Operário Ferroviário</v>
      </c>
      <c r="R29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2971" s="132" t="str">
        <f>LEFT(base[[#This Row],[Evento / Mercado]],FIND("/",base[[#This Row],[Evento / Mercado]])-2)</f>
        <v>Operário Ferroviário vs América-MG</v>
      </c>
    </row>
    <row r="2972" spans="2:19" ht="15" customHeight="1">
      <c r="B2972" s="128" t="s">
        <v>3016</v>
      </c>
      <c r="C2972" s="128" t="s">
        <v>2981</v>
      </c>
      <c r="D2972" s="129">
        <v>46200.619849537034</v>
      </c>
      <c r="E2972" s="130">
        <v>-31.25</v>
      </c>
      <c r="F2972" s="136">
        <v>4.4999999999999998E-2</v>
      </c>
      <c r="G2972" s="126">
        <f t="shared" si="63"/>
        <v>-31.25</v>
      </c>
      <c r="H2972" s="126" t="s">
        <v>2743</v>
      </c>
      <c r="I2972" s="127" t="s">
        <v>2744</v>
      </c>
      <c r="J2972" s="126">
        <v>7.4</v>
      </c>
      <c r="K2972" s="126">
        <v>31.25</v>
      </c>
      <c r="L2972" s="129">
        <f>INT(base[[#This Row],[Data de liquidação]])</f>
        <v>46200</v>
      </c>
      <c r="M2972" s="126">
        <f>base[[#This Row],[L/P Bruto]]-base[[#This Row],[L/P Líquido]]</f>
        <v>0</v>
      </c>
      <c r="N2972" s="126">
        <f>base[[#This Row],[L/P Líquido]]/base[[#This Row],[Stake/Responsabilidade]]</f>
        <v>-1</v>
      </c>
      <c r="O2972" s="132">
        <f>IF(base[[#This Row],[L/P Líquido]]&gt;0,1,0)</f>
        <v>0</v>
      </c>
      <c r="P2972" s="132"/>
      <c r="Q2972" s="132" t="str">
        <f>LEFT(base[[#This Row],[Evento / Mercado]],FIND("vs",base[[#This Row],[Evento / Mercado]])-2)</f>
        <v>TPS</v>
      </c>
      <c r="R29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FF Jaro</v>
      </c>
      <c r="S2972" s="132" t="str">
        <f>LEFT(base[[#This Row],[Evento / Mercado]],FIND("/",base[[#This Row],[Evento / Mercado]])-2)</f>
        <v>TPS vs FF Jaro</v>
      </c>
    </row>
    <row r="2973" spans="2:19" ht="15" customHeight="1">
      <c r="B2973" s="128" t="s">
        <v>3015</v>
      </c>
      <c r="C2973" s="128" t="s">
        <v>2981</v>
      </c>
      <c r="D2973" s="129">
        <v>46200.619942129626</v>
      </c>
      <c r="E2973" s="130">
        <v>-9.92</v>
      </c>
      <c r="F2973" s="136">
        <v>4.4999999999999998E-2</v>
      </c>
      <c r="G2973" s="126">
        <f t="shared" si="63"/>
        <v>-9.92</v>
      </c>
      <c r="H2973" s="126" t="s">
        <v>2743</v>
      </c>
      <c r="I2973" s="127" t="s">
        <v>1233</v>
      </c>
      <c r="J2973" s="126">
        <v>3.75</v>
      </c>
      <c r="K2973" s="126">
        <v>200.01</v>
      </c>
      <c r="L2973" s="129">
        <f>INT(base[[#This Row],[Data de liquidação]])</f>
        <v>46200</v>
      </c>
      <c r="M2973" s="126">
        <f>base[[#This Row],[L/P Bruto]]-base[[#This Row],[L/P Líquido]]</f>
        <v>0</v>
      </c>
      <c r="N2973" s="126">
        <f>base[[#This Row],[L/P Líquido]]/base[[#This Row],[Stake/Responsabilidade]]</f>
        <v>-4.95975201239938E-2</v>
      </c>
      <c r="O2973" s="132">
        <f>IF(base[[#This Row],[L/P Líquido]]&gt;0,1,0)</f>
        <v>0</v>
      </c>
      <c r="P2973" s="132"/>
      <c r="Q2973" s="132" t="str">
        <f>LEFT(base[[#This Row],[Evento / Mercado]],FIND("vs",base[[#This Row],[Evento / Mercado]])-2)</f>
        <v>TPS</v>
      </c>
      <c r="R29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FF Jaro</v>
      </c>
      <c r="S2973" s="132" t="str">
        <f>LEFT(base[[#This Row],[Evento / Mercado]],FIND("/",base[[#This Row],[Evento / Mercado]])-2)</f>
        <v>TPS vs FF Jaro</v>
      </c>
    </row>
    <row r="2974" spans="2:19" ht="15" customHeight="1">
      <c r="B2974" s="128" t="s">
        <v>3015</v>
      </c>
      <c r="C2974" s="128" t="s">
        <v>2982</v>
      </c>
      <c r="D2974" s="129">
        <v>46200.619942129626</v>
      </c>
      <c r="E2974" s="130">
        <v>14.86</v>
      </c>
      <c r="F2974" s="136">
        <v>4.4999999999999998E-2</v>
      </c>
      <c r="G2974" s="126">
        <f t="shared" si="63"/>
        <v>15.560209424083769</v>
      </c>
      <c r="H2974" s="126" t="s">
        <v>2817</v>
      </c>
      <c r="I2974" s="127" t="s">
        <v>2993</v>
      </c>
      <c r="J2974" s="126">
        <v>4.2</v>
      </c>
      <c r="K2974" s="126">
        <v>75.010000000000005</v>
      </c>
      <c r="L2974" s="129">
        <f>INT(base[[#This Row],[Data de liquidação]])</f>
        <v>46200</v>
      </c>
      <c r="M2974" s="126">
        <f>base[[#This Row],[L/P Bruto]]-base[[#This Row],[L/P Líquido]]</f>
        <v>0.70020942408376996</v>
      </c>
      <c r="N2974" s="126">
        <f>base[[#This Row],[L/P Líquido]]/base[[#This Row],[Stake/Responsabilidade]]</f>
        <v>0.19810691907745631</v>
      </c>
      <c r="O2974" s="132">
        <f>IF(base[[#This Row],[L/P Líquido]]&gt;0,1,0)</f>
        <v>1</v>
      </c>
      <c r="P2974" s="132"/>
      <c r="Q2974" s="132" t="str">
        <f>LEFT(base[[#This Row],[Evento / Mercado]],FIND("vs",base[[#This Row],[Evento / Mercado]])-2)</f>
        <v>TPS</v>
      </c>
      <c r="R29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FF Jaro</v>
      </c>
      <c r="S2974" s="132" t="str">
        <f>LEFT(base[[#This Row],[Evento / Mercado]],FIND("/",base[[#This Row],[Evento / Mercado]])-2)</f>
        <v>TPS vs FF Jaro</v>
      </c>
    </row>
    <row r="2975" spans="2:19" ht="15" customHeight="1">
      <c r="B2975" s="128" t="s">
        <v>3037</v>
      </c>
      <c r="C2975" s="128" t="s">
        <v>2982</v>
      </c>
      <c r="D2975" s="129">
        <v>46200.620717592596</v>
      </c>
      <c r="E2975" s="130">
        <v>12.49</v>
      </c>
      <c r="F2975" s="136">
        <v>4.4999999999999998E-2</v>
      </c>
      <c r="G2975" s="126">
        <f t="shared" si="63"/>
        <v>13.078534031413612</v>
      </c>
      <c r="H2975" s="126" t="s">
        <v>2821</v>
      </c>
      <c r="I2975" s="127" t="s">
        <v>476</v>
      </c>
      <c r="J2975" s="126">
        <v>40</v>
      </c>
      <c r="K2975" s="126">
        <v>510.12</v>
      </c>
      <c r="L2975" s="129">
        <f>INT(base[[#This Row],[Data de liquidação]])</f>
        <v>46200</v>
      </c>
      <c r="M2975" s="126">
        <f>base[[#This Row],[L/P Bruto]]-base[[#This Row],[L/P Líquido]]</f>
        <v>0.58853403141361227</v>
      </c>
      <c r="N2975" s="126">
        <f>base[[#This Row],[L/P Líquido]]/base[[#This Row],[Stake/Responsabilidade]]</f>
        <v>2.448443503489375E-2</v>
      </c>
      <c r="O2975" s="132">
        <f>IF(base[[#This Row],[L/P Líquido]]&gt;0,1,0)</f>
        <v>1</v>
      </c>
      <c r="P2975" s="132"/>
      <c r="Q2975" s="132" t="str">
        <f>LEFT(base[[#This Row],[Evento / Mercado]],FIND("vs",base[[#This Row],[Evento / Mercado]])-2)</f>
        <v>Strømsgodset</v>
      </c>
      <c r="R29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Odds Ballklubb</v>
      </c>
      <c r="S2975" s="132" t="str">
        <f>LEFT(base[[#This Row],[Evento / Mercado]],FIND("/",base[[#This Row],[Evento / Mercado]])-2)</f>
        <v>Strømsgodset vs Odds Ballklubb</v>
      </c>
    </row>
    <row r="2976" spans="2:19" ht="15" customHeight="1">
      <c r="B2976" s="128" t="s">
        <v>3014</v>
      </c>
      <c r="C2976" s="128" t="s">
        <v>2981</v>
      </c>
      <c r="D2976" s="129">
        <v>46200.705729166664</v>
      </c>
      <c r="E2976" s="130">
        <v>-14.07</v>
      </c>
      <c r="F2976" s="136">
        <v>4.4999999999999998E-2</v>
      </c>
      <c r="G2976" s="126">
        <f t="shared" si="63"/>
        <v>-14.07</v>
      </c>
      <c r="H2976" s="126" t="s">
        <v>2743</v>
      </c>
      <c r="I2976" s="127" t="s">
        <v>2744</v>
      </c>
      <c r="J2976" s="126">
        <v>7.8</v>
      </c>
      <c r="K2976" s="126">
        <v>29.41</v>
      </c>
      <c r="L2976" s="129">
        <f>INT(base[[#This Row],[Data de liquidação]])</f>
        <v>46200</v>
      </c>
      <c r="M2976" s="126">
        <f>base[[#This Row],[L/P Bruto]]-base[[#This Row],[L/P Líquido]]</f>
        <v>0</v>
      </c>
      <c r="N2976" s="126">
        <f>base[[#This Row],[L/P Líquido]]/base[[#This Row],[Stake/Responsabilidade]]</f>
        <v>-0.47840870452227136</v>
      </c>
      <c r="O2976" s="132">
        <f>IF(base[[#This Row],[L/P Líquido]]&gt;0,1,0)</f>
        <v>0</v>
      </c>
      <c r="P2976" s="132"/>
      <c r="Q2976" s="132" t="str">
        <f>LEFT(base[[#This Row],[Evento / Mercado]],FIND("vs",base[[#This Row],[Evento / Mercado]])-2)</f>
        <v>AC Oulu</v>
      </c>
      <c r="R29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Lahti</v>
      </c>
      <c r="S2976" s="132" t="str">
        <f>LEFT(base[[#This Row],[Evento / Mercado]],FIND("/",base[[#This Row],[Evento / Mercado]])-2)</f>
        <v>AC Oulu vs FC Lahti</v>
      </c>
    </row>
    <row r="2977" spans="2:19" ht="15" customHeight="1">
      <c r="B2977" s="128" t="s">
        <v>3013</v>
      </c>
      <c r="C2977" s="128" t="s">
        <v>2981</v>
      </c>
      <c r="D2977" s="129">
        <v>46200.705925925926</v>
      </c>
      <c r="E2977" s="130">
        <v>-72.44</v>
      </c>
      <c r="F2977" s="136">
        <v>4.4999999999999998E-2</v>
      </c>
      <c r="G2977" s="126">
        <f t="shared" si="63"/>
        <v>-72.44</v>
      </c>
      <c r="H2977" s="126" t="s">
        <v>2743</v>
      </c>
      <c r="I2977" s="127" t="s">
        <v>1233</v>
      </c>
      <c r="J2977" s="126">
        <f>(3.85*166.41+3.8*33.59)/base[[#This Row],[Stake/Responsabilidade]]</f>
        <v>3.8416025</v>
      </c>
      <c r="K2977" s="126">
        <f>166.41+33.59</f>
        <v>200</v>
      </c>
      <c r="L2977" s="129">
        <f>INT(base[[#This Row],[Data de liquidação]])</f>
        <v>46200</v>
      </c>
      <c r="M2977" s="126">
        <f>base[[#This Row],[L/P Bruto]]-base[[#This Row],[L/P Líquido]]</f>
        <v>0</v>
      </c>
      <c r="N2977" s="126">
        <f>base[[#This Row],[L/P Líquido]]/base[[#This Row],[Stake/Responsabilidade]]</f>
        <v>-0.36219999999999997</v>
      </c>
      <c r="O2977" s="132">
        <f>IF(base[[#This Row],[L/P Líquido]]&gt;0,1,0)</f>
        <v>0</v>
      </c>
      <c r="P2977" s="132"/>
      <c r="Q2977" s="132" t="str">
        <f>LEFT(base[[#This Row],[Evento / Mercado]],FIND("vs",base[[#This Row],[Evento / Mercado]])-2)</f>
        <v>AC Oulu</v>
      </c>
      <c r="R29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Lahti</v>
      </c>
      <c r="S2977" s="132" t="str">
        <f>LEFT(base[[#This Row],[Evento / Mercado]],FIND("/",base[[#This Row],[Evento / Mercado]])-2)</f>
        <v>AC Oulu vs FC Lahti</v>
      </c>
    </row>
    <row r="2978" spans="2:19" ht="15" customHeight="1">
      <c r="B2978" s="128" t="s">
        <v>3013</v>
      </c>
      <c r="C2978" s="128" t="s">
        <v>2982</v>
      </c>
      <c r="D2978" s="129">
        <v>46200.705925925926</v>
      </c>
      <c r="E2978" s="130">
        <v>151.55000000000001</v>
      </c>
      <c r="F2978" s="136">
        <v>4.4999999999999998E-2</v>
      </c>
      <c r="G2978" s="126">
        <f t="shared" si="63"/>
        <v>158.6910994764398</v>
      </c>
      <c r="H2978" s="126" t="s">
        <v>2817</v>
      </c>
      <c r="I2978" s="127" t="s">
        <v>2993</v>
      </c>
      <c r="J2978" s="126">
        <f>(3.85+1.4)/2</f>
        <v>2.625</v>
      </c>
      <c r="K2978" s="126">
        <f>75.01+75</f>
        <v>150.01</v>
      </c>
      <c r="L2978" s="129">
        <f>INT(base[[#This Row],[Data de liquidação]])</f>
        <v>46200</v>
      </c>
      <c r="M2978" s="126">
        <f>base[[#This Row],[L/P Bruto]]-base[[#This Row],[L/P Líquido]]</f>
        <v>7.1410994764397913</v>
      </c>
      <c r="N2978" s="126">
        <f>base[[#This Row],[L/P Líquido]]/base[[#This Row],[Stake/Responsabilidade]]</f>
        <v>1.010265982267849</v>
      </c>
      <c r="O2978" s="132">
        <f>IF(base[[#This Row],[L/P Líquido]]&gt;0,1,0)</f>
        <v>1</v>
      </c>
      <c r="P2978" s="132"/>
      <c r="Q2978" s="132" t="str">
        <f>LEFT(base[[#This Row],[Evento / Mercado]],FIND("vs",base[[#This Row],[Evento / Mercado]])-2)</f>
        <v>AC Oulu</v>
      </c>
      <c r="R29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Lahti</v>
      </c>
      <c r="S2978" s="132" t="str">
        <f>LEFT(base[[#This Row],[Evento / Mercado]],FIND("/",base[[#This Row],[Evento / Mercado]])-2)</f>
        <v>AC Oulu vs FC Lahti</v>
      </c>
    </row>
    <row r="2979" spans="2:19" ht="15" customHeight="1">
      <c r="B2979" s="128" t="s">
        <v>3036</v>
      </c>
      <c r="C2979" s="128" t="s">
        <v>2982</v>
      </c>
      <c r="D2979" s="129">
        <v>46200.830393518518</v>
      </c>
      <c r="E2979" s="130">
        <v>19.100000000000001</v>
      </c>
      <c r="F2979" s="136">
        <v>4.4999999999999998E-2</v>
      </c>
      <c r="G2979" s="126">
        <f t="shared" si="63"/>
        <v>20.000000000000004</v>
      </c>
      <c r="H2979" s="126" t="s">
        <v>145</v>
      </c>
      <c r="I2979" s="127" t="s">
        <v>2877</v>
      </c>
      <c r="J2979" s="126">
        <v>21</v>
      </c>
      <c r="K2979" s="126">
        <v>400</v>
      </c>
      <c r="L2979" s="129">
        <f>INT(base[[#This Row],[Data de liquidação]])</f>
        <v>46200</v>
      </c>
      <c r="M2979" s="126">
        <f>base[[#This Row],[L/P Bruto]]-base[[#This Row],[L/P Líquido]]</f>
        <v>0.90000000000000213</v>
      </c>
      <c r="N2979" s="126">
        <f>base[[#This Row],[L/P Líquido]]/base[[#This Row],[Stake/Responsabilidade]]</f>
        <v>4.7750000000000001E-2</v>
      </c>
      <c r="O2979" s="132">
        <f>IF(base[[#This Row],[L/P Líquido]]&gt;0,1,0)</f>
        <v>1</v>
      </c>
      <c r="P2979" s="132" t="s">
        <v>2818</v>
      </c>
      <c r="Q2979" s="132" t="str">
        <f>LEFT(base[[#This Row],[Evento / Mercado]],FIND("vs",base[[#This Row],[Evento / Mercado]])-2)</f>
        <v>Panama</v>
      </c>
      <c r="R29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2979" s="132" t="str">
        <f>LEFT(base[[#This Row],[Evento / Mercado]],FIND("/",base[[#This Row],[Evento / Mercado]])-2)</f>
        <v>Panama vs England</v>
      </c>
    </row>
    <row r="2980" spans="2:19" ht="15" customHeight="1">
      <c r="B2980" s="128" t="s">
        <v>3035</v>
      </c>
      <c r="C2980" s="128" t="s">
        <v>2982</v>
      </c>
      <c r="D2980" s="129">
        <v>46200.832361111112</v>
      </c>
      <c r="E2980" s="130">
        <v>35.65</v>
      </c>
      <c r="F2980" s="136">
        <v>4.4999999999999998E-2</v>
      </c>
      <c r="G2980" s="126">
        <f t="shared" si="63"/>
        <v>37.329842931937172</v>
      </c>
      <c r="H2980" s="126" t="s">
        <v>2821</v>
      </c>
      <c r="I2980" s="127" t="s">
        <v>476</v>
      </c>
      <c r="J2980" s="126">
        <v>16</v>
      </c>
      <c r="K2980" s="126">
        <v>559.95000000000005</v>
      </c>
      <c r="L2980" s="129">
        <f>INT(base[[#This Row],[Data de liquidação]])</f>
        <v>46200</v>
      </c>
      <c r="M2980" s="126">
        <f>base[[#This Row],[L/P Bruto]]-base[[#This Row],[L/P Líquido]]</f>
        <v>1.6798429319371735</v>
      </c>
      <c r="N2980" s="126">
        <f>base[[#This Row],[L/P Líquido]]/base[[#This Row],[Stake/Responsabilidade]]</f>
        <v>6.3666398785605843E-2</v>
      </c>
      <c r="O2980" s="132">
        <f>IF(base[[#This Row],[L/P Líquido]]&gt;0,1,0)</f>
        <v>1</v>
      </c>
      <c r="P2980" s="132"/>
      <c r="Q2980" s="132" t="str">
        <f>LEFT(base[[#This Row],[Evento / Mercado]],FIND("vs",base[[#This Row],[Evento / Mercado]])-2)</f>
        <v>Croatia</v>
      </c>
      <c r="R29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Ghana</v>
      </c>
      <c r="S2980" s="132" t="str">
        <f>LEFT(base[[#This Row],[Evento / Mercado]],FIND("/",base[[#This Row],[Evento / Mercado]])-2)</f>
        <v>Croatia vs Ghana</v>
      </c>
    </row>
    <row r="2981" spans="2:19" ht="15" customHeight="1">
      <c r="B2981" s="128" t="s">
        <v>3034</v>
      </c>
      <c r="C2981" s="128" t="s">
        <v>2982</v>
      </c>
      <c r="D2981" s="129">
        <v>46200.936226851853</v>
      </c>
      <c r="E2981" s="130">
        <v>21.83</v>
      </c>
      <c r="F2981" s="136">
        <v>4.4999999999999998E-2</v>
      </c>
      <c r="G2981" s="126">
        <f t="shared" si="63"/>
        <v>22.858638743455497</v>
      </c>
      <c r="H2981" s="126" t="s">
        <v>2821</v>
      </c>
      <c r="I2981" s="127" t="s">
        <v>542</v>
      </c>
      <c r="J2981" s="126">
        <v>18.5</v>
      </c>
      <c r="K2981" s="126">
        <v>400.05</v>
      </c>
      <c r="L2981" s="129">
        <f>INT(base[[#This Row],[Data de liquidação]])</f>
        <v>46200</v>
      </c>
      <c r="M2981" s="126">
        <f>base[[#This Row],[L/P Bruto]]-base[[#This Row],[L/P Líquido]]</f>
        <v>1.0286387434554989</v>
      </c>
      <c r="N2981" s="126">
        <f>base[[#This Row],[L/P Líquido]]/base[[#This Row],[Stake/Responsabilidade]]</f>
        <v>5.4568178977627793E-2</v>
      </c>
      <c r="O2981" s="132">
        <f>IF(base[[#This Row],[L/P Líquido]]&gt;0,1,0)</f>
        <v>1</v>
      </c>
      <c r="P2981" s="132"/>
      <c r="Q2981" s="132" t="str">
        <f>LEFT(base[[#This Row],[Evento / Mercado]],FIND("vs",base[[#This Row],[Evento / Mercado]])-2)</f>
        <v>Colombia</v>
      </c>
      <c r="R29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Portugal</v>
      </c>
      <c r="S2981" s="132" t="str">
        <f>LEFT(base[[#This Row],[Evento / Mercado]],FIND("/",base[[#This Row],[Evento / Mercado]])-2)</f>
        <v>Colombia vs Portugal</v>
      </c>
    </row>
    <row r="2982" spans="2:19" ht="15" customHeight="1">
      <c r="B2982" s="128" t="s">
        <v>3033</v>
      </c>
      <c r="C2982" s="128" t="s">
        <v>2982</v>
      </c>
      <c r="D2982" s="129">
        <v>46201.372604166667</v>
      </c>
      <c r="E2982" s="130">
        <v>0.52</v>
      </c>
      <c r="F2982" s="136">
        <v>4.4999999999999998E-2</v>
      </c>
      <c r="G2982" s="126">
        <f t="shared" si="63"/>
        <v>0.54450261780104714</v>
      </c>
      <c r="H2982" s="126" t="s">
        <v>1339</v>
      </c>
      <c r="I2982" s="127" t="s">
        <v>2471</v>
      </c>
      <c r="J2982" s="126">
        <v>1.25</v>
      </c>
      <c r="K2982" s="126">
        <v>5</v>
      </c>
      <c r="L2982" s="129">
        <f>INT(base[[#This Row],[Data de liquidação]])</f>
        <v>46201</v>
      </c>
      <c r="M2982" s="126">
        <f>base[[#This Row],[L/P Bruto]]-base[[#This Row],[L/P Líquido]]</f>
        <v>2.4502617801047122E-2</v>
      </c>
      <c r="N2982" s="126">
        <f>base[[#This Row],[L/P Líquido]]/base[[#This Row],[Stake/Responsabilidade]]</f>
        <v>0.10400000000000001</v>
      </c>
      <c r="O2982" s="132">
        <f>IF(base[[#This Row],[L/P Líquido]]&gt;0,1,0)</f>
        <v>1</v>
      </c>
      <c r="P2982" s="132"/>
      <c r="Q2982" s="132" t="str">
        <f>LEFT(base[[#This Row],[Evento / Mercado]],FIND("vs",base[[#This Row],[Evento / Mercado]])-2)</f>
        <v>Qingdao West Coast</v>
      </c>
      <c r="R29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2982" s="132" t="str">
        <f>LEFT(base[[#This Row],[Evento / Mercado]],FIND("/",base[[#This Row],[Evento / Mercado]])-2)</f>
        <v>Qingdao West Coast vs Zhejiang Professional</v>
      </c>
    </row>
    <row r="2983" spans="2:19" ht="15" customHeight="1">
      <c r="B2983" s="128" t="s">
        <v>3006</v>
      </c>
      <c r="C2983" s="128" t="s">
        <v>2982</v>
      </c>
      <c r="D2983" s="129">
        <v>46201.49695601852</v>
      </c>
      <c r="E2983" s="130">
        <v>-420.05</v>
      </c>
      <c r="F2983" s="136">
        <v>4.4999999999999998E-2</v>
      </c>
      <c r="G2983" s="126">
        <f t="shared" si="63"/>
        <v>-420.05</v>
      </c>
      <c r="H2983" s="126" t="s">
        <v>2821</v>
      </c>
      <c r="I2983" s="127" t="s">
        <v>476</v>
      </c>
      <c r="J2983" s="126">
        <v>32</v>
      </c>
      <c r="K2983" s="126">
        <v>420.05</v>
      </c>
      <c r="L2983" s="129">
        <f>INT(base[[#This Row],[Data de liquidação]])</f>
        <v>46201</v>
      </c>
      <c r="M2983" s="126">
        <f>base[[#This Row],[L/P Bruto]]-base[[#This Row],[L/P Líquido]]</f>
        <v>0</v>
      </c>
      <c r="N2983" s="126">
        <f>base[[#This Row],[L/P Líquido]]/base[[#This Row],[Stake/Responsabilidade]]</f>
        <v>-1</v>
      </c>
      <c r="O2983" s="132">
        <f>IF(base[[#This Row],[L/P Líquido]]&gt;0,1,0)</f>
        <v>0</v>
      </c>
      <c r="P2983" s="132"/>
      <c r="Q2983" s="132" t="str">
        <f>LEFT(base[[#This Row],[Evento / Mercado]],FIND("vs",base[[#This Row],[Evento / Mercado]])-2)</f>
        <v>IFK Norrköping</v>
      </c>
      <c r="R29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983" s="132" t="str">
        <f>LEFT(base[[#This Row],[Evento / Mercado]],FIND("/",base[[#This Row],[Evento / Mercado]])-2)</f>
        <v>IFK Norrköping vs Norrby IF</v>
      </c>
    </row>
    <row r="2984" spans="2:19" ht="15" customHeight="1">
      <c r="B2984" s="128" t="s">
        <v>3006</v>
      </c>
      <c r="C2984" s="128" t="s">
        <v>2980</v>
      </c>
      <c r="D2984" s="129">
        <v>46201.497071759259</v>
      </c>
      <c r="E2984" s="130">
        <v>-21.05</v>
      </c>
      <c r="F2984" s="136">
        <v>4.4999999999999998E-2</v>
      </c>
      <c r="G2984" s="126">
        <f t="shared" si="63"/>
        <v>-21.05</v>
      </c>
      <c r="H2984" s="126" t="s">
        <v>2743</v>
      </c>
      <c r="I2984" s="127" t="s">
        <v>2744</v>
      </c>
      <c r="J2984" s="126">
        <v>10.5</v>
      </c>
      <c r="K2984" s="126">
        <v>21.05</v>
      </c>
      <c r="L2984" s="129">
        <f>INT(base[[#This Row],[Data de liquidação]])</f>
        <v>46201</v>
      </c>
      <c r="M2984" s="126">
        <f>base[[#This Row],[L/P Bruto]]-base[[#This Row],[L/P Líquido]]</f>
        <v>0</v>
      </c>
      <c r="N2984" s="126">
        <f>base[[#This Row],[L/P Líquido]]/base[[#This Row],[Stake/Responsabilidade]]</f>
        <v>-1</v>
      </c>
      <c r="O2984" s="132">
        <f>IF(base[[#This Row],[L/P Líquido]]&gt;0,1,0)</f>
        <v>0</v>
      </c>
      <c r="P2984" s="132"/>
      <c r="Q2984" s="132" t="str">
        <f>LEFT(base[[#This Row],[Evento / Mercado]],FIND("vs",base[[#This Row],[Evento / Mercado]])-2)</f>
        <v>IFK Norrköping</v>
      </c>
      <c r="R29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984" s="132" t="str">
        <f>LEFT(base[[#This Row],[Evento / Mercado]],FIND("/",base[[#This Row],[Evento / Mercado]])-2)</f>
        <v>IFK Norrköping vs Norrby IF</v>
      </c>
    </row>
    <row r="2985" spans="2:19" ht="15" customHeight="1">
      <c r="B2985" s="128" t="s">
        <v>3005</v>
      </c>
      <c r="C2985" s="128" t="s">
        <v>2981</v>
      </c>
      <c r="D2985" s="129">
        <v>46201.497071759259</v>
      </c>
      <c r="E2985" s="130">
        <v>-399.98</v>
      </c>
      <c r="F2985" s="136">
        <v>4.4999999999999998E-2</v>
      </c>
      <c r="G2985" s="126">
        <f t="shared" si="63"/>
        <v>-399.98</v>
      </c>
      <c r="H2985" s="126" t="s">
        <v>145</v>
      </c>
      <c r="I2985" s="127" t="s">
        <v>301</v>
      </c>
      <c r="J2985" s="126">
        <v>7.8</v>
      </c>
      <c r="K2985" s="126">
        <v>399.98</v>
      </c>
      <c r="L2985" s="129">
        <f>INT(base[[#This Row],[Data de liquidação]])</f>
        <v>46201</v>
      </c>
      <c r="M2985" s="126">
        <f>base[[#This Row],[L/P Bruto]]-base[[#This Row],[L/P Líquido]]</f>
        <v>0</v>
      </c>
      <c r="N2985" s="126">
        <f>base[[#This Row],[L/P Líquido]]/base[[#This Row],[Stake/Responsabilidade]]</f>
        <v>-1</v>
      </c>
      <c r="O2985" s="132">
        <f>IF(base[[#This Row],[L/P Líquido]]&gt;0,1,0)</f>
        <v>0</v>
      </c>
      <c r="P2985" s="132" t="s">
        <v>2065</v>
      </c>
      <c r="Q2985" s="132" t="str">
        <f>LEFT(base[[#This Row],[Evento / Mercado]],FIND("vs",base[[#This Row],[Evento / Mercado]])-2)</f>
        <v>IFK Norrköping</v>
      </c>
      <c r="R29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985" s="132" t="str">
        <f>LEFT(base[[#This Row],[Evento / Mercado]],FIND("/",base[[#This Row],[Evento / Mercado]])-2)</f>
        <v>IFK Norrköping vs Norrby IF</v>
      </c>
    </row>
    <row r="2986" spans="2:19" ht="15" customHeight="1">
      <c r="B2986" s="128" t="s">
        <v>3005</v>
      </c>
      <c r="C2986" s="128" t="s">
        <v>2982</v>
      </c>
      <c r="D2986" s="129">
        <v>46201.497071759259</v>
      </c>
      <c r="E2986" s="130">
        <v>-147.13</v>
      </c>
      <c r="F2986" s="136">
        <v>4.4999999999999998E-2</v>
      </c>
      <c r="G2986" s="126">
        <f t="shared" si="63"/>
        <v>-147.13</v>
      </c>
      <c r="H2986" s="126" t="s">
        <v>2817</v>
      </c>
      <c r="I2986" s="127" t="s">
        <v>2992</v>
      </c>
      <c r="J2986" s="126">
        <f>(7.8*75+3.5*72.13)/base[[#This Row],[Stake/Responsabilidade]]</f>
        <v>5.6919391014748859</v>
      </c>
      <c r="K2986" s="126">
        <f>75+72.13</f>
        <v>147.13</v>
      </c>
      <c r="L2986" s="129">
        <f>INT(base[[#This Row],[Data de liquidação]])</f>
        <v>46201</v>
      </c>
      <c r="M2986" s="126">
        <f>base[[#This Row],[L/P Bruto]]-base[[#This Row],[L/P Líquido]]</f>
        <v>0</v>
      </c>
      <c r="N2986" s="126">
        <f>base[[#This Row],[L/P Líquido]]/base[[#This Row],[Stake/Responsabilidade]]</f>
        <v>-1</v>
      </c>
      <c r="O2986" s="132">
        <f>IF(base[[#This Row],[L/P Líquido]]&gt;0,1,0)</f>
        <v>0</v>
      </c>
      <c r="P2986" s="132"/>
      <c r="Q2986" s="132" t="str">
        <f>LEFT(base[[#This Row],[Evento / Mercado]],FIND("vs",base[[#This Row],[Evento / Mercado]])-2)</f>
        <v>IFK Norrköping</v>
      </c>
      <c r="R29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986" s="132" t="str">
        <f>LEFT(base[[#This Row],[Evento / Mercado]],FIND("/",base[[#This Row],[Evento / Mercado]])-2)</f>
        <v>IFK Norrköping vs Norrby IF</v>
      </c>
    </row>
    <row r="2987" spans="2:19" ht="15" customHeight="1">
      <c r="B2987" s="128" t="s">
        <v>3005</v>
      </c>
      <c r="C2987" s="128" t="s">
        <v>2982</v>
      </c>
      <c r="D2987" s="129">
        <v>46201.497071759259</v>
      </c>
      <c r="E2987" s="130">
        <v>-29.680000000000007</v>
      </c>
      <c r="F2987" s="136">
        <v>4.4999999999999998E-2</v>
      </c>
      <c r="G2987" s="126">
        <f t="shared" si="63"/>
        <v>-29.680000000000007</v>
      </c>
      <c r="H2987" s="126" t="s">
        <v>1339</v>
      </c>
      <c r="I2987" s="127" t="s">
        <v>1446</v>
      </c>
      <c r="J2987" s="126">
        <v>2.92</v>
      </c>
      <c r="K2987" s="126">
        <v>29.68</v>
      </c>
      <c r="L2987" s="129">
        <f>INT(base[[#This Row],[Data de liquidação]])</f>
        <v>46201</v>
      </c>
      <c r="M2987" s="126">
        <f>base[[#This Row],[L/P Bruto]]-base[[#This Row],[L/P Líquido]]</f>
        <v>0</v>
      </c>
      <c r="N2987" s="126">
        <f>base[[#This Row],[L/P Líquido]]/base[[#This Row],[Stake/Responsabilidade]]</f>
        <v>-1.0000000000000002</v>
      </c>
      <c r="O2987" s="132">
        <f>IF(base[[#This Row],[L/P Líquido]]&gt;0,1,0)</f>
        <v>0</v>
      </c>
      <c r="P2987" s="132"/>
      <c r="Q2987" s="132" t="str">
        <f>LEFT(base[[#This Row],[Evento / Mercado]],FIND("vs",base[[#This Row],[Evento / Mercado]])-2)</f>
        <v>IFK Norrköping</v>
      </c>
      <c r="R29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987" s="132" t="str">
        <f>LEFT(base[[#This Row],[Evento / Mercado]],FIND("/",base[[#This Row],[Evento / Mercado]])-2)</f>
        <v>IFK Norrköping vs Norrby IF</v>
      </c>
    </row>
    <row r="2988" spans="2:19" ht="15" customHeight="1">
      <c r="B2988" s="128" t="s">
        <v>3005</v>
      </c>
      <c r="C2988" s="128" t="s">
        <v>2980</v>
      </c>
      <c r="D2988" s="129">
        <v>46201.497083333335</v>
      </c>
      <c r="E2988" s="130">
        <v>45.48</v>
      </c>
      <c r="F2988" s="136">
        <v>4.4999999999999998E-2</v>
      </c>
      <c r="G2988" s="126">
        <f t="shared" si="63"/>
        <v>47.623036649214662</v>
      </c>
      <c r="H2988" s="126" t="s">
        <v>2743</v>
      </c>
      <c r="I2988" s="127" t="s">
        <v>1233</v>
      </c>
      <c r="J2988" s="126">
        <v>5.2</v>
      </c>
      <c r="K2988" s="126">
        <f>166.4+33.6</f>
        <v>200</v>
      </c>
      <c r="L2988" s="129">
        <f>INT(base[[#This Row],[Data de liquidação]])</f>
        <v>46201</v>
      </c>
      <c r="M2988" s="126">
        <f>base[[#This Row],[L/P Bruto]]-base[[#This Row],[L/P Líquido]]</f>
        <v>2.1430366492146646</v>
      </c>
      <c r="N2988" s="126">
        <f>base[[#This Row],[L/P Líquido]]/base[[#This Row],[Stake/Responsabilidade]]</f>
        <v>0.22739999999999999</v>
      </c>
      <c r="O2988" s="132">
        <f>IF(base[[#This Row],[L/P Líquido]]&gt;0,1,0)</f>
        <v>1</v>
      </c>
      <c r="P2988" s="132"/>
      <c r="Q2988" s="132" t="str">
        <f>LEFT(base[[#This Row],[Evento / Mercado]],FIND("vs",base[[#This Row],[Evento / Mercado]])-2)</f>
        <v>IFK Norrköping</v>
      </c>
      <c r="R29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988" s="132" t="str">
        <f>LEFT(base[[#This Row],[Evento / Mercado]],FIND("/",base[[#This Row],[Evento / Mercado]])-2)</f>
        <v>IFK Norrköping vs Norrby IF</v>
      </c>
    </row>
    <row r="2989" spans="2:19" ht="15" customHeight="1">
      <c r="B2989" s="128" t="s">
        <v>3032</v>
      </c>
      <c r="C2989" s="128" t="s">
        <v>2982</v>
      </c>
      <c r="D2989" s="129">
        <v>46201.497083333335</v>
      </c>
      <c r="E2989" s="130">
        <v>-97.78</v>
      </c>
      <c r="F2989" s="136">
        <v>4.4999999999999998E-2</v>
      </c>
      <c r="G2989" s="126">
        <f t="shared" si="63"/>
        <v>-97.78</v>
      </c>
      <c r="H2989" s="126" t="s">
        <v>3004</v>
      </c>
      <c r="I2989" s="127" t="s">
        <v>302</v>
      </c>
      <c r="J2989" s="126">
        <v>1.33</v>
      </c>
      <c r="K2989" s="126">
        <v>50</v>
      </c>
      <c r="L2989" s="129">
        <f>INT(base[[#This Row],[Data de liquidação]])</f>
        <v>46201</v>
      </c>
      <c r="M2989" s="126">
        <f>base[[#This Row],[L/P Bruto]]-base[[#This Row],[L/P Líquido]]</f>
        <v>0</v>
      </c>
      <c r="N2989" s="126">
        <f>base[[#This Row],[L/P Líquido]]/base[[#This Row],[Stake/Responsabilidade]]</f>
        <v>-1.9556</v>
      </c>
      <c r="O2989" s="132">
        <f>IF(base[[#This Row],[L/P Líquido]]&gt;0,1,0)</f>
        <v>0</v>
      </c>
      <c r="P2989" s="132"/>
      <c r="Q2989" s="132" t="str">
        <f>LEFT(base[[#This Row],[Evento / Mercado]],FIND("vs",base[[#This Row],[Evento / Mercado]])-2)</f>
        <v>IFK Norrköping</v>
      </c>
      <c r="R29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989" s="132" t="str">
        <f>LEFT(base[[#This Row],[Evento / Mercado]],FIND("/",base[[#This Row],[Evento / Mercado]])-2)</f>
        <v>IFK Norrköping vs Norrby IF</v>
      </c>
    </row>
    <row r="2990" spans="2:19" ht="15" customHeight="1">
      <c r="B2990" s="128" t="s">
        <v>3031</v>
      </c>
      <c r="C2990" s="128" t="s">
        <v>2982</v>
      </c>
      <c r="D2990" s="129">
        <v>46201.679814814815</v>
      </c>
      <c r="E2990" s="130">
        <v>1.18</v>
      </c>
      <c r="F2990" s="136">
        <v>4.4999999999999998E-2</v>
      </c>
      <c r="G2990" s="126">
        <f t="shared" si="63"/>
        <v>1.2356020942408377</v>
      </c>
      <c r="H2990" s="126" t="s">
        <v>1339</v>
      </c>
      <c r="I2990" s="127" t="s">
        <v>1448</v>
      </c>
      <c r="J2990" s="126">
        <v>1.62</v>
      </c>
      <c r="K2990" s="126">
        <v>2</v>
      </c>
      <c r="L2990" s="129">
        <f>INT(base[[#This Row],[Data de liquidação]])</f>
        <v>46201</v>
      </c>
      <c r="M2990" s="126">
        <f>base[[#This Row],[L/P Bruto]]-base[[#This Row],[L/P Líquido]]</f>
        <v>5.5602094240837729E-2</v>
      </c>
      <c r="N2990" s="126">
        <f>base[[#This Row],[L/P Líquido]]/base[[#This Row],[Stake/Responsabilidade]]</f>
        <v>0.59</v>
      </c>
      <c r="O2990" s="132">
        <f>IF(base[[#This Row],[L/P Líquido]]&gt;0,1,0)</f>
        <v>1</v>
      </c>
      <c r="P2990" s="132"/>
      <c r="Q2990" s="132" t="str">
        <f>LEFT(base[[#This Row],[Evento / Mercado]],FIND("vs",base[[#This Row],[Evento / Mercado]])-2)</f>
        <v>Atlético Goianiense</v>
      </c>
      <c r="R29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2990" s="132" t="str">
        <f>LEFT(base[[#This Row],[Evento / Mercado]],FIND("/",base[[#This Row],[Evento / Mercado]])-2)</f>
        <v>Atlético Goianiense vs Atlética Ponte Preta</v>
      </c>
    </row>
    <row r="2991" spans="2:19" ht="15" customHeight="1">
      <c r="B2991" s="128" t="s">
        <v>3030</v>
      </c>
      <c r="C2991" s="128" t="s">
        <v>2982</v>
      </c>
      <c r="D2991" s="129">
        <v>46201.745416666665</v>
      </c>
      <c r="E2991" s="130">
        <v>48.67</v>
      </c>
      <c r="F2991" s="136">
        <v>4.4999999999999998E-2</v>
      </c>
      <c r="G2991" s="126">
        <f t="shared" si="63"/>
        <v>50.963350785340317</v>
      </c>
      <c r="H2991" s="126" t="s">
        <v>3004</v>
      </c>
      <c r="I2991" s="127" t="s">
        <v>1447</v>
      </c>
      <c r="J2991" s="126">
        <v>1.53</v>
      </c>
      <c r="K2991" s="126">
        <v>50.96</v>
      </c>
      <c r="L2991" s="129">
        <f>INT(base[[#This Row],[Data de liquidação]])</f>
        <v>46201</v>
      </c>
      <c r="M2991" s="126">
        <f>base[[#This Row],[L/P Bruto]]-base[[#This Row],[L/P Líquido]]</f>
        <v>2.2933507853403157</v>
      </c>
      <c r="N2991" s="126">
        <f>base[[#This Row],[L/P Líquido]]/base[[#This Row],[Stake/Responsabilidade]]</f>
        <v>0.9550627943485086</v>
      </c>
      <c r="O2991" s="132">
        <f>IF(base[[#This Row],[L/P Líquido]]&gt;0,1,0)</f>
        <v>1</v>
      </c>
      <c r="P2991" s="132"/>
      <c r="Q2991" s="132" t="str">
        <f>LEFT(base[[#This Row],[Evento / Mercado]],FIND("vs",base[[#This Row],[Evento / Mercado]])-2)</f>
        <v>Athletic Club MG</v>
      </c>
      <c r="R29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2991" s="132" t="str">
        <f>LEFT(base[[#This Row],[Evento / Mercado]],FIND("/",base[[#This Row],[Evento / Mercado]])-2)</f>
        <v>Athletic Club MG vs Avaí FC</v>
      </c>
    </row>
    <row r="2992" spans="2:19" ht="15" customHeight="1">
      <c r="B2992" s="128" t="s">
        <v>3012</v>
      </c>
      <c r="C2992" s="128" t="s">
        <v>2981</v>
      </c>
      <c r="D2992" s="129">
        <v>46201.747777777775</v>
      </c>
      <c r="E2992" s="130">
        <v>-33.33</v>
      </c>
      <c r="F2992" s="136">
        <v>4.4999999999999998E-2</v>
      </c>
      <c r="G2992" s="126">
        <f t="shared" si="63"/>
        <v>-33.33</v>
      </c>
      <c r="H2992" s="126" t="s">
        <v>2743</v>
      </c>
      <c r="I2992" s="127" t="s">
        <v>2744</v>
      </c>
      <c r="J2992" s="126">
        <v>7</v>
      </c>
      <c r="K2992" s="126">
        <v>33.33</v>
      </c>
      <c r="L2992" s="129">
        <f>INT(base[[#This Row],[Data de liquidação]])</f>
        <v>46201</v>
      </c>
      <c r="M2992" s="126">
        <f>base[[#This Row],[L/P Bruto]]-base[[#This Row],[L/P Líquido]]</f>
        <v>0</v>
      </c>
      <c r="N2992" s="126">
        <f>base[[#This Row],[L/P Líquido]]/base[[#This Row],[Stake/Responsabilidade]]</f>
        <v>-1</v>
      </c>
      <c r="O2992" s="132">
        <f>IF(base[[#This Row],[L/P Líquido]]&gt;0,1,0)</f>
        <v>0</v>
      </c>
      <c r="P2992" s="132"/>
      <c r="Q2992" s="132" t="str">
        <f>LEFT(base[[#This Row],[Evento / Mercado]],FIND("vs",base[[#This Row],[Evento / Mercado]])-2)</f>
        <v>EC Juventude</v>
      </c>
      <c r="R29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Ceará SC</v>
      </c>
      <c r="S2992" s="132" t="str">
        <f>LEFT(base[[#This Row],[Evento / Mercado]],FIND("/",base[[#This Row],[Evento / Mercado]])-2)</f>
        <v>EC Juventude vs Ceará SC</v>
      </c>
    </row>
    <row r="2993" spans="2:19" ht="15" customHeight="1">
      <c r="B2993" s="128" t="s">
        <v>3029</v>
      </c>
      <c r="C2993" s="128" t="s">
        <v>2982</v>
      </c>
      <c r="D2993" s="129">
        <v>46201.747847222221</v>
      </c>
      <c r="E2993" s="130">
        <v>26.35</v>
      </c>
      <c r="F2993" s="136">
        <v>4.4999999999999998E-2</v>
      </c>
      <c r="G2993" s="126">
        <f t="shared" si="63"/>
        <v>27.591623036649217</v>
      </c>
      <c r="H2993" s="126" t="s">
        <v>2821</v>
      </c>
      <c r="I2993" s="127" t="s">
        <v>542</v>
      </c>
      <c r="J2993" s="126">
        <v>15.5</v>
      </c>
      <c r="K2993" s="126">
        <v>400.06</v>
      </c>
      <c r="L2993" s="129">
        <f>INT(base[[#This Row],[Data de liquidação]])</f>
        <v>46201</v>
      </c>
      <c r="M2993" s="126">
        <f>base[[#This Row],[L/P Bruto]]-base[[#This Row],[L/P Líquido]]</f>
        <v>1.2416230366492158</v>
      </c>
      <c r="N2993" s="126">
        <f>base[[#This Row],[L/P Líquido]]/base[[#This Row],[Stake/Responsabilidade]]</f>
        <v>6.586512023196521E-2</v>
      </c>
      <c r="O2993" s="132">
        <f>IF(base[[#This Row],[L/P Líquido]]&gt;0,1,0)</f>
        <v>1</v>
      </c>
      <c r="P2993" s="132"/>
      <c r="Q2993" s="132" t="str">
        <f>LEFT(base[[#This Row],[Evento / Mercado]],FIND("vs",base[[#This Row],[Evento / Mercado]])-2)</f>
        <v>South Africa</v>
      </c>
      <c r="R29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Canada</v>
      </c>
      <c r="S2993" s="132" t="str">
        <f>LEFT(base[[#This Row],[Evento / Mercado]],FIND("/",base[[#This Row],[Evento / Mercado]])-2)</f>
        <v>South Africa vs Canada</v>
      </c>
    </row>
    <row r="2994" spans="2:19" ht="15" customHeight="1">
      <c r="B2994" s="128" t="s">
        <v>3011</v>
      </c>
      <c r="C2994" s="128" t="s">
        <v>2981</v>
      </c>
      <c r="D2994" s="129">
        <v>46201.747893518521</v>
      </c>
      <c r="E2994" s="130">
        <v>65.290000000000006</v>
      </c>
      <c r="F2994" s="136">
        <v>4.4999999999999998E-2</v>
      </c>
      <c r="G2994" s="126">
        <f t="shared" si="63"/>
        <v>68.366492146596869</v>
      </c>
      <c r="H2994" s="126" t="s">
        <v>2743</v>
      </c>
      <c r="I2994" s="127" t="s">
        <v>1233</v>
      </c>
      <c r="J2994" s="126">
        <v>3.3</v>
      </c>
      <c r="K2994" s="126">
        <v>200.01</v>
      </c>
      <c r="L2994" s="129">
        <f>INT(base[[#This Row],[Data de liquidação]])</f>
        <v>46201</v>
      </c>
      <c r="M2994" s="126">
        <f>base[[#This Row],[L/P Bruto]]-base[[#This Row],[L/P Líquido]]</f>
        <v>3.0764921465968627</v>
      </c>
      <c r="N2994" s="126">
        <f>base[[#This Row],[L/P Líquido]]/base[[#This Row],[Stake/Responsabilidade]]</f>
        <v>0.32643367831608422</v>
      </c>
      <c r="O2994" s="132">
        <f>IF(base[[#This Row],[L/P Líquido]]&gt;0,1,0)</f>
        <v>1</v>
      </c>
      <c r="P2994" s="132"/>
      <c r="Q2994" s="132" t="str">
        <f>LEFT(base[[#This Row],[Evento / Mercado]],FIND("vs",base[[#This Row],[Evento / Mercado]])-2)</f>
        <v>EC Juventude</v>
      </c>
      <c r="R29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Ceará SC</v>
      </c>
      <c r="S2994" s="132" t="str">
        <f>LEFT(base[[#This Row],[Evento / Mercado]],FIND("/",base[[#This Row],[Evento / Mercado]])-2)</f>
        <v>EC Juventude vs Ceará SC</v>
      </c>
    </row>
    <row r="2995" spans="2:19" ht="15" customHeight="1">
      <c r="B2995" s="128" t="s">
        <v>3011</v>
      </c>
      <c r="C2995" s="128" t="s">
        <v>2982</v>
      </c>
      <c r="D2995" s="129">
        <v>46201.747893518521</v>
      </c>
      <c r="E2995" s="130">
        <v>14.33</v>
      </c>
      <c r="F2995" s="136">
        <v>4.4999999999999998E-2</v>
      </c>
      <c r="G2995" s="126">
        <f t="shared" si="63"/>
        <v>15.005235602094242</v>
      </c>
      <c r="H2995" s="126" t="s">
        <v>2817</v>
      </c>
      <c r="I2995" s="127" t="s">
        <v>2993</v>
      </c>
      <c r="J2995" s="126">
        <v>4.5</v>
      </c>
      <c r="K2995" s="126">
        <v>75.010000000000005</v>
      </c>
      <c r="L2995" s="129">
        <f>INT(base[[#This Row],[Data de liquidação]])</f>
        <v>46201</v>
      </c>
      <c r="M2995" s="126">
        <f>base[[#This Row],[L/P Bruto]]-base[[#This Row],[L/P Líquido]]</f>
        <v>0.67523560209424183</v>
      </c>
      <c r="N2995" s="126">
        <f>base[[#This Row],[L/P Líquido]]/base[[#This Row],[Stake/Responsabilidade]]</f>
        <v>0.19104119450739901</v>
      </c>
      <c r="O2995" s="132">
        <f>IF(base[[#This Row],[L/P Líquido]]&gt;0,1,0)</f>
        <v>1</v>
      </c>
      <c r="P2995" s="132"/>
      <c r="Q2995" s="132" t="str">
        <f>LEFT(base[[#This Row],[Evento / Mercado]],FIND("vs",base[[#This Row],[Evento / Mercado]])-2)</f>
        <v>EC Juventude</v>
      </c>
      <c r="R29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Ceará SC</v>
      </c>
      <c r="S2995" s="132" t="str">
        <f>LEFT(base[[#This Row],[Evento / Mercado]],FIND("/",base[[#This Row],[Evento / Mercado]])-2)</f>
        <v>EC Juventude vs Ceará SC</v>
      </c>
    </row>
    <row r="2996" spans="2:19" ht="15" customHeight="1">
      <c r="B2996" s="128" t="s">
        <v>3010</v>
      </c>
      <c r="C2996" s="128" t="s">
        <v>2981</v>
      </c>
      <c r="D2996" s="129">
        <v>46201.748159722221</v>
      </c>
      <c r="E2996" s="130">
        <v>-22.22</v>
      </c>
      <c r="F2996" s="136">
        <v>4.4999999999999998E-2</v>
      </c>
      <c r="G2996" s="126">
        <f t="shared" si="63"/>
        <v>-22.22</v>
      </c>
      <c r="H2996" s="126" t="s">
        <v>2743</v>
      </c>
      <c r="I2996" s="127" t="s">
        <v>2744</v>
      </c>
      <c r="J2996" s="126">
        <v>10</v>
      </c>
      <c r="K2996" s="126">
        <v>22.22</v>
      </c>
      <c r="L2996" s="129">
        <f>INT(base[[#This Row],[Data de liquidação]])</f>
        <v>46201</v>
      </c>
      <c r="M2996" s="126">
        <f>base[[#This Row],[L/P Bruto]]-base[[#This Row],[L/P Líquido]]</f>
        <v>0</v>
      </c>
      <c r="N2996" s="126">
        <f>base[[#This Row],[L/P Líquido]]/base[[#This Row],[Stake/Responsabilidade]]</f>
        <v>-1</v>
      </c>
      <c r="O2996" s="132">
        <f>IF(base[[#This Row],[L/P Líquido]]&gt;0,1,0)</f>
        <v>0</v>
      </c>
      <c r="P2996" s="132"/>
      <c r="Q2996" s="132" t="str">
        <f>LEFT(base[[#This Row],[Evento / Mercado]],FIND("vs",base[[#This Row],[Evento / Mercado]])-2)</f>
        <v>Atlético Goianiense</v>
      </c>
      <c r="R29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2996" s="132" t="str">
        <f>LEFT(base[[#This Row],[Evento / Mercado]],FIND("/",base[[#This Row],[Evento / Mercado]])-2)</f>
        <v>Atlético Goianiense vs Atlética Ponte Preta</v>
      </c>
    </row>
    <row r="2997" spans="2:19" ht="15" customHeight="1">
      <c r="B2997" s="128" t="s">
        <v>3010</v>
      </c>
      <c r="C2997" s="128" t="s">
        <v>2982</v>
      </c>
      <c r="D2997" s="129">
        <v>46201.748159722221</v>
      </c>
      <c r="E2997" s="130">
        <v>16.43</v>
      </c>
      <c r="F2997" s="136">
        <v>4.4999999999999998E-2</v>
      </c>
      <c r="G2997" s="126">
        <f t="shared" si="63"/>
        <v>17.204188481675391</v>
      </c>
      <c r="H2997" s="126" t="s">
        <v>2761</v>
      </c>
      <c r="I2997" s="127" t="s">
        <v>476</v>
      </c>
      <c r="J2997" s="126">
        <v>26</v>
      </c>
      <c r="K2997" s="126">
        <v>430</v>
      </c>
      <c r="L2997" s="129">
        <f>INT(base[[#This Row],[Data de liquidação]])</f>
        <v>46201</v>
      </c>
      <c r="M2997" s="126">
        <f>base[[#This Row],[L/P Bruto]]-base[[#This Row],[L/P Líquido]]</f>
        <v>0.77418848167539167</v>
      </c>
      <c r="N2997" s="126">
        <f>base[[#This Row],[L/P Líquido]]/base[[#This Row],[Stake/Responsabilidade]]</f>
        <v>3.8209302325581396E-2</v>
      </c>
      <c r="O2997" s="132">
        <f>IF(base[[#This Row],[L/P Líquido]]&gt;0,1,0)</f>
        <v>1</v>
      </c>
      <c r="P2997" s="132"/>
      <c r="Q2997" s="132" t="str">
        <f>LEFT(base[[#This Row],[Evento / Mercado]],FIND("vs",base[[#This Row],[Evento / Mercado]])-2)</f>
        <v>Atlético Goianiense</v>
      </c>
      <c r="R29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2997" s="132" t="str">
        <f>LEFT(base[[#This Row],[Evento / Mercado]],FIND("/",base[[#This Row],[Evento / Mercado]])-2)</f>
        <v>Atlético Goianiense vs Atlética Ponte Preta</v>
      </c>
    </row>
    <row r="2998" spans="2:19" ht="15" customHeight="1">
      <c r="B2998" s="128" t="s">
        <v>3009</v>
      </c>
      <c r="C2998" s="128" t="s">
        <v>2981</v>
      </c>
      <c r="D2998" s="129">
        <v>46201.748287037037</v>
      </c>
      <c r="E2998" s="130">
        <v>-15.67</v>
      </c>
      <c r="F2998" s="136">
        <v>4.4999999999999998E-2</v>
      </c>
      <c r="G2998" s="126">
        <f t="shared" si="63"/>
        <v>-15.67</v>
      </c>
      <c r="H2998" s="126" t="s">
        <v>2743</v>
      </c>
      <c r="I2998" s="127" t="s">
        <v>2744</v>
      </c>
      <c r="J2998" s="126">
        <v>7.2</v>
      </c>
      <c r="K2998" s="126">
        <v>32.26</v>
      </c>
      <c r="L2998" s="129">
        <f>INT(base[[#This Row],[Data de liquidação]])</f>
        <v>46201</v>
      </c>
      <c r="M2998" s="126">
        <f>base[[#This Row],[L/P Bruto]]-base[[#This Row],[L/P Líquido]]</f>
        <v>0</v>
      </c>
      <c r="N2998" s="126">
        <f>base[[#This Row],[L/P Líquido]]/base[[#This Row],[Stake/Responsabilidade]]</f>
        <v>-0.48574085554866708</v>
      </c>
      <c r="O2998" s="132">
        <f>IF(base[[#This Row],[L/P Líquido]]&gt;0,1,0)</f>
        <v>0</v>
      </c>
      <c r="P2998" s="132"/>
      <c r="Q2998" s="132" t="str">
        <f>LEFT(base[[#This Row],[Evento / Mercado]],FIND("vs",base[[#This Row],[Evento / Mercado]])-2)</f>
        <v>Athletic Club MG</v>
      </c>
      <c r="R29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2998" s="132" t="str">
        <f>LEFT(base[[#This Row],[Evento / Mercado]],FIND("/",base[[#This Row],[Evento / Mercado]])-2)</f>
        <v>Athletic Club MG vs Avaí FC</v>
      </c>
    </row>
    <row r="2999" spans="2:19" ht="15" customHeight="1">
      <c r="B2999" s="128" t="s">
        <v>3008</v>
      </c>
      <c r="C2999" s="128" t="s">
        <v>2981</v>
      </c>
      <c r="D2999" s="129">
        <v>46201.74832175926</v>
      </c>
      <c r="E2999" s="130">
        <v>41.46</v>
      </c>
      <c r="F2999" s="136">
        <v>4.4999999999999998E-2</v>
      </c>
      <c r="G2999" s="126">
        <f t="shared" si="63"/>
        <v>43.413612565445028</v>
      </c>
      <c r="H2999" s="126" t="s">
        <v>2743</v>
      </c>
      <c r="I2999" s="127" t="s">
        <v>1233</v>
      </c>
      <c r="J2999" s="126">
        <v>5</v>
      </c>
      <c r="K2999" s="126">
        <v>200</v>
      </c>
      <c r="L2999" s="129">
        <f>INT(base[[#This Row],[Data de liquidação]])</f>
        <v>46201</v>
      </c>
      <c r="M2999" s="126">
        <f>base[[#This Row],[L/P Bruto]]-base[[#This Row],[L/P Líquido]]</f>
        <v>1.9536125654450274</v>
      </c>
      <c r="N2999" s="126">
        <f>base[[#This Row],[L/P Líquido]]/base[[#This Row],[Stake/Responsabilidade]]</f>
        <v>0.20730000000000001</v>
      </c>
      <c r="O2999" s="132">
        <f>IF(base[[#This Row],[L/P Líquido]]&gt;0,1,0)</f>
        <v>1</v>
      </c>
      <c r="P2999" s="132"/>
      <c r="Q2999" s="132" t="str">
        <f>LEFT(base[[#This Row],[Evento / Mercado]],FIND("vs",base[[#This Row],[Evento / Mercado]])-2)</f>
        <v>Atlético Goianiense</v>
      </c>
      <c r="R29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2999" s="132" t="str">
        <f>LEFT(base[[#This Row],[Evento / Mercado]],FIND("/",base[[#This Row],[Evento / Mercado]])-2)</f>
        <v>Atlético Goianiense vs Atlética Ponte Preta</v>
      </c>
    </row>
    <row r="3000" spans="2:19" ht="15" customHeight="1">
      <c r="B3000" s="128" t="s">
        <v>3008</v>
      </c>
      <c r="C3000" s="128" t="s">
        <v>2982</v>
      </c>
      <c r="D3000" s="129">
        <v>46201.74832175926</v>
      </c>
      <c r="E3000" s="130">
        <v>7.47</v>
      </c>
      <c r="F3000" s="136">
        <v>4.4999999999999998E-2</v>
      </c>
      <c r="G3000" s="126">
        <f t="shared" si="63"/>
        <v>7.8219895287958119</v>
      </c>
      <c r="H3000" s="126" t="s">
        <v>2817</v>
      </c>
      <c r="I3000" s="127" t="s">
        <v>2992</v>
      </c>
      <c r="J3000" s="126">
        <v>9.8000000000000007</v>
      </c>
      <c r="K3000" s="126">
        <v>74.98</v>
      </c>
      <c r="L3000" s="129">
        <f>INT(base[[#This Row],[Data de liquidação]])</f>
        <v>46201</v>
      </c>
      <c r="M3000" s="126">
        <f>base[[#This Row],[L/P Bruto]]-base[[#This Row],[L/P Líquido]]</f>
        <v>0.35198952879581213</v>
      </c>
      <c r="N3000" s="126">
        <f>base[[#This Row],[L/P Líquido]]/base[[#This Row],[Stake/Responsabilidade]]</f>
        <v>9.9626567084555875E-2</v>
      </c>
      <c r="O3000" s="132">
        <f>IF(base[[#This Row],[L/P Líquido]]&gt;0,1,0)</f>
        <v>1</v>
      </c>
      <c r="P3000" s="132"/>
      <c r="Q3000" s="132" t="str">
        <f>LEFT(base[[#This Row],[Evento / Mercado]],FIND("vs",base[[#This Row],[Evento / Mercado]])-2)</f>
        <v>Atlético Goianiense</v>
      </c>
      <c r="R30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000" s="132" t="str">
        <f>LEFT(base[[#This Row],[Evento / Mercado]],FIND("/",base[[#This Row],[Evento / Mercado]])-2)</f>
        <v>Atlético Goianiense vs Atlética Ponte Preta</v>
      </c>
    </row>
    <row r="3001" spans="2:19" ht="15" customHeight="1">
      <c r="B3001" s="128" t="s">
        <v>3007</v>
      </c>
      <c r="C3001" s="128" t="s">
        <v>2981</v>
      </c>
      <c r="D3001" s="129">
        <v>46201.748391203706</v>
      </c>
      <c r="E3001" s="130">
        <v>-66.59</v>
      </c>
      <c r="F3001" s="136">
        <v>4.4999999999999998E-2</v>
      </c>
      <c r="G3001" s="126">
        <f t="shared" si="63"/>
        <v>-66.59</v>
      </c>
      <c r="H3001" s="126" t="s">
        <v>2743</v>
      </c>
      <c r="I3001" s="127" t="s">
        <v>1233</v>
      </c>
      <c r="J3001" s="126">
        <v>3.45</v>
      </c>
      <c r="K3001" s="126">
        <v>199.99</v>
      </c>
      <c r="L3001" s="129">
        <f>INT(base[[#This Row],[Data de liquidação]])</f>
        <v>46201</v>
      </c>
      <c r="M3001" s="126">
        <f>base[[#This Row],[L/P Bruto]]-base[[#This Row],[L/P Líquido]]</f>
        <v>0</v>
      </c>
      <c r="N3001" s="126">
        <f>base[[#This Row],[L/P Líquido]]/base[[#This Row],[Stake/Responsabilidade]]</f>
        <v>-0.33296664833241663</v>
      </c>
      <c r="O3001" s="132">
        <f>IF(base[[#This Row],[L/P Líquido]]&gt;0,1,0)</f>
        <v>0</v>
      </c>
      <c r="P3001" s="132"/>
      <c r="Q3001" s="132" t="str">
        <f>LEFT(base[[#This Row],[Evento / Mercado]],FIND("vs",base[[#This Row],[Evento / Mercado]])-2)</f>
        <v>Athletic Club MG</v>
      </c>
      <c r="R30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001" s="132" t="str">
        <f>LEFT(base[[#This Row],[Evento / Mercado]],FIND("/",base[[#This Row],[Evento / Mercado]])-2)</f>
        <v>Athletic Club MG vs Avaí FC</v>
      </c>
    </row>
    <row r="3002" spans="2:19" ht="15" customHeight="1">
      <c r="B3002" s="128" t="s">
        <v>3007</v>
      </c>
      <c r="C3002" s="128" t="s">
        <v>2982</v>
      </c>
      <c r="D3002" s="129">
        <v>46201.748402777775</v>
      </c>
      <c r="E3002" s="130">
        <v>8.02</v>
      </c>
      <c r="F3002" s="136">
        <v>4.4999999999999998E-2</v>
      </c>
      <c r="G3002" s="126">
        <f t="shared" si="63"/>
        <v>8.3979057591623043</v>
      </c>
      <c r="H3002" s="126" t="s">
        <v>2817</v>
      </c>
      <c r="I3002" s="127" t="s">
        <v>2993</v>
      </c>
      <c r="J3002" s="126">
        <v>4.5</v>
      </c>
      <c r="K3002" s="126">
        <v>75.010000000000005</v>
      </c>
      <c r="L3002" s="129">
        <f>INT(base[[#This Row],[Data de liquidação]])</f>
        <v>46201</v>
      </c>
      <c r="M3002" s="126">
        <f>base[[#This Row],[L/P Bruto]]-base[[#This Row],[L/P Líquido]]</f>
        <v>0.37790575916230473</v>
      </c>
      <c r="N3002" s="126">
        <f>base[[#This Row],[L/P Líquido]]/base[[#This Row],[Stake/Responsabilidade]]</f>
        <v>0.10691907745633915</v>
      </c>
      <c r="O3002" s="132">
        <f>IF(base[[#This Row],[L/P Líquido]]&gt;0,1,0)</f>
        <v>1</v>
      </c>
      <c r="P3002" s="132"/>
      <c r="Q3002" s="132" t="str">
        <f>LEFT(base[[#This Row],[Evento / Mercado]],FIND("vs",base[[#This Row],[Evento / Mercado]])-2)</f>
        <v>Athletic Club MG</v>
      </c>
      <c r="R30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002" s="132" t="str">
        <f>LEFT(base[[#This Row],[Evento / Mercado]],FIND("/",base[[#This Row],[Evento / Mercado]])-2)</f>
        <v>Athletic Club MG vs Avaí FC</v>
      </c>
    </row>
    <row r="3003" spans="2:19" ht="15" customHeight="1">
      <c r="B3003" s="128" t="s">
        <v>3028</v>
      </c>
      <c r="C3003" s="128" t="s">
        <v>2982</v>
      </c>
      <c r="D3003" s="129">
        <v>46201.856805555559</v>
      </c>
      <c r="E3003" s="130">
        <v>-106.38</v>
      </c>
      <c r="F3003" s="136">
        <v>4.4999999999999998E-2</v>
      </c>
      <c r="G3003" s="126">
        <f t="shared" si="63"/>
        <v>-106.38</v>
      </c>
      <c r="H3003" s="126" t="s">
        <v>3004</v>
      </c>
      <c r="I3003" s="127" t="s">
        <v>302</v>
      </c>
      <c r="J3003" s="126">
        <v>1.26</v>
      </c>
      <c r="K3003" s="126">
        <v>50</v>
      </c>
      <c r="L3003" s="129">
        <f>INT(base[[#This Row],[Data de liquidação]])</f>
        <v>46201</v>
      </c>
      <c r="M3003" s="126">
        <f>base[[#This Row],[L/P Bruto]]-base[[#This Row],[L/P Líquido]]</f>
        <v>0</v>
      </c>
      <c r="N3003" s="126">
        <f>base[[#This Row],[L/P Líquido]]/base[[#This Row],[Stake/Responsabilidade]]</f>
        <v>-2.1275999999999997</v>
      </c>
      <c r="O3003" s="132">
        <f>IF(base[[#This Row],[L/P Líquido]]&gt;0,1,0)</f>
        <v>0</v>
      </c>
      <c r="P3003" s="132"/>
      <c r="Q3003" s="132" t="str">
        <f>LEFT(base[[#This Row],[Evento / Mercado]],FIND("vs",base[[#This Row],[Evento / Mercado]])-2)</f>
        <v>Clube Náutico Capibaribe</v>
      </c>
      <c r="R30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Goiás EC</v>
      </c>
      <c r="S3003" s="132" t="str">
        <f>LEFT(base[[#This Row],[Evento / Mercado]],FIND("/",base[[#This Row],[Evento / Mercado]])-2)</f>
        <v>Clube Náutico Capibaribe vs Goiás EC</v>
      </c>
    </row>
    <row r="3004" spans="2:19" ht="15" customHeight="1">
      <c r="B3004" s="128" t="s">
        <v>3027</v>
      </c>
      <c r="C3004" s="128" t="s">
        <v>2982</v>
      </c>
      <c r="D3004" s="129">
        <v>46201.856840277775</v>
      </c>
      <c r="E3004" s="130">
        <v>-100</v>
      </c>
      <c r="F3004" s="136">
        <v>4.4999999999999998E-2</v>
      </c>
      <c r="G3004" s="126">
        <f t="shared" si="63"/>
        <v>-100</v>
      </c>
      <c r="H3004" s="126" t="s">
        <v>2820</v>
      </c>
      <c r="I3004" s="127" t="s">
        <v>13</v>
      </c>
      <c r="J3004" s="126">
        <f>(2.2+3.5)/2</f>
        <v>2.85</v>
      </c>
      <c r="K3004" s="126">
        <v>100</v>
      </c>
      <c r="L3004" s="129">
        <f>INT(base[[#This Row],[Data de liquidação]])</f>
        <v>46201</v>
      </c>
      <c r="M3004" s="126">
        <f>base[[#This Row],[L/P Bruto]]-base[[#This Row],[L/P Líquido]]</f>
        <v>0</v>
      </c>
      <c r="N3004" s="126">
        <f>base[[#This Row],[L/P Líquido]]/base[[#This Row],[Stake/Responsabilidade]]</f>
        <v>-1</v>
      </c>
      <c r="O3004" s="132">
        <f>IF(base[[#This Row],[L/P Líquido]]&gt;0,1,0)</f>
        <v>0</v>
      </c>
      <c r="P3004" s="132"/>
      <c r="Q3004" s="132" t="str">
        <f>LEFT(base[[#This Row],[Evento / Mercado]],FIND("vs",base[[#This Row],[Evento / Mercado]])-2)</f>
        <v>Clube Náutico Capibaribe</v>
      </c>
      <c r="R30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Goiás EC</v>
      </c>
      <c r="S3004" s="132" t="str">
        <f>LEFT(base[[#This Row],[Evento / Mercado]],FIND("/",base[[#This Row],[Evento / Mercado]])-2)</f>
        <v>Clube Náutico Capibaribe vs Goiás EC</v>
      </c>
    </row>
    <row r="3005" spans="2:19" ht="15" customHeight="1">
      <c r="B3005" s="128" t="s">
        <v>3058</v>
      </c>
      <c r="C3005" s="128" t="s">
        <v>2982</v>
      </c>
      <c r="D3005" s="129">
        <v>46202.66846064815</v>
      </c>
      <c r="E3005" s="130">
        <v>28.99</v>
      </c>
      <c r="F3005" s="136">
        <v>4.4999999999999998E-2</v>
      </c>
      <c r="G3005" s="126">
        <f t="shared" si="63"/>
        <v>30.356020942408378</v>
      </c>
      <c r="H3005" s="126" t="s">
        <v>2821</v>
      </c>
      <c r="I3005" s="127" t="s">
        <v>476</v>
      </c>
      <c r="J3005" s="126">
        <v>15</v>
      </c>
      <c r="K3005" s="126">
        <v>425.04</v>
      </c>
      <c r="L3005" s="129">
        <f>INT(base[[#This Row],[Data de liquidação]])</f>
        <v>46202</v>
      </c>
      <c r="M3005" s="126">
        <f>base[[#This Row],[L/P Bruto]]-base[[#This Row],[L/P Líquido]]</f>
        <v>1.3660209424083796</v>
      </c>
      <c r="N3005" s="126">
        <f>base[[#This Row],[L/P Líquido]]/base[[#This Row],[Stake/Responsabilidade]]</f>
        <v>6.8205345379258417E-2</v>
      </c>
      <c r="O3005" s="132">
        <f>IF(base[[#This Row],[L/P Líquido]]&gt;0,1,0)</f>
        <v>1</v>
      </c>
      <c r="P3005" s="132"/>
      <c r="Q3005" s="132" t="str">
        <f>LEFT(base[[#This Row],[Evento / Mercado]],FIND("vs",base[[#This Row],[Evento / Mercado]])-2)</f>
        <v>Brazil</v>
      </c>
      <c r="R30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Japan</v>
      </c>
      <c r="S3005" s="132" t="str">
        <f>LEFT(base[[#This Row],[Evento / Mercado]],FIND("/",base[[#This Row],[Evento / Mercado]])-2)</f>
        <v>Brazil vs Japan</v>
      </c>
    </row>
    <row r="3006" spans="2:19" ht="15" customHeight="1">
      <c r="B3006" s="128" t="s">
        <v>3057</v>
      </c>
      <c r="C3006" s="128" t="s">
        <v>2982</v>
      </c>
      <c r="D3006" s="129">
        <v>46202.668842592589</v>
      </c>
      <c r="E3006" s="130">
        <v>79.58</v>
      </c>
      <c r="F3006" s="136">
        <v>4.4999999999999998E-2</v>
      </c>
      <c r="G3006" s="126">
        <f t="shared" si="63"/>
        <v>83.329842931937179</v>
      </c>
      <c r="H3006" s="126" t="s">
        <v>145</v>
      </c>
      <c r="I3006" s="127" t="s">
        <v>2877</v>
      </c>
      <c r="J3006" s="126">
        <v>5.8</v>
      </c>
      <c r="K3006" s="126">
        <v>399.98</v>
      </c>
      <c r="L3006" s="129">
        <f>INT(base[[#This Row],[Data de liquidação]])</f>
        <v>46202</v>
      </c>
      <c r="M3006" s="126">
        <f>base[[#This Row],[L/P Bruto]]-base[[#This Row],[L/P Líquido]]</f>
        <v>3.7498429319371809</v>
      </c>
      <c r="N3006" s="126">
        <f>base[[#This Row],[L/P Líquido]]/base[[#This Row],[Stake/Responsabilidade]]</f>
        <v>0.19895994799739986</v>
      </c>
      <c r="O3006" s="132">
        <f>IF(base[[#This Row],[L/P Líquido]]&gt;0,1,0)</f>
        <v>1</v>
      </c>
      <c r="P3006" s="132" t="s">
        <v>2818</v>
      </c>
      <c r="Q3006" s="132" t="str">
        <f>LEFT(base[[#This Row],[Evento / Mercado]],FIND("vs",base[[#This Row],[Evento / Mercado]])-2)</f>
        <v>Brazil</v>
      </c>
      <c r="R30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Japan</v>
      </c>
      <c r="S3006" s="132" t="str">
        <f>LEFT(base[[#This Row],[Evento / Mercado]],FIND("/",base[[#This Row],[Evento / Mercado]])-2)</f>
        <v>Brazil vs Japan</v>
      </c>
    </row>
    <row r="3007" spans="2:19" ht="15" customHeight="1">
      <c r="B3007" s="128" t="s">
        <v>3056</v>
      </c>
      <c r="C3007" s="128" t="s">
        <v>2982</v>
      </c>
      <c r="D3007" s="129">
        <v>46202.755381944444</v>
      </c>
      <c r="E3007" s="130">
        <v>22.64</v>
      </c>
      <c r="F3007" s="136">
        <v>4.4999999999999998E-2</v>
      </c>
      <c r="G3007" s="126">
        <f t="shared" si="63"/>
        <v>23.706806282722514</v>
      </c>
      <c r="H3007" s="126" t="s">
        <v>74</v>
      </c>
      <c r="I3007" s="127" t="s">
        <v>542</v>
      </c>
      <c r="J3007" s="126">
        <v>22</v>
      </c>
      <c r="K3007" s="126">
        <v>497.76</v>
      </c>
      <c r="L3007" s="129">
        <f>INT(base[[#This Row],[Data de liquidação]])</f>
        <v>46202</v>
      </c>
      <c r="M3007" s="126">
        <f>base[[#This Row],[L/P Bruto]]-base[[#This Row],[L/P Líquido]]</f>
        <v>1.0668062827225135</v>
      </c>
      <c r="N3007" s="126">
        <f>base[[#This Row],[L/P Líquido]]/base[[#This Row],[Stake/Responsabilidade]]</f>
        <v>4.5483767277402769E-2</v>
      </c>
      <c r="O3007" s="132">
        <f>IF(base[[#This Row],[L/P Líquido]]&gt;0,1,0)</f>
        <v>1</v>
      </c>
      <c r="P3007" s="132" t="s">
        <v>3061</v>
      </c>
      <c r="Q3007" s="132" t="str">
        <f>LEFT(base[[#This Row],[Evento / Mercado]],FIND("vs",base[[#This Row],[Evento / Mercado]])-2)</f>
        <v>IA Akranes</v>
      </c>
      <c r="R30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Fram Reykjavik</v>
      </c>
      <c r="S3007" s="132" t="str">
        <f>LEFT(base[[#This Row],[Evento / Mercado]],FIND("/",base[[#This Row],[Evento / Mercado]])-2)</f>
        <v>IA Akranes vs Fram Reykjavik</v>
      </c>
    </row>
    <row r="3008" spans="2:19" ht="15" customHeight="1">
      <c r="B3008" s="128" t="s">
        <v>3059</v>
      </c>
      <c r="C3008" s="128" t="s">
        <v>2981</v>
      </c>
      <c r="D3008" s="129">
        <v>46202.811365740738</v>
      </c>
      <c r="E3008" s="130">
        <v>194.42</v>
      </c>
      <c r="F3008" s="136">
        <v>4.4999999999999998E-2</v>
      </c>
      <c r="G3008" s="126">
        <f t="shared" si="63"/>
        <v>203.58115183246073</v>
      </c>
      <c r="H3008" s="126" t="s">
        <v>2743</v>
      </c>
      <c r="I3008" s="127" t="s">
        <v>2744</v>
      </c>
      <c r="J3008" s="126">
        <v>11.5</v>
      </c>
      <c r="K3008" s="126">
        <v>19.05</v>
      </c>
      <c r="L3008" s="129">
        <f>INT(base[[#This Row],[Data de liquidação]])</f>
        <v>46202</v>
      </c>
      <c r="M3008" s="126">
        <f>base[[#This Row],[L/P Bruto]]-base[[#This Row],[L/P Líquido]]</f>
        <v>9.1611518324607459</v>
      </c>
      <c r="N3008" s="126">
        <f>base[[#This Row],[L/P Líquido]]/base[[#This Row],[Stake/Responsabilidade]]</f>
        <v>10.205774278215221</v>
      </c>
      <c r="O3008" s="132">
        <f>IF(base[[#This Row],[L/P Líquido]]&gt;0,1,0)</f>
        <v>1</v>
      </c>
      <c r="P3008" s="132"/>
      <c r="Q3008" s="132" t="str">
        <f>LEFT(base[[#This Row],[Evento / Mercado]],FIND("vs",base[[#This Row],[Evento / Mercado]])-2)</f>
        <v>Germany</v>
      </c>
      <c r="R30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Paraguay</v>
      </c>
      <c r="S3008" s="132" t="str">
        <f>LEFT(base[[#This Row],[Evento / Mercado]],FIND("/",base[[#This Row],[Evento / Mercado]])-2)</f>
        <v>Germany vs Paraguay</v>
      </c>
    </row>
    <row r="3009" spans="2:19" ht="15" customHeight="1">
      <c r="B3009" s="128" t="s">
        <v>3055</v>
      </c>
      <c r="C3009" s="128" t="s">
        <v>2982</v>
      </c>
      <c r="D3009" s="129">
        <v>46202.811828703707</v>
      </c>
      <c r="E3009" s="130">
        <v>20.54</v>
      </c>
      <c r="F3009" s="136">
        <v>4.4999999999999998E-2</v>
      </c>
      <c r="G3009" s="126">
        <f t="shared" si="63"/>
        <v>21.507853403141361</v>
      </c>
      <c r="H3009" s="126" t="s">
        <v>2817</v>
      </c>
      <c r="I3009" s="127" t="s">
        <v>2992</v>
      </c>
      <c r="J3009" s="126">
        <f>(12*75.02+3.65*73.62)/base[[#This Row],[Stake/Responsabilidade]]</f>
        <v>7.8643231969860068</v>
      </c>
      <c r="K3009" s="126">
        <f>73.62+75.02</f>
        <v>148.63999999999999</v>
      </c>
      <c r="L3009" s="129">
        <f>INT(base[[#This Row],[Data de liquidação]])</f>
        <v>46202</v>
      </c>
      <c r="M3009" s="126">
        <f>base[[#This Row],[L/P Bruto]]-base[[#This Row],[L/P Líquido]]</f>
        <v>0.96785340314136192</v>
      </c>
      <c r="N3009" s="126">
        <f>base[[#This Row],[L/P Líquido]]/base[[#This Row],[Stake/Responsabilidade]]</f>
        <v>0.13818622174381057</v>
      </c>
      <c r="O3009" s="132">
        <f>IF(base[[#This Row],[L/P Líquido]]&gt;0,1,0)</f>
        <v>1</v>
      </c>
      <c r="P3009" s="132"/>
      <c r="Q3009" s="132" t="str">
        <f>LEFT(base[[#This Row],[Evento / Mercado]],FIND("vs",base[[#This Row],[Evento / Mercado]])-2)</f>
        <v>Germany</v>
      </c>
      <c r="R30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Paraguay</v>
      </c>
      <c r="S3009" s="132" t="str">
        <f>LEFT(base[[#This Row],[Evento / Mercado]],FIND("/",base[[#This Row],[Evento / Mercado]])-2)</f>
        <v>Germany vs Paraguay</v>
      </c>
    </row>
    <row r="3010" spans="2:19" ht="15" customHeight="1">
      <c r="B3010" s="128" t="s">
        <v>3055</v>
      </c>
      <c r="C3010" s="128" t="s">
        <v>2981</v>
      </c>
      <c r="D3010" s="129">
        <v>46202.811828703707</v>
      </c>
      <c r="E3010" s="130">
        <v>-199.98</v>
      </c>
      <c r="F3010" s="136">
        <v>4.4999999999999998E-2</v>
      </c>
      <c r="G3010" s="126">
        <f t="shared" si="63"/>
        <v>-199.98</v>
      </c>
      <c r="H3010" s="126" t="s">
        <v>2743</v>
      </c>
      <c r="I3010" s="127" t="s">
        <v>1233</v>
      </c>
      <c r="J3010" s="126">
        <v>5.5</v>
      </c>
      <c r="K3010" s="126">
        <v>199.98</v>
      </c>
      <c r="L3010" s="129">
        <f>INT(base[[#This Row],[Data de liquidação]])</f>
        <v>46202</v>
      </c>
      <c r="M3010" s="126">
        <f>base[[#This Row],[L/P Bruto]]-base[[#This Row],[L/P Líquido]]</f>
        <v>0</v>
      </c>
      <c r="N3010" s="126">
        <f>base[[#This Row],[L/P Líquido]]/base[[#This Row],[Stake/Responsabilidade]]</f>
        <v>-1</v>
      </c>
      <c r="O3010" s="132">
        <f>IF(base[[#This Row],[L/P Líquido]]&gt;0,1,0)</f>
        <v>0</v>
      </c>
      <c r="P3010" s="132"/>
      <c r="Q3010" s="132" t="str">
        <f>LEFT(base[[#This Row],[Evento / Mercado]],FIND("vs",base[[#This Row],[Evento / Mercado]])-2)</f>
        <v>Germany</v>
      </c>
      <c r="R30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Paraguay</v>
      </c>
      <c r="S3010" s="132" t="str">
        <f>LEFT(base[[#This Row],[Evento / Mercado]],FIND("/",base[[#This Row],[Evento / Mercado]])-2)</f>
        <v>Germany vs Paraguay</v>
      </c>
    </row>
    <row r="3011" spans="2:19" ht="15" customHeight="1">
      <c r="B3011" s="128" t="s">
        <v>3054</v>
      </c>
      <c r="C3011" s="128" t="s">
        <v>2981</v>
      </c>
      <c r="D3011" s="129">
        <v>46202.999502314815</v>
      </c>
      <c r="E3011" s="130">
        <v>35.17</v>
      </c>
      <c r="F3011" s="136">
        <v>4.4999999999999998E-2</v>
      </c>
      <c r="G3011" s="126">
        <f t="shared" ref="G3011:G3074" si="65">IF(E3011&gt;0,E3011/(1-F3011),E3011)</f>
        <v>36.827225130890056</v>
      </c>
      <c r="H3011" s="126" t="s">
        <v>2714</v>
      </c>
      <c r="I3011" s="127" t="s">
        <v>3060</v>
      </c>
      <c r="J3011" s="126"/>
      <c r="K3011" s="126">
        <v>100</v>
      </c>
      <c r="L3011" s="129">
        <f>INT(base[[#This Row],[Data de liquidação]])</f>
        <v>46202</v>
      </c>
      <c r="M3011" s="126">
        <f>base[[#This Row],[L/P Bruto]]-base[[#This Row],[L/P Líquido]]</f>
        <v>1.6572251308900547</v>
      </c>
      <c r="N3011" s="126">
        <f>base[[#This Row],[L/P Líquido]]/base[[#This Row],[Stake/Responsabilidade]]</f>
        <v>0.35170000000000001</v>
      </c>
      <c r="O3011" s="132">
        <f>IF(base[[#This Row],[L/P Líquido]]&gt;0,1,0)</f>
        <v>1</v>
      </c>
      <c r="P3011" s="132"/>
      <c r="Q3011" s="132" t="str">
        <f>LEFT(base[[#This Row],[Evento / Mercado]],FIND("vs",base[[#This Row],[Evento / Mercado]])-2)</f>
        <v>Netherlands</v>
      </c>
      <c r="R30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011" s="132" t="str">
        <f>LEFT(base[[#This Row],[Evento / Mercado]],FIND("/",base[[#This Row],[Evento / Mercado]])-2)</f>
        <v>Netherlands vs Morocco</v>
      </c>
    </row>
    <row r="3012" spans="2:19" ht="15" customHeight="1">
      <c r="B3012" s="128" t="s">
        <v>3054</v>
      </c>
      <c r="C3012" s="128" t="s">
        <v>2982</v>
      </c>
      <c r="D3012" s="129">
        <v>46202.999513888892</v>
      </c>
      <c r="E3012" s="130">
        <v>43.45</v>
      </c>
      <c r="F3012" s="136">
        <v>4.4999999999999998E-2</v>
      </c>
      <c r="G3012" s="126">
        <f t="shared" si="65"/>
        <v>45.497382198952884</v>
      </c>
      <c r="H3012" s="126" t="s">
        <v>2821</v>
      </c>
      <c r="I3012" s="127" t="s">
        <v>476</v>
      </c>
      <c r="J3012" s="126">
        <v>11</v>
      </c>
      <c r="K3012" s="126">
        <v>455</v>
      </c>
      <c r="L3012" s="129">
        <f>INT(base[[#This Row],[Data de liquidação]])</f>
        <v>46202</v>
      </c>
      <c r="M3012" s="126">
        <f>base[[#This Row],[L/P Bruto]]-base[[#This Row],[L/P Líquido]]</f>
        <v>2.0473821989528815</v>
      </c>
      <c r="N3012" s="126">
        <f>base[[#This Row],[L/P Líquido]]/base[[#This Row],[Stake/Responsabilidade]]</f>
        <v>9.5494505494505499E-2</v>
      </c>
      <c r="O3012" s="132">
        <f>IF(base[[#This Row],[L/P Líquido]]&gt;0,1,0)</f>
        <v>1</v>
      </c>
      <c r="P3012" s="132"/>
      <c r="Q3012" s="132" t="str">
        <f>LEFT(base[[#This Row],[Evento / Mercado]],FIND("vs",base[[#This Row],[Evento / Mercado]])-2)</f>
        <v>Netherlands</v>
      </c>
      <c r="R30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012" s="132" t="str">
        <f>LEFT(base[[#This Row],[Evento / Mercado]],FIND("/",base[[#This Row],[Evento / Mercado]])-2)</f>
        <v>Netherlands vs Morocco</v>
      </c>
    </row>
    <row r="3013" spans="2:19" ht="15" customHeight="1">
      <c r="B3013" s="128" t="s">
        <v>3053</v>
      </c>
      <c r="C3013" s="128" t="s">
        <v>2982</v>
      </c>
      <c r="D3013" s="129">
        <v>46203.040810185186</v>
      </c>
      <c r="E3013" s="130">
        <v>18.18</v>
      </c>
      <c r="F3013" s="136">
        <v>4.4999999999999998E-2</v>
      </c>
      <c r="G3013" s="126">
        <f t="shared" si="65"/>
        <v>19.036649214659686</v>
      </c>
      <c r="H3013" s="126" t="s">
        <v>2895</v>
      </c>
      <c r="I3013" s="127" t="s">
        <v>3225</v>
      </c>
      <c r="J3013" s="126">
        <v>23</v>
      </c>
      <c r="K3013" s="126">
        <v>399.96</v>
      </c>
      <c r="L3013" s="129">
        <f>INT(base[[#This Row],[Data de liquidação]])</f>
        <v>46203</v>
      </c>
      <c r="M3013" s="126">
        <f>base[[#This Row],[L/P Bruto]]-base[[#This Row],[L/P Líquido]]</f>
        <v>0.85664921465968646</v>
      </c>
      <c r="N3013" s="126">
        <f>base[[#This Row],[L/P Líquido]]/base[[#This Row],[Stake/Responsabilidade]]</f>
        <v>4.5454545454545456E-2</v>
      </c>
      <c r="O3013" s="132">
        <f>IF(base[[#This Row],[L/P Líquido]]&gt;0,1,0)</f>
        <v>1</v>
      </c>
      <c r="P3013" s="132"/>
      <c r="Q3013" s="132" t="e">
        <f>LEFT(base[[#This Row],[Evento / Mercado]],FIND("vs",base[[#This Row],[Evento / Mercado]])-2)</f>
        <v>#VALUE!</v>
      </c>
      <c r="R3013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3013" s="132" t="str">
        <f>LEFT(base[[#This Row],[Evento / Mercado]],FIND("/",base[[#This Row],[Evento / Mercado]])-2)</f>
        <v>FIFA World Cup 2026</v>
      </c>
    </row>
    <row r="3014" spans="2:19" ht="15" customHeight="1">
      <c r="B3014" s="128" t="s">
        <v>3065</v>
      </c>
      <c r="C3014" s="128" t="s">
        <v>2982</v>
      </c>
      <c r="D3014" s="129">
        <v>46203.64947916667</v>
      </c>
      <c r="E3014" s="130">
        <v>47.75</v>
      </c>
      <c r="F3014" s="136">
        <v>4.4999999999999998E-2</v>
      </c>
      <c r="G3014" s="126">
        <f t="shared" si="65"/>
        <v>50</v>
      </c>
      <c r="H3014" s="126" t="s">
        <v>3004</v>
      </c>
      <c r="I3014" s="127" t="s">
        <v>302</v>
      </c>
      <c r="J3014" s="126">
        <v>1.5</v>
      </c>
      <c r="K3014" s="126">
        <v>50</v>
      </c>
      <c r="L3014" s="129">
        <f>INT(base[[#This Row],[Data de liquidação]])</f>
        <v>46203</v>
      </c>
      <c r="M3014" s="126">
        <f>base[[#This Row],[L/P Bruto]]-base[[#This Row],[L/P Líquido]]</f>
        <v>2.25</v>
      </c>
      <c r="N3014" s="126">
        <f>base[[#This Row],[L/P Líquido]]/base[[#This Row],[Stake/Responsabilidade]]</f>
        <v>0.95499999999999996</v>
      </c>
      <c r="O3014" s="132">
        <f>IF(base[[#This Row],[L/P Líquido]]&gt;0,1,0)</f>
        <v>1</v>
      </c>
      <c r="P3014" s="132"/>
      <c r="Q3014" s="132" t="str">
        <f>LEFT(base[[#This Row],[Evento / Mercado]],FIND("vs",base[[#This Row],[Evento / Mercado]])-2)</f>
        <v>Ivory Coast</v>
      </c>
      <c r="R30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Norway</v>
      </c>
      <c r="S3014" s="132" t="str">
        <f>LEFT(base[[#This Row],[Evento / Mercado]],FIND("/",base[[#This Row],[Evento / Mercado]])-2)</f>
        <v>Ivory Coast vs Norway</v>
      </c>
    </row>
    <row r="3015" spans="2:19" ht="15" customHeight="1">
      <c r="B3015" s="128" t="s">
        <v>3064</v>
      </c>
      <c r="C3015" s="128" t="s">
        <v>2982</v>
      </c>
      <c r="D3015" s="129">
        <v>46203.828946759262</v>
      </c>
      <c r="E3015" s="130">
        <v>30.56</v>
      </c>
      <c r="F3015" s="136">
        <v>4.4999999999999998E-2</v>
      </c>
      <c r="G3015" s="126">
        <f t="shared" si="65"/>
        <v>32</v>
      </c>
      <c r="H3015" s="126" t="s">
        <v>145</v>
      </c>
      <c r="I3015" s="127" t="s">
        <v>301</v>
      </c>
      <c r="J3015" s="126">
        <v>13.5</v>
      </c>
      <c r="K3015" s="126">
        <v>400</v>
      </c>
      <c r="L3015" s="129">
        <f>INT(base[[#This Row],[Data de liquidação]])</f>
        <v>46203</v>
      </c>
      <c r="M3015" s="126">
        <f>base[[#This Row],[L/P Bruto]]-base[[#This Row],[L/P Líquido]]</f>
        <v>1.4400000000000013</v>
      </c>
      <c r="N3015" s="126">
        <f>base[[#This Row],[L/P Líquido]]/base[[#This Row],[Stake/Responsabilidade]]</f>
        <v>7.6399999999999996E-2</v>
      </c>
      <c r="O3015" s="132">
        <f>IF(base[[#This Row],[L/P Líquido]]&gt;0,1,0)</f>
        <v>1</v>
      </c>
      <c r="P3015" s="132" t="s">
        <v>2818</v>
      </c>
      <c r="Q3015" s="132" t="str">
        <f>LEFT(base[[#This Row],[Evento / Mercado]],FIND("vs",base[[#This Row],[Evento / Mercado]])-2)</f>
        <v>France</v>
      </c>
      <c r="R30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Sweden</v>
      </c>
      <c r="S3015" s="132" t="str">
        <f>LEFT(base[[#This Row],[Evento / Mercado]],FIND("/",base[[#This Row],[Evento / Mercado]])-2)</f>
        <v>France vs Sweden</v>
      </c>
    </row>
    <row r="3016" spans="2:19" ht="15" customHeight="1">
      <c r="B3016" s="128" t="s">
        <v>3063</v>
      </c>
      <c r="C3016" s="128" t="s">
        <v>2982</v>
      </c>
      <c r="D3016" s="129">
        <v>46203.935219907406</v>
      </c>
      <c r="E3016" s="130">
        <v>5.97</v>
      </c>
      <c r="F3016" s="136">
        <v>4.4999999999999998E-2</v>
      </c>
      <c r="G3016" s="126">
        <f t="shared" si="65"/>
        <v>6.2513089005235605</v>
      </c>
      <c r="H3016" s="126" t="s">
        <v>1339</v>
      </c>
      <c r="I3016" s="127" t="s">
        <v>2470</v>
      </c>
      <c r="J3016" s="126">
        <v>8.8000000000000007</v>
      </c>
      <c r="K3016" s="126">
        <v>48.75</v>
      </c>
      <c r="L3016" s="129">
        <f>INT(base[[#This Row],[Data de liquidação]])</f>
        <v>46203</v>
      </c>
      <c r="M3016" s="126">
        <f>base[[#This Row],[L/P Bruto]]-base[[#This Row],[L/P Líquido]]</f>
        <v>0.28130890052356072</v>
      </c>
      <c r="N3016" s="126">
        <f>base[[#This Row],[L/P Líquido]]/base[[#This Row],[Stake/Responsabilidade]]</f>
        <v>0.12246153846153846</v>
      </c>
      <c r="O3016" s="132">
        <f>IF(base[[#This Row],[L/P Líquido]]&gt;0,1,0)</f>
        <v>1</v>
      </c>
      <c r="P3016" s="132"/>
      <c r="Q3016" s="132" t="str">
        <f>LEFT(base[[#This Row],[Evento / Mercado]],FIND("vs",base[[#This Row],[Evento / Mercado]])-2)</f>
        <v>Botafogo PB</v>
      </c>
      <c r="R30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Brusque FC</v>
      </c>
      <c r="S3016" s="132" t="str">
        <f>LEFT(base[[#This Row],[Evento / Mercado]],FIND("/",base[[#This Row],[Evento / Mercado]])-2)</f>
        <v>Botafogo PB vs Brusque FC</v>
      </c>
    </row>
    <row r="3017" spans="2:19" ht="15" customHeight="1">
      <c r="B3017" s="128" t="s">
        <v>3066</v>
      </c>
      <c r="C3017" s="128" t="s">
        <v>2981</v>
      </c>
      <c r="D3017" s="129">
        <v>46204.042638888888</v>
      </c>
      <c r="E3017" s="130">
        <v>-35.71</v>
      </c>
      <c r="F3017" s="136">
        <v>4.4999999999999998E-2</v>
      </c>
      <c r="G3017" s="126">
        <f t="shared" si="65"/>
        <v>-35.71</v>
      </c>
      <c r="H3017" s="126" t="s">
        <v>2743</v>
      </c>
      <c r="I3017" s="127" t="s">
        <v>2744</v>
      </c>
      <c r="J3017" s="126">
        <v>6.6</v>
      </c>
      <c r="K3017" s="126">
        <v>35.71</v>
      </c>
      <c r="L3017" s="129">
        <f>INT(base[[#This Row],[Data de liquidação]])</f>
        <v>46204</v>
      </c>
      <c r="M3017" s="126">
        <f>base[[#This Row],[L/P Bruto]]-base[[#This Row],[L/P Líquido]]</f>
        <v>0</v>
      </c>
      <c r="N3017" s="126">
        <f>base[[#This Row],[L/P Líquido]]/base[[#This Row],[Stake/Responsabilidade]]</f>
        <v>-1</v>
      </c>
      <c r="O3017" s="132">
        <f>IF(base[[#This Row],[L/P Líquido]]&gt;0,1,0)</f>
        <v>0</v>
      </c>
      <c r="P3017" s="132"/>
      <c r="Q3017" s="132" t="str">
        <f>LEFT(base[[#This Row],[Evento / Mercado]],FIND("vs",base[[#This Row],[Evento / Mercado]])-2)</f>
        <v>Mexico</v>
      </c>
      <c r="R30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Ecuador</v>
      </c>
      <c r="S3017" s="132" t="str">
        <f>LEFT(base[[#This Row],[Evento / Mercado]],FIND("/",base[[#This Row],[Evento / Mercado]])-2)</f>
        <v>Mexico vs Ecuador</v>
      </c>
    </row>
    <row r="3018" spans="2:19" ht="15" customHeight="1">
      <c r="B3018" s="128" t="s">
        <v>3062</v>
      </c>
      <c r="C3018" s="128" t="s">
        <v>2982</v>
      </c>
      <c r="D3018" s="129">
        <v>46204.042858796296</v>
      </c>
      <c r="E3018" s="130">
        <v>12.09</v>
      </c>
      <c r="F3018" s="136">
        <v>4.4999999999999998E-2</v>
      </c>
      <c r="G3018" s="126">
        <f t="shared" si="65"/>
        <v>12.659685863874346</v>
      </c>
      <c r="H3018" s="126" t="s">
        <v>2817</v>
      </c>
      <c r="I3018" s="127" t="s">
        <v>2993</v>
      </c>
      <c r="J3018" s="126">
        <v>4.5</v>
      </c>
      <c r="K3018" s="126">
        <v>75.010000000000005</v>
      </c>
      <c r="L3018" s="129">
        <f>INT(base[[#This Row],[Data de liquidação]])</f>
        <v>46204</v>
      </c>
      <c r="M3018" s="126">
        <f>base[[#This Row],[L/P Bruto]]-base[[#This Row],[L/P Líquido]]</f>
        <v>0.56968586387434605</v>
      </c>
      <c r="N3018" s="126">
        <f>base[[#This Row],[L/P Líquido]]/base[[#This Row],[Stake/Responsabilidade]]</f>
        <v>0.16117850953206239</v>
      </c>
      <c r="O3018" s="132">
        <f>IF(base[[#This Row],[L/P Líquido]]&gt;0,1,0)</f>
        <v>1</v>
      </c>
      <c r="P3018" s="132"/>
      <c r="Q3018" s="132" t="str">
        <f>LEFT(base[[#This Row],[Evento / Mercado]],FIND("vs",base[[#This Row],[Evento / Mercado]])-2)</f>
        <v>Mexico</v>
      </c>
      <c r="R30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Ecuador</v>
      </c>
      <c r="S3018" s="132" t="str">
        <f>LEFT(base[[#This Row],[Evento / Mercado]],FIND("/",base[[#This Row],[Evento / Mercado]])-2)</f>
        <v>Mexico vs Ecuador</v>
      </c>
    </row>
    <row r="3019" spans="2:19" ht="15" customHeight="1">
      <c r="B3019" s="128" t="s">
        <v>3062</v>
      </c>
      <c r="C3019" s="128" t="s">
        <v>2981</v>
      </c>
      <c r="D3019" s="129">
        <v>46204.042858796296</v>
      </c>
      <c r="E3019" s="130">
        <v>72.540000000000006</v>
      </c>
      <c r="F3019" s="136">
        <v>4.4999999999999998E-2</v>
      </c>
      <c r="G3019" s="126">
        <f t="shared" si="65"/>
        <v>75.958115183246079</v>
      </c>
      <c r="H3019" s="126" t="s">
        <v>2743</v>
      </c>
      <c r="I3019" s="127" t="s">
        <v>1233</v>
      </c>
      <c r="J3019" s="126">
        <v>2.96</v>
      </c>
      <c r="K3019" s="126">
        <v>200</v>
      </c>
      <c r="L3019" s="129">
        <f>INT(base[[#This Row],[Data de liquidação]])</f>
        <v>46204</v>
      </c>
      <c r="M3019" s="126">
        <f>base[[#This Row],[L/P Bruto]]-base[[#This Row],[L/P Líquido]]</f>
        <v>3.4181151832460728</v>
      </c>
      <c r="N3019" s="126">
        <f>base[[#This Row],[L/P Líquido]]/base[[#This Row],[Stake/Responsabilidade]]</f>
        <v>0.36270000000000002</v>
      </c>
      <c r="O3019" s="132">
        <f>IF(base[[#This Row],[L/P Líquido]]&gt;0,1,0)</f>
        <v>1</v>
      </c>
      <c r="P3019" s="132"/>
      <c r="Q3019" s="132" t="str">
        <f>LEFT(base[[#This Row],[Evento / Mercado]],FIND("vs",base[[#This Row],[Evento / Mercado]])-2)</f>
        <v>Mexico</v>
      </c>
      <c r="R30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Ecuador</v>
      </c>
      <c r="S3019" s="132" t="str">
        <f>LEFT(base[[#This Row],[Evento / Mercado]],FIND("/",base[[#This Row],[Evento / Mercado]])-2)</f>
        <v>Mexico vs Ecuador</v>
      </c>
    </row>
    <row r="3020" spans="2:19" ht="15" customHeight="1">
      <c r="B3020" s="128" t="s">
        <v>3072</v>
      </c>
      <c r="C3020" s="128" t="s">
        <v>2982</v>
      </c>
      <c r="D3020" s="129">
        <v>46204.625555555554</v>
      </c>
      <c r="E3020" s="130">
        <v>-72.17</v>
      </c>
      <c r="F3020" s="136">
        <v>4.4999999999999998E-2</v>
      </c>
      <c r="G3020" s="126">
        <f t="shared" si="65"/>
        <v>-72.17</v>
      </c>
      <c r="H3020" s="126" t="s">
        <v>145</v>
      </c>
      <c r="I3020" s="127" t="s">
        <v>301</v>
      </c>
      <c r="J3020" s="126">
        <v>17.5</v>
      </c>
      <c r="K3020" s="126">
        <v>399.96</v>
      </c>
      <c r="L3020" s="129">
        <f>INT(base[[#This Row],[Data de liquidação]])</f>
        <v>46204</v>
      </c>
      <c r="M3020" s="126">
        <f>base[[#This Row],[L/P Bruto]]-base[[#This Row],[L/P Líquido]]</f>
        <v>0</v>
      </c>
      <c r="N3020" s="126">
        <f>base[[#This Row],[L/P Líquido]]/base[[#This Row],[Stake/Responsabilidade]]</f>
        <v>-0.18044304430443045</v>
      </c>
      <c r="O3020" s="132">
        <f>IF(base[[#This Row],[L/P Líquido]]&gt;0,1,0)</f>
        <v>0</v>
      </c>
      <c r="P3020" s="132" t="s">
        <v>2818</v>
      </c>
      <c r="Q3020" s="132" t="str">
        <f>LEFT(base[[#This Row],[Evento / Mercado]],FIND("vs",base[[#This Row],[Evento / Mercado]])-2)</f>
        <v>England</v>
      </c>
      <c r="R30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Congo DR</v>
      </c>
      <c r="S3020" s="132" t="str">
        <f>LEFT(base[[#This Row],[Evento / Mercado]],FIND("/",base[[#This Row],[Evento / Mercado]])-2)</f>
        <v>England vs Congo DR</v>
      </c>
    </row>
    <row r="3021" spans="2:19" ht="15" customHeight="1">
      <c r="B3021" s="128" t="s">
        <v>3071</v>
      </c>
      <c r="C3021" s="128" t="s">
        <v>2982</v>
      </c>
      <c r="D3021" s="129">
        <v>46204.784467592595</v>
      </c>
      <c r="E3021" s="130">
        <v>3.62</v>
      </c>
      <c r="F3021" s="136">
        <v>4.4999999999999998E-2</v>
      </c>
      <c r="G3021" s="126">
        <f t="shared" si="65"/>
        <v>3.7905759162303667</v>
      </c>
      <c r="H3021" s="126" t="s">
        <v>2820</v>
      </c>
      <c r="I3021" s="127" t="s">
        <v>13</v>
      </c>
      <c r="J3021" s="126">
        <v>1.85</v>
      </c>
      <c r="K3021" s="126">
        <v>25</v>
      </c>
      <c r="L3021" s="129">
        <f>INT(base[[#This Row],[Data de liquidação]])</f>
        <v>46204</v>
      </c>
      <c r="M3021" s="126">
        <f>base[[#This Row],[L/P Bruto]]-base[[#This Row],[L/P Líquido]]</f>
        <v>0.17057591623036661</v>
      </c>
      <c r="N3021" s="126">
        <f>base[[#This Row],[L/P Líquido]]/base[[#This Row],[Stake/Responsabilidade]]</f>
        <v>0.14480000000000001</v>
      </c>
      <c r="O3021" s="132">
        <f>IF(base[[#This Row],[L/P Líquido]]&gt;0,1,0)</f>
        <v>1</v>
      </c>
      <c r="P3021" s="132"/>
      <c r="Q3021" s="132" t="str">
        <f>LEFT(base[[#This Row],[Evento / Mercado]],FIND("vs",base[[#This Row],[Evento / Mercado]])-2)</f>
        <v>Belgium</v>
      </c>
      <c r="R30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3021" s="132" t="str">
        <f>LEFT(base[[#This Row],[Evento / Mercado]],FIND("/",base[[#This Row],[Evento / Mercado]])-2)</f>
        <v>Belgium vs Senegal</v>
      </c>
    </row>
    <row r="3022" spans="2:19" ht="15" customHeight="1">
      <c r="B3022" s="128" t="s">
        <v>3070</v>
      </c>
      <c r="C3022" s="128" t="s">
        <v>2982</v>
      </c>
      <c r="D3022" s="129">
        <v>46204.791643518518</v>
      </c>
      <c r="E3022" s="130">
        <v>0.56999999999999995</v>
      </c>
      <c r="F3022" s="136">
        <v>4.4999999999999998E-2</v>
      </c>
      <c r="G3022" s="126">
        <f t="shared" si="65"/>
        <v>0.59685863874345546</v>
      </c>
      <c r="H3022" s="126" t="s">
        <v>3074</v>
      </c>
      <c r="I3022" s="127" t="s">
        <v>301</v>
      </c>
      <c r="J3022" s="126">
        <v>27</v>
      </c>
      <c r="K3022" s="126">
        <v>100.1</v>
      </c>
      <c r="L3022" s="129">
        <f>INT(base[[#This Row],[Data de liquidação]])</f>
        <v>46204</v>
      </c>
      <c r="M3022" s="126">
        <f>base[[#This Row],[L/P Bruto]]-base[[#This Row],[L/P Líquido]]</f>
        <v>2.685863874345551E-2</v>
      </c>
      <c r="N3022" s="126">
        <f>base[[#This Row],[L/P Líquido]]/base[[#This Row],[Stake/Responsabilidade]]</f>
        <v>5.6943056943056939E-3</v>
      </c>
      <c r="O3022" s="132">
        <f>IF(base[[#This Row],[L/P Líquido]]&gt;0,1,0)</f>
        <v>1</v>
      </c>
      <c r="P3022" s="132"/>
      <c r="Q3022" s="132" t="str">
        <f>LEFT(base[[#This Row],[Evento / Mercado]],FIND("vs",base[[#This Row],[Evento / Mercado]])-2)</f>
        <v>Belgium</v>
      </c>
      <c r="R30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3022" s="132" t="str">
        <f>LEFT(base[[#This Row],[Evento / Mercado]],FIND("/",base[[#This Row],[Evento / Mercado]])-2)</f>
        <v>Belgium vs Senegal</v>
      </c>
    </row>
    <row r="3023" spans="2:19" ht="15" customHeight="1">
      <c r="B3023" s="128" t="s">
        <v>3070</v>
      </c>
      <c r="C3023" s="128" t="s">
        <v>2981</v>
      </c>
      <c r="D3023" s="129">
        <v>46204.791643518518</v>
      </c>
      <c r="E3023" s="130">
        <v>-100</v>
      </c>
      <c r="F3023" s="136">
        <v>4.4999999999999998E-2</v>
      </c>
      <c r="G3023" s="126">
        <f t="shared" si="65"/>
        <v>-100</v>
      </c>
      <c r="H3023" s="126" t="s">
        <v>2714</v>
      </c>
      <c r="I3023" s="127" t="s">
        <v>2716</v>
      </c>
      <c r="J3023" s="126"/>
      <c r="K3023" s="126">
        <v>100</v>
      </c>
      <c r="L3023" s="129">
        <f>INT(base[[#This Row],[Data de liquidação]])</f>
        <v>46204</v>
      </c>
      <c r="M3023" s="126">
        <f>base[[#This Row],[L/P Bruto]]-base[[#This Row],[L/P Líquido]]</f>
        <v>0</v>
      </c>
      <c r="N3023" s="126">
        <f>base[[#This Row],[L/P Líquido]]/base[[#This Row],[Stake/Responsabilidade]]</f>
        <v>-1</v>
      </c>
      <c r="O3023" s="132">
        <f>IF(base[[#This Row],[L/P Líquido]]&gt;0,1,0)</f>
        <v>0</v>
      </c>
      <c r="P3023" s="132"/>
      <c r="Q3023" s="132" t="str">
        <f>LEFT(base[[#This Row],[Evento / Mercado]],FIND("vs",base[[#This Row],[Evento / Mercado]])-2)</f>
        <v>Belgium</v>
      </c>
      <c r="R30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3023" s="132" t="str">
        <f>LEFT(base[[#This Row],[Evento / Mercado]],FIND("/",base[[#This Row],[Evento / Mercado]])-2)</f>
        <v>Belgium vs Senegal</v>
      </c>
    </row>
    <row r="3024" spans="2:19" ht="15" customHeight="1">
      <c r="B3024" s="128" t="s">
        <v>3069</v>
      </c>
      <c r="C3024" s="128" t="s">
        <v>2982</v>
      </c>
      <c r="D3024" s="129">
        <v>46204.792013888888</v>
      </c>
      <c r="E3024" s="130">
        <v>90.59</v>
      </c>
      <c r="F3024" s="136">
        <v>4.4999999999999998E-2</v>
      </c>
      <c r="G3024" s="126">
        <f t="shared" si="65"/>
        <v>94.858638743455501</v>
      </c>
      <c r="H3024" s="126" t="s">
        <v>2817</v>
      </c>
      <c r="I3024" s="127" t="s">
        <v>2993</v>
      </c>
      <c r="J3024" s="126">
        <f>(2.08*75+3.95*74.99)/base[[#This Row],[Stake/Responsabilidade]]</f>
        <v>3.0149376625108335</v>
      </c>
      <c r="K3024" s="126">
        <f>75+74.99</f>
        <v>149.99</v>
      </c>
      <c r="L3024" s="129">
        <f>INT(base[[#This Row],[Data de liquidação]])</f>
        <v>46204</v>
      </c>
      <c r="M3024" s="126">
        <f>base[[#This Row],[L/P Bruto]]-base[[#This Row],[L/P Líquido]]</f>
        <v>4.2686387434554973</v>
      </c>
      <c r="N3024" s="126">
        <f>base[[#This Row],[L/P Líquido]]/base[[#This Row],[Stake/Responsabilidade]]</f>
        <v>0.60397359823988261</v>
      </c>
      <c r="O3024" s="132">
        <f>IF(base[[#This Row],[L/P Líquido]]&gt;0,1,0)</f>
        <v>1</v>
      </c>
      <c r="P3024" s="132"/>
      <c r="Q3024" s="132" t="str">
        <f>LEFT(base[[#This Row],[Evento / Mercado]],FIND("vs",base[[#This Row],[Evento / Mercado]])-2)</f>
        <v>Belgium</v>
      </c>
      <c r="R30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3024" s="132" t="str">
        <f>LEFT(base[[#This Row],[Evento / Mercado]],FIND("/",base[[#This Row],[Evento / Mercado]])-2)</f>
        <v>Belgium vs Senegal</v>
      </c>
    </row>
    <row r="3025" spans="2:19" ht="15" customHeight="1">
      <c r="B3025" s="128" t="s">
        <v>3068</v>
      </c>
      <c r="C3025" s="128" t="s">
        <v>2982</v>
      </c>
      <c r="D3025" s="129">
        <v>46204.842800925922</v>
      </c>
      <c r="E3025" s="130">
        <v>14.33</v>
      </c>
      <c r="F3025" s="136">
        <v>4.4999999999999998E-2</v>
      </c>
      <c r="G3025" s="126">
        <f t="shared" si="65"/>
        <v>15.005235602094242</v>
      </c>
      <c r="H3025" s="126" t="s">
        <v>1339</v>
      </c>
      <c r="I3025" s="127" t="s">
        <v>1236</v>
      </c>
      <c r="J3025" s="126">
        <v>6.56</v>
      </c>
      <c r="K3025" s="126">
        <v>15</v>
      </c>
      <c r="L3025" s="129">
        <f>INT(base[[#This Row],[Data de liquidação]])</f>
        <v>46204</v>
      </c>
      <c r="M3025" s="126">
        <f>base[[#This Row],[L/P Bruto]]-base[[#This Row],[L/P Líquido]]</f>
        <v>0.67523560209424183</v>
      </c>
      <c r="N3025" s="126">
        <f>base[[#This Row],[L/P Líquido]]/base[[#This Row],[Stake/Responsabilidade]]</f>
        <v>0.95533333333333337</v>
      </c>
      <c r="O3025" s="132">
        <f>IF(base[[#This Row],[L/P Líquido]]&gt;0,1,0)</f>
        <v>1</v>
      </c>
      <c r="P3025" s="132"/>
      <c r="Q3025" s="132" t="str">
        <f>LEFT(base[[#This Row],[Evento / Mercado]],FIND("vs",base[[#This Row],[Evento / Mercado]])-2)</f>
        <v>LDU Quito</v>
      </c>
      <c r="R30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Orense SC</v>
      </c>
      <c r="S3025" s="132" t="str">
        <f>LEFT(base[[#This Row],[Evento / Mercado]],FIND("/",base[[#This Row],[Evento / Mercado]])-2)</f>
        <v>LDU Quito vs Orense SC</v>
      </c>
    </row>
    <row r="3026" spans="2:19" ht="15" customHeight="1">
      <c r="B3026" s="128" t="s">
        <v>3073</v>
      </c>
      <c r="C3026" s="128" t="s">
        <v>2981</v>
      </c>
      <c r="D3026" s="129">
        <v>46204.962789351855</v>
      </c>
      <c r="E3026" s="130">
        <v>-20</v>
      </c>
      <c r="F3026" s="136">
        <v>4.4999999999999998E-2</v>
      </c>
      <c r="G3026" s="126">
        <f t="shared" si="65"/>
        <v>-20</v>
      </c>
      <c r="H3026" s="126" t="s">
        <v>2743</v>
      </c>
      <c r="I3026" s="127" t="s">
        <v>2744</v>
      </c>
      <c r="J3026" s="126">
        <v>11</v>
      </c>
      <c r="K3026" s="126">
        <v>20</v>
      </c>
      <c r="L3026" s="129">
        <f>INT(base[[#This Row],[Data de liquidação]])</f>
        <v>46204</v>
      </c>
      <c r="M3026" s="126">
        <f>base[[#This Row],[L/P Bruto]]-base[[#This Row],[L/P Líquido]]</f>
        <v>0</v>
      </c>
      <c r="N3026" s="126">
        <f>base[[#This Row],[L/P Líquido]]/base[[#This Row],[Stake/Responsabilidade]]</f>
        <v>-1</v>
      </c>
      <c r="O3026" s="132">
        <f>IF(base[[#This Row],[L/P Líquido]]&gt;0,1,0)</f>
        <v>0</v>
      </c>
      <c r="P3026" s="132"/>
      <c r="Q3026" s="132" t="str">
        <f>LEFT(base[[#This Row],[Evento / Mercado]],FIND("vs",base[[#This Row],[Evento / Mercado]])-2)</f>
        <v>USA</v>
      </c>
      <c r="R30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3026" s="132" t="str">
        <f>LEFT(base[[#This Row],[Evento / Mercado]],FIND("/",base[[#This Row],[Evento / Mercado]])-2)</f>
        <v>USA vs Bosnia-Herzegovina</v>
      </c>
    </row>
    <row r="3027" spans="2:19" ht="15" customHeight="1">
      <c r="B3027" s="128" t="s">
        <v>3067</v>
      </c>
      <c r="C3027" s="128" t="s">
        <v>2982</v>
      </c>
      <c r="D3027" s="129">
        <v>46204.963194444441</v>
      </c>
      <c r="E3027" s="130">
        <v>5.2</v>
      </c>
      <c r="F3027" s="136">
        <v>4.4999999999999998E-2</v>
      </c>
      <c r="G3027" s="126">
        <f t="shared" si="65"/>
        <v>5.4450261780104716</v>
      </c>
      <c r="H3027" s="126" t="s">
        <v>2817</v>
      </c>
      <c r="I3027" s="127" t="s">
        <v>2992</v>
      </c>
      <c r="J3027" s="126">
        <v>11</v>
      </c>
      <c r="K3027" s="126">
        <v>75</v>
      </c>
      <c r="L3027" s="129">
        <f>INT(base[[#This Row],[Data de liquidação]])</f>
        <v>46204</v>
      </c>
      <c r="M3027" s="126">
        <f>base[[#This Row],[L/P Bruto]]-base[[#This Row],[L/P Líquido]]</f>
        <v>0.24502617801047144</v>
      </c>
      <c r="N3027" s="126">
        <f>base[[#This Row],[L/P Líquido]]/base[[#This Row],[Stake/Responsabilidade]]</f>
        <v>6.933333333333333E-2</v>
      </c>
      <c r="O3027" s="132">
        <f>IF(base[[#This Row],[L/P Líquido]]&gt;0,1,0)</f>
        <v>1</v>
      </c>
      <c r="P3027" s="132"/>
      <c r="Q3027" s="132" t="str">
        <f>LEFT(base[[#This Row],[Evento / Mercado]],FIND("vs",base[[#This Row],[Evento / Mercado]])-2)</f>
        <v>USA</v>
      </c>
      <c r="R30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3027" s="132" t="str">
        <f>LEFT(base[[#This Row],[Evento / Mercado]],FIND("/",base[[#This Row],[Evento / Mercado]])-2)</f>
        <v>USA vs Bosnia-Herzegovina</v>
      </c>
    </row>
    <row r="3028" spans="2:19" ht="15" customHeight="1">
      <c r="B3028" s="128" t="s">
        <v>3067</v>
      </c>
      <c r="C3028" s="128" t="s">
        <v>2981</v>
      </c>
      <c r="D3028" s="129">
        <v>46204.963194444441</v>
      </c>
      <c r="E3028" s="130">
        <v>37.9</v>
      </c>
      <c r="F3028" s="136">
        <v>4.4999999999999998E-2</v>
      </c>
      <c r="G3028" s="126">
        <f t="shared" si="65"/>
        <v>39.68586387434555</v>
      </c>
      <c r="H3028" s="126" t="s">
        <v>2743</v>
      </c>
      <c r="I3028" s="127" t="s">
        <v>1233</v>
      </c>
      <c r="J3028" s="126">
        <v>5.4</v>
      </c>
      <c r="K3028" s="126">
        <v>195.54</v>
      </c>
      <c r="L3028" s="129">
        <f>INT(base[[#This Row],[Data de liquidação]])</f>
        <v>46204</v>
      </c>
      <c r="M3028" s="126">
        <f>base[[#This Row],[L/P Bruto]]-base[[#This Row],[L/P Líquido]]</f>
        <v>1.7858638743455515</v>
      </c>
      <c r="N3028" s="126">
        <f>base[[#This Row],[L/P Líquido]]/base[[#This Row],[Stake/Responsabilidade]]</f>
        <v>0.19382223585967065</v>
      </c>
      <c r="O3028" s="132">
        <f>IF(base[[#This Row],[L/P Líquido]]&gt;0,1,0)</f>
        <v>1</v>
      </c>
      <c r="P3028" s="132"/>
      <c r="Q3028" s="132" t="str">
        <f>LEFT(base[[#This Row],[Evento / Mercado]],FIND("vs",base[[#This Row],[Evento / Mercado]])-2)</f>
        <v>USA</v>
      </c>
      <c r="R30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3028" s="132" t="str">
        <f>LEFT(base[[#This Row],[Evento / Mercado]],FIND("/",base[[#This Row],[Evento / Mercado]])-2)</f>
        <v>USA vs Bosnia-Herzegovina</v>
      </c>
    </row>
    <row r="3029" spans="2:19" ht="15" customHeight="1">
      <c r="B3029" s="128" t="s">
        <v>3085</v>
      </c>
      <c r="C3029" s="128" t="s">
        <v>2982</v>
      </c>
      <c r="D3029" s="129">
        <v>46205.619016203702</v>
      </c>
      <c r="E3029" s="130">
        <v>41.84</v>
      </c>
      <c r="F3029" s="136">
        <v>4.4999999999999998E-2</v>
      </c>
      <c r="G3029" s="126">
        <f t="shared" si="65"/>
        <v>43.811518324607334</v>
      </c>
      <c r="H3029" s="126" t="s">
        <v>74</v>
      </c>
      <c r="I3029" s="127" t="s">
        <v>541</v>
      </c>
      <c r="J3029" s="126">
        <v>11.5</v>
      </c>
      <c r="K3029" s="126">
        <v>460.01</v>
      </c>
      <c r="L3029" s="129">
        <f>INT(base[[#This Row],[Data de liquidação]])</f>
        <v>46205</v>
      </c>
      <c r="M3029" s="126">
        <f>base[[#This Row],[L/P Bruto]]-base[[#This Row],[L/P Líquido]]</f>
        <v>1.9715183246073309</v>
      </c>
      <c r="N3029" s="126">
        <f>base[[#This Row],[L/P Líquido]]/base[[#This Row],[Stake/Responsabilidade]]</f>
        <v>9.0954544466424647E-2</v>
      </c>
      <c r="O3029" s="132">
        <f>IF(base[[#This Row],[L/P Líquido]]&gt;0,1,0)</f>
        <v>1</v>
      </c>
      <c r="P3029" s="132" t="s">
        <v>3086</v>
      </c>
      <c r="Q3029" s="132" t="str">
        <f>LEFT(base[[#This Row],[Evento / Mercado]],FIND("vs",base[[#This Row],[Evento / Mercado]])-2)</f>
        <v>FC Kuressaare</v>
      </c>
      <c r="R30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Tallinna FC Flora</v>
      </c>
      <c r="S3029" s="132" t="str">
        <f>LEFT(base[[#This Row],[Evento / Mercado]],FIND("/",base[[#This Row],[Evento / Mercado]])-2)</f>
        <v>FC Kuressaare vs Tallinna FC Flora</v>
      </c>
    </row>
    <row r="3030" spans="2:19" ht="15" customHeight="1">
      <c r="B3030" s="128" t="s">
        <v>3084</v>
      </c>
      <c r="C3030" s="128" t="s">
        <v>2982</v>
      </c>
      <c r="D3030" s="129">
        <v>46205.749120370368</v>
      </c>
      <c r="E3030" s="130">
        <v>28.3</v>
      </c>
      <c r="F3030" s="136">
        <v>4.4999999999999998E-2</v>
      </c>
      <c r="G3030" s="126">
        <f t="shared" si="65"/>
        <v>29.633507853403142</v>
      </c>
      <c r="H3030" s="126" t="s">
        <v>145</v>
      </c>
      <c r="I3030" s="127" t="s">
        <v>2877</v>
      </c>
      <c r="J3030" s="126">
        <v>14.5</v>
      </c>
      <c r="K3030" s="126">
        <v>400.01</v>
      </c>
      <c r="L3030" s="129">
        <f>INT(base[[#This Row],[Data de liquidação]])</f>
        <v>46205</v>
      </c>
      <c r="M3030" s="126">
        <f>base[[#This Row],[L/P Bruto]]-base[[#This Row],[L/P Líquido]]</f>
        <v>1.333507853403141</v>
      </c>
      <c r="N3030" s="126">
        <f>base[[#This Row],[L/P Líquido]]/base[[#This Row],[Stake/Responsabilidade]]</f>
        <v>7.0748231294217645E-2</v>
      </c>
      <c r="O3030" s="132">
        <f>IF(base[[#This Row],[L/P Líquido]]&gt;0,1,0)</f>
        <v>1</v>
      </c>
      <c r="P3030" s="132" t="s">
        <v>2818</v>
      </c>
      <c r="Q3030" s="132" t="str">
        <f>LEFT(base[[#This Row],[Evento / Mercado]],FIND("vs",base[[#This Row],[Evento / Mercado]])-2)</f>
        <v>Spain</v>
      </c>
      <c r="R30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Austria</v>
      </c>
      <c r="S3030" s="132" t="str">
        <f>LEFT(base[[#This Row],[Evento / Mercado]],FIND("/",base[[#This Row],[Evento / Mercado]])-2)</f>
        <v>Spain vs Austria</v>
      </c>
    </row>
    <row r="3031" spans="2:19" ht="15" customHeight="1">
      <c r="B3031" s="128" t="s">
        <v>3083</v>
      </c>
      <c r="C3031" s="128" t="s">
        <v>2982</v>
      </c>
      <c r="D3031" s="129">
        <v>46205.757962962962</v>
      </c>
      <c r="E3031" s="130">
        <v>25.47</v>
      </c>
      <c r="F3031" s="136">
        <v>4.4999999999999998E-2</v>
      </c>
      <c r="G3031" s="126">
        <f t="shared" si="65"/>
        <v>26.670157068062828</v>
      </c>
      <c r="H3031" s="126" t="s">
        <v>145</v>
      </c>
      <c r="I3031" s="127" t="s">
        <v>301</v>
      </c>
      <c r="J3031" s="126">
        <v>16</v>
      </c>
      <c r="K3031" s="126">
        <v>400.05</v>
      </c>
      <c r="L3031" s="129">
        <f>INT(base[[#This Row],[Data de liquidação]])</f>
        <v>46205</v>
      </c>
      <c r="M3031" s="126">
        <f>base[[#This Row],[L/P Bruto]]-base[[#This Row],[L/P Líquido]]</f>
        <v>1.2001570680628291</v>
      </c>
      <c r="N3031" s="126">
        <f>base[[#This Row],[L/P Líquido]]/base[[#This Row],[Stake/Responsabilidade]]</f>
        <v>6.3667041619797526E-2</v>
      </c>
      <c r="O3031" s="132">
        <f>IF(base[[#This Row],[L/P Líquido]]&gt;0,1,0)</f>
        <v>1</v>
      </c>
      <c r="P3031" s="132" t="s">
        <v>3087</v>
      </c>
      <c r="Q3031" s="132" t="str">
        <f>LEFT(base[[#This Row],[Evento / Mercado]],FIND("vs",base[[#This Row],[Evento / Mercado]])-2)</f>
        <v>Víkingur</v>
      </c>
      <c r="R30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 Akureyrar</v>
      </c>
      <c r="S3031" s="132" t="str">
        <f>LEFT(base[[#This Row],[Evento / Mercado]],FIND("/",base[[#This Row],[Evento / Mercado]])-2)</f>
        <v>Víkingur vs KA Akureyrar</v>
      </c>
    </row>
    <row r="3032" spans="2:19" ht="15" customHeight="1">
      <c r="B3032" s="128" t="s">
        <v>3082</v>
      </c>
      <c r="C3032" s="128" t="s">
        <v>2982</v>
      </c>
      <c r="D3032" s="129">
        <v>46205.909571759257</v>
      </c>
      <c r="E3032" s="130">
        <v>-2</v>
      </c>
      <c r="F3032" s="136">
        <v>4.4999999999999998E-2</v>
      </c>
      <c r="G3032" s="126">
        <f t="shared" si="65"/>
        <v>-2</v>
      </c>
      <c r="H3032" s="126" t="s">
        <v>1339</v>
      </c>
      <c r="I3032" s="127" t="s">
        <v>1448</v>
      </c>
      <c r="J3032" s="126">
        <v>1.6</v>
      </c>
      <c r="K3032" s="126">
        <v>2</v>
      </c>
      <c r="L3032" s="129">
        <f>INT(base[[#This Row],[Data de liquidação]])</f>
        <v>46205</v>
      </c>
      <c r="M3032" s="126">
        <f>base[[#This Row],[L/P Bruto]]-base[[#This Row],[L/P Líquido]]</f>
        <v>0</v>
      </c>
      <c r="N3032" s="126">
        <f>base[[#This Row],[L/P Líquido]]/base[[#This Row],[Stake/Responsabilidade]]</f>
        <v>-1</v>
      </c>
      <c r="O3032" s="132">
        <f>IF(base[[#This Row],[L/P Líquido]]&gt;0,1,0)</f>
        <v>0</v>
      </c>
      <c r="P3032" s="132"/>
      <c r="Q3032" s="132" t="str">
        <f>LEFT(base[[#This Row],[Evento / Mercado]],FIND("vs",base[[#This Row],[Evento / Mercado]])-2)</f>
        <v>Fortaleza EC</v>
      </c>
      <c r="R30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032" s="132" t="str">
        <f>LEFT(base[[#This Row],[Evento / Mercado]],FIND("/",base[[#This Row],[Evento / Mercado]])-2)</f>
        <v>Fortaleza EC vs Atlética Ponte Preta</v>
      </c>
    </row>
    <row r="3033" spans="2:19" ht="15" customHeight="1">
      <c r="B3033" s="128" t="s">
        <v>3079</v>
      </c>
      <c r="C3033" s="128" t="s">
        <v>2981</v>
      </c>
      <c r="D3033" s="129">
        <v>46205.915324074071</v>
      </c>
      <c r="E3033" s="130">
        <v>-16.329999999999998</v>
      </c>
      <c r="F3033" s="136">
        <v>4.4999999999999998E-2</v>
      </c>
      <c r="G3033" s="126">
        <f t="shared" si="65"/>
        <v>-16.329999999999998</v>
      </c>
      <c r="H3033" s="126" t="s">
        <v>2743</v>
      </c>
      <c r="I3033" s="127" t="s">
        <v>2744</v>
      </c>
      <c r="J3033" s="126">
        <v>7.4</v>
      </c>
      <c r="K3033" s="126">
        <v>31.25</v>
      </c>
      <c r="L3033" s="129">
        <f>INT(base[[#This Row],[Data de liquidação]])</f>
        <v>46205</v>
      </c>
      <c r="M3033" s="126">
        <f>base[[#This Row],[L/P Bruto]]-base[[#This Row],[L/P Líquido]]</f>
        <v>0</v>
      </c>
      <c r="N3033" s="126">
        <f>base[[#This Row],[L/P Líquido]]/base[[#This Row],[Stake/Responsabilidade]]</f>
        <v>-0.52255999999999991</v>
      </c>
      <c r="O3033" s="132">
        <f>IF(base[[#This Row],[L/P Líquido]]&gt;0,1,0)</f>
        <v>0</v>
      </c>
      <c r="P3033" s="132"/>
      <c r="Q3033" s="132" t="str">
        <f>LEFT(base[[#This Row],[Evento / Mercado]],FIND("vs",base[[#This Row],[Evento / Mercado]])-2)</f>
        <v>Cuiabá EC</v>
      </c>
      <c r="R30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3033" s="132" t="str">
        <f>LEFT(base[[#This Row],[Evento / Mercado]],FIND("/",base[[#This Row],[Evento / Mercado]])-2)</f>
        <v>Cuiabá EC vs América-MG</v>
      </c>
    </row>
    <row r="3034" spans="2:19" ht="15" customHeight="1">
      <c r="B3034" s="128" t="s">
        <v>3078</v>
      </c>
      <c r="C3034" s="128" t="s">
        <v>2981</v>
      </c>
      <c r="D3034" s="129">
        <v>46205.915439814817</v>
      </c>
      <c r="E3034" s="130">
        <v>-72.069999999999993</v>
      </c>
      <c r="F3034" s="136">
        <v>4.4999999999999998E-2</v>
      </c>
      <c r="G3034" s="126">
        <f t="shared" si="65"/>
        <v>-72.069999999999993</v>
      </c>
      <c r="H3034" s="126" t="s">
        <v>2743</v>
      </c>
      <c r="I3034" s="127" t="s">
        <v>1233</v>
      </c>
      <c r="J3034" s="126">
        <v>3.55</v>
      </c>
      <c r="K3034" s="126">
        <v>200</v>
      </c>
      <c r="L3034" s="129">
        <f>INT(base[[#This Row],[Data de liquidação]])</f>
        <v>46205</v>
      </c>
      <c r="M3034" s="126">
        <f>base[[#This Row],[L/P Bruto]]-base[[#This Row],[L/P Líquido]]</f>
        <v>0</v>
      </c>
      <c r="N3034" s="126">
        <f>base[[#This Row],[L/P Líquido]]/base[[#This Row],[Stake/Responsabilidade]]</f>
        <v>-0.36034999999999995</v>
      </c>
      <c r="O3034" s="132">
        <f>IF(base[[#This Row],[L/P Líquido]]&gt;0,1,0)</f>
        <v>0</v>
      </c>
      <c r="P3034" s="132"/>
      <c r="Q3034" s="132" t="str">
        <f>LEFT(base[[#This Row],[Evento / Mercado]],FIND("vs",base[[#This Row],[Evento / Mercado]])-2)</f>
        <v>Cuiabá EC</v>
      </c>
      <c r="R30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3034" s="132" t="str">
        <f>LEFT(base[[#This Row],[Evento / Mercado]],FIND("/",base[[#This Row],[Evento / Mercado]])-2)</f>
        <v>Cuiabá EC vs América-MG</v>
      </c>
    </row>
    <row r="3035" spans="2:19" ht="15" customHeight="1">
      <c r="B3035" s="128" t="s">
        <v>3078</v>
      </c>
      <c r="C3035" s="128" t="s">
        <v>2982</v>
      </c>
      <c r="D3035" s="129">
        <v>46205.915451388886</v>
      </c>
      <c r="E3035" s="130">
        <v>6.38</v>
      </c>
      <c r="F3035" s="136">
        <v>4.4999999999999998E-2</v>
      </c>
      <c r="G3035" s="126">
        <f t="shared" si="65"/>
        <v>6.6806282722513091</v>
      </c>
      <c r="H3035" s="126" t="s">
        <v>2817</v>
      </c>
      <c r="I3035" s="127" t="s">
        <v>2993</v>
      </c>
      <c r="J3035" s="126">
        <v>5.7</v>
      </c>
      <c r="K3035" s="126">
        <v>75.010000000000005</v>
      </c>
      <c r="L3035" s="129">
        <f>INT(base[[#This Row],[Data de liquidação]])</f>
        <v>46205</v>
      </c>
      <c r="M3035" s="126">
        <f>base[[#This Row],[L/P Bruto]]-base[[#This Row],[L/P Líquido]]</f>
        <v>0.30062827225130917</v>
      </c>
      <c r="N3035" s="126">
        <f>base[[#This Row],[L/P Líquido]]/base[[#This Row],[Stake/Responsabilidade]]</f>
        <v>8.5055325956539127E-2</v>
      </c>
      <c r="O3035" s="132">
        <f>IF(base[[#This Row],[L/P Líquido]]&gt;0,1,0)</f>
        <v>1</v>
      </c>
      <c r="P3035" s="132"/>
      <c r="Q3035" s="132" t="str">
        <f>LEFT(base[[#This Row],[Evento / Mercado]],FIND("vs",base[[#This Row],[Evento / Mercado]])-2)</f>
        <v>Cuiabá EC</v>
      </c>
      <c r="R30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3035" s="132" t="str">
        <f>LEFT(base[[#This Row],[Evento / Mercado]],FIND("/",base[[#This Row],[Evento / Mercado]])-2)</f>
        <v>Cuiabá EC vs América-MG</v>
      </c>
    </row>
    <row r="3036" spans="2:19" ht="15" customHeight="1">
      <c r="B3036" s="128" t="s">
        <v>3077</v>
      </c>
      <c r="C3036" s="128" t="s">
        <v>2981</v>
      </c>
      <c r="D3036" s="129">
        <v>46205.923009259262</v>
      </c>
      <c r="E3036" s="130">
        <v>-30.3</v>
      </c>
      <c r="F3036" s="136">
        <v>4.4999999999999998E-2</v>
      </c>
      <c r="G3036" s="126">
        <f t="shared" si="65"/>
        <v>-30.3</v>
      </c>
      <c r="H3036" s="126" t="s">
        <v>2743</v>
      </c>
      <c r="I3036" s="127" t="s">
        <v>2744</v>
      </c>
      <c r="J3036" s="126">
        <v>7.6</v>
      </c>
      <c r="K3036" s="126">
        <v>30.3</v>
      </c>
      <c r="L3036" s="129">
        <f>INT(base[[#This Row],[Data de liquidação]])</f>
        <v>46205</v>
      </c>
      <c r="M3036" s="126">
        <f>base[[#This Row],[L/P Bruto]]-base[[#This Row],[L/P Líquido]]</f>
        <v>0</v>
      </c>
      <c r="N3036" s="126">
        <f>base[[#This Row],[L/P Líquido]]/base[[#This Row],[Stake/Responsabilidade]]</f>
        <v>-1</v>
      </c>
      <c r="O3036" s="132">
        <f>IF(base[[#This Row],[L/P Líquido]]&gt;0,1,0)</f>
        <v>0</v>
      </c>
      <c r="P3036" s="132"/>
      <c r="Q3036" s="132" t="str">
        <f>LEFT(base[[#This Row],[Evento / Mercado]],FIND("vs",base[[#This Row],[Evento / Mercado]])-2)</f>
        <v>Portugal</v>
      </c>
      <c r="R30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3036" s="132" t="str">
        <f>LEFT(base[[#This Row],[Evento / Mercado]],FIND("/",base[[#This Row],[Evento / Mercado]])-2)</f>
        <v>Portugal vs Croatia</v>
      </c>
    </row>
    <row r="3037" spans="2:19" ht="15" customHeight="1">
      <c r="B3037" s="128" t="s">
        <v>3077</v>
      </c>
      <c r="C3037" s="128" t="s">
        <v>2982</v>
      </c>
      <c r="D3037" s="129">
        <v>46205.923009259262</v>
      </c>
      <c r="E3037" s="130">
        <v>21.71</v>
      </c>
      <c r="F3037" s="136">
        <v>4.4999999999999998E-2</v>
      </c>
      <c r="G3037" s="126">
        <f t="shared" si="65"/>
        <v>22.73298429319372</v>
      </c>
      <c r="H3037" s="126" t="s">
        <v>2821</v>
      </c>
      <c r="I3037" s="127" t="s">
        <v>476</v>
      </c>
      <c r="J3037" s="126">
        <v>23</v>
      </c>
      <c r="K3037" s="126">
        <v>500.06</v>
      </c>
      <c r="L3037" s="129">
        <f>INT(base[[#This Row],[Data de liquidação]])</f>
        <v>46205</v>
      </c>
      <c r="M3037" s="126">
        <f>base[[#This Row],[L/P Bruto]]-base[[#This Row],[L/P Líquido]]</f>
        <v>1.0229842931937192</v>
      </c>
      <c r="N3037" s="126">
        <f>base[[#This Row],[L/P Líquido]]/base[[#This Row],[Stake/Responsabilidade]]</f>
        <v>4.3414790225172979E-2</v>
      </c>
      <c r="O3037" s="132">
        <f>IF(base[[#This Row],[L/P Líquido]]&gt;0,1,0)</f>
        <v>1</v>
      </c>
      <c r="P3037" s="132"/>
      <c r="Q3037" s="132" t="str">
        <f>LEFT(base[[#This Row],[Evento / Mercado]],FIND("vs",base[[#This Row],[Evento / Mercado]])-2)</f>
        <v>Portugal</v>
      </c>
      <c r="R30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3037" s="132" t="str">
        <f>LEFT(base[[#This Row],[Evento / Mercado]],FIND("/",base[[#This Row],[Evento / Mercado]])-2)</f>
        <v>Portugal vs Croatia</v>
      </c>
    </row>
    <row r="3038" spans="2:19" ht="15" customHeight="1">
      <c r="B3038" s="128" t="s">
        <v>3076</v>
      </c>
      <c r="C3038" s="128" t="s">
        <v>2981</v>
      </c>
      <c r="D3038" s="129">
        <v>46205.923715277779</v>
      </c>
      <c r="E3038" s="130">
        <v>41.99</v>
      </c>
      <c r="F3038" s="136">
        <v>4.4999999999999998E-2</v>
      </c>
      <c r="G3038" s="126">
        <f t="shared" si="65"/>
        <v>43.968586387434556</v>
      </c>
      <c r="H3038" s="126" t="s">
        <v>2743</v>
      </c>
      <c r="I3038" s="127" t="s">
        <v>1233</v>
      </c>
      <c r="J3038" s="126">
        <v>3.8</v>
      </c>
      <c r="K3038" s="126">
        <v>200</v>
      </c>
      <c r="L3038" s="129">
        <f>INT(base[[#This Row],[Data de liquidação]])</f>
        <v>46205</v>
      </c>
      <c r="M3038" s="126">
        <f>base[[#This Row],[L/P Bruto]]-base[[#This Row],[L/P Líquido]]</f>
        <v>1.9785863874345537</v>
      </c>
      <c r="N3038" s="126">
        <f>base[[#This Row],[L/P Líquido]]/base[[#This Row],[Stake/Responsabilidade]]</f>
        <v>0.20995</v>
      </c>
      <c r="O3038" s="132">
        <f>IF(base[[#This Row],[L/P Líquido]]&gt;0,1,0)</f>
        <v>1</v>
      </c>
      <c r="P3038" s="132"/>
      <c r="Q3038" s="132" t="str">
        <f>LEFT(base[[#This Row],[Evento / Mercado]],FIND("vs",base[[#This Row],[Evento / Mercado]])-2)</f>
        <v>Portugal</v>
      </c>
      <c r="R30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3038" s="132" t="str">
        <f>LEFT(base[[#This Row],[Evento / Mercado]],FIND("/",base[[#This Row],[Evento / Mercado]])-2)</f>
        <v>Portugal vs Croatia</v>
      </c>
    </row>
    <row r="3039" spans="2:19" ht="15" customHeight="1">
      <c r="B3039" s="128" t="s">
        <v>3076</v>
      </c>
      <c r="C3039" s="128" t="s">
        <v>2982</v>
      </c>
      <c r="D3039" s="129">
        <v>46205.923726851855</v>
      </c>
      <c r="E3039" s="130">
        <v>50.1</v>
      </c>
      <c r="F3039" s="136">
        <v>4.4999999999999998E-2</v>
      </c>
      <c r="G3039" s="126">
        <f t="shared" si="65"/>
        <v>52.460732984293195</v>
      </c>
      <c r="H3039" s="126" t="s">
        <v>2817</v>
      </c>
      <c r="I3039" s="127" t="s">
        <v>2993</v>
      </c>
      <c r="J3039" s="126">
        <f>(6.2*74.98+2.12*75)/base[[#This Row],[Stake/Responsabilidade]]</f>
        <v>4.1597279637284963</v>
      </c>
      <c r="K3039" s="126">
        <f>74.98+75</f>
        <v>149.98000000000002</v>
      </c>
      <c r="L3039" s="129">
        <f>INT(base[[#This Row],[Data de liquidação]])</f>
        <v>46205</v>
      </c>
      <c r="M3039" s="126">
        <f>base[[#This Row],[L/P Bruto]]-base[[#This Row],[L/P Líquido]]</f>
        <v>2.3607329842931932</v>
      </c>
      <c r="N3039" s="126">
        <f>base[[#This Row],[L/P Líquido]]/base[[#This Row],[Stake/Responsabilidade]]</f>
        <v>0.33404453927190286</v>
      </c>
      <c r="O3039" s="132">
        <f>IF(base[[#This Row],[L/P Líquido]]&gt;0,1,0)</f>
        <v>1</v>
      </c>
      <c r="P3039" s="132"/>
      <c r="Q3039" s="132" t="str">
        <f>LEFT(base[[#This Row],[Evento / Mercado]],FIND("vs",base[[#This Row],[Evento / Mercado]])-2)</f>
        <v>Portugal</v>
      </c>
      <c r="R30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3039" s="132" t="str">
        <f>LEFT(base[[#This Row],[Evento / Mercado]],FIND("/",base[[#This Row],[Evento / Mercado]])-2)</f>
        <v>Portugal vs Croatia</v>
      </c>
    </row>
    <row r="3040" spans="2:19" ht="15" customHeight="1">
      <c r="B3040" s="128" t="s">
        <v>3075</v>
      </c>
      <c r="C3040" s="128" t="s">
        <v>2980</v>
      </c>
      <c r="D3040" s="129">
        <v>46205.956250000003</v>
      </c>
      <c r="E3040" s="130">
        <v>32.93</v>
      </c>
      <c r="F3040" s="136">
        <v>4.4999999999999998E-2</v>
      </c>
      <c r="G3040" s="126">
        <f t="shared" si="65"/>
        <v>34.481675392670155</v>
      </c>
      <c r="H3040" s="126" t="s">
        <v>2743</v>
      </c>
      <c r="I3040" s="127" t="s">
        <v>1233</v>
      </c>
      <c r="J3040" s="126">
        <v>6.8</v>
      </c>
      <c r="K3040" s="126">
        <v>199.98</v>
      </c>
      <c r="L3040" s="129">
        <f>INT(base[[#This Row],[Data de liquidação]])</f>
        <v>46205</v>
      </c>
      <c r="M3040" s="126">
        <f>base[[#This Row],[L/P Bruto]]-base[[#This Row],[L/P Líquido]]</f>
        <v>1.5516753926701554</v>
      </c>
      <c r="N3040" s="126">
        <f>base[[#This Row],[L/P Líquido]]/base[[#This Row],[Stake/Responsabilidade]]</f>
        <v>0.16466646664666468</v>
      </c>
      <c r="O3040" s="132">
        <f>IF(base[[#This Row],[L/P Líquido]]&gt;0,1,0)</f>
        <v>1</v>
      </c>
      <c r="P3040" s="132"/>
      <c r="Q3040" s="132" t="str">
        <f>LEFT(base[[#This Row],[Evento / Mercado]],FIND("vs",base[[#This Row],[Evento / Mercado]])-2)</f>
        <v>Fortaleza EC</v>
      </c>
      <c r="R30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040" s="132" t="str">
        <f>LEFT(base[[#This Row],[Evento / Mercado]],FIND("/",base[[#This Row],[Evento / Mercado]])-2)</f>
        <v>Fortaleza EC vs Atlética Ponte Preta</v>
      </c>
    </row>
    <row r="3041" spans="2:19" ht="15" customHeight="1">
      <c r="B3041" s="128" t="s">
        <v>3080</v>
      </c>
      <c r="C3041" s="128" t="s">
        <v>2980</v>
      </c>
      <c r="D3041" s="129">
        <v>46205.956250000003</v>
      </c>
      <c r="E3041" s="130">
        <v>-16</v>
      </c>
      <c r="F3041" s="136">
        <v>4.4999999999999998E-2</v>
      </c>
      <c r="G3041" s="126">
        <f t="shared" si="65"/>
        <v>-16</v>
      </c>
      <c r="H3041" s="126" t="s">
        <v>2743</v>
      </c>
      <c r="I3041" s="127" t="s">
        <v>2744</v>
      </c>
      <c r="J3041" s="126">
        <v>13.5</v>
      </c>
      <c r="K3041" s="126">
        <v>16</v>
      </c>
      <c r="L3041" s="129">
        <f>INT(base[[#This Row],[Data de liquidação]])</f>
        <v>46205</v>
      </c>
      <c r="M3041" s="126">
        <f>base[[#This Row],[L/P Bruto]]-base[[#This Row],[L/P Líquido]]</f>
        <v>0</v>
      </c>
      <c r="N3041" s="126">
        <f>base[[#This Row],[L/P Líquido]]/base[[#This Row],[Stake/Responsabilidade]]</f>
        <v>-1</v>
      </c>
      <c r="O3041" s="132">
        <f>IF(base[[#This Row],[L/P Líquido]]&gt;0,1,0)</f>
        <v>0</v>
      </c>
      <c r="P3041" s="132"/>
      <c r="Q3041" s="132" t="str">
        <f>LEFT(base[[#This Row],[Evento / Mercado]],FIND("vs",base[[#This Row],[Evento / Mercado]])-2)</f>
        <v>Fortaleza EC</v>
      </c>
      <c r="R30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041" s="132" t="str">
        <f>LEFT(base[[#This Row],[Evento / Mercado]],FIND("/",base[[#This Row],[Evento / Mercado]])-2)</f>
        <v>Fortaleza EC vs Atlética Ponte Preta</v>
      </c>
    </row>
    <row r="3042" spans="2:19" ht="15" customHeight="1">
      <c r="B3042" s="128" t="s">
        <v>3075</v>
      </c>
      <c r="C3042" s="128" t="s">
        <v>2981</v>
      </c>
      <c r="D3042" s="129">
        <v>46205.956724537034</v>
      </c>
      <c r="E3042" s="130">
        <v>26.82</v>
      </c>
      <c r="F3042" s="136">
        <v>4.4999999999999998E-2</v>
      </c>
      <c r="G3042" s="126">
        <f t="shared" si="65"/>
        <v>28.083769633507856</v>
      </c>
      <c r="H3042" s="126" t="s">
        <v>145</v>
      </c>
      <c r="I3042" s="127" t="s">
        <v>301</v>
      </c>
      <c r="J3042" s="126">
        <v>15.5</v>
      </c>
      <c r="K3042" s="126">
        <v>400.06</v>
      </c>
      <c r="L3042" s="129">
        <f>INT(base[[#This Row],[Data de liquidação]])</f>
        <v>46205</v>
      </c>
      <c r="M3042" s="126">
        <f>base[[#This Row],[L/P Bruto]]-base[[#This Row],[L/P Líquido]]</f>
        <v>1.2637696335078559</v>
      </c>
      <c r="N3042" s="126">
        <f>base[[#This Row],[L/P Líquido]]/base[[#This Row],[Stake/Responsabilidade]]</f>
        <v>6.7039944008398744E-2</v>
      </c>
      <c r="O3042" s="132">
        <f>IF(base[[#This Row],[L/P Líquido]]&gt;0,1,0)</f>
        <v>1</v>
      </c>
      <c r="P3042" s="132" t="s">
        <v>2474</v>
      </c>
      <c r="Q3042" s="132" t="str">
        <f>LEFT(base[[#This Row],[Evento / Mercado]],FIND("vs",base[[#This Row],[Evento / Mercado]])-2)</f>
        <v>Fortaleza EC</v>
      </c>
      <c r="R30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042" s="132" t="str">
        <f>LEFT(base[[#This Row],[Evento / Mercado]],FIND("/",base[[#This Row],[Evento / Mercado]])-2)</f>
        <v>Fortaleza EC vs Atlética Ponte Preta</v>
      </c>
    </row>
    <row r="3043" spans="2:19" ht="15" customHeight="1">
      <c r="B3043" s="128" t="s">
        <v>3075</v>
      </c>
      <c r="C3043" s="128" t="s">
        <v>2982</v>
      </c>
      <c r="D3043" s="129">
        <v>46205.956724537034</v>
      </c>
      <c r="E3043" s="130">
        <v>4.17</v>
      </c>
      <c r="F3043" s="136">
        <v>4.4999999999999998E-2</v>
      </c>
      <c r="G3043" s="126">
        <f t="shared" si="65"/>
        <v>4.3664921465968591</v>
      </c>
      <c r="H3043" s="126" t="s">
        <v>2817</v>
      </c>
      <c r="I3043" s="127" t="s">
        <v>2992</v>
      </c>
      <c r="J3043" s="126">
        <v>15.5</v>
      </c>
      <c r="K3043" s="126">
        <v>74.97</v>
      </c>
      <c r="L3043" s="129">
        <f>INT(base[[#This Row],[Data de liquidação]])</f>
        <v>46205</v>
      </c>
      <c r="M3043" s="126">
        <f>base[[#This Row],[L/P Bruto]]-base[[#This Row],[L/P Líquido]]</f>
        <v>0.19649214659685921</v>
      </c>
      <c r="N3043" s="126">
        <f>base[[#This Row],[L/P Líquido]]/base[[#This Row],[Stake/Responsabilidade]]</f>
        <v>5.5622248899559822E-2</v>
      </c>
      <c r="O3043" s="132">
        <f>IF(base[[#This Row],[L/P Líquido]]&gt;0,1,0)</f>
        <v>1</v>
      </c>
      <c r="P3043" s="132" t="s">
        <v>2474</v>
      </c>
      <c r="Q3043" s="132" t="str">
        <f>LEFT(base[[#This Row],[Evento / Mercado]],FIND("vs",base[[#This Row],[Evento / Mercado]])-2)</f>
        <v>Fortaleza EC</v>
      </c>
      <c r="R30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043" s="132" t="str">
        <f>LEFT(base[[#This Row],[Evento / Mercado]],FIND("/",base[[#This Row],[Evento / Mercado]])-2)</f>
        <v>Fortaleza EC vs Atlética Ponte Preta</v>
      </c>
    </row>
    <row r="3044" spans="2:19" ht="15" customHeight="1">
      <c r="B3044" s="128" t="s">
        <v>3081</v>
      </c>
      <c r="C3044" s="128" t="s">
        <v>2982</v>
      </c>
      <c r="D3044" s="129">
        <v>46206.080578703702</v>
      </c>
      <c r="E3044" s="130">
        <v>36.79</v>
      </c>
      <c r="F3044" s="136">
        <v>4.4999999999999998E-2</v>
      </c>
      <c r="G3044" s="126">
        <f t="shared" si="65"/>
        <v>38.523560209424083</v>
      </c>
      <c r="H3044" s="126" t="s">
        <v>2821</v>
      </c>
      <c r="I3044" s="127" t="s">
        <v>476</v>
      </c>
      <c r="J3044" s="126">
        <v>14.5</v>
      </c>
      <c r="K3044" s="126">
        <v>520.02</v>
      </c>
      <c r="L3044" s="129">
        <f>INT(base[[#This Row],[Data de liquidação]])</f>
        <v>46206</v>
      </c>
      <c r="M3044" s="126">
        <f>base[[#This Row],[L/P Bruto]]-base[[#This Row],[L/P Líquido]]</f>
        <v>1.7335602094240841</v>
      </c>
      <c r="N3044" s="126">
        <f>base[[#This Row],[L/P Líquido]]/base[[#This Row],[Stake/Responsabilidade]]</f>
        <v>7.0747278950809581E-2</v>
      </c>
      <c r="O3044" s="132">
        <f>IF(base[[#This Row],[L/P Líquido]]&gt;0,1,0)</f>
        <v>1</v>
      </c>
      <c r="P3044" s="132"/>
      <c r="Q3044" s="132" t="str">
        <f>LEFT(base[[#This Row],[Evento / Mercado]],FIND("vs",base[[#This Row],[Evento / Mercado]])-2)</f>
        <v>Switzerland</v>
      </c>
      <c r="R30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Algeria</v>
      </c>
      <c r="S3044" s="132" t="str">
        <f>LEFT(base[[#This Row],[Evento / Mercado]],FIND("/",base[[#This Row],[Evento / Mercado]])-2)</f>
        <v>Switzerland vs Algeria</v>
      </c>
    </row>
    <row r="3045" spans="2:19" ht="15" customHeight="1">
      <c r="B3045" s="128" t="s">
        <v>3098</v>
      </c>
      <c r="C3045" s="128" t="s">
        <v>2982</v>
      </c>
      <c r="D3045" s="129">
        <v>46206.447199074071</v>
      </c>
      <c r="E3045" s="130">
        <v>1.22</v>
      </c>
      <c r="F3045" s="136">
        <v>4.4999999999999998E-2</v>
      </c>
      <c r="G3045" s="126">
        <f t="shared" si="65"/>
        <v>1.2774869109947644</v>
      </c>
      <c r="H3045" s="126" t="s">
        <v>1339</v>
      </c>
      <c r="I3045" s="127" t="s">
        <v>2820</v>
      </c>
      <c r="J3045" s="126">
        <v>1.64</v>
      </c>
      <c r="K3045" s="126">
        <v>2</v>
      </c>
      <c r="L3045" s="129">
        <f>INT(base[[#This Row],[Data de liquidação]])</f>
        <v>46206</v>
      </c>
      <c r="M3045" s="126">
        <f>base[[#This Row],[L/P Bruto]]-base[[#This Row],[L/P Líquido]]</f>
        <v>5.748691099476444E-2</v>
      </c>
      <c r="N3045" s="126">
        <f>base[[#This Row],[L/P Líquido]]/base[[#This Row],[Stake/Responsabilidade]]</f>
        <v>0.61</v>
      </c>
      <c r="O3045" s="132">
        <f>IF(base[[#This Row],[L/P Líquido]]&gt;0,1,0)</f>
        <v>1</v>
      </c>
      <c r="P3045" s="132"/>
      <c r="Q3045" s="132" t="str">
        <f>LEFT(base[[#This Row],[Evento / Mercado]],FIND("vs",base[[#This Row],[Evento / Mercado]])-2)</f>
        <v>Yunnan Yukun</v>
      </c>
      <c r="R30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Henan Songshan Longmen</v>
      </c>
      <c r="S3045" s="132" t="str">
        <f>LEFT(base[[#This Row],[Evento / Mercado]],FIND("/",base[[#This Row],[Evento / Mercado]])-2)</f>
        <v>Yunnan Yukun vs Henan Songshan Longmen</v>
      </c>
    </row>
    <row r="3046" spans="2:19" ht="15" customHeight="1">
      <c r="B3046" s="128" t="s">
        <v>3099</v>
      </c>
      <c r="C3046" s="128" t="s">
        <v>2981</v>
      </c>
      <c r="D3046" s="129">
        <v>46206.619074074071</v>
      </c>
      <c r="E3046" s="130">
        <v>-20.96</v>
      </c>
      <c r="F3046" s="136">
        <v>4.4999999999999998E-2</v>
      </c>
      <c r="G3046" s="126">
        <f t="shared" si="65"/>
        <v>-20.96</v>
      </c>
      <c r="H3046" s="126" t="s">
        <v>2743</v>
      </c>
      <c r="I3046" s="127" t="s">
        <v>2744</v>
      </c>
      <c r="J3046" s="126">
        <f>(15*14.29+16*6.67)/base[[#This Row],[Stake/Responsabilidade]]</f>
        <v>15.318225190839694</v>
      </c>
      <c r="K3046" s="126">
        <f>14.29+6.67</f>
        <v>20.96</v>
      </c>
      <c r="L3046" s="129">
        <f>INT(base[[#This Row],[Data de liquidação]])</f>
        <v>46206</v>
      </c>
      <c r="M3046" s="126">
        <f>base[[#This Row],[L/P Bruto]]-base[[#This Row],[L/P Líquido]]</f>
        <v>0</v>
      </c>
      <c r="N3046" s="126">
        <f>base[[#This Row],[L/P Líquido]]/base[[#This Row],[Stake/Responsabilidade]]</f>
        <v>-1</v>
      </c>
      <c r="O3046" s="132">
        <f>IF(base[[#This Row],[L/P Líquido]]&gt;0,1,0)</f>
        <v>0</v>
      </c>
      <c r="P3046" s="132"/>
      <c r="Q3046" s="132" t="str">
        <f>LEFT(base[[#This Row],[Evento / Mercado]],FIND("vs",base[[#This Row],[Evento / Mercado]])-2)</f>
        <v>Kongsvinger IL</v>
      </c>
      <c r="R30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Sogndal</v>
      </c>
      <c r="S3046" s="132" t="str">
        <f>LEFT(base[[#This Row],[Evento / Mercado]],FIND("/",base[[#This Row],[Evento / Mercado]])-2)</f>
        <v>Kongsvinger IL vs Sogndal</v>
      </c>
    </row>
    <row r="3047" spans="2:19" ht="15" customHeight="1">
      <c r="B3047" s="128" t="s">
        <v>3097</v>
      </c>
      <c r="C3047" s="128" t="s">
        <v>2982</v>
      </c>
      <c r="D3047" s="129">
        <v>46206.619189814817</v>
      </c>
      <c r="E3047" s="130">
        <v>8.25</v>
      </c>
      <c r="F3047" s="136">
        <v>4.4999999999999998E-2</v>
      </c>
      <c r="G3047" s="126">
        <f t="shared" si="65"/>
        <v>8.6387434554973819</v>
      </c>
      <c r="H3047" s="126" t="s">
        <v>2817</v>
      </c>
      <c r="I3047" s="127" t="s">
        <v>2993</v>
      </c>
      <c r="J3047" s="126">
        <v>6.4</v>
      </c>
      <c r="K3047" s="126">
        <v>100.01</v>
      </c>
      <c r="L3047" s="129">
        <f>INT(base[[#This Row],[Data de liquidação]])</f>
        <v>46206</v>
      </c>
      <c r="M3047" s="126">
        <f>base[[#This Row],[L/P Bruto]]-base[[#This Row],[L/P Líquido]]</f>
        <v>0.38874345549738187</v>
      </c>
      <c r="N3047" s="126">
        <f>base[[#This Row],[L/P Líquido]]/base[[#This Row],[Stake/Responsabilidade]]</f>
        <v>8.2491750824917498E-2</v>
      </c>
      <c r="O3047" s="132">
        <f>IF(base[[#This Row],[L/P Líquido]]&gt;0,1,0)</f>
        <v>1</v>
      </c>
      <c r="P3047" s="132"/>
      <c r="Q3047" s="132" t="str">
        <f>LEFT(base[[#This Row],[Evento / Mercado]],FIND("vs",base[[#This Row],[Evento / Mercado]])-2)</f>
        <v>Kongsvinger IL</v>
      </c>
      <c r="R30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Sogndal</v>
      </c>
      <c r="S3047" s="132" t="str">
        <f>LEFT(base[[#This Row],[Evento / Mercado]],FIND("/",base[[#This Row],[Evento / Mercado]])-2)</f>
        <v>Kongsvinger IL vs Sogndal</v>
      </c>
    </row>
    <row r="3048" spans="2:19" ht="15" customHeight="1">
      <c r="B3048" s="128" t="s">
        <v>3097</v>
      </c>
      <c r="C3048" s="128" t="s">
        <v>2981</v>
      </c>
      <c r="D3048" s="129">
        <v>46206.619189814817</v>
      </c>
      <c r="E3048" s="130">
        <v>31.82</v>
      </c>
      <c r="F3048" s="136">
        <v>4.4999999999999998E-2</v>
      </c>
      <c r="G3048" s="126">
        <f t="shared" si="65"/>
        <v>33.319371727748695</v>
      </c>
      <c r="H3048" s="126" t="s">
        <v>2743</v>
      </c>
      <c r="I3048" s="127" t="s">
        <v>1233</v>
      </c>
      <c r="J3048" s="126">
        <f>(5.8*200.02+6*100)/base[[#This Row],[Stake/Responsabilidade]]</f>
        <v>5.8666622225184994</v>
      </c>
      <c r="K3048" s="126">
        <v>300.02</v>
      </c>
      <c r="L3048" s="129">
        <f>INT(base[[#This Row],[Data de liquidação]])</f>
        <v>46206</v>
      </c>
      <c r="M3048" s="126">
        <f>base[[#This Row],[L/P Bruto]]-base[[#This Row],[L/P Líquido]]</f>
        <v>1.4993717277486951</v>
      </c>
      <c r="N3048" s="126">
        <f>base[[#This Row],[L/P Líquido]]/base[[#This Row],[Stake/Responsabilidade]]</f>
        <v>0.10605959602693155</v>
      </c>
      <c r="O3048" s="132">
        <f>IF(base[[#This Row],[L/P Líquido]]&gt;0,1,0)</f>
        <v>1</v>
      </c>
      <c r="P3048" s="132"/>
      <c r="Q3048" s="132" t="str">
        <f>LEFT(base[[#This Row],[Evento / Mercado]],FIND("vs",base[[#This Row],[Evento / Mercado]])-2)</f>
        <v>Kongsvinger IL</v>
      </c>
      <c r="R30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Sogndal</v>
      </c>
      <c r="S3048" s="132" t="str">
        <f>LEFT(base[[#This Row],[Evento / Mercado]],FIND("/",base[[#This Row],[Evento / Mercado]])-2)</f>
        <v>Kongsvinger IL vs Sogndal</v>
      </c>
    </row>
    <row r="3049" spans="2:19" ht="15" customHeight="1">
      <c r="B3049" s="128" t="s">
        <v>3096</v>
      </c>
      <c r="C3049" s="128" t="s">
        <v>2982</v>
      </c>
      <c r="D3049" s="129">
        <v>46206.627766203703</v>
      </c>
      <c r="E3049" s="130">
        <v>14.33</v>
      </c>
      <c r="F3049" s="136">
        <v>4.4999999999999998E-2</v>
      </c>
      <c r="G3049" s="126">
        <f t="shared" si="65"/>
        <v>15.005235602094242</v>
      </c>
      <c r="H3049" s="126" t="s">
        <v>1339</v>
      </c>
      <c r="I3049" s="127" t="s">
        <v>1236</v>
      </c>
      <c r="J3049" s="126">
        <v>11</v>
      </c>
      <c r="K3049" s="126">
        <v>15</v>
      </c>
      <c r="L3049" s="129">
        <f>INT(base[[#This Row],[Data de liquidação]])</f>
        <v>46206</v>
      </c>
      <c r="M3049" s="126">
        <f>base[[#This Row],[L/P Bruto]]-base[[#This Row],[L/P Líquido]]</f>
        <v>0.67523560209424183</v>
      </c>
      <c r="N3049" s="126">
        <f>base[[#This Row],[L/P Líquido]]/base[[#This Row],[Stake/Responsabilidade]]</f>
        <v>0.95533333333333337</v>
      </c>
      <c r="O3049" s="132">
        <f>IF(base[[#This Row],[L/P Líquido]]&gt;0,1,0)</f>
        <v>1</v>
      </c>
      <c r="P3049" s="132"/>
      <c r="Q3049" s="132" t="str">
        <f>LEFT(base[[#This Row],[Evento / Mercado]],FIND("vs",base[[#This Row],[Evento / Mercado]])-2)</f>
        <v>IK Sirius</v>
      </c>
      <c r="R30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Mjällby AIF</v>
      </c>
      <c r="S3049" s="132" t="str">
        <f>LEFT(base[[#This Row],[Evento / Mercado]],FIND("/",base[[#This Row],[Evento / Mercado]])-2)</f>
        <v>IK Sirius vs Mjällby AIF</v>
      </c>
    </row>
    <row r="3050" spans="2:19" ht="15" customHeight="1">
      <c r="B3050" s="128" t="s">
        <v>3095</v>
      </c>
      <c r="C3050" s="128" t="s">
        <v>2982</v>
      </c>
      <c r="D3050" s="129">
        <v>46206.660543981481</v>
      </c>
      <c r="E3050" s="130">
        <v>-2</v>
      </c>
      <c r="F3050" s="136">
        <v>4.4999999999999998E-2</v>
      </c>
      <c r="G3050" s="126">
        <f t="shared" si="65"/>
        <v>-2</v>
      </c>
      <c r="H3050" s="126" t="s">
        <v>1339</v>
      </c>
      <c r="I3050" s="127" t="s">
        <v>1429</v>
      </c>
      <c r="J3050" s="126">
        <v>1.71</v>
      </c>
      <c r="K3050" s="126">
        <v>2</v>
      </c>
      <c r="L3050" s="129">
        <f>INT(base[[#This Row],[Data de liquidação]])</f>
        <v>46206</v>
      </c>
      <c r="M3050" s="126">
        <f>base[[#This Row],[L/P Bruto]]-base[[#This Row],[L/P Líquido]]</f>
        <v>0</v>
      </c>
      <c r="N3050" s="126">
        <f>base[[#This Row],[L/P Líquido]]/base[[#This Row],[Stake/Responsabilidade]]</f>
        <v>-1</v>
      </c>
      <c r="O3050" s="132">
        <f>IF(base[[#This Row],[L/P Líquido]]&gt;0,1,0)</f>
        <v>0</v>
      </c>
      <c r="P3050" s="132"/>
      <c r="Q3050" s="132" t="str">
        <f>LEFT(base[[#This Row],[Evento / Mercado]],FIND("vs",base[[#This Row],[Evento / Mercado]])-2)</f>
        <v>IK Sirius</v>
      </c>
      <c r="R30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Mjällby AIF</v>
      </c>
      <c r="S3050" s="132" t="str">
        <f>LEFT(base[[#This Row],[Evento / Mercado]],FIND("/",base[[#This Row],[Evento / Mercado]])-2)</f>
        <v>IK Sirius vs Mjällby AIF</v>
      </c>
    </row>
    <row r="3051" spans="2:19" ht="15" customHeight="1">
      <c r="B3051" s="128" t="s">
        <v>3094</v>
      </c>
      <c r="C3051" s="128" t="s">
        <v>2982</v>
      </c>
      <c r="D3051" s="129">
        <v>46206.71837962963</v>
      </c>
      <c r="E3051" s="130">
        <v>-2</v>
      </c>
      <c r="F3051" s="136">
        <v>4.4999999999999998E-2</v>
      </c>
      <c r="G3051" s="126">
        <f t="shared" si="65"/>
        <v>-2</v>
      </c>
      <c r="H3051" s="126" t="s">
        <v>1339</v>
      </c>
      <c r="I3051" s="127" t="s">
        <v>1994</v>
      </c>
      <c r="J3051" s="126">
        <v>4.7</v>
      </c>
      <c r="K3051" s="126">
        <v>2</v>
      </c>
      <c r="L3051" s="129">
        <f>INT(base[[#This Row],[Data de liquidação]])</f>
        <v>46206</v>
      </c>
      <c r="M3051" s="126">
        <f>base[[#This Row],[L/P Bruto]]-base[[#This Row],[L/P Líquido]]</f>
        <v>0</v>
      </c>
      <c r="N3051" s="126">
        <f>base[[#This Row],[L/P Líquido]]/base[[#This Row],[Stake/Responsabilidade]]</f>
        <v>-1</v>
      </c>
      <c r="O3051" s="132">
        <f>IF(base[[#This Row],[L/P Líquido]]&gt;0,1,0)</f>
        <v>0</v>
      </c>
      <c r="P3051" s="132"/>
      <c r="Q3051" s="132" t="str">
        <f>LEFT(base[[#This Row],[Evento / Mercado]],FIND("vs",base[[#This Row],[Evento / Mercado]])-2)</f>
        <v>Derry City</v>
      </c>
      <c r="R30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Waterford FC</v>
      </c>
      <c r="S3051" s="132" t="str">
        <f>LEFT(base[[#This Row],[Evento / Mercado]],FIND("/",base[[#This Row],[Evento / Mercado]])-2)</f>
        <v>Derry City vs Waterford FC</v>
      </c>
    </row>
    <row r="3052" spans="2:19" ht="15" customHeight="1">
      <c r="B3052" s="128" t="s">
        <v>3093</v>
      </c>
      <c r="C3052" s="128" t="s">
        <v>2982</v>
      </c>
      <c r="D3052" s="129">
        <v>46206.723900462966</v>
      </c>
      <c r="E3052" s="130">
        <v>148.03</v>
      </c>
      <c r="F3052" s="136">
        <v>4.4999999999999998E-2</v>
      </c>
      <c r="G3052" s="126">
        <f t="shared" si="65"/>
        <v>155.00523560209425</v>
      </c>
      <c r="H3052" s="126" t="s">
        <v>2820</v>
      </c>
      <c r="I3052" s="127" t="s">
        <v>13</v>
      </c>
      <c r="J3052" s="126">
        <f>(25*2.08+25*1.92+50*3.1)/base[[#This Row],[Stake/Responsabilidade]]</f>
        <v>2.5499999999999998</v>
      </c>
      <c r="K3052" s="126">
        <v>100</v>
      </c>
      <c r="L3052" s="129">
        <f>INT(base[[#This Row],[Data de liquidação]])</f>
        <v>46206</v>
      </c>
      <c r="M3052" s="126">
        <f>base[[#This Row],[L/P Bruto]]-base[[#This Row],[L/P Líquido]]</f>
        <v>6.9752356020942443</v>
      </c>
      <c r="N3052" s="126">
        <f>base[[#This Row],[L/P Líquido]]/base[[#This Row],[Stake/Responsabilidade]]</f>
        <v>1.4802999999999999</v>
      </c>
      <c r="O3052" s="132">
        <f>IF(base[[#This Row],[L/P Líquido]]&gt;0,1,0)</f>
        <v>1</v>
      </c>
      <c r="P3052" s="132"/>
      <c r="Q3052" s="132" t="str">
        <f>LEFT(base[[#This Row],[Evento / Mercado]],FIND("vs",base[[#This Row],[Evento / Mercado]])-2)</f>
        <v>Derry City</v>
      </c>
      <c r="R30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Waterford FC</v>
      </c>
      <c r="S3052" s="132" t="str">
        <f>LEFT(base[[#This Row],[Evento / Mercado]],FIND("/",base[[#This Row],[Evento / Mercado]])-2)</f>
        <v>Derry City vs Waterford FC</v>
      </c>
    </row>
    <row r="3053" spans="2:19" ht="15" customHeight="1">
      <c r="B3053" s="128" t="s">
        <v>3092</v>
      </c>
      <c r="C3053" s="128" t="s">
        <v>2982</v>
      </c>
      <c r="D3053" s="129">
        <v>46206.736087962963</v>
      </c>
      <c r="E3053" s="130">
        <v>-30</v>
      </c>
      <c r="F3053" s="136">
        <v>4.4999999999999998E-2</v>
      </c>
      <c r="G3053" s="126">
        <f t="shared" si="65"/>
        <v>-30</v>
      </c>
      <c r="H3053" s="126" t="s">
        <v>1339</v>
      </c>
      <c r="I3053" s="127" t="s">
        <v>1446</v>
      </c>
      <c r="J3053" s="126">
        <v>2.56</v>
      </c>
      <c r="K3053" s="126">
        <v>30</v>
      </c>
      <c r="L3053" s="129">
        <f>INT(base[[#This Row],[Data de liquidação]])</f>
        <v>46206</v>
      </c>
      <c r="M3053" s="126">
        <f>base[[#This Row],[L/P Bruto]]-base[[#This Row],[L/P Líquido]]</f>
        <v>0</v>
      </c>
      <c r="N3053" s="126">
        <f>base[[#This Row],[L/P Líquido]]/base[[#This Row],[Stake/Responsabilidade]]</f>
        <v>-1</v>
      </c>
      <c r="O3053" s="132">
        <f>IF(base[[#This Row],[L/P Líquido]]&gt;0,1,0)</f>
        <v>0</v>
      </c>
      <c r="P3053" s="132"/>
      <c r="Q3053" s="132" t="str">
        <f>LEFT(base[[#This Row],[Evento / Mercado]],FIND("vs",base[[#This Row],[Evento / Mercado]])-2)</f>
        <v>Derry City</v>
      </c>
      <c r="R30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Waterford FC</v>
      </c>
      <c r="S3053" s="132" t="str">
        <f>LEFT(base[[#This Row],[Evento / Mercado]],FIND("/",base[[#This Row],[Evento / Mercado]])-2)</f>
        <v>Derry City vs Waterford FC</v>
      </c>
    </row>
    <row r="3054" spans="2:19" ht="15" customHeight="1">
      <c r="B3054" s="128" t="s">
        <v>3091</v>
      </c>
      <c r="C3054" s="128" t="s">
        <v>2982</v>
      </c>
      <c r="D3054" s="129">
        <v>46206.874641203707</v>
      </c>
      <c r="E3054" s="130">
        <v>14.14</v>
      </c>
      <c r="F3054" s="136">
        <v>4.4999999999999998E-2</v>
      </c>
      <c r="G3054" s="126">
        <f t="shared" si="65"/>
        <v>14.806282722513091</v>
      </c>
      <c r="H3054" s="126" t="s">
        <v>145</v>
      </c>
      <c r="I3054" s="127" t="s">
        <v>2877</v>
      </c>
      <c r="J3054" s="126">
        <v>28</v>
      </c>
      <c r="K3054" s="126">
        <v>399.87</v>
      </c>
      <c r="L3054" s="129">
        <f>INT(base[[#This Row],[Data de liquidação]])</f>
        <v>46206</v>
      </c>
      <c r="M3054" s="126">
        <f>base[[#This Row],[L/P Bruto]]-base[[#This Row],[L/P Líquido]]</f>
        <v>0.66628272251309006</v>
      </c>
      <c r="N3054" s="126">
        <f>base[[#This Row],[L/P Líquido]]/base[[#This Row],[Stake/Responsabilidade]]</f>
        <v>3.5361492485057648E-2</v>
      </c>
      <c r="O3054" s="132">
        <f>IF(base[[#This Row],[L/P Líquido]]&gt;0,1,0)</f>
        <v>1</v>
      </c>
      <c r="P3054" s="132" t="s">
        <v>2818</v>
      </c>
      <c r="Q3054" s="132" t="str">
        <f>LEFT(base[[#This Row],[Evento / Mercado]],FIND("vs",base[[#This Row],[Evento / Mercado]])-2)</f>
        <v>Argentina</v>
      </c>
      <c r="R30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Cape Verde</v>
      </c>
      <c r="S3054" s="132" t="str">
        <f>LEFT(base[[#This Row],[Evento / Mercado]],FIND("/",base[[#This Row],[Evento / Mercado]])-2)</f>
        <v>Argentina vs Cape Verde</v>
      </c>
    </row>
    <row r="3055" spans="2:19" ht="15" customHeight="1">
      <c r="B3055" s="128" t="s">
        <v>3090</v>
      </c>
      <c r="C3055" s="128" t="s">
        <v>2982</v>
      </c>
      <c r="D3055" s="129">
        <v>46206.931423611109</v>
      </c>
      <c r="E3055" s="130">
        <v>-2</v>
      </c>
      <c r="F3055" s="136">
        <v>4.4999999999999998E-2</v>
      </c>
      <c r="G3055" s="126">
        <f t="shared" si="65"/>
        <v>-2</v>
      </c>
      <c r="H3055" s="126" t="s">
        <v>1339</v>
      </c>
      <c r="I3055" s="127" t="s">
        <v>1994</v>
      </c>
      <c r="J3055" s="126">
        <v>5</v>
      </c>
      <c r="K3055" s="126">
        <v>2</v>
      </c>
      <c r="L3055" s="129">
        <f>INT(base[[#This Row],[Data de liquidação]])</f>
        <v>46206</v>
      </c>
      <c r="M3055" s="126">
        <f>base[[#This Row],[L/P Bruto]]-base[[#This Row],[L/P Líquido]]</f>
        <v>0</v>
      </c>
      <c r="N3055" s="126">
        <f>base[[#This Row],[L/P Líquido]]/base[[#This Row],[Stake/Responsabilidade]]</f>
        <v>-1</v>
      </c>
      <c r="O3055" s="132">
        <f>IF(base[[#This Row],[L/P Líquido]]&gt;0,1,0)</f>
        <v>0</v>
      </c>
      <c r="P3055" s="132"/>
      <c r="Q3055" s="132" t="str">
        <f>LEFT(base[[#This Row],[Evento / Mercado]],FIND("vs",base[[#This Row],[Evento / Mercado]])-2)</f>
        <v>Loudoun United FC</v>
      </c>
      <c r="R30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Club Jacksonville</v>
      </c>
      <c r="S3055" s="132" t="str">
        <f>LEFT(base[[#This Row],[Evento / Mercado]],FIND("/",base[[#This Row],[Evento / Mercado]])-2)</f>
        <v>Loudoun United FC vs Sporting Club Jacksonville</v>
      </c>
    </row>
    <row r="3056" spans="2:19" ht="15" customHeight="1">
      <c r="B3056" s="128" t="s">
        <v>3089</v>
      </c>
      <c r="C3056" s="128" t="s">
        <v>2982</v>
      </c>
      <c r="D3056" s="129">
        <v>46206.938506944447</v>
      </c>
      <c r="E3056" s="130">
        <v>1.47</v>
      </c>
      <c r="F3056" s="136">
        <v>4.4999999999999998E-2</v>
      </c>
      <c r="G3056" s="126">
        <f t="shared" si="65"/>
        <v>1.5392670157068062</v>
      </c>
      <c r="H3056" s="126" t="s">
        <v>1339</v>
      </c>
      <c r="I3056" s="127" t="s">
        <v>2820</v>
      </c>
      <c r="J3056" s="126">
        <v>1.77</v>
      </c>
      <c r="K3056" s="126">
        <v>2</v>
      </c>
      <c r="L3056" s="129">
        <f>INT(base[[#This Row],[Data de liquidação]])</f>
        <v>46206</v>
      </c>
      <c r="M3056" s="126">
        <f>base[[#This Row],[L/P Bruto]]-base[[#This Row],[L/P Líquido]]</f>
        <v>6.9267015706806268E-2</v>
      </c>
      <c r="N3056" s="126">
        <f>base[[#This Row],[L/P Líquido]]/base[[#This Row],[Stake/Responsabilidade]]</f>
        <v>0.73499999999999999</v>
      </c>
      <c r="O3056" s="132">
        <f>IF(base[[#This Row],[L/P Líquido]]&gt;0,1,0)</f>
        <v>1</v>
      </c>
      <c r="P3056" s="132"/>
      <c r="Q3056" s="132" t="str">
        <f>LEFT(base[[#This Row],[Evento / Mercado]],FIND("vs",base[[#This Row],[Evento / Mercado]])-2)</f>
        <v>Loudoun United FC</v>
      </c>
      <c r="R30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Club Jacksonville</v>
      </c>
      <c r="S3056" s="132" t="str">
        <f>LEFT(base[[#This Row],[Evento / Mercado]],FIND("/",base[[#This Row],[Evento / Mercado]])-2)</f>
        <v>Loudoun United FC vs Sporting Club Jacksonville</v>
      </c>
    </row>
    <row r="3057" spans="2:19" ht="15" customHeight="1">
      <c r="B3057" s="128" t="s">
        <v>3088</v>
      </c>
      <c r="C3057" s="128" t="s">
        <v>2982</v>
      </c>
      <c r="D3057" s="129">
        <v>46206.941238425927</v>
      </c>
      <c r="E3057" s="130">
        <v>8.18</v>
      </c>
      <c r="F3057" s="136">
        <v>4.4999999999999998E-2</v>
      </c>
      <c r="G3057" s="126">
        <f t="shared" si="65"/>
        <v>8.5654450261780113</v>
      </c>
      <c r="H3057" s="126" t="s">
        <v>1339</v>
      </c>
      <c r="I3057" s="127" t="s">
        <v>1388</v>
      </c>
      <c r="J3057" s="126">
        <v>18.5</v>
      </c>
      <c r="K3057" s="126">
        <v>149.97999999999999</v>
      </c>
      <c r="L3057" s="129">
        <f>INT(base[[#This Row],[Data de liquidação]])</f>
        <v>46206</v>
      </c>
      <c r="M3057" s="126">
        <f>base[[#This Row],[L/P Bruto]]-base[[#This Row],[L/P Líquido]]</f>
        <v>0.38544502617801157</v>
      </c>
      <c r="N3057" s="126">
        <f>base[[#This Row],[L/P Líquido]]/base[[#This Row],[Stake/Responsabilidade]]</f>
        <v>5.4540605414055206E-2</v>
      </c>
      <c r="O3057" s="132">
        <f>IF(base[[#This Row],[L/P Líquido]]&gt;0,1,0)</f>
        <v>1</v>
      </c>
      <c r="P3057" s="132"/>
      <c r="Q3057" s="132" t="str">
        <f>LEFT(base[[#This Row],[Evento / Mercado]],FIND("vs",base[[#This Row],[Evento / Mercado]])-2)</f>
        <v>Loudoun United FC</v>
      </c>
      <c r="R30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Club Jacksonville</v>
      </c>
      <c r="S3057" s="132" t="str">
        <f>LEFT(base[[#This Row],[Evento / Mercado]],FIND("/",base[[#This Row],[Evento / Mercado]])-2)</f>
        <v>Loudoun United FC vs Sporting Club Jacksonville</v>
      </c>
    </row>
    <row r="3058" spans="2:19" ht="15" customHeight="1">
      <c r="B3058" s="128" t="s">
        <v>3122</v>
      </c>
      <c r="C3058" s="128" t="s">
        <v>2982</v>
      </c>
      <c r="D3058" s="129">
        <v>46207.021851851852</v>
      </c>
      <c r="E3058" s="130">
        <v>24.09</v>
      </c>
      <c r="F3058" s="136">
        <v>4.4999999999999998E-2</v>
      </c>
      <c r="G3058" s="126">
        <f t="shared" si="65"/>
        <v>25.225130890052355</v>
      </c>
      <c r="H3058" s="126" t="s">
        <v>2821</v>
      </c>
      <c r="I3058" s="127" t="s">
        <v>476</v>
      </c>
      <c r="J3058" s="126">
        <v>23</v>
      </c>
      <c r="K3058" s="126">
        <v>555.05999999999995</v>
      </c>
      <c r="L3058" s="129">
        <f>INT(base[[#This Row],[Data de liquidação]])</f>
        <v>46207</v>
      </c>
      <c r="M3058" s="126">
        <f>base[[#This Row],[L/P Bruto]]-base[[#This Row],[L/P Líquido]]</f>
        <v>1.1351308900523556</v>
      </c>
      <c r="N3058" s="126">
        <f>base[[#This Row],[L/P Líquido]]/base[[#This Row],[Stake/Responsabilidade]]</f>
        <v>4.3400713436385262E-2</v>
      </c>
      <c r="O3058" s="132">
        <f>IF(base[[#This Row],[L/P Líquido]]&gt;0,1,0)</f>
        <v>1</v>
      </c>
      <c r="P3058" s="132"/>
      <c r="Q3058" s="132" t="str">
        <f>LEFT(base[[#This Row],[Evento / Mercado]],FIND("vs",base[[#This Row],[Evento / Mercado]])-2)</f>
        <v>Colombia</v>
      </c>
      <c r="R30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Ghana</v>
      </c>
      <c r="S3058" s="132" t="str">
        <f>LEFT(base[[#This Row],[Evento / Mercado]],FIND("/",base[[#This Row],[Evento / Mercado]])-2)</f>
        <v>Colombia vs Ghana</v>
      </c>
    </row>
    <row r="3059" spans="2:19" ht="15" customHeight="1">
      <c r="B3059" s="128" t="s">
        <v>3122</v>
      </c>
      <c r="C3059" s="128" t="s">
        <v>2981</v>
      </c>
      <c r="D3059" s="129">
        <v>46207.021851851852</v>
      </c>
      <c r="E3059" s="130">
        <v>-37.5</v>
      </c>
      <c r="F3059" s="136">
        <v>4.4999999999999998E-2</v>
      </c>
      <c r="G3059" s="126">
        <f t="shared" si="65"/>
        <v>-37.5</v>
      </c>
      <c r="H3059" s="126" t="s">
        <v>2743</v>
      </c>
      <c r="I3059" s="127" t="s">
        <v>2744</v>
      </c>
      <c r="J3059" s="126">
        <v>9</v>
      </c>
      <c r="K3059" s="126">
        <v>37.5</v>
      </c>
      <c r="L3059" s="129">
        <f>INT(base[[#This Row],[Data de liquidação]])</f>
        <v>46207</v>
      </c>
      <c r="M3059" s="126">
        <f>base[[#This Row],[L/P Bruto]]-base[[#This Row],[L/P Líquido]]</f>
        <v>0</v>
      </c>
      <c r="N3059" s="126">
        <f>base[[#This Row],[L/P Líquido]]/base[[#This Row],[Stake/Responsabilidade]]</f>
        <v>-1</v>
      </c>
      <c r="O3059" s="132">
        <f>IF(base[[#This Row],[L/P Líquido]]&gt;0,1,0)</f>
        <v>0</v>
      </c>
      <c r="P3059" s="132"/>
      <c r="Q3059" s="132" t="str">
        <f>LEFT(base[[#This Row],[Evento / Mercado]],FIND("vs",base[[#This Row],[Evento / Mercado]])-2)</f>
        <v>Colombia</v>
      </c>
      <c r="R30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Ghana</v>
      </c>
      <c r="S3059" s="132" t="str">
        <f>LEFT(base[[#This Row],[Evento / Mercado]],FIND("/",base[[#This Row],[Evento / Mercado]])-2)</f>
        <v>Colombia vs Ghana</v>
      </c>
    </row>
    <row r="3060" spans="2:19" ht="15" customHeight="1">
      <c r="B3060" s="128" t="s">
        <v>3121</v>
      </c>
      <c r="C3060" s="128" t="s">
        <v>2982</v>
      </c>
      <c r="D3060" s="129">
        <v>46207.022106481483</v>
      </c>
      <c r="E3060" s="130">
        <v>7.31</v>
      </c>
      <c r="F3060" s="136">
        <v>4.4999999999999998E-2</v>
      </c>
      <c r="G3060" s="126">
        <f t="shared" si="65"/>
        <v>7.6544502617801049</v>
      </c>
      <c r="H3060" s="126" t="s">
        <v>2817</v>
      </c>
      <c r="I3060" s="127" t="s">
        <v>2992</v>
      </c>
      <c r="J3060" s="126">
        <v>9.8000000000000007</v>
      </c>
      <c r="K3060" s="126">
        <v>99.97</v>
      </c>
      <c r="L3060" s="129">
        <f>INT(base[[#This Row],[Data de liquidação]])</f>
        <v>46207</v>
      </c>
      <c r="M3060" s="126">
        <f>base[[#This Row],[L/P Bruto]]-base[[#This Row],[L/P Líquido]]</f>
        <v>0.34445026178010529</v>
      </c>
      <c r="N3060" s="126">
        <f>base[[#This Row],[L/P Líquido]]/base[[#This Row],[Stake/Responsabilidade]]</f>
        <v>7.3121936580974295E-2</v>
      </c>
      <c r="O3060" s="132">
        <f>IF(base[[#This Row],[L/P Líquido]]&gt;0,1,0)</f>
        <v>1</v>
      </c>
      <c r="P3060" s="132"/>
      <c r="Q3060" s="132" t="str">
        <f>LEFT(base[[#This Row],[Evento / Mercado]],FIND("vs",base[[#This Row],[Evento / Mercado]])-2)</f>
        <v>Colombia</v>
      </c>
      <c r="R30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Ghana</v>
      </c>
      <c r="S3060" s="132" t="str">
        <f>LEFT(base[[#This Row],[Evento / Mercado]],FIND("/",base[[#This Row],[Evento / Mercado]])-2)</f>
        <v>Colombia vs Ghana</v>
      </c>
    </row>
    <row r="3061" spans="2:19" ht="15" customHeight="1">
      <c r="B3061" s="128" t="s">
        <v>3121</v>
      </c>
      <c r="C3061" s="128" t="s">
        <v>2981</v>
      </c>
      <c r="D3061" s="129">
        <v>46207.022106481483</v>
      </c>
      <c r="E3061" s="130">
        <v>83.31</v>
      </c>
      <c r="F3061" s="136">
        <v>4.4999999999999998E-2</v>
      </c>
      <c r="G3061" s="126">
        <f t="shared" si="65"/>
        <v>87.235602094240846</v>
      </c>
      <c r="H3061" s="126" t="s">
        <v>2743</v>
      </c>
      <c r="I3061" s="127" t="s">
        <v>1233</v>
      </c>
      <c r="J3061" s="126">
        <v>4.5</v>
      </c>
      <c r="K3061" s="126">
        <v>299.98</v>
      </c>
      <c r="L3061" s="129">
        <f>INT(base[[#This Row],[Data de liquidação]])</f>
        <v>46207</v>
      </c>
      <c r="M3061" s="126">
        <f>base[[#This Row],[L/P Bruto]]-base[[#This Row],[L/P Líquido]]</f>
        <v>3.9256020942408441</v>
      </c>
      <c r="N3061" s="126">
        <f>base[[#This Row],[L/P Líquido]]/base[[#This Row],[Stake/Responsabilidade]]</f>
        <v>0.27771851456763785</v>
      </c>
      <c r="O3061" s="132">
        <f>IF(base[[#This Row],[L/P Líquido]]&gt;0,1,0)</f>
        <v>1</v>
      </c>
      <c r="P3061" s="132"/>
      <c r="Q3061" s="132" t="str">
        <f>LEFT(base[[#This Row],[Evento / Mercado]],FIND("vs",base[[#This Row],[Evento / Mercado]])-2)</f>
        <v>Colombia</v>
      </c>
      <c r="R30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Ghana</v>
      </c>
      <c r="S3061" s="132" t="str">
        <f>LEFT(base[[#This Row],[Evento / Mercado]],FIND("/",base[[#This Row],[Evento / Mercado]])-2)</f>
        <v>Colombia vs Ghana</v>
      </c>
    </row>
    <row r="3062" spans="2:19" ht="15" customHeight="1">
      <c r="B3062" s="128" t="s">
        <v>3127</v>
      </c>
      <c r="C3062" s="128" t="s">
        <v>2982</v>
      </c>
      <c r="D3062" s="129">
        <v>46207.388564814813</v>
      </c>
      <c r="E3062" s="130">
        <v>14.33</v>
      </c>
      <c r="F3062" s="136">
        <v>4.4999999999999998E-2</v>
      </c>
      <c r="G3062" s="126">
        <f t="shared" si="65"/>
        <v>15.005235602094242</v>
      </c>
      <c r="H3062" s="126" t="s">
        <v>1339</v>
      </c>
      <c r="I3062" s="127" t="s">
        <v>1236</v>
      </c>
      <c r="J3062" s="126">
        <v>14.5</v>
      </c>
      <c r="K3062" s="126">
        <v>15</v>
      </c>
      <c r="L3062" s="129">
        <f>INT(base[[#This Row],[Data de liquidação]])</f>
        <v>46207</v>
      </c>
      <c r="M3062" s="126">
        <f>base[[#This Row],[L/P Bruto]]-base[[#This Row],[L/P Líquido]]</f>
        <v>0.67523560209424183</v>
      </c>
      <c r="N3062" s="126">
        <f>base[[#This Row],[L/P Líquido]]/base[[#This Row],[Stake/Responsabilidade]]</f>
        <v>0.95533333333333337</v>
      </c>
      <c r="O3062" s="132">
        <f>IF(base[[#This Row],[L/P Líquido]]&gt;0,1,0)</f>
        <v>1</v>
      </c>
      <c r="P3062" s="132"/>
      <c r="Q3062" s="132" t="str">
        <f>LEFT(base[[#This Row],[Evento / Mercado]],FIND("vs",base[[#This Row],[Evento / Mercado]])-2)</f>
        <v>Dalian Yingbo</v>
      </c>
      <c r="R30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3062" s="132" t="str">
        <f>LEFT(base[[#This Row],[Evento / Mercado]],FIND("/",base[[#This Row],[Evento / Mercado]])-2)</f>
        <v>Dalian Yingbo vs Wuhan Three Towns</v>
      </c>
    </row>
    <row r="3063" spans="2:19" ht="15" customHeight="1">
      <c r="B3063" s="128" t="s">
        <v>3126</v>
      </c>
      <c r="C3063" s="128" t="s">
        <v>2982</v>
      </c>
      <c r="D3063" s="129">
        <v>46207.39334490741</v>
      </c>
      <c r="E3063" s="130">
        <v>0.63</v>
      </c>
      <c r="F3063" s="136">
        <v>4.4999999999999998E-2</v>
      </c>
      <c r="G3063" s="126">
        <f t="shared" si="65"/>
        <v>0.65968586387434558</v>
      </c>
      <c r="H3063" s="126" t="s">
        <v>1339</v>
      </c>
      <c r="I3063" s="127" t="s">
        <v>2820</v>
      </c>
      <c r="J3063" s="126">
        <v>1.33</v>
      </c>
      <c r="K3063" s="126">
        <v>2</v>
      </c>
      <c r="L3063" s="129">
        <f>INT(base[[#This Row],[Data de liquidação]])</f>
        <v>46207</v>
      </c>
      <c r="M3063" s="126">
        <f>base[[#This Row],[L/P Bruto]]-base[[#This Row],[L/P Líquido]]</f>
        <v>2.9685863874345575E-2</v>
      </c>
      <c r="N3063" s="126">
        <f>base[[#This Row],[L/P Líquido]]/base[[#This Row],[Stake/Responsabilidade]]</f>
        <v>0.315</v>
      </c>
      <c r="O3063" s="132">
        <f>IF(base[[#This Row],[L/P Líquido]]&gt;0,1,0)</f>
        <v>1</v>
      </c>
      <c r="P3063" s="132"/>
      <c r="Q3063" s="132" t="str">
        <f>LEFT(base[[#This Row],[Evento / Mercado]],FIND("vs",base[[#This Row],[Evento / Mercado]])-2)</f>
        <v>Dalian Yingbo</v>
      </c>
      <c r="R30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3063" s="132" t="str">
        <f>LEFT(base[[#This Row],[Evento / Mercado]],FIND("/",base[[#This Row],[Evento / Mercado]])-2)</f>
        <v>Dalian Yingbo vs Wuhan Three Towns</v>
      </c>
    </row>
    <row r="3064" spans="2:19" ht="15" customHeight="1">
      <c r="B3064" s="128" t="s">
        <v>3125</v>
      </c>
      <c r="C3064" s="128" t="s">
        <v>2982</v>
      </c>
      <c r="D3064" s="129">
        <v>46207.423379629632</v>
      </c>
      <c r="E3064" s="130">
        <v>2.68</v>
      </c>
      <c r="F3064" s="136">
        <v>4.4999999999999998E-2</v>
      </c>
      <c r="G3064" s="126">
        <f t="shared" si="65"/>
        <v>2.8062827225130893</v>
      </c>
      <c r="H3064" s="126" t="s">
        <v>1339</v>
      </c>
      <c r="I3064" s="127" t="s">
        <v>2404</v>
      </c>
      <c r="J3064" s="126">
        <v>1.56</v>
      </c>
      <c r="K3064" s="126">
        <v>5</v>
      </c>
      <c r="L3064" s="129">
        <f>INT(base[[#This Row],[Data de liquidação]])</f>
        <v>46207</v>
      </c>
      <c r="M3064" s="126">
        <f>base[[#This Row],[L/P Bruto]]-base[[#This Row],[L/P Líquido]]</f>
        <v>0.12628272251308914</v>
      </c>
      <c r="N3064" s="126">
        <f>base[[#This Row],[L/P Líquido]]/base[[#This Row],[Stake/Responsabilidade]]</f>
        <v>0.53600000000000003</v>
      </c>
      <c r="O3064" s="132">
        <f>IF(base[[#This Row],[L/P Líquido]]&gt;0,1,0)</f>
        <v>1</v>
      </c>
      <c r="P3064" s="132"/>
      <c r="Q3064" s="132" t="str">
        <f>LEFT(base[[#This Row],[Evento / Mercado]],FIND("vs",base[[#This Row],[Evento / Mercado]])-2)</f>
        <v>Qingdao West Coast</v>
      </c>
      <c r="R30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Port</v>
      </c>
      <c r="S3064" s="132" t="str">
        <f>LEFT(base[[#This Row],[Evento / Mercado]],FIND("/",base[[#This Row],[Evento / Mercado]])-2)</f>
        <v>Qingdao West Coast vs Shanghai Port</v>
      </c>
    </row>
    <row r="3065" spans="2:19" ht="15" customHeight="1">
      <c r="B3065" s="128" t="s">
        <v>3119</v>
      </c>
      <c r="C3065" s="128" t="s">
        <v>2982</v>
      </c>
      <c r="D3065" s="129">
        <v>46207.424050925925</v>
      </c>
      <c r="E3065" s="130">
        <v>0.36</v>
      </c>
      <c r="F3065" s="136">
        <v>4.4999999999999998E-2</v>
      </c>
      <c r="G3065" s="126">
        <f t="shared" si="65"/>
        <v>0.37696335078534032</v>
      </c>
      <c r="H3065" s="126" t="s">
        <v>1339</v>
      </c>
      <c r="I3065" s="127" t="s">
        <v>2471</v>
      </c>
      <c r="J3065" s="126">
        <v>1.24</v>
      </c>
      <c r="K3065" s="126">
        <v>5</v>
      </c>
      <c r="L3065" s="129">
        <f>INT(base[[#This Row],[Data de liquidação]])</f>
        <v>46207</v>
      </c>
      <c r="M3065" s="126">
        <f>base[[#This Row],[L/P Bruto]]-base[[#This Row],[L/P Líquido]]</f>
        <v>1.6963350785340336E-2</v>
      </c>
      <c r="N3065" s="126">
        <f>base[[#This Row],[L/P Líquido]]/base[[#This Row],[Stake/Responsabilidade]]</f>
        <v>7.1999999999999995E-2</v>
      </c>
      <c r="O3065" s="132">
        <f>IF(base[[#This Row],[L/P Líquido]]&gt;0,1,0)</f>
        <v>1</v>
      </c>
      <c r="P3065" s="132"/>
      <c r="Q3065" s="132" t="str">
        <f>LEFT(base[[#This Row],[Evento / Mercado]],FIND("vs",base[[#This Row],[Evento / Mercado]])-2)</f>
        <v>Qingdao West Coast</v>
      </c>
      <c r="R30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Port</v>
      </c>
      <c r="S3065" s="132" t="str">
        <f>LEFT(base[[#This Row],[Evento / Mercado]],FIND("/",base[[#This Row],[Evento / Mercado]])-2)</f>
        <v>Qingdao West Coast vs Shanghai Port</v>
      </c>
    </row>
    <row r="3066" spans="2:19" ht="15" customHeight="1">
      <c r="B3066" s="128" t="s">
        <v>3118</v>
      </c>
      <c r="C3066" s="128" t="s">
        <v>2982</v>
      </c>
      <c r="D3066" s="129">
        <v>46207.441377314812</v>
      </c>
      <c r="E3066" s="130">
        <v>15.08</v>
      </c>
      <c r="F3066" s="136">
        <v>4.4999999999999998E-2</v>
      </c>
      <c r="G3066" s="126">
        <f t="shared" si="65"/>
        <v>15.790575916230367</v>
      </c>
      <c r="H3066" s="126" t="s">
        <v>1339</v>
      </c>
      <c r="I3066" s="127" t="s">
        <v>1446</v>
      </c>
      <c r="J3066" s="126">
        <v>2.94</v>
      </c>
      <c r="K3066" s="126">
        <v>30.63</v>
      </c>
      <c r="L3066" s="129">
        <f>INT(base[[#This Row],[Data de liquidação]])</f>
        <v>46207</v>
      </c>
      <c r="M3066" s="126">
        <f>base[[#This Row],[L/P Bruto]]-base[[#This Row],[L/P Líquido]]</f>
        <v>0.71057591623036664</v>
      </c>
      <c r="N3066" s="126">
        <f>base[[#This Row],[L/P Líquido]]/base[[#This Row],[Stake/Responsabilidade]]</f>
        <v>0.49232778321906628</v>
      </c>
      <c r="O3066" s="132">
        <f>IF(base[[#This Row],[L/P Líquido]]&gt;0,1,0)</f>
        <v>1</v>
      </c>
      <c r="P3066" s="132"/>
      <c r="Q3066" s="132" t="str">
        <f>LEFT(base[[#This Row],[Evento / Mercado]],FIND("vs",base[[#This Row],[Evento / Mercado]])-2)</f>
        <v>Dalian Yingbo</v>
      </c>
      <c r="R30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3066" s="132" t="str">
        <f>LEFT(base[[#This Row],[Evento / Mercado]],FIND("/",base[[#This Row],[Evento / Mercado]])-2)</f>
        <v>Dalian Yingbo vs Wuhan Three Towns</v>
      </c>
    </row>
    <row r="3067" spans="2:19" ht="15" customHeight="1">
      <c r="B3067" s="128" t="s">
        <v>3117</v>
      </c>
      <c r="C3067" s="128" t="s">
        <v>2982</v>
      </c>
      <c r="D3067" s="129">
        <v>46207.457268518519</v>
      </c>
      <c r="E3067" s="130">
        <v>6.37</v>
      </c>
      <c r="F3067" s="136">
        <v>4.4999999999999998E-2</v>
      </c>
      <c r="G3067" s="126">
        <f t="shared" si="65"/>
        <v>6.6701570680628279</v>
      </c>
      <c r="H3067" s="126" t="s">
        <v>1339</v>
      </c>
      <c r="I3067" s="127" t="s">
        <v>1430</v>
      </c>
      <c r="J3067" s="126">
        <v>19</v>
      </c>
      <c r="K3067" s="126">
        <v>120.06</v>
      </c>
      <c r="L3067" s="129">
        <f>INT(base[[#This Row],[Data de liquidação]])</f>
        <v>46207</v>
      </c>
      <c r="M3067" s="126">
        <f>base[[#This Row],[L/P Bruto]]-base[[#This Row],[L/P Líquido]]</f>
        <v>0.30015706806282783</v>
      </c>
      <c r="N3067" s="126">
        <f>base[[#This Row],[L/P Líquido]]/base[[#This Row],[Stake/Responsabilidade]]</f>
        <v>5.3056804930867903E-2</v>
      </c>
      <c r="O3067" s="132">
        <f>IF(base[[#This Row],[L/P Líquido]]&gt;0,1,0)</f>
        <v>1</v>
      </c>
      <c r="P3067" s="132"/>
      <c r="Q3067" s="132" t="str">
        <f>LEFT(base[[#This Row],[Evento / Mercado]],FIND("vs",base[[#This Row],[Evento / Mercado]])-2)</f>
        <v>Tianjin Jinmenhu</v>
      </c>
      <c r="R30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Shenzhen Peng City</v>
      </c>
      <c r="S3067" s="132" t="str">
        <f>LEFT(base[[#This Row],[Evento / Mercado]],FIND("/",base[[#This Row],[Evento / Mercado]])-2)</f>
        <v>Tianjin Jinmenhu vs Shenzhen Peng City</v>
      </c>
    </row>
    <row r="3068" spans="2:19" ht="15" customHeight="1">
      <c r="B3068" s="128" t="s">
        <v>3116</v>
      </c>
      <c r="C3068" s="128" t="s">
        <v>2980</v>
      </c>
      <c r="D3068" s="129">
        <v>46207.577777777777</v>
      </c>
      <c r="E3068" s="130">
        <v>41.76</v>
      </c>
      <c r="F3068" s="136">
        <v>4.4999999999999998E-2</v>
      </c>
      <c r="G3068" s="126">
        <f t="shared" si="65"/>
        <v>43.727748691099478</v>
      </c>
      <c r="H3068" s="126" t="s">
        <v>2743</v>
      </c>
      <c r="I3068" s="127" t="s">
        <v>1233</v>
      </c>
      <c r="J3068" s="126">
        <v>6.8</v>
      </c>
      <c r="K3068" s="126">
        <v>299.98</v>
      </c>
      <c r="L3068" s="129">
        <f>INT(base[[#This Row],[Data de liquidação]])</f>
        <v>46207</v>
      </c>
      <c r="M3068" s="126">
        <f>base[[#This Row],[L/P Bruto]]-base[[#This Row],[L/P Líquido]]</f>
        <v>1.9677486910994801</v>
      </c>
      <c r="N3068" s="126">
        <f>base[[#This Row],[L/P Líquido]]/base[[#This Row],[Stake/Responsabilidade]]</f>
        <v>0.13920928061870791</v>
      </c>
      <c r="O3068" s="132">
        <f>IF(base[[#This Row],[L/P Líquido]]&gt;0,1,0)</f>
        <v>1</v>
      </c>
      <c r="P3068" s="132"/>
      <c r="Q3068" s="132" t="str">
        <f>LEFT(base[[#This Row],[Evento / Mercado]],FIND("vs",base[[#This Row],[Evento / Mercado]])-2)</f>
        <v>VPS</v>
      </c>
      <c r="R30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068" s="132" t="str">
        <f>LEFT(base[[#This Row],[Evento / Mercado]],FIND("/",base[[#This Row],[Evento / Mercado]])-2)</f>
        <v>VPS vs IFK Mariehamn</v>
      </c>
    </row>
    <row r="3069" spans="2:19" ht="15" customHeight="1">
      <c r="B3069" s="128" t="s">
        <v>3124</v>
      </c>
      <c r="C3069" s="128" t="s">
        <v>2980</v>
      </c>
      <c r="D3069" s="129">
        <v>46207.577777777777</v>
      </c>
      <c r="E3069" s="130">
        <v>-24</v>
      </c>
      <c r="F3069" s="136">
        <v>4.4999999999999998E-2</v>
      </c>
      <c r="G3069" s="126">
        <f t="shared" si="65"/>
        <v>-24</v>
      </c>
      <c r="H3069" s="126" t="s">
        <v>2743</v>
      </c>
      <c r="I3069" s="127" t="s">
        <v>2744</v>
      </c>
      <c r="J3069" s="126">
        <v>13.5</v>
      </c>
      <c r="K3069" s="126">
        <v>24</v>
      </c>
      <c r="L3069" s="129">
        <f>INT(base[[#This Row],[Data de liquidação]])</f>
        <v>46207</v>
      </c>
      <c r="M3069" s="126">
        <f>base[[#This Row],[L/P Bruto]]-base[[#This Row],[L/P Líquido]]</f>
        <v>0</v>
      </c>
      <c r="N3069" s="126">
        <f>base[[#This Row],[L/P Líquido]]/base[[#This Row],[Stake/Responsabilidade]]</f>
        <v>-1</v>
      </c>
      <c r="O3069" s="132">
        <f>IF(base[[#This Row],[L/P Líquido]]&gt;0,1,0)</f>
        <v>0</v>
      </c>
      <c r="P3069" s="132"/>
      <c r="Q3069" s="132" t="str">
        <f>LEFT(base[[#This Row],[Evento / Mercado]],FIND("vs",base[[#This Row],[Evento / Mercado]])-2)</f>
        <v>VPS</v>
      </c>
      <c r="R30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069" s="132" t="str">
        <f>LEFT(base[[#This Row],[Evento / Mercado]],FIND("/",base[[#This Row],[Evento / Mercado]])-2)</f>
        <v>VPS vs IFK Mariehamn</v>
      </c>
    </row>
    <row r="3070" spans="2:19" ht="15" customHeight="1">
      <c r="B3070" s="128" t="s">
        <v>3116</v>
      </c>
      <c r="C3070" s="128" t="s">
        <v>2982</v>
      </c>
      <c r="D3070" s="129">
        <v>46207.578379629631</v>
      </c>
      <c r="E3070" s="130">
        <v>5.71</v>
      </c>
      <c r="F3070" s="136">
        <v>4.4999999999999998E-2</v>
      </c>
      <c r="G3070" s="126">
        <f t="shared" si="65"/>
        <v>5.9790575916230368</v>
      </c>
      <c r="H3070" s="126" t="s">
        <v>2817</v>
      </c>
      <c r="I3070" s="127" t="s">
        <v>2992</v>
      </c>
      <c r="J3070" s="126">
        <v>12.5</v>
      </c>
      <c r="K3070" s="126">
        <v>100.05</v>
      </c>
      <c r="L3070" s="129">
        <f>INT(base[[#This Row],[Data de liquidação]])</f>
        <v>46207</v>
      </c>
      <c r="M3070" s="126">
        <f>base[[#This Row],[L/P Bruto]]-base[[#This Row],[L/P Líquido]]</f>
        <v>0.26905759162303688</v>
      </c>
      <c r="N3070" s="126">
        <f>base[[#This Row],[L/P Líquido]]/base[[#This Row],[Stake/Responsabilidade]]</f>
        <v>5.7071464267866065E-2</v>
      </c>
      <c r="O3070" s="132">
        <f>IF(base[[#This Row],[L/P Líquido]]&gt;0,1,0)</f>
        <v>1</v>
      </c>
      <c r="P3070" s="132"/>
      <c r="Q3070" s="132" t="str">
        <f>LEFT(base[[#This Row],[Evento / Mercado]],FIND("vs",base[[#This Row],[Evento / Mercado]])-2)</f>
        <v>VPS</v>
      </c>
      <c r="R30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070" s="132" t="str">
        <f>LEFT(base[[#This Row],[Evento / Mercado]],FIND("/",base[[#This Row],[Evento / Mercado]])-2)</f>
        <v>VPS vs IFK Mariehamn</v>
      </c>
    </row>
    <row r="3071" spans="2:19" ht="15" customHeight="1">
      <c r="B3071" s="128" t="s">
        <v>3116</v>
      </c>
      <c r="C3071" s="128" t="s">
        <v>2981</v>
      </c>
      <c r="D3071" s="129">
        <v>46207.578379629631</v>
      </c>
      <c r="E3071" s="130">
        <v>37.07</v>
      </c>
      <c r="F3071" s="136">
        <v>4.4999999999999998E-2</v>
      </c>
      <c r="G3071" s="126">
        <f t="shared" si="65"/>
        <v>38.816753926701573</v>
      </c>
      <c r="H3071" s="126" t="s">
        <v>145</v>
      </c>
      <c r="I3071" s="127" t="s">
        <v>301</v>
      </c>
      <c r="J3071" s="126">
        <v>12.5</v>
      </c>
      <c r="K3071" s="126">
        <v>450</v>
      </c>
      <c r="L3071" s="129">
        <f>INT(base[[#This Row],[Data de liquidação]])</f>
        <v>46207</v>
      </c>
      <c r="M3071" s="126">
        <f>base[[#This Row],[L/P Bruto]]-base[[#This Row],[L/P Líquido]]</f>
        <v>1.7467539267015724</v>
      </c>
      <c r="N3071" s="126">
        <f>base[[#This Row],[L/P Líquido]]/base[[#This Row],[Stake/Responsabilidade]]</f>
        <v>8.2377777777777772E-2</v>
      </c>
      <c r="O3071" s="132">
        <f>IF(base[[#This Row],[L/P Líquido]]&gt;0,1,0)</f>
        <v>1</v>
      </c>
      <c r="P3071" s="132" t="s">
        <v>3061</v>
      </c>
      <c r="Q3071" s="132" t="str">
        <f>LEFT(base[[#This Row],[Evento / Mercado]],FIND("vs",base[[#This Row],[Evento / Mercado]])-2)</f>
        <v>VPS</v>
      </c>
      <c r="R30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071" s="132" t="str">
        <f>LEFT(base[[#This Row],[Evento / Mercado]],FIND("/",base[[#This Row],[Evento / Mercado]])-2)</f>
        <v>VPS vs IFK Mariehamn</v>
      </c>
    </row>
    <row r="3072" spans="2:19" ht="15" customHeight="1">
      <c r="B3072" s="128" t="s">
        <v>3115</v>
      </c>
      <c r="C3072" s="128" t="s">
        <v>2982</v>
      </c>
      <c r="D3072" s="129">
        <v>46207.617881944447</v>
      </c>
      <c r="E3072" s="130">
        <v>33.21</v>
      </c>
      <c r="F3072" s="136">
        <v>4.4999999999999998E-2</v>
      </c>
      <c r="G3072" s="126">
        <f t="shared" si="65"/>
        <v>34.774869109947645</v>
      </c>
      <c r="H3072" s="126" t="s">
        <v>74</v>
      </c>
      <c r="I3072" s="127" t="s">
        <v>541</v>
      </c>
      <c r="J3072" s="126">
        <v>12.5</v>
      </c>
      <c r="K3072" s="126">
        <v>399.97</v>
      </c>
      <c r="L3072" s="129">
        <f>INT(base[[#This Row],[Data de liquidação]])</f>
        <v>46207</v>
      </c>
      <c r="M3072" s="126">
        <f>base[[#This Row],[L/P Bruto]]-base[[#This Row],[L/P Líquido]]</f>
        <v>1.5648691099476437</v>
      </c>
      <c r="N3072" s="126">
        <f>base[[#This Row],[L/P Líquido]]/base[[#This Row],[Stake/Responsabilidade]]</f>
        <v>8.3031227342050651E-2</v>
      </c>
      <c r="O3072" s="132">
        <f>IF(base[[#This Row],[L/P Líquido]]&gt;0,1,0)</f>
        <v>1</v>
      </c>
      <c r="P3072" s="132" t="s">
        <v>3086</v>
      </c>
      <c r="Q3072" s="132" t="str">
        <f>LEFT(base[[#This Row],[Evento / Mercado]],FIND("vs",base[[#This Row],[Evento / Mercado]])-2)</f>
        <v>Narva Trans</v>
      </c>
      <c r="R30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Tallinna FC Levadia</v>
      </c>
      <c r="S3072" s="132" t="str">
        <f>LEFT(base[[#This Row],[Evento / Mercado]],FIND("/",base[[#This Row],[Evento / Mercado]])-2)</f>
        <v>Narva Trans vs Tallinna FC Levadia</v>
      </c>
    </row>
    <row r="3073" spans="2:21" ht="15" customHeight="1">
      <c r="B3073" s="128" t="s">
        <v>3114</v>
      </c>
      <c r="C3073" s="128" t="s">
        <v>2981</v>
      </c>
      <c r="D3073" s="129">
        <v>46207.669108796297</v>
      </c>
      <c r="E3073" s="130">
        <v>-51.72</v>
      </c>
      <c r="F3073" s="136">
        <v>4.4999999999999998E-2</v>
      </c>
      <c r="G3073" s="126">
        <f t="shared" si="65"/>
        <v>-51.72</v>
      </c>
      <c r="H3073" s="126" t="s">
        <v>2743</v>
      </c>
      <c r="I3073" s="127" t="s">
        <v>2744</v>
      </c>
      <c r="J3073" s="126">
        <v>6.8</v>
      </c>
      <c r="K3073" s="126">
        <v>51.72</v>
      </c>
      <c r="L3073" s="129">
        <f>INT(base[[#This Row],[Data de liquidação]])</f>
        <v>46207</v>
      </c>
      <c r="M3073" s="126">
        <f>base[[#This Row],[L/P Bruto]]-base[[#This Row],[L/P Líquido]]</f>
        <v>0</v>
      </c>
      <c r="N3073" s="126">
        <f>base[[#This Row],[L/P Líquido]]/base[[#This Row],[Stake/Responsabilidade]]</f>
        <v>-1</v>
      </c>
      <c r="O3073" s="132">
        <f>IF(base[[#This Row],[L/P Líquido]]&gt;0,1,0)</f>
        <v>0</v>
      </c>
      <c r="P3073" s="132"/>
      <c r="Q3073" s="132" t="str">
        <f>LEFT(base[[#This Row],[Evento / Mercado]],FIND("vs",base[[#This Row],[Evento / Mercado]])-2)</f>
        <v>Canada</v>
      </c>
      <c r="R30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073" s="132" t="str">
        <f>LEFT(base[[#This Row],[Evento / Mercado]],FIND("/",base[[#This Row],[Evento / Mercado]])-2)</f>
        <v>Canada vs Morocco</v>
      </c>
    </row>
    <row r="3074" spans="2:21" ht="15" customHeight="1">
      <c r="B3074" s="128" t="s">
        <v>3114</v>
      </c>
      <c r="C3074" s="128" t="s">
        <v>2982</v>
      </c>
      <c r="D3074" s="129">
        <v>46207.669120370374</v>
      </c>
      <c r="E3074" s="130">
        <v>35.74</v>
      </c>
      <c r="F3074" s="136">
        <v>4.4999999999999998E-2</v>
      </c>
      <c r="G3074" s="126">
        <f t="shared" si="65"/>
        <v>37.424083769633512</v>
      </c>
      <c r="H3074" s="126" t="s">
        <v>2821</v>
      </c>
      <c r="I3074" s="127" t="s">
        <v>542</v>
      </c>
      <c r="J3074" s="126">
        <v>16.5</v>
      </c>
      <c r="K3074" s="126">
        <v>580.01</v>
      </c>
      <c r="L3074" s="129">
        <f>INT(base[[#This Row],[Data de liquidação]])</f>
        <v>46207</v>
      </c>
      <c r="M3074" s="126">
        <f>base[[#This Row],[L/P Bruto]]-base[[#This Row],[L/P Líquido]]</f>
        <v>1.68408376963351</v>
      </c>
      <c r="N3074" s="126">
        <f>base[[#This Row],[L/P Líquido]]/base[[#This Row],[Stake/Responsabilidade]]</f>
        <v>6.1619627247806077E-2</v>
      </c>
      <c r="O3074" s="132">
        <f>IF(base[[#This Row],[L/P Líquido]]&gt;0,1,0)</f>
        <v>1</v>
      </c>
      <c r="P3074" s="132"/>
      <c r="Q3074" s="132" t="str">
        <f>LEFT(base[[#This Row],[Evento / Mercado]],FIND("vs",base[[#This Row],[Evento / Mercado]])-2)</f>
        <v>Canada</v>
      </c>
      <c r="R30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074" s="132" t="str">
        <f>LEFT(base[[#This Row],[Evento / Mercado]],FIND("/",base[[#This Row],[Evento / Mercado]])-2)</f>
        <v>Canada vs Morocco</v>
      </c>
    </row>
    <row r="3075" spans="2:21" ht="15" customHeight="1">
      <c r="B3075" s="128" t="s">
        <v>3113</v>
      </c>
      <c r="C3075" s="128" t="s">
        <v>2982</v>
      </c>
      <c r="D3075" s="129">
        <v>46207.669629629629</v>
      </c>
      <c r="E3075" s="130">
        <v>12.22</v>
      </c>
      <c r="F3075" s="136">
        <v>4.4999999999999998E-2</v>
      </c>
      <c r="G3075" s="126">
        <f t="shared" ref="G3075:G3138" si="66">IF(E3075&gt;0,E3075/(1-F3075),E3075)</f>
        <v>12.795811518324609</v>
      </c>
      <c r="H3075" s="126" t="s">
        <v>2817</v>
      </c>
      <c r="I3075" s="127" t="s">
        <v>2993</v>
      </c>
      <c r="J3075" s="126">
        <v>5.78</v>
      </c>
      <c r="K3075" s="126">
        <v>97.56</v>
      </c>
      <c r="L3075" s="129">
        <f>INT(base[[#This Row],[Data de liquidação]])</f>
        <v>46207</v>
      </c>
      <c r="M3075" s="126">
        <f>base[[#This Row],[L/P Bruto]]-base[[#This Row],[L/P Líquido]]</f>
        <v>0.57581151832460797</v>
      </c>
      <c r="N3075" s="126">
        <f>base[[#This Row],[L/P Líquido]]/base[[#This Row],[Stake/Responsabilidade]]</f>
        <v>0.12525625256252562</v>
      </c>
      <c r="O3075" s="132">
        <f>IF(base[[#This Row],[L/P Líquido]]&gt;0,1,0)</f>
        <v>1</v>
      </c>
      <c r="P3075" s="132"/>
      <c r="Q3075" s="132" t="str">
        <f>LEFT(base[[#This Row],[Evento / Mercado]],FIND("vs",base[[#This Row],[Evento / Mercado]])-2)</f>
        <v>Canada</v>
      </c>
      <c r="R30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075" s="132" t="str">
        <f>LEFT(base[[#This Row],[Evento / Mercado]],FIND("/",base[[#This Row],[Evento / Mercado]])-2)</f>
        <v>Canada vs Morocco</v>
      </c>
    </row>
    <row r="3076" spans="2:21" ht="15" customHeight="1">
      <c r="B3076" s="128" t="s">
        <v>3113</v>
      </c>
      <c r="C3076" s="128" t="s">
        <v>2981</v>
      </c>
      <c r="D3076" s="129">
        <v>46207.669629629629</v>
      </c>
      <c r="E3076" s="130">
        <v>110.81</v>
      </c>
      <c r="F3076" s="136">
        <v>4.4999999999999998E-2</v>
      </c>
      <c r="G3076" s="126">
        <f t="shared" si="66"/>
        <v>116.03141361256546</v>
      </c>
      <c r="H3076" s="126" t="s">
        <v>2743</v>
      </c>
      <c r="I3076" s="127" t="s">
        <v>1233</v>
      </c>
      <c r="J3076" s="126">
        <v>3.45</v>
      </c>
      <c r="K3076" s="126">
        <v>300</v>
      </c>
      <c r="L3076" s="129">
        <f>INT(base[[#This Row],[Data de liquidação]])</f>
        <v>46207</v>
      </c>
      <c r="M3076" s="126">
        <f>base[[#This Row],[L/P Bruto]]-base[[#This Row],[L/P Líquido]]</f>
        <v>5.2214136125654562</v>
      </c>
      <c r="N3076" s="126">
        <f>base[[#This Row],[L/P Líquido]]/base[[#This Row],[Stake/Responsabilidade]]</f>
        <v>0.36936666666666668</v>
      </c>
      <c r="O3076" s="132">
        <f>IF(base[[#This Row],[L/P Líquido]]&gt;0,1,0)</f>
        <v>1</v>
      </c>
      <c r="P3076" s="132"/>
      <c r="Q3076" s="132" t="str">
        <f>LEFT(base[[#This Row],[Evento / Mercado]],FIND("vs",base[[#This Row],[Evento / Mercado]])-2)</f>
        <v>Canada</v>
      </c>
      <c r="R30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076" s="132" t="str">
        <f>LEFT(base[[#This Row],[Evento / Mercado]],FIND("/",base[[#This Row],[Evento / Mercado]])-2)</f>
        <v>Canada vs Morocco</v>
      </c>
    </row>
    <row r="3077" spans="2:21" ht="15" customHeight="1">
      <c r="B3077" s="128" t="s">
        <v>3120</v>
      </c>
      <c r="C3077" s="128" t="s">
        <v>2981</v>
      </c>
      <c r="D3077" s="129">
        <v>46207.745312500003</v>
      </c>
      <c r="E3077" s="130">
        <v>-50</v>
      </c>
      <c r="F3077" s="136">
        <v>4.4999999999999998E-2</v>
      </c>
      <c r="G3077" s="126">
        <f t="shared" si="66"/>
        <v>-50</v>
      </c>
      <c r="H3077" s="126" t="s">
        <v>2743</v>
      </c>
      <c r="I3077" s="127" t="s">
        <v>2744</v>
      </c>
      <c r="J3077" s="126">
        <v>7</v>
      </c>
      <c r="K3077" s="126">
        <v>50</v>
      </c>
      <c r="L3077" s="129">
        <f>INT(base[[#This Row],[Data de liquidação]])</f>
        <v>46207</v>
      </c>
      <c r="M3077" s="126">
        <f>base[[#This Row],[L/P Bruto]]-base[[#This Row],[L/P Líquido]]</f>
        <v>0</v>
      </c>
      <c r="N3077" s="126">
        <f>base[[#This Row],[L/P Líquido]]/base[[#This Row],[Stake/Responsabilidade]]</f>
        <v>-1</v>
      </c>
      <c r="O3077" s="132">
        <f>IF(base[[#This Row],[L/P Líquido]]&gt;0,1,0)</f>
        <v>0</v>
      </c>
      <c r="P3077" s="132"/>
      <c r="Q3077" s="132" t="str">
        <f>LEFT(base[[#This Row],[Evento / Mercado]],FIND("vs",base[[#This Row],[Evento / Mercado]])-2)</f>
        <v>Gremio Novorizontino</v>
      </c>
      <c r="R30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Goianiense</v>
      </c>
      <c r="S3077" s="132" t="str">
        <f>LEFT(base[[#This Row],[Evento / Mercado]],FIND("/",base[[#This Row],[Evento / Mercado]])-2)</f>
        <v>Gremio Novorizontino vs Atlético Goianiense</v>
      </c>
    </row>
    <row r="3078" spans="2:21" ht="15" customHeight="1">
      <c r="B3078" s="128" t="s">
        <v>3112</v>
      </c>
      <c r="C3078" s="128" t="s">
        <v>2982</v>
      </c>
      <c r="D3078" s="129">
        <v>46207.745451388888</v>
      </c>
      <c r="E3078" s="130">
        <v>18.899999999999999</v>
      </c>
      <c r="F3078" s="136">
        <v>4.4999999999999998E-2</v>
      </c>
      <c r="G3078" s="126">
        <f t="shared" si="66"/>
        <v>19.790575916230367</v>
      </c>
      <c r="H3078" s="126" t="s">
        <v>2817</v>
      </c>
      <c r="I3078" s="127" t="s">
        <v>2993</v>
      </c>
      <c r="J3078" s="126">
        <v>4.5999999999999996</v>
      </c>
      <c r="K3078" s="126">
        <v>100.01</v>
      </c>
      <c r="L3078" s="129">
        <f>INT(base[[#This Row],[Data de liquidação]])</f>
        <v>46207</v>
      </c>
      <c r="M3078" s="126">
        <f>base[[#This Row],[L/P Bruto]]-base[[#This Row],[L/P Líquido]]</f>
        <v>0.89057591623036814</v>
      </c>
      <c r="N3078" s="126">
        <f>base[[#This Row],[L/P Líquido]]/base[[#This Row],[Stake/Responsabilidade]]</f>
        <v>0.18898110188981099</v>
      </c>
      <c r="O3078" s="132">
        <f>IF(base[[#This Row],[L/P Líquido]]&gt;0,1,0)</f>
        <v>1</v>
      </c>
      <c r="P3078" s="132"/>
      <c r="Q3078" s="132" t="str">
        <f>LEFT(base[[#This Row],[Evento / Mercado]],FIND("vs",base[[#This Row],[Evento / Mercado]])-2)</f>
        <v>Gremio Novorizontino</v>
      </c>
      <c r="R30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Goianiense</v>
      </c>
      <c r="S3078" s="132" t="str">
        <f>LEFT(base[[#This Row],[Evento / Mercado]],FIND("/",base[[#This Row],[Evento / Mercado]])-2)</f>
        <v>Gremio Novorizontino vs Atlético Goianiense</v>
      </c>
    </row>
    <row r="3079" spans="2:21" ht="15" customHeight="1">
      <c r="B3079" s="128" t="s">
        <v>3112</v>
      </c>
      <c r="C3079" s="128" t="s">
        <v>2981</v>
      </c>
      <c r="D3079" s="129">
        <v>46207.745451388888</v>
      </c>
      <c r="E3079" s="130">
        <v>105.34</v>
      </c>
      <c r="F3079" s="136">
        <v>4.4999999999999998E-2</v>
      </c>
      <c r="G3079" s="126">
        <f t="shared" si="66"/>
        <v>110.30366492146598</v>
      </c>
      <c r="H3079" s="126" t="s">
        <v>2743</v>
      </c>
      <c r="I3079" s="127" t="s">
        <v>1233</v>
      </c>
      <c r="J3079" s="126">
        <v>3.45</v>
      </c>
      <c r="K3079" s="126">
        <v>300</v>
      </c>
      <c r="L3079" s="129">
        <f>INT(base[[#This Row],[Data de liquidação]])</f>
        <v>46207</v>
      </c>
      <c r="M3079" s="126">
        <f>base[[#This Row],[L/P Bruto]]-base[[#This Row],[L/P Líquido]]</f>
        <v>4.9636649214659769</v>
      </c>
      <c r="N3079" s="126">
        <f>base[[#This Row],[L/P Líquido]]/base[[#This Row],[Stake/Responsabilidade]]</f>
        <v>0.35113333333333335</v>
      </c>
      <c r="O3079" s="132">
        <f>IF(base[[#This Row],[L/P Líquido]]&gt;0,1,0)</f>
        <v>1</v>
      </c>
      <c r="P3079" s="132"/>
      <c r="Q3079" s="132" t="str">
        <f>LEFT(base[[#This Row],[Evento / Mercado]],FIND("vs",base[[#This Row],[Evento / Mercado]])-2)</f>
        <v>Gremio Novorizontino</v>
      </c>
      <c r="R30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Goianiense</v>
      </c>
      <c r="S3079" s="132" t="str">
        <f>LEFT(base[[#This Row],[Evento / Mercado]],FIND("/",base[[#This Row],[Evento / Mercado]])-2)</f>
        <v>Gremio Novorizontino vs Atlético Goianiense</v>
      </c>
    </row>
    <row r="3080" spans="2:21" ht="15" customHeight="1">
      <c r="B3080" s="128" t="s">
        <v>3111</v>
      </c>
      <c r="C3080" s="128" t="s">
        <v>2980</v>
      </c>
      <c r="D3080" s="129">
        <v>46207.754166666666</v>
      </c>
      <c r="E3080" s="130">
        <v>116.94</v>
      </c>
      <c r="F3080" s="136">
        <v>4.4999999999999998E-2</v>
      </c>
      <c r="G3080" s="126">
        <f t="shared" si="66"/>
        <v>122.45026178010471</v>
      </c>
      <c r="H3080" s="126" t="s">
        <v>2743</v>
      </c>
      <c r="I3080" s="127" t="s">
        <v>2744</v>
      </c>
      <c r="J3080" s="126">
        <v>7.2</v>
      </c>
      <c r="K3080" s="126">
        <v>48.39</v>
      </c>
      <c r="L3080" s="129">
        <f>INT(base[[#This Row],[Data de liquidação]])</f>
        <v>46207</v>
      </c>
      <c r="M3080" s="126">
        <f>base[[#This Row],[L/P Bruto]]-base[[#This Row],[L/P Líquido]]</f>
        <v>5.5102617801047131</v>
      </c>
      <c r="N3080" s="126">
        <f>base[[#This Row],[L/P Líquido]]/base[[#This Row],[Stake/Responsabilidade]]</f>
        <v>2.4166150030998139</v>
      </c>
      <c r="O3080" s="132">
        <f>IF(base[[#This Row],[L/P Líquido]]&gt;0,1,0)</f>
        <v>1</v>
      </c>
      <c r="P3080" s="132"/>
      <c r="Q3080" s="132" t="str">
        <f>LEFT(base[[#This Row],[Evento / Mercado]],FIND("vs",base[[#This Row],[Evento / Mercado]])-2)</f>
        <v>Criciúma EC</v>
      </c>
      <c r="R30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Club do Recife</v>
      </c>
      <c r="S3080" s="132" t="str">
        <f>LEFT(base[[#This Row],[Evento / Mercado]],FIND("/",base[[#This Row],[Evento / Mercado]])-2)</f>
        <v>Criciúma EC vs Sport Club do Recife</v>
      </c>
    </row>
    <row r="3081" spans="2:21" ht="15" customHeight="1">
      <c r="B3081" s="128" t="s">
        <v>3123</v>
      </c>
      <c r="C3081" s="128" t="s">
        <v>2980</v>
      </c>
      <c r="D3081" s="129">
        <v>46207.754166666666</v>
      </c>
      <c r="E3081" s="130">
        <v>-48.39</v>
      </c>
      <c r="F3081" s="136">
        <v>4.4999999999999998E-2</v>
      </c>
      <c r="G3081" s="126">
        <f t="shared" si="66"/>
        <v>-48.39</v>
      </c>
      <c r="H3081" s="126" t="s">
        <v>2743</v>
      </c>
      <c r="I3081" s="127" t="s">
        <v>1233</v>
      </c>
      <c r="J3081" s="126">
        <v>3.45</v>
      </c>
      <c r="K3081" s="126">
        <v>300</v>
      </c>
      <c r="L3081" s="129">
        <f>INT(base[[#This Row],[Data de liquidação]])</f>
        <v>46207</v>
      </c>
      <c r="M3081" s="126">
        <f>base[[#This Row],[L/P Bruto]]-base[[#This Row],[L/P Líquido]]</f>
        <v>0</v>
      </c>
      <c r="N3081" s="126">
        <f>base[[#This Row],[L/P Líquido]]/base[[#This Row],[Stake/Responsabilidade]]</f>
        <v>-0.1613</v>
      </c>
      <c r="O3081" s="132">
        <f>IF(base[[#This Row],[L/P Líquido]]&gt;0,1,0)</f>
        <v>0</v>
      </c>
      <c r="P3081" s="132"/>
      <c r="Q3081" s="132" t="str">
        <f>LEFT(base[[#This Row],[Evento / Mercado]],FIND("vs",base[[#This Row],[Evento / Mercado]])-2)</f>
        <v>Criciúma EC</v>
      </c>
      <c r="R30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Club do Recife</v>
      </c>
      <c r="S3081" s="132" t="str">
        <f>LEFT(base[[#This Row],[Evento / Mercado]],FIND("/",base[[#This Row],[Evento / Mercado]])-2)</f>
        <v>Criciúma EC vs Sport Club do Recife</v>
      </c>
    </row>
    <row r="3082" spans="2:21" ht="15" customHeight="1">
      <c r="B3082" s="128" t="s">
        <v>3111</v>
      </c>
      <c r="C3082" s="128" t="s">
        <v>2982</v>
      </c>
      <c r="D3082" s="129">
        <v>46207.754560185182</v>
      </c>
      <c r="E3082" s="130">
        <v>19.84</v>
      </c>
      <c r="F3082" s="136">
        <v>4.4999999999999998E-2</v>
      </c>
      <c r="G3082" s="126">
        <f t="shared" si="66"/>
        <v>20.774869109947645</v>
      </c>
      <c r="H3082" s="126" t="s">
        <v>2817</v>
      </c>
      <c r="I3082" s="127" t="s">
        <v>2993</v>
      </c>
      <c r="J3082" s="126">
        <v>4.5</v>
      </c>
      <c r="K3082" s="126">
        <v>100</v>
      </c>
      <c r="L3082" s="129">
        <f>INT(base[[#This Row],[Data de liquidação]])</f>
        <v>46207</v>
      </c>
      <c r="M3082" s="126">
        <f>base[[#This Row],[L/P Bruto]]-base[[#This Row],[L/P Líquido]]</f>
        <v>0.93486910994764472</v>
      </c>
      <c r="N3082" s="126">
        <f>base[[#This Row],[L/P Líquido]]/base[[#This Row],[Stake/Responsabilidade]]</f>
        <v>0.19839999999999999</v>
      </c>
      <c r="O3082" s="132">
        <f>IF(base[[#This Row],[L/P Líquido]]&gt;0,1,0)</f>
        <v>1</v>
      </c>
      <c r="P3082" s="132"/>
      <c r="Q3082" s="132" t="str">
        <f>LEFT(base[[#This Row],[Evento / Mercado]],FIND("vs",base[[#This Row],[Evento / Mercado]])-2)</f>
        <v>Criciúma EC</v>
      </c>
      <c r="R30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Club do Recife</v>
      </c>
      <c r="S3082" s="132" t="str">
        <f>LEFT(base[[#This Row],[Evento / Mercado]],FIND("/",base[[#This Row],[Evento / Mercado]])-2)</f>
        <v>Criciúma EC vs Sport Club do Recife</v>
      </c>
    </row>
    <row r="3083" spans="2:21" ht="15" customHeight="1">
      <c r="B3083" s="128" t="s">
        <v>3110</v>
      </c>
      <c r="C3083" s="128" t="s">
        <v>2982</v>
      </c>
      <c r="D3083" s="129">
        <v>46207.792962962965</v>
      </c>
      <c r="E3083" s="130">
        <v>6.63</v>
      </c>
      <c r="F3083" s="136">
        <v>4.4999999999999998E-2</v>
      </c>
      <c r="G3083" s="126">
        <f t="shared" si="66"/>
        <v>6.9424083769633507</v>
      </c>
      <c r="H3083" s="126" t="s">
        <v>1339</v>
      </c>
      <c r="I3083" s="127" t="s">
        <v>2469</v>
      </c>
      <c r="J3083" s="126">
        <v>8.1999999999999993</v>
      </c>
      <c r="K3083" s="126">
        <v>49.97</v>
      </c>
      <c r="L3083" s="129">
        <f>INT(base[[#This Row],[Data de liquidação]])</f>
        <v>46207</v>
      </c>
      <c r="M3083" s="126">
        <f>base[[#This Row],[L/P Bruto]]-base[[#This Row],[L/P Líquido]]</f>
        <v>0.31240837696335078</v>
      </c>
      <c r="N3083" s="126">
        <f>base[[#This Row],[L/P Líquido]]/base[[#This Row],[Stake/Responsabilidade]]</f>
        <v>0.13267960776465879</v>
      </c>
      <c r="O3083" s="132">
        <f>IF(base[[#This Row],[L/P Líquido]]&gt;0,1,0)</f>
        <v>1</v>
      </c>
      <c r="P3083" s="132"/>
      <c r="Q3083" s="132" t="str">
        <f>LEFT(base[[#This Row],[Evento / Mercado]],FIND("vs",base[[#This Row],[Evento / Mercado]])-2)</f>
        <v>Indy Eleven</v>
      </c>
      <c r="R30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Charleston Battery</v>
      </c>
      <c r="S3083" s="132" t="str">
        <f>LEFT(base[[#This Row],[Evento / Mercado]],FIND("/",base[[#This Row],[Evento / Mercado]])-2)</f>
        <v>Indy Eleven vs Charleston Battery</v>
      </c>
    </row>
    <row r="3084" spans="2:21" ht="15" customHeight="1">
      <c r="B3084" s="128" t="s">
        <v>3109</v>
      </c>
      <c r="C3084" s="128" t="s">
        <v>2982</v>
      </c>
      <c r="D3084" s="129">
        <v>46207.836863425924</v>
      </c>
      <c r="E3084" s="130">
        <v>15.28</v>
      </c>
      <c r="F3084" s="136">
        <v>4.4999999999999998E-2</v>
      </c>
      <c r="G3084" s="126">
        <f t="shared" si="66"/>
        <v>16</v>
      </c>
      <c r="H3084" s="126" t="s">
        <v>145</v>
      </c>
      <c r="I3084" s="127" t="s">
        <v>2877</v>
      </c>
      <c r="J3084" s="126">
        <v>26</v>
      </c>
      <c r="K3084" s="126">
        <v>400</v>
      </c>
      <c r="L3084" s="129">
        <f>INT(base[[#This Row],[Data de liquidação]])</f>
        <v>46207</v>
      </c>
      <c r="M3084" s="126">
        <f>base[[#This Row],[L/P Bruto]]-base[[#This Row],[L/P Líquido]]</f>
        <v>0.72000000000000064</v>
      </c>
      <c r="N3084" s="126">
        <f>base[[#This Row],[L/P Líquido]]/base[[#This Row],[Stake/Responsabilidade]]</f>
        <v>3.8199999999999998E-2</v>
      </c>
      <c r="O3084" s="132">
        <f>IF(base[[#This Row],[L/P Líquido]]&gt;0,1,0)</f>
        <v>1</v>
      </c>
      <c r="P3084" s="132" t="s">
        <v>2818</v>
      </c>
      <c r="Q3084" s="132" t="str">
        <f>LEFT(base[[#This Row],[Evento / Mercado]],FIND("vs",base[[#This Row],[Evento / Mercado]])-2)</f>
        <v>Paraguay</v>
      </c>
      <c r="R30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France</v>
      </c>
      <c r="S3084" s="132" t="str">
        <f>LEFT(base[[#This Row],[Evento / Mercado]],FIND("/",base[[#This Row],[Evento / Mercado]])-2)</f>
        <v>Paraguay vs France</v>
      </c>
    </row>
    <row r="3085" spans="2:21" ht="15" customHeight="1">
      <c r="B3085" s="128" t="s">
        <v>3108</v>
      </c>
      <c r="C3085" s="128" t="s">
        <v>2982</v>
      </c>
      <c r="D3085" s="129">
        <v>46207.937430555554</v>
      </c>
      <c r="E3085" s="130">
        <v>-50</v>
      </c>
      <c r="F3085" s="136">
        <v>4.4999999999999998E-2</v>
      </c>
      <c r="G3085" s="126">
        <f t="shared" si="66"/>
        <v>-50</v>
      </c>
      <c r="H3085" s="126" t="s">
        <v>1339</v>
      </c>
      <c r="I3085" s="127" t="s">
        <v>2470</v>
      </c>
      <c r="J3085" s="126">
        <v>9</v>
      </c>
      <c r="K3085" s="126">
        <v>50</v>
      </c>
      <c r="L3085" s="129">
        <f>INT(base[[#This Row],[Data de liquidação]])</f>
        <v>46207</v>
      </c>
      <c r="M3085" s="126">
        <f>base[[#This Row],[L/P Bruto]]-base[[#This Row],[L/P Líquido]]</f>
        <v>0</v>
      </c>
      <c r="N3085" s="126">
        <f>base[[#This Row],[L/P Líquido]]/base[[#This Row],[Stake/Responsabilidade]]</f>
        <v>-1</v>
      </c>
      <c r="O3085" s="132">
        <f>IF(base[[#This Row],[L/P Líquido]]&gt;0,1,0)</f>
        <v>0</v>
      </c>
      <c r="P3085" s="132"/>
      <c r="Q3085" s="132" t="str">
        <f>LEFT(base[[#This Row],[Evento / Mercado]],FIND("vs",base[[#This Row],[Evento / Mercado]])-2)</f>
        <v>Ferroviária</v>
      </c>
      <c r="R30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SER Caxias Do Sul</v>
      </c>
      <c r="S3085" s="132" t="str">
        <f>LEFT(base[[#This Row],[Evento / Mercado]],FIND("/",base[[#This Row],[Evento / Mercado]])-2)</f>
        <v>Ferroviária vs SER Caxias Do Sul</v>
      </c>
    </row>
    <row r="3086" spans="2:21" ht="15" customHeight="1">
      <c r="B3086" s="128" t="s">
        <v>3107</v>
      </c>
      <c r="C3086" s="128" t="s">
        <v>2982</v>
      </c>
      <c r="D3086" s="129">
        <v>46208.005844907406</v>
      </c>
      <c r="E3086" s="130">
        <v>5.31</v>
      </c>
      <c r="F3086" s="136">
        <v>4.4999999999999998E-2</v>
      </c>
      <c r="G3086" s="126">
        <f t="shared" si="66"/>
        <v>5.5602094240837694</v>
      </c>
      <c r="H3086" s="126" t="s">
        <v>1339</v>
      </c>
      <c r="I3086" s="127" t="s">
        <v>2470</v>
      </c>
      <c r="J3086" s="126">
        <v>10</v>
      </c>
      <c r="K3086" s="126">
        <v>50.04</v>
      </c>
      <c r="L3086" s="129">
        <f>INT(base[[#This Row],[Data de liquidação]])</f>
        <v>46208</v>
      </c>
      <c r="M3086" s="126">
        <f>base[[#This Row],[L/P Bruto]]-base[[#This Row],[L/P Líquido]]</f>
        <v>0.25020942408376978</v>
      </c>
      <c r="N3086" s="126">
        <f>base[[#This Row],[L/P Líquido]]/base[[#This Row],[Stake/Responsabilidade]]</f>
        <v>0.10611510791366906</v>
      </c>
      <c r="O3086" s="132">
        <f>IF(base[[#This Row],[L/P Líquido]]&gt;0,1,0)</f>
        <v>1</v>
      </c>
      <c r="P3086" s="132"/>
      <c r="Q3086" s="132" t="str">
        <f>LEFT(base[[#This Row],[Evento / Mercado]],FIND("vs",base[[#This Row],[Evento / Mercado]])-2)</f>
        <v>San Antonio FC</v>
      </c>
      <c r="R30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Monterey Bay FC</v>
      </c>
      <c r="S3086" s="132" t="str">
        <f>LEFT(base[[#This Row],[Evento / Mercado]],FIND("/",base[[#This Row],[Evento / Mercado]])-2)</f>
        <v>San Antonio FC vs Monterey Bay FC</v>
      </c>
    </row>
    <row r="3087" spans="2:21" ht="15" customHeight="1">
      <c r="B3087" s="128" t="s">
        <v>3106</v>
      </c>
      <c r="C3087" s="128" t="s">
        <v>2982</v>
      </c>
      <c r="D3087" s="129">
        <v>46208.406064814815</v>
      </c>
      <c r="E3087" s="130">
        <v>3.6767499999999997</v>
      </c>
      <c r="F3087" s="136">
        <v>4.4999999999999998E-2</v>
      </c>
      <c r="G3087" s="126">
        <f t="shared" si="66"/>
        <v>3.85</v>
      </c>
      <c r="H3087" s="126" t="s">
        <v>1339</v>
      </c>
      <c r="I3087" s="127" t="s">
        <v>2404</v>
      </c>
      <c r="J3087" s="126">
        <v>1.77</v>
      </c>
      <c r="K3087" s="126">
        <v>5</v>
      </c>
      <c r="L3087" s="129">
        <f>INT(base[[#This Row],[Data de liquidação]])</f>
        <v>46208</v>
      </c>
      <c r="M3087" s="126">
        <f>base[[#This Row],[L/P Bruto]]-base[[#This Row],[L/P Líquido]]</f>
        <v>0.17325000000000035</v>
      </c>
      <c r="N3087" s="126">
        <f>base[[#This Row],[L/P Líquido]]/base[[#This Row],[Stake/Responsabilidade]]</f>
        <v>0.73534999999999995</v>
      </c>
      <c r="O3087" s="132">
        <f>IF(base[[#This Row],[L/P Líquido]]&gt;0,1,0)</f>
        <v>1</v>
      </c>
      <c r="P3087" s="132"/>
      <c r="Q3087" s="132" t="str">
        <f>LEFT(base[[#This Row],[Evento / Mercado]],FIND("vs",base[[#This Row],[Evento / Mercado]])-2)</f>
        <v>Qingdao Hainiu</v>
      </c>
      <c r="R30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3087" s="132" t="str">
        <f>LEFT(base[[#This Row],[Evento / Mercado]],FIND("/",base[[#This Row],[Evento / Mercado]])-2)</f>
        <v>Qingdao Hainiu vs Chengdu Rongcheng</v>
      </c>
      <c r="T3087" s="8">
        <v>3.85</v>
      </c>
      <c r="U3087" s="9">
        <f t="shared" ref="U3087:U3088" si="67">T3087*0.955</f>
        <v>3.6767499999999997</v>
      </c>
    </row>
    <row r="3088" spans="2:21" ht="15" customHeight="1">
      <c r="B3088" s="128" t="s">
        <v>3106</v>
      </c>
      <c r="C3088" s="128" t="s">
        <v>2982</v>
      </c>
      <c r="D3088" s="129">
        <v>46208.406064814815</v>
      </c>
      <c r="E3088" s="130">
        <v>1.7094499999999999</v>
      </c>
      <c r="F3088" s="136">
        <v>4.4999999999999998E-2</v>
      </c>
      <c r="G3088" s="126">
        <f t="shared" si="66"/>
        <v>1.79</v>
      </c>
      <c r="H3088" s="126" t="s">
        <v>1339</v>
      </c>
      <c r="I3088" s="127" t="s">
        <v>2193</v>
      </c>
      <c r="J3088" s="126">
        <v>1.89</v>
      </c>
      <c r="K3088" s="126">
        <v>2</v>
      </c>
      <c r="L3088" s="129">
        <f>INT(base[[#This Row],[Data de liquidação]])</f>
        <v>46208</v>
      </c>
      <c r="M3088" s="126">
        <f>base[[#This Row],[L/P Bruto]]-base[[#This Row],[L/P Líquido]]</f>
        <v>8.0550000000000122E-2</v>
      </c>
      <c r="N3088" s="126">
        <f>base[[#This Row],[L/P Líquido]]/base[[#This Row],[Stake/Responsabilidade]]</f>
        <v>0.85472499999999996</v>
      </c>
      <c r="O3088" s="132">
        <f>IF(base[[#This Row],[L/P Líquido]]&gt;0,1,0)</f>
        <v>1</v>
      </c>
      <c r="P3088" s="132"/>
      <c r="Q3088" s="132" t="str">
        <f>LEFT(base[[#This Row],[Evento / Mercado]],FIND("vs",base[[#This Row],[Evento / Mercado]])-2)</f>
        <v>Qingdao Hainiu</v>
      </c>
      <c r="R30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3088" s="132" t="str">
        <f>LEFT(base[[#This Row],[Evento / Mercado]],FIND("/",base[[#This Row],[Evento / Mercado]])-2)</f>
        <v>Qingdao Hainiu vs Chengdu Rongcheng</v>
      </c>
      <c r="T3088" s="8">
        <v>1.79</v>
      </c>
      <c r="U3088" s="9">
        <f t="shared" si="67"/>
        <v>1.7094499999999999</v>
      </c>
    </row>
    <row r="3089" spans="2:19" ht="15" customHeight="1">
      <c r="B3089" s="128" t="s">
        <v>3105</v>
      </c>
      <c r="C3089" s="128" t="s">
        <v>2982</v>
      </c>
      <c r="D3089" s="129">
        <v>46208.432604166665</v>
      </c>
      <c r="E3089" s="130">
        <v>-0.69</v>
      </c>
      <c r="F3089" s="136">
        <v>4.4999999999999998E-2</v>
      </c>
      <c r="G3089" s="126">
        <f t="shared" si="66"/>
        <v>-0.69</v>
      </c>
      <c r="H3089" s="126" t="s">
        <v>1339</v>
      </c>
      <c r="I3089" s="127" t="s">
        <v>1236</v>
      </c>
      <c r="J3089" s="126">
        <v>6.8</v>
      </c>
      <c r="K3089" s="126">
        <v>15</v>
      </c>
      <c r="L3089" s="129">
        <f>INT(base[[#This Row],[Data de liquidação]])</f>
        <v>46208</v>
      </c>
      <c r="M3089" s="126">
        <f>base[[#This Row],[L/P Bruto]]-base[[#This Row],[L/P Líquido]]</f>
        <v>0</v>
      </c>
      <c r="N3089" s="126">
        <f>base[[#This Row],[L/P Líquido]]/base[[#This Row],[Stake/Responsabilidade]]</f>
        <v>-4.5999999999999999E-2</v>
      </c>
      <c r="O3089" s="132">
        <f>IF(base[[#This Row],[L/P Líquido]]&gt;0,1,0)</f>
        <v>0</v>
      </c>
      <c r="P3089" s="132"/>
      <c r="Q3089" s="132" t="str">
        <f>LEFT(base[[#This Row],[Evento / Mercado]],FIND("vs",base[[#This Row],[Evento / Mercado]])-2)</f>
        <v>Kalmar FF</v>
      </c>
      <c r="R30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3089" s="132" t="str">
        <f>LEFT(base[[#This Row],[Evento / Mercado]],FIND("/",base[[#This Row],[Evento / Mercado]])-2)</f>
        <v>Kalmar FF vs Örgryte IS</v>
      </c>
    </row>
    <row r="3090" spans="2:19" ht="15" customHeight="1">
      <c r="B3090" s="128" t="s">
        <v>3104</v>
      </c>
      <c r="C3090" s="128" t="s">
        <v>2982</v>
      </c>
      <c r="D3090" s="129">
        <v>46208.454467592594</v>
      </c>
      <c r="E3090" s="130">
        <v>6.82</v>
      </c>
      <c r="F3090" s="136">
        <v>4.4999999999999998E-2</v>
      </c>
      <c r="G3090" s="126">
        <f t="shared" si="66"/>
        <v>7.1413612565445028</v>
      </c>
      <c r="H3090" s="126" t="s">
        <v>1339</v>
      </c>
      <c r="I3090" s="127" t="s">
        <v>1388</v>
      </c>
      <c r="J3090" s="126">
        <v>22</v>
      </c>
      <c r="K3090" s="126">
        <v>149.94</v>
      </c>
      <c r="L3090" s="129">
        <f>INT(base[[#This Row],[Data de liquidação]])</f>
        <v>46208</v>
      </c>
      <c r="M3090" s="126">
        <f>base[[#This Row],[L/P Bruto]]-base[[#This Row],[L/P Líquido]]</f>
        <v>0.32136125654450254</v>
      </c>
      <c r="N3090" s="126">
        <f>base[[#This Row],[L/P Líquido]]/base[[#This Row],[Stake/Responsabilidade]]</f>
        <v>4.5484860610911032E-2</v>
      </c>
      <c r="O3090" s="132">
        <f>IF(base[[#This Row],[L/P Líquido]]&gt;0,1,0)</f>
        <v>1</v>
      </c>
      <c r="P3090" s="132"/>
      <c r="Q3090" s="132" t="str">
        <f>LEFT(base[[#This Row],[Evento / Mercado]],FIND("vs",base[[#This Row],[Evento / Mercado]])-2)</f>
        <v>IFK Göteborg</v>
      </c>
      <c r="R30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AIK</v>
      </c>
      <c r="S3090" s="132" t="str">
        <f>LEFT(base[[#This Row],[Evento / Mercado]],FIND("/",base[[#This Row],[Evento / Mercado]])-2)</f>
        <v>IFK Göteborg vs AIK</v>
      </c>
    </row>
    <row r="3091" spans="2:19" ht="15" customHeight="1">
      <c r="B3091" s="128" t="s">
        <v>3103</v>
      </c>
      <c r="C3091" s="128" t="s">
        <v>2982</v>
      </c>
      <c r="D3091" s="129">
        <v>46208.454606481479</v>
      </c>
      <c r="E3091" s="130">
        <v>0.35</v>
      </c>
      <c r="F3091" s="136">
        <v>4.4999999999999998E-2</v>
      </c>
      <c r="G3091" s="126">
        <f t="shared" si="66"/>
        <v>0.36649214659685864</v>
      </c>
      <c r="H3091" s="126" t="s">
        <v>1339</v>
      </c>
      <c r="I3091" s="127" t="s">
        <v>2471</v>
      </c>
      <c r="J3091" s="126">
        <v>1.2</v>
      </c>
      <c r="K3091" s="126">
        <v>5</v>
      </c>
      <c r="L3091" s="129">
        <f>INT(base[[#This Row],[Data de liquidação]])</f>
        <v>46208</v>
      </c>
      <c r="M3091" s="126">
        <f>base[[#This Row],[L/P Bruto]]-base[[#This Row],[L/P Líquido]]</f>
        <v>1.6492146596858659E-2</v>
      </c>
      <c r="N3091" s="126">
        <f>base[[#This Row],[L/P Líquido]]/base[[#This Row],[Stake/Responsabilidade]]</f>
        <v>6.9999999999999993E-2</v>
      </c>
      <c r="O3091" s="132">
        <f>IF(base[[#This Row],[L/P Líquido]]&gt;0,1,0)</f>
        <v>1</v>
      </c>
      <c r="P3091" s="132"/>
      <c r="Q3091" s="132" t="str">
        <f>LEFT(base[[#This Row],[Evento / Mercado]],FIND("vs",base[[#This Row],[Evento / Mercado]])-2)</f>
        <v>IFK Göteborg</v>
      </c>
      <c r="R30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AIK</v>
      </c>
      <c r="S3091" s="132" t="str">
        <f>LEFT(base[[#This Row],[Evento / Mercado]],FIND("/",base[[#This Row],[Evento / Mercado]])-2)</f>
        <v>IFK Göteborg vs AIK</v>
      </c>
    </row>
    <row r="3092" spans="2:19" ht="15" customHeight="1">
      <c r="B3092" s="128" t="s">
        <v>3102</v>
      </c>
      <c r="C3092" s="128" t="s">
        <v>2982</v>
      </c>
      <c r="D3092" s="129">
        <v>46208.465567129628</v>
      </c>
      <c r="E3092" s="130">
        <v>2.0099999999999998</v>
      </c>
      <c r="F3092" s="136">
        <v>4.4999999999999998E-2</v>
      </c>
      <c r="G3092" s="126">
        <f t="shared" si="66"/>
        <v>2.1047120418848166</v>
      </c>
      <c r="H3092" s="126" t="s">
        <v>1339</v>
      </c>
      <c r="I3092" s="127" t="s">
        <v>1963</v>
      </c>
      <c r="J3092" s="126">
        <v>1.03</v>
      </c>
      <c r="K3092" s="126">
        <v>70</v>
      </c>
      <c r="L3092" s="129">
        <f>INT(base[[#This Row],[Data de liquidação]])</f>
        <v>46208</v>
      </c>
      <c r="M3092" s="126">
        <f>base[[#This Row],[L/P Bruto]]-base[[#This Row],[L/P Líquido]]</f>
        <v>9.4712041884816855E-2</v>
      </c>
      <c r="N3092" s="126">
        <f>base[[#This Row],[L/P Líquido]]/base[[#This Row],[Stake/Responsabilidade]]</f>
        <v>2.871428571428571E-2</v>
      </c>
      <c r="O3092" s="132">
        <f>IF(base[[#This Row],[L/P Líquido]]&gt;0,1,0)</f>
        <v>1</v>
      </c>
      <c r="P3092" s="132"/>
      <c r="Q3092" s="132" t="str">
        <f>LEFT(base[[#This Row],[Evento / Mercado]],FIND("vs",base[[#This Row],[Evento / Mercado]])-2)</f>
        <v>Kalmar FF</v>
      </c>
      <c r="R30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3092" s="132" t="str">
        <f>LEFT(base[[#This Row],[Evento / Mercado]],FIND("/",base[[#This Row],[Evento / Mercado]])-2)</f>
        <v>Kalmar FF vs Örgryte IS</v>
      </c>
    </row>
    <row r="3093" spans="2:19" ht="15" customHeight="1">
      <c r="B3093" s="128" t="s">
        <v>3101</v>
      </c>
      <c r="C3093" s="128" t="s">
        <v>2982</v>
      </c>
      <c r="D3093" s="129">
        <v>46208.794502314813</v>
      </c>
      <c r="E3093" s="130">
        <v>17.36</v>
      </c>
      <c r="F3093" s="136">
        <v>4.4999999999999998E-2</v>
      </c>
      <c r="G3093" s="126">
        <f t="shared" si="66"/>
        <v>18.178010471204189</v>
      </c>
      <c r="H3093" s="126" t="s">
        <v>2821</v>
      </c>
      <c r="I3093" s="127" t="s">
        <v>476</v>
      </c>
      <c r="J3093" s="126">
        <v>23</v>
      </c>
      <c r="K3093" s="126">
        <v>399.96</v>
      </c>
      <c r="L3093" s="129">
        <f>INT(base[[#This Row],[Data de liquidação]])</f>
        <v>46208</v>
      </c>
      <c r="M3093" s="126">
        <f>base[[#This Row],[L/P Bruto]]-base[[#This Row],[L/P Líquido]]</f>
        <v>0.81801047120418957</v>
      </c>
      <c r="N3093" s="126">
        <f>base[[#This Row],[L/P Líquido]]/base[[#This Row],[Stake/Responsabilidade]]</f>
        <v>4.3404340434043405E-2</v>
      </c>
      <c r="O3093" s="132">
        <f>IF(base[[#This Row],[L/P Líquido]]&gt;0,1,0)</f>
        <v>1</v>
      </c>
      <c r="P3093" s="132"/>
      <c r="Q3093" s="132" t="str">
        <f>LEFT(base[[#This Row],[Evento / Mercado]],FIND("vs",base[[#This Row],[Evento / Mercado]])-2)</f>
        <v>Brazil</v>
      </c>
      <c r="R30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Norway</v>
      </c>
      <c r="S3093" s="132" t="str">
        <f>LEFT(base[[#This Row],[Evento / Mercado]],FIND("/",base[[#This Row],[Evento / Mercado]])-2)</f>
        <v>Brazil vs Norway</v>
      </c>
    </row>
    <row r="3094" spans="2:19" ht="15" customHeight="1">
      <c r="B3094" s="128" t="s">
        <v>3100</v>
      </c>
      <c r="C3094" s="128" t="s">
        <v>2982</v>
      </c>
      <c r="D3094" s="129">
        <v>46208.795092592591</v>
      </c>
      <c r="E3094" s="130">
        <v>-400</v>
      </c>
      <c r="F3094" s="136">
        <v>4.4999999999999998E-2</v>
      </c>
      <c r="G3094" s="126">
        <f t="shared" si="66"/>
        <v>-400</v>
      </c>
      <c r="H3094" s="126" t="s">
        <v>145</v>
      </c>
      <c r="I3094" s="127" t="s">
        <v>2877</v>
      </c>
      <c r="J3094" s="126">
        <v>5.0999999999999996</v>
      </c>
      <c r="K3094" s="126">
        <v>400</v>
      </c>
      <c r="L3094" s="129">
        <f>INT(base[[#This Row],[Data de liquidação]])</f>
        <v>46208</v>
      </c>
      <c r="M3094" s="126">
        <f>base[[#This Row],[L/P Bruto]]-base[[#This Row],[L/P Líquido]]</f>
        <v>0</v>
      </c>
      <c r="N3094" s="126">
        <f>base[[#This Row],[L/P Líquido]]/base[[#This Row],[Stake/Responsabilidade]]</f>
        <v>-1</v>
      </c>
      <c r="O3094" s="132">
        <f>IF(base[[#This Row],[L/P Líquido]]&gt;0,1,0)</f>
        <v>0</v>
      </c>
      <c r="P3094" s="132" t="s">
        <v>2818</v>
      </c>
      <c r="Q3094" s="132" t="str">
        <f>LEFT(base[[#This Row],[Evento / Mercado]],FIND("vs",base[[#This Row],[Evento / Mercado]])-2)</f>
        <v>Brazil</v>
      </c>
      <c r="R30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Norway</v>
      </c>
      <c r="S3094" s="132" t="str">
        <f>LEFT(base[[#This Row],[Evento / Mercado]],FIND("/",base[[#This Row],[Evento / Mercado]])-2)</f>
        <v>Brazil vs Norway</v>
      </c>
    </row>
    <row r="3095" spans="2:19" ht="15" customHeight="1">
      <c r="B3095" s="128" t="s">
        <v>3129</v>
      </c>
      <c r="C3095" s="128" t="s">
        <v>2982</v>
      </c>
      <c r="D3095" s="129">
        <v>46209.75105324074</v>
      </c>
      <c r="E3095" s="130">
        <v>23.31</v>
      </c>
      <c r="F3095" s="136">
        <v>4.4999999999999998E-2</v>
      </c>
      <c r="G3095" s="126">
        <f t="shared" si="66"/>
        <v>24.408376963350786</v>
      </c>
      <c r="H3095" s="126" t="s">
        <v>2821</v>
      </c>
      <c r="I3095" s="127" t="s">
        <v>542</v>
      </c>
      <c r="J3095" s="126">
        <v>18</v>
      </c>
      <c r="K3095" s="126">
        <v>414.97</v>
      </c>
      <c r="L3095" s="129">
        <f>INT(base[[#This Row],[Data de liquidação]])</f>
        <v>46209</v>
      </c>
      <c r="M3095" s="126">
        <f>base[[#This Row],[L/P Bruto]]-base[[#This Row],[L/P Líquido]]</f>
        <v>1.0983769633507876</v>
      </c>
      <c r="N3095" s="126">
        <f>base[[#This Row],[L/P Líquido]]/base[[#This Row],[Stake/Responsabilidade]]</f>
        <v>5.6172735378461083E-2</v>
      </c>
      <c r="O3095" s="132">
        <f>IF(base[[#This Row],[L/P Líquido]]&gt;0,1,0)</f>
        <v>1</v>
      </c>
      <c r="P3095" s="132"/>
      <c r="Q3095" s="132" t="str">
        <f>LEFT(base[[#This Row],[Evento / Mercado]],FIND("vs",base[[#This Row],[Evento / Mercado]])-2)</f>
        <v>Portugal</v>
      </c>
      <c r="R30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Spain</v>
      </c>
      <c r="S3095" s="132" t="str">
        <f>LEFT(base[[#This Row],[Evento / Mercado]],FIND("/",base[[#This Row],[Evento / Mercado]])-2)</f>
        <v>Portugal vs Spain</v>
      </c>
    </row>
    <row r="3096" spans="2:19" ht="15" customHeight="1">
      <c r="B3096" s="128" t="s">
        <v>3130</v>
      </c>
      <c r="C3096" s="128" t="s">
        <v>2981</v>
      </c>
      <c r="D3096" s="129">
        <v>46209.869976851849</v>
      </c>
      <c r="E3096" s="130">
        <v>-45.45</v>
      </c>
      <c r="F3096" s="136">
        <v>4.4999999999999998E-2</v>
      </c>
      <c r="G3096" s="126">
        <f t="shared" si="66"/>
        <v>-45.45</v>
      </c>
      <c r="H3096" s="126" t="s">
        <v>2743</v>
      </c>
      <c r="I3096" s="127" t="s">
        <v>2744</v>
      </c>
      <c r="J3096" s="126">
        <v>7.6</v>
      </c>
      <c r="K3096" s="126">
        <v>45.45</v>
      </c>
      <c r="L3096" s="129">
        <f>INT(base[[#This Row],[Data de liquidação]])</f>
        <v>46209</v>
      </c>
      <c r="M3096" s="126">
        <f>base[[#This Row],[L/P Bruto]]-base[[#This Row],[L/P Líquido]]</f>
        <v>0</v>
      </c>
      <c r="N3096" s="126">
        <f>base[[#This Row],[L/P Líquido]]/base[[#This Row],[Stake/Responsabilidade]]</f>
        <v>-1</v>
      </c>
      <c r="O3096" s="132">
        <f>IF(base[[#This Row],[L/P Líquido]]&gt;0,1,0)</f>
        <v>0</v>
      </c>
      <c r="P3096" s="132"/>
      <c r="Q3096" s="132" t="str">
        <f>LEFT(base[[#This Row],[Evento / Mercado]],FIND("vs",base[[#This Row],[Evento / Mercado]])-2)</f>
        <v>Botafogo SP</v>
      </c>
      <c r="R30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096" s="132" t="str">
        <f>LEFT(base[[#This Row],[Evento / Mercado]],FIND("/",base[[#This Row],[Evento / Mercado]])-2)</f>
        <v>Botafogo SP vs Avaí FC</v>
      </c>
    </row>
    <row r="3097" spans="2:19" ht="15" customHeight="1">
      <c r="B3097" s="128" t="s">
        <v>3128</v>
      </c>
      <c r="C3097" s="128" t="s">
        <v>2982</v>
      </c>
      <c r="D3097" s="129">
        <v>46209.870081018518</v>
      </c>
      <c r="E3097" s="130">
        <v>8.5500000000000007</v>
      </c>
      <c r="F3097" s="136">
        <v>4.4999999999999998E-2</v>
      </c>
      <c r="G3097" s="126">
        <f t="shared" si="66"/>
        <v>8.9528795811518336</v>
      </c>
      <c r="H3097" s="126" t="s">
        <v>2817</v>
      </c>
      <c r="I3097" s="127" t="s">
        <v>2993</v>
      </c>
      <c r="J3097" s="126">
        <v>6.4</v>
      </c>
      <c r="K3097" s="126">
        <v>75.010000000000005</v>
      </c>
      <c r="L3097" s="129">
        <f>INT(base[[#This Row],[Data de liquidação]])</f>
        <v>46209</v>
      </c>
      <c r="M3097" s="126">
        <f>base[[#This Row],[L/P Bruto]]-base[[#This Row],[L/P Líquido]]</f>
        <v>0.40287958115183287</v>
      </c>
      <c r="N3097" s="126">
        <f>base[[#This Row],[L/P Líquido]]/base[[#This Row],[Stake/Responsabilidade]]</f>
        <v>0.11398480202639648</v>
      </c>
      <c r="O3097" s="132">
        <f>IF(base[[#This Row],[L/P Líquido]]&gt;0,1,0)</f>
        <v>1</v>
      </c>
      <c r="P3097" s="132"/>
      <c r="Q3097" s="132" t="str">
        <f>LEFT(base[[#This Row],[Evento / Mercado]],FIND("vs",base[[#This Row],[Evento / Mercado]])-2)</f>
        <v>Botafogo SP</v>
      </c>
      <c r="R30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097" s="132" t="str">
        <f>LEFT(base[[#This Row],[Evento / Mercado]],FIND("/",base[[#This Row],[Evento / Mercado]])-2)</f>
        <v>Botafogo SP vs Avaí FC</v>
      </c>
    </row>
    <row r="3098" spans="2:19" ht="15" customHeight="1">
      <c r="B3098" s="128" t="s">
        <v>3128</v>
      </c>
      <c r="C3098" s="128" t="s">
        <v>2981</v>
      </c>
      <c r="D3098" s="129">
        <v>46209.870081018518</v>
      </c>
      <c r="E3098" s="130">
        <v>96.19</v>
      </c>
      <c r="F3098" s="136">
        <v>4.4999999999999998E-2</v>
      </c>
      <c r="G3098" s="126">
        <f t="shared" si="66"/>
        <v>100.72251308900523</v>
      </c>
      <c r="H3098" s="126" t="s">
        <v>2743</v>
      </c>
      <c r="I3098" s="127" t="s">
        <v>1233</v>
      </c>
      <c r="J3098" s="126">
        <v>3.65</v>
      </c>
      <c r="K3098" s="126">
        <v>300.01</v>
      </c>
      <c r="L3098" s="129">
        <f>INT(base[[#This Row],[Data de liquidação]])</f>
        <v>46209</v>
      </c>
      <c r="M3098" s="126">
        <f>base[[#This Row],[L/P Bruto]]-base[[#This Row],[L/P Líquido]]</f>
        <v>4.532513089005235</v>
      </c>
      <c r="N3098" s="126">
        <f>base[[#This Row],[L/P Líquido]]/base[[#This Row],[Stake/Responsabilidade]]</f>
        <v>0.32062264591180295</v>
      </c>
      <c r="O3098" s="132">
        <f>IF(base[[#This Row],[L/P Líquido]]&gt;0,1,0)</f>
        <v>1</v>
      </c>
      <c r="P3098" s="132"/>
      <c r="Q3098" s="132" t="str">
        <f>LEFT(base[[#This Row],[Evento / Mercado]],FIND("vs",base[[#This Row],[Evento / Mercado]])-2)</f>
        <v>Botafogo SP</v>
      </c>
      <c r="R30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098" s="132" t="str">
        <f>LEFT(base[[#This Row],[Evento / Mercado]],FIND("/",base[[#This Row],[Evento / Mercado]])-2)</f>
        <v>Botafogo SP vs Avaí FC</v>
      </c>
    </row>
    <row r="3099" spans="2:19" ht="15" customHeight="1">
      <c r="B3099" s="128" t="s">
        <v>3133</v>
      </c>
      <c r="C3099" s="128" t="s">
        <v>2980</v>
      </c>
      <c r="D3099" s="129">
        <v>46210.628472222219</v>
      </c>
      <c r="E3099" s="130">
        <v>-31.58</v>
      </c>
      <c r="F3099" s="136">
        <v>4.4999999999999998E-2</v>
      </c>
      <c r="G3099" s="126">
        <f t="shared" si="66"/>
        <v>-31.58</v>
      </c>
      <c r="H3099" s="126" t="s">
        <v>2743</v>
      </c>
      <c r="I3099" s="127" t="s">
        <v>2744</v>
      </c>
      <c r="J3099" s="126">
        <v>10.5</v>
      </c>
      <c r="K3099" s="126">
        <v>31.58</v>
      </c>
      <c r="L3099" s="129">
        <f>INT(base[[#This Row],[Data de liquidação]])</f>
        <v>46210</v>
      </c>
      <c r="M3099" s="126">
        <f>base[[#This Row],[L/P Bruto]]-base[[#This Row],[L/P Líquido]]</f>
        <v>0</v>
      </c>
      <c r="N3099" s="126">
        <f>base[[#This Row],[L/P Líquido]]/base[[#This Row],[Stake/Responsabilidade]]</f>
        <v>-1</v>
      </c>
      <c r="O3099" s="132">
        <f>IF(base[[#This Row],[L/P Líquido]]&gt;0,1,0)</f>
        <v>0</v>
      </c>
      <c r="P3099" s="132"/>
      <c r="Q3099" s="132" t="str">
        <f>LEFT(base[[#This Row],[Evento / Mercado]],FIND("vs",base[[#This Row],[Evento / Mercado]])-2)</f>
        <v>Argentina</v>
      </c>
      <c r="R30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3099" s="132" t="str">
        <f>LEFT(base[[#This Row],[Evento / Mercado]],FIND("/",base[[#This Row],[Evento / Mercado]])-2)</f>
        <v>Argentina vs Egypt</v>
      </c>
    </row>
    <row r="3100" spans="2:19" ht="15" customHeight="1">
      <c r="B3100" s="128" t="s">
        <v>3132</v>
      </c>
      <c r="C3100" s="128" t="s">
        <v>2982</v>
      </c>
      <c r="D3100" s="129">
        <v>46210.636921296296</v>
      </c>
      <c r="E3100" s="130">
        <v>22.88</v>
      </c>
      <c r="F3100" s="136">
        <v>4.4999999999999998E-2</v>
      </c>
      <c r="G3100" s="126">
        <f t="shared" si="66"/>
        <v>23.958115183246072</v>
      </c>
      <c r="H3100" s="126" t="s">
        <v>2820</v>
      </c>
      <c r="I3100" s="127" t="s">
        <v>13</v>
      </c>
      <c r="J3100" s="126">
        <v>2</v>
      </c>
      <c r="K3100" s="126">
        <v>50</v>
      </c>
      <c r="L3100" s="129">
        <f>INT(base[[#This Row],[Data de liquidação]])</f>
        <v>46210</v>
      </c>
      <c r="M3100" s="126">
        <f>base[[#This Row],[L/P Bruto]]-base[[#This Row],[L/P Líquido]]</f>
        <v>1.0781151832460729</v>
      </c>
      <c r="N3100" s="126">
        <f>base[[#This Row],[L/P Líquido]]/base[[#This Row],[Stake/Responsabilidade]]</f>
        <v>0.45760000000000001</v>
      </c>
      <c r="O3100" s="132">
        <f>IF(base[[#This Row],[L/P Líquido]]&gt;0,1,0)</f>
        <v>1</v>
      </c>
      <c r="P3100" s="132"/>
      <c r="Q3100" s="132" t="str">
        <f>LEFT(base[[#This Row],[Evento / Mercado]],FIND("vs",base[[#This Row],[Evento / Mercado]])-2)</f>
        <v>Argentina</v>
      </c>
      <c r="R31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3100" s="132" t="str">
        <f>LEFT(base[[#This Row],[Evento / Mercado]],FIND("/",base[[#This Row],[Evento / Mercado]])-2)</f>
        <v>Argentina vs Egypt</v>
      </c>
    </row>
    <row r="3101" spans="2:19" ht="15" customHeight="1">
      <c r="B3101" s="128" t="s">
        <v>3131</v>
      </c>
      <c r="C3101" s="128" t="s">
        <v>2980</v>
      </c>
      <c r="D3101" s="129">
        <v>46210.663194444445</v>
      </c>
      <c r="E3101" s="130">
        <v>10.49</v>
      </c>
      <c r="F3101" s="136">
        <v>4.4999999999999998E-2</v>
      </c>
      <c r="G3101" s="126">
        <f t="shared" si="66"/>
        <v>10.984293193717278</v>
      </c>
      <c r="H3101" s="126" t="s">
        <v>2743</v>
      </c>
      <c r="I3101" s="127" t="s">
        <v>1233</v>
      </c>
      <c r="J3101" s="126">
        <v>5.0999999999999996</v>
      </c>
      <c r="K3101" s="126">
        <v>300</v>
      </c>
      <c r="L3101" s="129">
        <f>INT(base[[#This Row],[Data de liquidação]])</f>
        <v>46210</v>
      </c>
      <c r="M3101" s="126">
        <f>base[[#This Row],[L/P Bruto]]-base[[#This Row],[L/P Líquido]]</f>
        <v>0.49429319371727765</v>
      </c>
      <c r="N3101" s="126">
        <f>base[[#This Row],[L/P Líquido]]/base[[#This Row],[Stake/Responsabilidade]]</f>
        <v>3.4966666666666667E-2</v>
      </c>
      <c r="O3101" s="132">
        <f>IF(base[[#This Row],[L/P Líquido]]&gt;0,1,0)</f>
        <v>1</v>
      </c>
      <c r="P3101" s="132"/>
      <c r="Q3101" s="132" t="str">
        <f>LEFT(base[[#This Row],[Evento / Mercado]],FIND("vs",base[[#This Row],[Evento / Mercado]])-2)</f>
        <v>Argentina</v>
      </c>
      <c r="R31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3101" s="132" t="str">
        <f>LEFT(base[[#This Row],[Evento / Mercado]],FIND("/",base[[#This Row],[Evento / Mercado]])-2)</f>
        <v>Argentina vs Egypt</v>
      </c>
    </row>
    <row r="3102" spans="2:19" ht="15" customHeight="1">
      <c r="B3102" s="128" t="s">
        <v>3131</v>
      </c>
      <c r="C3102" s="128" t="s">
        <v>2982</v>
      </c>
      <c r="D3102" s="129">
        <v>46210.663402777776</v>
      </c>
      <c r="E3102" s="130">
        <v>31.83</v>
      </c>
      <c r="F3102" s="136">
        <v>4.4999999999999998E-2</v>
      </c>
      <c r="G3102" s="126">
        <f t="shared" si="66"/>
        <v>33.329842931937172</v>
      </c>
      <c r="H3102" s="126" t="s">
        <v>145</v>
      </c>
      <c r="I3102" s="127" t="s">
        <v>2877</v>
      </c>
      <c r="J3102" s="126">
        <v>13</v>
      </c>
      <c r="K3102" s="126">
        <v>399.96</v>
      </c>
      <c r="L3102" s="129">
        <f>INT(base[[#This Row],[Data de liquidação]])</f>
        <v>46210</v>
      </c>
      <c r="M3102" s="126">
        <f>base[[#This Row],[L/P Bruto]]-base[[#This Row],[L/P Líquido]]</f>
        <v>1.4998429319371738</v>
      </c>
      <c r="N3102" s="126">
        <f>base[[#This Row],[L/P Líquido]]/base[[#This Row],[Stake/Responsabilidade]]</f>
        <v>7.9582958295829578E-2</v>
      </c>
      <c r="O3102" s="132">
        <f>IF(base[[#This Row],[L/P Líquido]]&gt;0,1,0)</f>
        <v>1</v>
      </c>
      <c r="P3102" s="132" t="s">
        <v>2818</v>
      </c>
      <c r="Q3102" s="132" t="str">
        <f>LEFT(base[[#This Row],[Evento / Mercado]],FIND("vs",base[[#This Row],[Evento / Mercado]])-2)</f>
        <v>Argentina</v>
      </c>
      <c r="R31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3102" s="132" t="str">
        <f>LEFT(base[[#This Row],[Evento / Mercado]],FIND("/",base[[#This Row],[Evento / Mercado]])-2)</f>
        <v>Argentina vs Egypt</v>
      </c>
    </row>
    <row r="3103" spans="2:19" ht="15" customHeight="1">
      <c r="B3103" s="128" t="s">
        <v>3131</v>
      </c>
      <c r="C3103" s="128" t="s">
        <v>2981</v>
      </c>
      <c r="D3103" s="129">
        <v>46210.663402777776</v>
      </c>
      <c r="E3103" s="130">
        <v>17.73</v>
      </c>
      <c r="F3103" s="136">
        <v>4.4999999999999998E-2</v>
      </c>
      <c r="G3103" s="126">
        <f t="shared" si="66"/>
        <v>18.565445026178011</v>
      </c>
      <c r="H3103" s="126" t="s">
        <v>2817</v>
      </c>
      <c r="I3103" s="127" t="s">
        <v>2992</v>
      </c>
      <c r="J3103" s="126">
        <f>(14*99.97+4.5*97.23)/base[[#This Row],[Stake/Responsabilidade]]</f>
        <v>9.3159989858012171</v>
      </c>
      <c r="K3103" s="126">
        <f>99.97+97.23</f>
        <v>197.2</v>
      </c>
      <c r="L3103" s="129">
        <f>INT(base[[#This Row],[Data de liquidação]])</f>
        <v>46210</v>
      </c>
      <c r="M3103" s="126">
        <f>base[[#This Row],[L/P Bruto]]-base[[#This Row],[L/P Líquido]]</f>
        <v>0.83544502617801086</v>
      </c>
      <c r="N3103" s="126">
        <f>base[[#This Row],[L/P Líquido]]/base[[#This Row],[Stake/Responsabilidade]]</f>
        <v>8.9908722109533476E-2</v>
      </c>
      <c r="O3103" s="132">
        <f>IF(base[[#This Row],[L/P Líquido]]&gt;0,1,0)</f>
        <v>1</v>
      </c>
      <c r="P3103" s="132"/>
      <c r="Q3103" s="132" t="str">
        <f>LEFT(base[[#This Row],[Evento / Mercado]],FIND("vs",base[[#This Row],[Evento / Mercado]])-2)</f>
        <v>Argentina</v>
      </c>
      <c r="R31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3103" s="132" t="str">
        <f>LEFT(base[[#This Row],[Evento / Mercado]],FIND("/",base[[#This Row],[Evento / Mercado]])-2)</f>
        <v>Argentina vs Egypt</v>
      </c>
    </row>
    <row r="3104" spans="2:19" ht="15" customHeight="1">
      <c r="B3104" s="128" t="s">
        <v>3136</v>
      </c>
      <c r="C3104" s="128" t="s">
        <v>2982</v>
      </c>
      <c r="D3104" s="129">
        <v>46211.846585648149</v>
      </c>
      <c r="E3104" s="130">
        <v>-10</v>
      </c>
      <c r="F3104" s="136">
        <v>4.4999999999999998E-2</v>
      </c>
      <c r="G3104" s="126">
        <f t="shared" si="66"/>
        <v>-10</v>
      </c>
      <c r="H3104" s="126" t="s">
        <v>1339</v>
      </c>
      <c r="I3104" s="127" t="s">
        <v>1338</v>
      </c>
      <c r="J3104" s="126">
        <v>2.35</v>
      </c>
      <c r="K3104" s="126">
        <v>10</v>
      </c>
      <c r="L3104" s="129">
        <f>INT(base[[#This Row],[Data de liquidação]])</f>
        <v>46211</v>
      </c>
      <c r="M3104" s="126">
        <f>base[[#This Row],[L/P Bruto]]-base[[#This Row],[L/P Líquido]]</f>
        <v>0</v>
      </c>
      <c r="N3104" s="126">
        <f>base[[#This Row],[L/P Líquido]]/base[[#This Row],[Stake/Responsabilidade]]</f>
        <v>-1</v>
      </c>
      <c r="O3104" s="132">
        <f>IF(base[[#This Row],[L/P Líquido]]&gt;0,1,0)</f>
        <v>0</v>
      </c>
      <c r="P3104" s="132"/>
      <c r="Q3104" s="132" t="str">
        <f>LEFT(base[[#This Row],[Evento / Mercado]],FIND("vs",base[[#This Row],[Evento / Mercado]])-2)</f>
        <v>CDT Real Oruro</v>
      </c>
      <c r="R31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Vinto</v>
      </c>
      <c r="S3104" s="132" t="str">
        <f>LEFT(base[[#This Row],[Evento / Mercado]],FIND("/",base[[#This Row],[Evento / Mercado]])-2)</f>
        <v>CDT Real Oruro vs Universitario de Vinto</v>
      </c>
    </row>
    <row r="3105" spans="2:19" ht="15" customHeight="1">
      <c r="B3105" s="128" t="s">
        <v>3135</v>
      </c>
      <c r="C3105" s="128" t="s">
        <v>2982</v>
      </c>
      <c r="D3105" s="129">
        <v>46211.873703703706</v>
      </c>
      <c r="E3105" s="130">
        <v>-150</v>
      </c>
      <c r="F3105" s="136">
        <v>4.4999999999999998E-2</v>
      </c>
      <c r="G3105" s="126">
        <f t="shared" si="66"/>
        <v>-150</v>
      </c>
      <c r="H3105" s="126" t="s">
        <v>1339</v>
      </c>
      <c r="I3105" s="127" t="s">
        <v>1388</v>
      </c>
      <c r="J3105" s="126">
        <v>21</v>
      </c>
      <c r="K3105" s="126">
        <v>150</v>
      </c>
      <c r="L3105" s="129">
        <f>INT(base[[#This Row],[Data de liquidação]])</f>
        <v>46211</v>
      </c>
      <c r="M3105" s="126">
        <f>base[[#This Row],[L/P Bruto]]-base[[#This Row],[L/P Líquido]]</f>
        <v>0</v>
      </c>
      <c r="N3105" s="126">
        <f>base[[#This Row],[L/P Líquido]]/base[[#This Row],[Stake/Responsabilidade]]</f>
        <v>-1</v>
      </c>
      <c r="O3105" s="132">
        <f>IF(base[[#This Row],[L/P Líquido]]&gt;0,1,0)</f>
        <v>0</v>
      </c>
      <c r="P3105" s="132"/>
      <c r="Q3105" s="132" t="str">
        <f>LEFT(base[[#This Row],[Evento / Mercado]],FIND("vs",base[[#This Row],[Evento / Mercado]])-2)</f>
        <v>CDT Real Oruro</v>
      </c>
      <c r="R31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Vinto</v>
      </c>
      <c r="S3105" s="132" t="str">
        <f>LEFT(base[[#This Row],[Evento / Mercado]],FIND("/",base[[#This Row],[Evento / Mercado]])-2)</f>
        <v>CDT Real Oruro vs Universitario de Vinto</v>
      </c>
    </row>
    <row r="3106" spans="2:19" ht="15" customHeight="1">
      <c r="B3106" s="128" t="s">
        <v>3134</v>
      </c>
      <c r="C3106" s="128" t="s">
        <v>2982</v>
      </c>
      <c r="D3106" s="129">
        <v>46211.923090277778</v>
      </c>
      <c r="E3106" s="130">
        <v>6.23</v>
      </c>
      <c r="F3106" s="136">
        <v>4.4999999999999998E-2</v>
      </c>
      <c r="G3106" s="126">
        <f t="shared" si="66"/>
        <v>6.5235602094240841</v>
      </c>
      <c r="H3106" s="126" t="s">
        <v>1339</v>
      </c>
      <c r="I3106" s="127" t="s">
        <v>1388</v>
      </c>
      <c r="J3106" s="126">
        <v>24</v>
      </c>
      <c r="K3106" s="126">
        <v>149.96</v>
      </c>
      <c r="L3106" s="129">
        <f>INT(base[[#This Row],[Data de liquidação]])</f>
        <v>46211</v>
      </c>
      <c r="M3106" s="126">
        <f>base[[#This Row],[L/P Bruto]]-base[[#This Row],[L/P Líquido]]</f>
        <v>0.29356020942408367</v>
      </c>
      <c r="N3106" s="126">
        <f>base[[#This Row],[L/P Líquido]]/base[[#This Row],[Stake/Responsabilidade]]</f>
        <v>4.1544411843158179E-2</v>
      </c>
      <c r="O3106" s="132">
        <f>IF(base[[#This Row],[L/P Líquido]]&gt;0,1,0)</f>
        <v>1</v>
      </c>
      <c r="P3106" s="132"/>
      <c r="Q3106" s="132" t="str">
        <f>LEFT(base[[#This Row],[Evento / Mercado]],FIND("vs",base[[#This Row],[Evento / Mercado]])-2)</f>
        <v>Hartford Athletic FC</v>
      </c>
      <c r="R31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Orange County SC</v>
      </c>
      <c r="S3106" s="132" t="str">
        <f>LEFT(base[[#This Row],[Evento / Mercado]],FIND("/",base[[#This Row],[Evento / Mercado]])-2)</f>
        <v>Hartford Athletic FC vs Orange County SC</v>
      </c>
    </row>
    <row r="3107" spans="2:19" ht="15" customHeight="1">
      <c r="B3107" s="128" t="s">
        <v>3141</v>
      </c>
      <c r="C3107" s="128" t="s">
        <v>2982</v>
      </c>
      <c r="D3107" s="129">
        <v>46212.663217592592</v>
      </c>
      <c r="E3107" s="130">
        <v>-30.6</v>
      </c>
      <c r="F3107" s="136">
        <v>4.4999999999999998E-2</v>
      </c>
      <c r="G3107" s="126">
        <f t="shared" si="66"/>
        <v>-30.6</v>
      </c>
      <c r="H3107" s="126" t="s">
        <v>1339</v>
      </c>
      <c r="I3107" s="127" t="s">
        <v>1446</v>
      </c>
      <c r="J3107" s="126">
        <v>2.02</v>
      </c>
      <c r="K3107" s="126">
        <v>30.6</v>
      </c>
      <c r="L3107" s="129">
        <f>INT(base[[#This Row],[Data de liquidação]])</f>
        <v>46212</v>
      </c>
      <c r="M3107" s="126">
        <f>base[[#This Row],[L/P Bruto]]-base[[#This Row],[L/P Líquido]]</f>
        <v>0</v>
      </c>
      <c r="N3107" s="126">
        <f>base[[#This Row],[L/P Líquido]]/base[[#This Row],[Stake/Responsabilidade]]</f>
        <v>-1</v>
      </c>
      <c r="O3107" s="132">
        <f>IF(base[[#This Row],[L/P Líquido]]&gt;0,1,0)</f>
        <v>0</v>
      </c>
      <c r="P3107" s="132"/>
      <c r="Q3107" s="132" t="str">
        <f>LEFT(base[[#This Row],[Evento / Mercado]],FIND("vs",base[[#This Row],[Evento / Mercado]])-2)</f>
        <v>Dinamo Minsk</v>
      </c>
      <c r="R31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Sileks</v>
      </c>
      <c r="S3107" s="132" t="str">
        <f>LEFT(base[[#This Row],[Evento / Mercado]],FIND("/",base[[#This Row],[Evento / Mercado]])-2)</f>
        <v>Dinamo Minsk vs FK Sileks</v>
      </c>
    </row>
    <row r="3108" spans="2:19" ht="15" customHeight="1">
      <c r="B3108" s="128" t="s">
        <v>3140</v>
      </c>
      <c r="C3108" s="128" t="s">
        <v>2982</v>
      </c>
      <c r="D3108" s="129">
        <v>46212.792164351849</v>
      </c>
      <c r="E3108" s="130">
        <v>19.78</v>
      </c>
      <c r="F3108" s="136">
        <v>4.4999999999999998E-2</v>
      </c>
      <c r="G3108" s="126">
        <f t="shared" si="66"/>
        <v>20.712041884816756</v>
      </c>
      <c r="H3108" s="126" t="s">
        <v>2821</v>
      </c>
      <c r="I3108" s="127" t="s">
        <v>476</v>
      </c>
      <c r="J3108" s="126">
        <v>22</v>
      </c>
      <c r="K3108" s="126">
        <v>434.91</v>
      </c>
      <c r="L3108" s="129">
        <f>INT(base[[#This Row],[Data de liquidação]])</f>
        <v>46212</v>
      </c>
      <c r="M3108" s="126">
        <f>base[[#This Row],[L/P Bruto]]-base[[#This Row],[L/P Líquido]]</f>
        <v>0.93204188481675487</v>
      </c>
      <c r="N3108" s="126">
        <f>base[[#This Row],[L/P Líquido]]/base[[#This Row],[Stake/Responsabilidade]]</f>
        <v>4.5480674162470397E-2</v>
      </c>
      <c r="O3108" s="132">
        <f>IF(base[[#This Row],[L/P Líquido]]&gt;0,1,0)</f>
        <v>1</v>
      </c>
      <c r="P3108" s="132"/>
      <c r="Q3108" s="132" t="str">
        <f>LEFT(base[[#This Row],[Evento / Mercado]],FIND("vs",base[[#This Row],[Evento / Mercado]])-2)</f>
        <v>France</v>
      </c>
      <c r="R31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108" s="132" t="str">
        <f>LEFT(base[[#This Row],[Evento / Mercado]],FIND("/",base[[#This Row],[Evento / Mercado]])-2)</f>
        <v>France vs Morocco</v>
      </c>
    </row>
    <row r="3109" spans="2:19" ht="15" customHeight="1">
      <c r="B3109" s="128" t="s">
        <v>3140</v>
      </c>
      <c r="C3109" s="128" t="s">
        <v>2981</v>
      </c>
      <c r="D3109" s="129">
        <v>46212.792164351849</v>
      </c>
      <c r="E3109" s="130">
        <v>-39.47</v>
      </c>
      <c r="F3109" s="136">
        <v>4.4999999999999998E-2</v>
      </c>
      <c r="G3109" s="126">
        <f t="shared" si="66"/>
        <v>-39.47</v>
      </c>
      <c r="H3109" s="126" t="s">
        <v>2743</v>
      </c>
      <c r="I3109" s="127" t="s">
        <v>2744</v>
      </c>
      <c r="J3109" s="126">
        <v>8.6</v>
      </c>
      <c r="K3109" s="126">
        <v>39.47</v>
      </c>
      <c r="L3109" s="129">
        <f>INT(base[[#This Row],[Data de liquidação]])</f>
        <v>46212</v>
      </c>
      <c r="M3109" s="126">
        <f>base[[#This Row],[L/P Bruto]]-base[[#This Row],[L/P Líquido]]</f>
        <v>0</v>
      </c>
      <c r="N3109" s="126">
        <f>base[[#This Row],[L/P Líquido]]/base[[#This Row],[Stake/Responsabilidade]]</f>
        <v>-1</v>
      </c>
      <c r="O3109" s="132">
        <f>IF(base[[#This Row],[L/P Líquido]]&gt;0,1,0)</f>
        <v>0</v>
      </c>
      <c r="P3109" s="132"/>
      <c r="Q3109" s="132" t="str">
        <f>LEFT(base[[#This Row],[Evento / Mercado]],FIND("vs",base[[#This Row],[Evento / Mercado]])-2)</f>
        <v>France</v>
      </c>
      <c r="R31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109" s="132" t="str">
        <f>LEFT(base[[#This Row],[Evento / Mercado]],FIND("/",base[[#This Row],[Evento / Mercado]])-2)</f>
        <v>France vs Morocco</v>
      </c>
    </row>
    <row r="3110" spans="2:19" ht="15" customHeight="1">
      <c r="B3110" s="128" t="s">
        <v>3139</v>
      </c>
      <c r="C3110" s="128" t="s">
        <v>2981</v>
      </c>
      <c r="D3110" s="129">
        <v>46212.792500000003</v>
      </c>
      <c r="E3110" s="130">
        <v>88.74</v>
      </c>
      <c r="F3110" s="136">
        <v>4.4999999999999998E-2</v>
      </c>
      <c r="G3110" s="126">
        <f t="shared" si="66"/>
        <v>92.921465968586389</v>
      </c>
      <c r="H3110" s="126" t="s">
        <v>2743</v>
      </c>
      <c r="I3110" s="127" t="s">
        <v>1233</v>
      </c>
      <c r="J3110" s="126">
        <v>4</v>
      </c>
      <c r="K3110" s="126">
        <v>300</v>
      </c>
      <c r="L3110" s="129">
        <f>INT(base[[#This Row],[Data de liquidação]])</f>
        <v>46212</v>
      </c>
      <c r="M3110" s="126">
        <f>base[[#This Row],[L/P Bruto]]-base[[#This Row],[L/P Líquido]]</f>
        <v>4.1814659685863944</v>
      </c>
      <c r="N3110" s="126">
        <f>base[[#This Row],[L/P Líquido]]/base[[#This Row],[Stake/Responsabilidade]]</f>
        <v>0.29580000000000001</v>
      </c>
      <c r="O3110" s="132">
        <f>IF(base[[#This Row],[L/P Líquido]]&gt;0,1,0)</f>
        <v>1</v>
      </c>
      <c r="P3110" s="132"/>
      <c r="Q3110" s="132" t="str">
        <f>LEFT(base[[#This Row],[Evento / Mercado]],FIND("vs",base[[#This Row],[Evento / Mercado]])-2)</f>
        <v>France</v>
      </c>
      <c r="R31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110" s="132" t="str">
        <f>LEFT(base[[#This Row],[Evento / Mercado]],FIND("/",base[[#This Row],[Evento / Mercado]])-2)</f>
        <v>France vs Morocco</v>
      </c>
    </row>
    <row r="3111" spans="2:19" ht="15" customHeight="1">
      <c r="B3111" s="128" t="s">
        <v>3139</v>
      </c>
      <c r="C3111" s="128" t="s">
        <v>2982</v>
      </c>
      <c r="D3111" s="129">
        <v>46212.792511574073</v>
      </c>
      <c r="E3111" s="130">
        <v>12.63</v>
      </c>
      <c r="F3111" s="136">
        <v>4.4999999999999998E-2</v>
      </c>
      <c r="G3111" s="126">
        <f t="shared" si="66"/>
        <v>13.225130890052357</v>
      </c>
      <c r="H3111" s="126" t="s">
        <v>2817</v>
      </c>
      <c r="I3111" s="127" t="s">
        <v>2992</v>
      </c>
      <c r="J3111" s="126">
        <v>7.4</v>
      </c>
      <c r="K3111" s="126">
        <v>100.03</v>
      </c>
      <c r="L3111" s="129">
        <f>INT(base[[#This Row],[Data de liquidação]])</f>
        <v>46212</v>
      </c>
      <c r="M3111" s="126">
        <f>base[[#This Row],[L/P Bruto]]-base[[#This Row],[L/P Líquido]]</f>
        <v>0.59513089005235642</v>
      </c>
      <c r="N3111" s="126">
        <f>base[[#This Row],[L/P Líquido]]/base[[#This Row],[Stake/Responsabilidade]]</f>
        <v>0.12626212136359094</v>
      </c>
      <c r="O3111" s="132">
        <f>IF(base[[#This Row],[L/P Líquido]]&gt;0,1,0)</f>
        <v>1</v>
      </c>
      <c r="P3111" s="132"/>
      <c r="Q3111" s="132" t="str">
        <f>LEFT(base[[#This Row],[Evento / Mercado]],FIND("vs",base[[#This Row],[Evento / Mercado]])-2)</f>
        <v>France</v>
      </c>
      <c r="R31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111" s="132" t="str">
        <f>LEFT(base[[#This Row],[Evento / Mercado]],FIND("/",base[[#This Row],[Evento / Mercado]])-2)</f>
        <v>France vs Morocco</v>
      </c>
    </row>
    <row r="3112" spans="2:19" ht="15" customHeight="1">
      <c r="B3112" s="128" t="s">
        <v>3138</v>
      </c>
      <c r="C3112" s="128" t="s">
        <v>2982</v>
      </c>
      <c r="D3112" s="129">
        <v>46212.795856481483</v>
      </c>
      <c r="E3112" s="130">
        <v>47.75</v>
      </c>
      <c r="F3112" s="136">
        <v>4.4999999999999998E-2</v>
      </c>
      <c r="G3112" s="126">
        <f t="shared" si="66"/>
        <v>50</v>
      </c>
      <c r="H3112" s="126" t="s">
        <v>3004</v>
      </c>
      <c r="I3112" s="127" t="s">
        <v>1447</v>
      </c>
      <c r="J3112" s="126">
        <v>1.3</v>
      </c>
      <c r="K3112" s="126">
        <v>50</v>
      </c>
      <c r="L3112" s="129">
        <f>INT(base[[#This Row],[Data de liquidação]])</f>
        <v>46212</v>
      </c>
      <c r="M3112" s="126">
        <f>base[[#This Row],[L/P Bruto]]-base[[#This Row],[L/P Líquido]]</f>
        <v>2.25</v>
      </c>
      <c r="N3112" s="126">
        <f>base[[#This Row],[L/P Líquido]]/base[[#This Row],[Stake/Responsabilidade]]</f>
        <v>0.95499999999999996</v>
      </c>
      <c r="O3112" s="132">
        <f>IF(base[[#This Row],[L/P Líquido]]&gt;0,1,0)</f>
        <v>1</v>
      </c>
      <c r="P3112" s="132"/>
      <c r="Q3112" s="132" t="str">
        <f>LEFT(base[[#This Row],[Evento / Mercado]],FIND("vs",base[[#This Row],[Evento / Mercado]])-2)</f>
        <v>France</v>
      </c>
      <c r="R31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112" s="132" t="str">
        <f>LEFT(base[[#This Row],[Evento / Mercado]],FIND("/",base[[#This Row],[Evento / Mercado]])-2)</f>
        <v>France vs Morocco</v>
      </c>
    </row>
    <row r="3113" spans="2:19" ht="15" customHeight="1">
      <c r="B3113" s="128" t="s">
        <v>3137</v>
      </c>
      <c r="C3113" s="128" t="s">
        <v>2982</v>
      </c>
      <c r="D3113" s="129">
        <v>46212.956620370373</v>
      </c>
      <c r="E3113" s="130">
        <v>9.5500000000000007</v>
      </c>
      <c r="F3113" s="136">
        <v>4.4999999999999998E-2</v>
      </c>
      <c r="G3113" s="126">
        <f t="shared" si="66"/>
        <v>10.000000000000002</v>
      </c>
      <c r="H3113" s="126" t="s">
        <v>1339</v>
      </c>
      <c r="I3113" s="127" t="s">
        <v>1430</v>
      </c>
      <c r="J3113" s="126">
        <v>13.5</v>
      </c>
      <c r="K3113" s="126">
        <v>125</v>
      </c>
      <c r="L3113" s="129">
        <f>INT(base[[#This Row],[Data de liquidação]])</f>
        <v>46212</v>
      </c>
      <c r="M3113" s="126">
        <f>base[[#This Row],[L/P Bruto]]-base[[#This Row],[L/P Líquido]]</f>
        <v>0.45000000000000107</v>
      </c>
      <c r="N3113" s="126">
        <f>base[[#This Row],[L/P Líquido]]/base[[#This Row],[Stake/Responsabilidade]]</f>
        <v>7.640000000000001E-2</v>
      </c>
      <c r="O3113" s="132">
        <f>IF(base[[#This Row],[L/P Líquido]]&gt;0,1,0)</f>
        <v>1</v>
      </c>
      <c r="P3113" s="132"/>
      <c r="Q3113" s="132" t="str">
        <f>LEFT(base[[#This Row],[Evento / Mercado]],FIND("vs",base[[#This Row],[Evento / Mercado]])-2)</f>
        <v>Nacional Potosi</v>
      </c>
      <c r="R31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Aurora</v>
      </c>
      <c r="S3113" s="132" t="str">
        <f>LEFT(base[[#This Row],[Evento / Mercado]],FIND("/",base[[#This Row],[Evento / Mercado]])-2)</f>
        <v>Nacional Potosi vs Club Aurora</v>
      </c>
    </row>
    <row r="3114" spans="2:19" ht="15" customHeight="1">
      <c r="B3114" s="128" t="s">
        <v>3167</v>
      </c>
      <c r="C3114" s="128" t="s">
        <v>2981</v>
      </c>
      <c r="D3114" s="129">
        <v>46213.623622685183</v>
      </c>
      <c r="E3114" s="130">
        <v>-38.46</v>
      </c>
      <c r="F3114" s="136">
        <v>4.4999999999999998E-2</v>
      </c>
      <c r="G3114" s="126">
        <f t="shared" si="66"/>
        <v>-38.46</v>
      </c>
      <c r="H3114" s="126" t="s">
        <v>2743</v>
      </c>
      <c r="I3114" s="127" t="s">
        <v>2744</v>
      </c>
      <c r="J3114" s="126">
        <v>8.8000000000000007</v>
      </c>
      <c r="K3114" s="126">
        <v>38.46</v>
      </c>
      <c r="L3114" s="129">
        <f>INT(base[[#This Row],[Data de liquidação]])</f>
        <v>46213</v>
      </c>
      <c r="M3114" s="126">
        <f>base[[#This Row],[L/P Bruto]]-base[[#This Row],[L/P Líquido]]</f>
        <v>0</v>
      </c>
      <c r="N3114" s="126">
        <f>base[[#This Row],[L/P Líquido]]/base[[#This Row],[Stake/Responsabilidade]]</f>
        <v>-1</v>
      </c>
      <c r="O3114" s="132">
        <f>IF(base[[#This Row],[L/P Líquido]]&gt;0,1,0)</f>
        <v>0</v>
      </c>
      <c r="P3114" s="132"/>
      <c r="Q3114" s="132" t="str">
        <f>LEFT(base[[#This Row],[Evento / Mercado]],FIND("vs",base[[#This Row],[Evento / Mercado]])-2)</f>
        <v>VPS</v>
      </c>
      <c r="R31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3114" s="132" t="str">
        <f>LEFT(base[[#This Row],[Evento / Mercado]],FIND("/",base[[#This Row],[Evento / Mercado]])-2)</f>
        <v>VPS vs SJK</v>
      </c>
    </row>
    <row r="3115" spans="2:19" ht="15" customHeight="1">
      <c r="B3115" s="128" t="s">
        <v>3165</v>
      </c>
      <c r="C3115" s="128" t="s">
        <v>2982</v>
      </c>
      <c r="D3115" s="129">
        <v>46213.623773148145</v>
      </c>
      <c r="E3115" s="130">
        <v>20.64</v>
      </c>
      <c r="F3115" s="136">
        <v>4.4999999999999998E-2</v>
      </c>
      <c r="G3115" s="126">
        <f t="shared" si="66"/>
        <v>21.612565445026181</v>
      </c>
      <c r="H3115" s="126" t="s">
        <v>2817</v>
      </c>
      <c r="I3115" s="127" t="s">
        <v>2993</v>
      </c>
      <c r="J3115" s="126">
        <v>4.3</v>
      </c>
      <c r="K3115" s="126">
        <v>99.99</v>
      </c>
      <c r="L3115" s="129">
        <f>INT(base[[#This Row],[Data de liquidação]])</f>
        <v>46213</v>
      </c>
      <c r="M3115" s="126">
        <f>base[[#This Row],[L/P Bruto]]-base[[#This Row],[L/P Líquido]]</f>
        <v>0.9725654450261807</v>
      </c>
      <c r="N3115" s="126">
        <f>base[[#This Row],[L/P Líquido]]/base[[#This Row],[Stake/Responsabilidade]]</f>
        <v>0.20642064206420643</v>
      </c>
      <c r="O3115" s="132">
        <f>IF(base[[#This Row],[L/P Líquido]]&gt;0,1,0)</f>
        <v>1</v>
      </c>
      <c r="P3115" s="132"/>
      <c r="Q3115" s="132" t="str">
        <f>LEFT(base[[#This Row],[Evento / Mercado]],FIND("vs",base[[#This Row],[Evento / Mercado]])-2)</f>
        <v>VPS</v>
      </c>
      <c r="R31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3115" s="132" t="str">
        <f>LEFT(base[[#This Row],[Evento / Mercado]],FIND("/",base[[#This Row],[Evento / Mercado]])-2)</f>
        <v>VPS vs SJK</v>
      </c>
    </row>
    <row r="3116" spans="2:19" ht="15" customHeight="1">
      <c r="B3116" s="128" t="s">
        <v>3165</v>
      </c>
      <c r="C3116" s="128" t="s">
        <v>2981</v>
      </c>
      <c r="D3116" s="129">
        <v>46213.623773148145</v>
      </c>
      <c r="E3116" s="130">
        <v>88.36</v>
      </c>
      <c r="F3116" s="136">
        <v>4.4999999999999998E-2</v>
      </c>
      <c r="G3116" s="126">
        <f t="shared" si="66"/>
        <v>92.52356020942409</v>
      </c>
      <c r="H3116" s="126" t="s">
        <v>2743</v>
      </c>
      <c r="I3116" s="127" t="s">
        <v>1233</v>
      </c>
      <c r="J3116" s="126">
        <v>4.3</v>
      </c>
      <c r="K3116" s="126">
        <v>300</v>
      </c>
      <c r="L3116" s="129">
        <f>INT(base[[#This Row],[Data de liquidação]])</f>
        <v>46213</v>
      </c>
      <c r="M3116" s="126">
        <f>base[[#This Row],[L/P Bruto]]-base[[#This Row],[L/P Líquido]]</f>
        <v>4.1635602094240909</v>
      </c>
      <c r="N3116" s="126">
        <f>base[[#This Row],[L/P Líquido]]/base[[#This Row],[Stake/Responsabilidade]]</f>
        <v>0.29453333333333331</v>
      </c>
      <c r="O3116" s="132">
        <f>IF(base[[#This Row],[L/P Líquido]]&gt;0,1,0)</f>
        <v>1</v>
      </c>
      <c r="P3116" s="132"/>
      <c r="Q3116" s="132" t="str">
        <f>LEFT(base[[#This Row],[Evento / Mercado]],FIND("vs",base[[#This Row],[Evento / Mercado]])-2)</f>
        <v>VPS</v>
      </c>
      <c r="R31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3116" s="132" t="str">
        <f>LEFT(base[[#This Row],[Evento / Mercado]],FIND("/",base[[#This Row],[Evento / Mercado]])-2)</f>
        <v>VPS vs SJK</v>
      </c>
    </row>
    <row r="3117" spans="2:19" ht="15" customHeight="1">
      <c r="B3117" s="128" t="s">
        <v>3164</v>
      </c>
      <c r="C3117" s="128" t="s">
        <v>2982</v>
      </c>
      <c r="D3117" s="129">
        <v>46213.696423611109</v>
      </c>
      <c r="E3117" s="130">
        <v>0.48</v>
      </c>
      <c r="F3117" s="136">
        <v>4.4999999999999998E-2</v>
      </c>
      <c r="G3117" s="126">
        <f t="shared" si="66"/>
        <v>0.50261780104712039</v>
      </c>
      <c r="H3117" s="126" t="s">
        <v>1339</v>
      </c>
      <c r="I3117" s="127" t="s">
        <v>1993</v>
      </c>
      <c r="J3117" s="126">
        <v>1.05</v>
      </c>
      <c r="K3117" s="126">
        <v>10</v>
      </c>
      <c r="L3117" s="129">
        <f>INT(base[[#This Row],[Data de liquidação]])</f>
        <v>46213</v>
      </c>
      <c r="M3117" s="126">
        <f>base[[#This Row],[L/P Bruto]]-base[[#This Row],[L/P Líquido]]</f>
        <v>2.2617801047120412E-2</v>
      </c>
      <c r="N3117" s="126">
        <f>base[[#This Row],[L/P Líquido]]/base[[#This Row],[Stake/Responsabilidade]]</f>
        <v>4.8000000000000001E-2</v>
      </c>
      <c r="O3117" s="132">
        <f>IF(base[[#This Row],[L/P Líquido]]&gt;0,1,0)</f>
        <v>1</v>
      </c>
      <c r="P3117" s="132"/>
      <c r="Q3117" s="132" t="str">
        <f>LEFT(base[[#This Row],[Evento / Mercado]],FIND("vs",base[[#This Row],[Evento / Mercado]])-2)</f>
        <v>Waterford FC</v>
      </c>
      <c r="R31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St. Patrick's Athletic</v>
      </c>
      <c r="S3117" s="132" t="str">
        <f>LEFT(base[[#This Row],[Evento / Mercado]],FIND("/",base[[#This Row],[Evento / Mercado]])-2)</f>
        <v>Waterford FC vs St. Patrick's Athletic</v>
      </c>
    </row>
    <row r="3118" spans="2:19" ht="15" customHeight="1">
      <c r="B3118" s="128" t="s">
        <v>3163</v>
      </c>
      <c r="C3118" s="128" t="s">
        <v>2982</v>
      </c>
      <c r="D3118" s="129">
        <v>46213.736446759256</v>
      </c>
      <c r="E3118" s="130">
        <v>25.76</v>
      </c>
      <c r="F3118" s="136">
        <v>4.4999999999999998E-2</v>
      </c>
      <c r="G3118" s="126">
        <f t="shared" si="66"/>
        <v>26.973821989528798</v>
      </c>
      <c r="H3118" s="126" t="s">
        <v>2761</v>
      </c>
      <c r="I3118" s="127" t="s">
        <v>476</v>
      </c>
      <c r="J3118" s="126">
        <v>17.5</v>
      </c>
      <c r="K3118" s="126">
        <v>445.01</v>
      </c>
      <c r="L3118" s="129">
        <f>INT(base[[#This Row],[Data de liquidação]])</f>
        <v>46213</v>
      </c>
      <c r="M3118" s="126">
        <f>base[[#This Row],[L/P Bruto]]-base[[#This Row],[L/P Líquido]]</f>
        <v>1.2138219895287961</v>
      </c>
      <c r="N3118" s="126">
        <f>base[[#This Row],[L/P Líquido]]/base[[#This Row],[Stake/Responsabilidade]]</f>
        <v>5.7886339632817245E-2</v>
      </c>
      <c r="O3118" s="132">
        <f>IF(base[[#This Row],[L/P Líquido]]&gt;0,1,0)</f>
        <v>1</v>
      </c>
      <c r="P3118" s="132"/>
      <c r="Q3118" s="132" t="str">
        <f>LEFT(base[[#This Row],[Evento / Mercado]],FIND("vs",base[[#This Row],[Evento / Mercado]])-2)</f>
        <v>Dundalk</v>
      </c>
      <c r="R31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3118" s="132" t="str">
        <f>LEFT(base[[#This Row],[Evento / Mercado]],FIND("/",base[[#This Row],[Evento / Mercado]])-2)</f>
        <v>Dundalk vs Drogheda United</v>
      </c>
    </row>
    <row r="3119" spans="2:19" ht="15" customHeight="1">
      <c r="B3119" s="128" t="s">
        <v>3163</v>
      </c>
      <c r="C3119" s="128" t="s">
        <v>2981</v>
      </c>
      <c r="D3119" s="129">
        <v>46213.736446759256</v>
      </c>
      <c r="E3119" s="130">
        <v>-39.47</v>
      </c>
      <c r="F3119" s="136">
        <v>4.4999999999999998E-2</v>
      </c>
      <c r="G3119" s="126">
        <f t="shared" si="66"/>
        <v>-39.47</v>
      </c>
      <c r="H3119" s="126" t="s">
        <v>2743</v>
      </c>
      <c r="I3119" s="127" t="s">
        <v>2744</v>
      </c>
      <c r="J3119" s="126">
        <v>8.6</v>
      </c>
      <c r="K3119" s="126">
        <v>39.47</v>
      </c>
      <c r="L3119" s="129">
        <f>INT(base[[#This Row],[Data de liquidação]])</f>
        <v>46213</v>
      </c>
      <c r="M3119" s="126">
        <f>base[[#This Row],[L/P Bruto]]-base[[#This Row],[L/P Líquido]]</f>
        <v>0</v>
      </c>
      <c r="N3119" s="126">
        <f>base[[#This Row],[L/P Líquido]]/base[[#This Row],[Stake/Responsabilidade]]</f>
        <v>-1</v>
      </c>
      <c r="O3119" s="132">
        <f>IF(base[[#This Row],[L/P Líquido]]&gt;0,1,0)</f>
        <v>0</v>
      </c>
      <c r="P3119" s="132"/>
      <c r="Q3119" s="132" t="str">
        <f>LEFT(base[[#This Row],[Evento / Mercado]],FIND("vs",base[[#This Row],[Evento / Mercado]])-2)</f>
        <v>Dundalk</v>
      </c>
      <c r="R31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3119" s="132" t="str">
        <f>LEFT(base[[#This Row],[Evento / Mercado]],FIND("/",base[[#This Row],[Evento / Mercado]])-2)</f>
        <v>Dundalk vs Drogheda United</v>
      </c>
    </row>
    <row r="3120" spans="2:19" ht="15" customHeight="1">
      <c r="B3120" s="128" t="s">
        <v>3162</v>
      </c>
      <c r="C3120" s="128" t="s">
        <v>2982</v>
      </c>
      <c r="D3120" s="129">
        <v>46213.736527777779</v>
      </c>
      <c r="E3120" s="130">
        <v>13.1</v>
      </c>
      <c r="F3120" s="136">
        <v>4.4999999999999998E-2</v>
      </c>
      <c r="G3120" s="126">
        <f t="shared" si="66"/>
        <v>13.717277486910994</v>
      </c>
      <c r="H3120" s="126" t="s">
        <v>2817</v>
      </c>
      <c r="I3120" s="127" t="s">
        <v>2993</v>
      </c>
      <c r="J3120" s="126">
        <v>5.9</v>
      </c>
      <c r="K3120" s="126">
        <v>100.01</v>
      </c>
      <c r="L3120" s="129">
        <f>INT(base[[#This Row],[Data de liquidação]])</f>
        <v>46213</v>
      </c>
      <c r="M3120" s="126">
        <f>base[[#This Row],[L/P Bruto]]-base[[#This Row],[L/P Líquido]]</f>
        <v>0.61727748691099471</v>
      </c>
      <c r="N3120" s="126">
        <f>base[[#This Row],[L/P Líquido]]/base[[#This Row],[Stake/Responsabilidade]]</f>
        <v>0.13098690130986901</v>
      </c>
      <c r="O3120" s="132">
        <f>IF(base[[#This Row],[L/P Líquido]]&gt;0,1,0)</f>
        <v>1</v>
      </c>
      <c r="P3120" s="132"/>
      <c r="Q3120" s="132" t="str">
        <f>LEFT(base[[#This Row],[Evento / Mercado]],FIND("vs",base[[#This Row],[Evento / Mercado]])-2)</f>
        <v>Dundalk</v>
      </c>
      <c r="R31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3120" s="132" t="str">
        <f>LEFT(base[[#This Row],[Evento / Mercado]],FIND("/",base[[#This Row],[Evento / Mercado]])-2)</f>
        <v>Dundalk vs Drogheda United</v>
      </c>
    </row>
    <row r="3121" spans="2:19" ht="15" customHeight="1">
      <c r="B3121" s="128" t="s">
        <v>3162</v>
      </c>
      <c r="C3121" s="128" t="s">
        <v>2981</v>
      </c>
      <c r="D3121" s="129">
        <v>46213.736527777779</v>
      </c>
      <c r="E3121" s="130">
        <v>23.94</v>
      </c>
      <c r="F3121" s="136">
        <v>4.4999999999999998E-2</v>
      </c>
      <c r="G3121" s="126">
        <f t="shared" si="66"/>
        <v>25.068062827225134</v>
      </c>
      <c r="H3121" s="126" t="s">
        <v>2743</v>
      </c>
      <c r="I3121" s="127" t="s">
        <v>1233</v>
      </c>
      <c r="J3121" s="126">
        <v>4.0999999999999996</v>
      </c>
      <c r="K3121" s="126">
        <v>299.99</v>
      </c>
      <c r="L3121" s="129">
        <f>INT(base[[#This Row],[Data de liquidação]])</f>
        <v>46213</v>
      </c>
      <c r="M3121" s="126">
        <f>base[[#This Row],[L/P Bruto]]-base[[#This Row],[L/P Líquido]]</f>
        <v>1.1280628272251327</v>
      </c>
      <c r="N3121" s="126">
        <f>base[[#This Row],[L/P Líquido]]/base[[#This Row],[Stake/Responsabilidade]]</f>
        <v>7.9802660088669625E-2</v>
      </c>
      <c r="O3121" s="132">
        <f>IF(base[[#This Row],[L/P Líquido]]&gt;0,1,0)</f>
        <v>1</v>
      </c>
      <c r="P3121" s="132"/>
      <c r="Q3121" s="132" t="str">
        <f>LEFT(base[[#This Row],[Evento / Mercado]],FIND("vs",base[[#This Row],[Evento / Mercado]])-2)</f>
        <v>Dundalk</v>
      </c>
      <c r="R31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3121" s="132" t="str">
        <f>LEFT(base[[#This Row],[Evento / Mercado]],FIND("/",base[[#This Row],[Evento / Mercado]])-2)</f>
        <v>Dundalk vs Drogheda United</v>
      </c>
    </row>
    <row r="3122" spans="2:19" ht="15" customHeight="1">
      <c r="B3122" s="128" t="s">
        <v>3161</v>
      </c>
      <c r="C3122" s="128" t="s">
        <v>2982</v>
      </c>
      <c r="D3122" s="129">
        <v>46213.743993055556</v>
      </c>
      <c r="E3122" s="130">
        <v>47.75</v>
      </c>
      <c r="F3122" s="136">
        <v>4.4999999999999998E-2</v>
      </c>
      <c r="G3122" s="126">
        <f t="shared" si="66"/>
        <v>50</v>
      </c>
      <c r="H3122" s="126" t="s">
        <v>3004</v>
      </c>
      <c r="I3122" s="127" t="s">
        <v>232</v>
      </c>
      <c r="J3122" s="126">
        <v>1.3</v>
      </c>
      <c r="K3122" s="126">
        <v>50</v>
      </c>
      <c r="L3122" s="129">
        <f>INT(base[[#This Row],[Data de liquidação]])</f>
        <v>46213</v>
      </c>
      <c r="M3122" s="126">
        <f>base[[#This Row],[L/P Bruto]]-base[[#This Row],[L/P Líquido]]</f>
        <v>2.25</v>
      </c>
      <c r="N3122" s="126">
        <f>base[[#This Row],[L/P Líquido]]/base[[#This Row],[Stake/Responsabilidade]]</f>
        <v>0.95499999999999996</v>
      </c>
      <c r="O3122" s="132">
        <f>IF(base[[#This Row],[L/P Líquido]]&gt;0,1,0)</f>
        <v>1</v>
      </c>
      <c r="P3122" s="132"/>
      <c r="Q3122" s="132" t="str">
        <f>LEFT(base[[#This Row],[Evento / Mercado]],FIND("vs",base[[#This Row],[Evento / Mercado]])-2)</f>
        <v>Spain</v>
      </c>
      <c r="R31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Belgium</v>
      </c>
      <c r="S3122" s="132" t="str">
        <f>LEFT(base[[#This Row],[Evento / Mercado]],FIND("/",base[[#This Row],[Evento / Mercado]])-2)</f>
        <v>Spain vs Belgium</v>
      </c>
    </row>
    <row r="3123" spans="2:19" ht="15" customHeight="1">
      <c r="B3123" s="128" t="s">
        <v>3160</v>
      </c>
      <c r="C3123" s="128" t="s">
        <v>2982</v>
      </c>
      <c r="D3123" s="129">
        <v>46213.748449074075</v>
      </c>
      <c r="E3123" s="130">
        <v>-115.75</v>
      </c>
      <c r="F3123" s="136">
        <v>4.4999999999999998E-2</v>
      </c>
      <c r="G3123" s="126">
        <f t="shared" si="66"/>
        <v>-115.75</v>
      </c>
      <c r="H3123" s="126" t="s">
        <v>3004</v>
      </c>
      <c r="I3123" s="127" t="s">
        <v>302</v>
      </c>
      <c r="J3123" s="126">
        <v>1.25</v>
      </c>
      <c r="K3123" s="126">
        <v>50</v>
      </c>
      <c r="L3123" s="129">
        <f>INT(base[[#This Row],[Data de liquidação]])</f>
        <v>46213</v>
      </c>
      <c r="M3123" s="126">
        <f>base[[#This Row],[L/P Bruto]]-base[[#This Row],[L/P Líquido]]</f>
        <v>0</v>
      </c>
      <c r="N3123" s="126">
        <f>base[[#This Row],[L/P Líquido]]/base[[#This Row],[Stake/Responsabilidade]]</f>
        <v>-2.3149999999999999</v>
      </c>
      <c r="O3123" s="132">
        <f>IF(base[[#This Row],[L/P Líquido]]&gt;0,1,0)</f>
        <v>0</v>
      </c>
      <c r="P3123" s="132"/>
      <c r="Q3123" s="132" t="str">
        <f>LEFT(base[[#This Row],[Evento / Mercado]],FIND("vs",base[[#This Row],[Evento / Mercado]])-2)</f>
        <v>Waterford FC</v>
      </c>
      <c r="R31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St. Patrick's Athletic</v>
      </c>
      <c r="S3123" s="132" t="str">
        <f>LEFT(base[[#This Row],[Evento / Mercado]],FIND("/",base[[#This Row],[Evento / Mercado]])-2)</f>
        <v>Waterford FC vs St. Patrick's Athletic</v>
      </c>
    </row>
    <row r="3124" spans="2:19" ht="15" customHeight="1">
      <c r="B3124" s="128" t="s">
        <v>3159</v>
      </c>
      <c r="C3124" s="128" t="s">
        <v>2982</v>
      </c>
      <c r="D3124" s="129">
        <v>46213.749606481484</v>
      </c>
      <c r="E3124" s="130">
        <v>20.69</v>
      </c>
      <c r="F3124" s="136">
        <v>4.4999999999999998E-2</v>
      </c>
      <c r="G3124" s="126">
        <f t="shared" si="66"/>
        <v>21.66492146596859</v>
      </c>
      <c r="H3124" s="126" t="s">
        <v>2821</v>
      </c>
      <c r="I3124" s="127" t="s">
        <v>476</v>
      </c>
      <c r="J3124" s="126">
        <v>22</v>
      </c>
      <c r="K3124" s="126">
        <v>455.07</v>
      </c>
      <c r="L3124" s="129">
        <f>INT(base[[#This Row],[Data de liquidação]])</f>
        <v>46213</v>
      </c>
      <c r="M3124" s="126">
        <f>base[[#This Row],[L/P Bruto]]-base[[#This Row],[L/P Líquido]]</f>
        <v>0.97492146596858831</v>
      </c>
      <c r="N3124" s="126">
        <f>base[[#This Row],[L/P Líquido]]/base[[#This Row],[Stake/Responsabilidade]]</f>
        <v>4.5465532775177446E-2</v>
      </c>
      <c r="O3124" s="132">
        <f>IF(base[[#This Row],[L/P Líquido]]&gt;0,1,0)</f>
        <v>1</v>
      </c>
      <c r="P3124" s="132"/>
      <c r="Q3124" s="132" t="str">
        <f>LEFT(base[[#This Row],[Evento / Mercado]],FIND("vs",base[[#This Row],[Evento / Mercado]])-2)</f>
        <v>Spain</v>
      </c>
      <c r="R31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Belgium</v>
      </c>
      <c r="S3124" s="132" t="str">
        <f>LEFT(base[[#This Row],[Evento / Mercado]],FIND("/",base[[#This Row],[Evento / Mercado]])-2)</f>
        <v>Spain vs Belgium</v>
      </c>
    </row>
    <row r="3125" spans="2:19" ht="15" customHeight="1">
      <c r="B3125" s="128" t="s">
        <v>3158</v>
      </c>
      <c r="C3125" s="128" t="s">
        <v>2982</v>
      </c>
      <c r="D3125" s="129">
        <v>46213.872499999998</v>
      </c>
      <c r="E3125" s="130">
        <v>-100</v>
      </c>
      <c r="F3125" s="136">
        <v>4.4999999999999998E-2</v>
      </c>
      <c r="G3125" s="126">
        <f t="shared" si="66"/>
        <v>-100</v>
      </c>
      <c r="H3125" s="126" t="s">
        <v>3004</v>
      </c>
      <c r="I3125" s="127" t="s">
        <v>302</v>
      </c>
      <c r="J3125" s="126">
        <v>1.5</v>
      </c>
      <c r="K3125" s="126">
        <v>50</v>
      </c>
      <c r="L3125" s="129">
        <f>INT(base[[#This Row],[Data de liquidação]])</f>
        <v>46213</v>
      </c>
      <c r="M3125" s="126">
        <f>base[[#This Row],[L/P Bruto]]-base[[#This Row],[L/P Líquido]]</f>
        <v>0</v>
      </c>
      <c r="N3125" s="126">
        <f>base[[#This Row],[L/P Líquido]]/base[[#This Row],[Stake/Responsabilidade]]</f>
        <v>-2</v>
      </c>
      <c r="O3125" s="132">
        <f>IF(base[[#This Row],[L/P Líquido]]&gt;0,1,0)</f>
        <v>0</v>
      </c>
      <c r="P3125" s="132"/>
      <c r="Q3125" s="132" t="str">
        <f>LEFT(base[[#This Row],[Evento / Mercado]],FIND("vs",base[[#This Row],[Evento / Mercado]])-2)</f>
        <v>EC Juventude</v>
      </c>
      <c r="R31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Vila Nova FC</v>
      </c>
      <c r="S3125" s="132" t="str">
        <f>LEFT(base[[#This Row],[Evento / Mercado]],FIND("/",base[[#This Row],[Evento / Mercado]])-2)</f>
        <v>EC Juventude vs Vila Nova FC</v>
      </c>
    </row>
    <row r="3126" spans="2:19" ht="15" customHeight="1">
      <c r="B3126" s="128" t="s">
        <v>3157</v>
      </c>
      <c r="C3126" s="128" t="s">
        <v>2982</v>
      </c>
      <c r="D3126" s="129">
        <v>46213.876712962963</v>
      </c>
      <c r="E3126" s="130">
        <v>7.91</v>
      </c>
      <c r="F3126" s="136">
        <v>4.4999999999999998E-2</v>
      </c>
      <c r="G3126" s="126">
        <f t="shared" si="66"/>
        <v>8.2827225130890056</v>
      </c>
      <c r="H3126" s="126" t="s">
        <v>1339</v>
      </c>
      <c r="I3126" s="127" t="s">
        <v>1430</v>
      </c>
      <c r="J3126" s="126">
        <v>14.5</v>
      </c>
      <c r="K3126" s="126">
        <v>111.78</v>
      </c>
      <c r="L3126" s="129">
        <f>INT(base[[#This Row],[Data de liquidação]])</f>
        <v>46213</v>
      </c>
      <c r="M3126" s="126">
        <f>base[[#This Row],[L/P Bruto]]-base[[#This Row],[L/P Líquido]]</f>
        <v>0.3727225130890055</v>
      </c>
      <c r="N3126" s="126">
        <f>base[[#This Row],[L/P Líquido]]/base[[#This Row],[Stake/Responsabilidade]]</f>
        <v>7.0764000715691541E-2</v>
      </c>
      <c r="O3126" s="132">
        <f>IF(base[[#This Row],[L/P Líquido]]&gt;0,1,0)</f>
        <v>1</v>
      </c>
      <c r="P3126" s="132"/>
      <c r="Q3126" s="132" t="str">
        <f>LEFT(base[[#This Row],[Evento / Mercado]],FIND("vs",base[[#This Row],[Evento / Mercado]])-2)</f>
        <v>Leones del Norte</v>
      </c>
      <c r="R31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 del Ecuador</v>
      </c>
      <c r="S3126" s="132" t="str">
        <f>LEFT(base[[#This Row],[Evento / Mercado]],FIND("/",base[[#This Row],[Evento / Mercado]])-2)</f>
        <v>Leones del Norte vs Universidad Católica del Ecuador</v>
      </c>
    </row>
    <row r="3127" spans="2:19" ht="15" customHeight="1">
      <c r="B3127" s="128" t="s">
        <v>3156</v>
      </c>
      <c r="C3127" s="128" t="s">
        <v>2982</v>
      </c>
      <c r="D3127" s="129">
        <v>46213.896006944444</v>
      </c>
      <c r="E3127" s="130">
        <v>48.61</v>
      </c>
      <c r="F3127" s="136">
        <v>4.4999999999999998E-2</v>
      </c>
      <c r="G3127" s="126">
        <f t="shared" si="66"/>
        <v>50.900523560209429</v>
      </c>
      <c r="H3127" s="126" t="s">
        <v>2820</v>
      </c>
      <c r="I3127" s="127" t="s">
        <v>2874</v>
      </c>
      <c r="J3127" s="126">
        <v>2.35</v>
      </c>
      <c r="K3127" s="126">
        <v>50</v>
      </c>
      <c r="L3127" s="129">
        <f>INT(base[[#This Row],[Data de liquidação]])</f>
        <v>46213</v>
      </c>
      <c r="M3127" s="126">
        <f>base[[#This Row],[L/P Bruto]]-base[[#This Row],[L/P Líquido]]</f>
        <v>2.2905235602094294</v>
      </c>
      <c r="N3127" s="126">
        <f>base[[#This Row],[L/P Líquido]]/base[[#This Row],[Stake/Responsabilidade]]</f>
        <v>0.97219999999999995</v>
      </c>
      <c r="O3127" s="132">
        <f>IF(base[[#This Row],[L/P Líquido]]&gt;0,1,0)</f>
        <v>1</v>
      </c>
      <c r="P3127" s="132"/>
      <c r="Q3127" s="132" t="str">
        <f>LEFT(base[[#This Row],[Evento / Mercado]],FIND("vs",base[[#This Row],[Evento / Mercado]])-2)</f>
        <v>Sport Club do Recife</v>
      </c>
      <c r="R31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3127" s="132" t="str">
        <f>LEFT(base[[#This Row],[Evento / Mercado]],FIND("/",base[[#This Row],[Evento / Mercado]])-2)</f>
        <v>Sport Club do Recife vs Botafogo SP</v>
      </c>
    </row>
    <row r="3128" spans="2:19" ht="15" customHeight="1">
      <c r="B3128" s="128" t="s">
        <v>3166</v>
      </c>
      <c r="C3128" s="128" t="s">
        <v>2981</v>
      </c>
      <c r="D3128" s="129">
        <v>46213.921793981484</v>
      </c>
      <c r="E3128" s="130">
        <v>-51.72</v>
      </c>
      <c r="F3128" s="136">
        <v>4.4999999999999998E-2</v>
      </c>
      <c r="G3128" s="126">
        <f t="shared" si="66"/>
        <v>-51.72</v>
      </c>
      <c r="H3128" s="126" t="s">
        <v>2743</v>
      </c>
      <c r="I3128" s="127" t="s">
        <v>2744</v>
      </c>
      <c r="J3128" s="126">
        <v>6.8</v>
      </c>
      <c r="K3128" s="126">
        <v>51.72</v>
      </c>
      <c r="L3128" s="129">
        <f>INT(base[[#This Row],[Data de liquidação]])</f>
        <v>46213</v>
      </c>
      <c r="M3128" s="126">
        <f>base[[#This Row],[L/P Bruto]]-base[[#This Row],[L/P Líquido]]</f>
        <v>0</v>
      </c>
      <c r="N3128" s="126">
        <f>base[[#This Row],[L/P Líquido]]/base[[#This Row],[Stake/Responsabilidade]]</f>
        <v>-1</v>
      </c>
      <c r="O3128" s="132">
        <f>IF(base[[#This Row],[L/P Líquido]]&gt;0,1,0)</f>
        <v>0</v>
      </c>
      <c r="P3128" s="132"/>
      <c r="Q3128" s="132" t="str">
        <f>LEFT(base[[#This Row],[Evento / Mercado]],FIND("vs",base[[#This Row],[Evento / Mercado]])-2)</f>
        <v>Sport Club do Recife</v>
      </c>
      <c r="R31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3128" s="132" t="str">
        <f>LEFT(base[[#This Row],[Evento / Mercado]],FIND("/",base[[#This Row],[Evento / Mercado]])-2)</f>
        <v>Sport Club do Recife vs Botafogo SP</v>
      </c>
    </row>
    <row r="3129" spans="2:19" ht="15" customHeight="1">
      <c r="B3129" s="128" t="s">
        <v>3155</v>
      </c>
      <c r="C3129" s="128" t="s">
        <v>2982</v>
      </c>
      <c r="D3129" s="129">
        <v>46213.921898148146</v>
      </c>
      <c r="E3129" s="130">
        <v>71.25</v>
      </c>
      <c r="F3129" s="136">
        <v>4.4999999999999998E-2</v>
      </c>
      <c r="G3129" s="126">
        <f t="shared" si="66"/>
        <v>74.607329842931946</v>
      </c>
      <c r="H3129" s="126" t="s">
        <v>2817</v>
      </c>
      <c r="I3129" s="127" t="s">
        <v>2993</v>
      </c>
      <c r="J3129" s="126">
        <f>(1.95*100+4.6*100.01)/base[[#This Row],[Stake/Responsabilidade]]</f>
        <v>3.2750662466876661</v>
      </c>
      <c r="K3129" s="126">
        <v>200.01</v>
      </c>
      <c r="L3129" s="129">
        <f>INT(base[[#This Row],[Data de liquidação]])</f>
        <v>46213</v>
      </c>
      <c r="M3129" s="126">
        <f>base[[#This Row],[L/P Bruto]]-base[[#This Row],[L/P Líquido]]</f>
        <v>3.3573298429319465</v>
      </c>
      <c r="N3129" s="126">
        <f>base[[#This Row],[L/P Líquido]]/base[[#This Row],[Stake/Responsabilidade]]</f>
        <v>0.35623218839058046</v>
      </c>
      <c r="O3129" s="132">
        <f>IF(base[[#This Row],[L/P Líquido]]&gt;0,1,0)</f>
        <v>1</v>
      </c>
      <c r="P3129" s="132"/>
      <c r="Q3129" s="132" t="str">
        <f>LEFT(base[[#This Row],[Evento / Mercado]],FIND("vs",base[[#This Row],[Evento / Mercado]])-2)</f>
        <v>Sport Club do Recife</v>
      </c>
      <c r="R31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3129" s="132" t="str">
        <f>LEFT(base[[#This Row],[Evento / Mercado]],FIND("/",base[[#This Row],[Evento / Mercado]])-2)</f>
        <v>Sport Club do Recife vs Botafogo SP</v>
      </c>
    </row>
    <row r="3130" spans="2:19" ht="15" customHeight="1">
      <c r="B3130" s="128" t="s">
        <v>3155</v>
      </c>
      <c r="C3130" s="128" t="s">
        <v>2981</v>
      </c>
      <c r="D3130" s="129">
        <v>46213.921898148146</v>
      </c>
      <c r="E3130" s="130">
        <v>62.95</v>
      </c>
      <c r="F3130" s="136">
        <v>4.4999999999999998E-2</v>
      </c>
      <c r="G3130" s="126">
        <f t="shared" si="66"/>
        <v>65.916230366492158</v>
      </c>
      <c r="H3130" s="126" t="s">
        <v>2743</v>
      </c>
      <c r="I3130" s="127" t="s">
        <v>1233</v>
      </c>
      <c r="J3130" s="126">
        <v>3.35</v>
      </c>
      <c r="K3130" s="126">
        <f>200.01+99.99</f>
        <v>300</v>
      </c>
      <c r="L3130" s="129">
        <f>INT(base[[#This Row],[Data de liquidação]])</f>
        <v>46213</v>
      </c>
      <c r="M3130" s="126">
        <f>base[[#This Row],[L/P Bruto]]-base[[#This Row],[L/P Líquido]]</f>
        <v>2.9662303664921552</v>
      </c>
      <c r="N3130" s="126">
        <f>base[[#This Row],[L/P Líquido]]/base[[#This Row],[Stake/Responsabilidade]]</f>
        <v>0.20983333333333334</v>
      </c>
      <c r="O3130" s="132">
        <f>IF(base[[#This Row],[L/P Líquido]]&gt;0,1,0)</f>
        <v>1</v>
      </c>
      <c r="P3130" s="132"/>
      <c r="Q3130" s="132" t="str">
        <f>LEFT(base[[#This Row],[Evento / Mercado]],FIND("vs",base[[#This Row],[Evento / Mercado]])-2)</f>
        <v>Sport Club do Recife</v>
      </c>
      <c r="R31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3130" s="132" t="str">
        <f>LEFT(base[[#This Row],[Evento / Mercado]],FIND("/",base[[#This Row],[Evento / Mercado]])-2)</f>
        <v>Sport Club do Recife vs Botafogo SP</v>
      </c>
    </row>
    <row r="3131" spans="2:19" ht="15" customHeight="1">
      <c r="B3131" s="128" t="s">
        <v>3154</v>
      </c>
      <c r="C3131" s="128" t="s">
        <v>2982</v>
      </c>
      <c r="D3131" s="129">
        <v>46214.388692129629</v>
      </c>
      <c r="E3131" s="130">
        <v>14.33</v>
      </c>
      <c r="F3131" s="136">
        <v>4.4999999999999998E-2</v>
      </c>
      <c r="G3131" s="126">
        <f t="shared" si="66"/>
        <v>15.005235602094242</v>
      </c>
      <c r="H3131" s="126" t="s">
        <v>1339</v>
      </c>
      <c r="I3131" s="127" t="s">
        <v>1236</v>
      </c>
      <c r="J3131" s="126">
        <v>8.1999999999999993</v>
      </c>
      <c r="K3131" s="126">
        <v>15</v>
      </c>
      <c r="L3131" s="129">
        <f>INT(base[[#This Row],[Data de liquidação]])</f>
        <v>46214</v>
      </c>
      <c r="M3131" s="126">
        <f>base[[#This Row],[L/P Bruto]]-base[[#This Row],[L/P Líquido]]</f>
        <v>0.67523560209424183</v>
      </c>
      <c r="N3131" s="126">
        <f>base[[#This Row],[L/P Líquido]]/base[[#This Row],[Stake/Responsabilidade]]</f>
        <v>0.95533333333333337</v>
      </c>
      <c r="O3131" s="132">
        <f>IF(base[[#This Row],[L/P Líquido]]&gt;0,1,0)</f>
        <v>1</v>
      </c>
      <c r="P3131" s="132"/>
      <c r="Q3131" s="132" t="str">
        <f>LEFT(base[[#This Row],[Evento / Mercado]],FIND("vs",base[[#This Row],[Evento / Mercado]])-2)</f>
        <v>Shenzhen Peng City</v>
      </c>
      <c r="R31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West Coast</v>
      </c>
      <c r="S3131" s="132" t="str">
        <f>LEFT(base[[#This Row],[Evento / Mercado]],FIND("/",base[[#This Row],[Evento / Mercado]])-2)</f>
        <v>Shenzhen Peng City vs Qingdao West Coast</v>
      </c>
    </row>
    <row r="3132" spans="2:19" ht="15" customHeight="1">
      <c r="B3132" s="128" t="s">
        <v>3153</v>
      </c>
      <c r="C3132" s="128" t="s">
        <v>2982</v>
      </c>
      <c r="D3132" s="129">
        <v>46214.439016203702</v>
      </c>
      <c r="E3132" s="130">
        <v>-5</v>
      </c>
      <c r="F3132" s="136">
        <v>4.4999999999999998E-2</v>
      </c>
      <c r="G3132" s="126">
        <f t="shared" si="66"/>
        <v>-5</v>
      </c>
      <c r="H3132" s="126" t="s">
        <v>1339</v>
      </c>
      <c r="I3132" s="127" t="s">
        <v>2404</v>
      </c>
      <c r="J3132" s="126">
        <v>1.57</v>
      </c>
      <c r="K3132" s="126">
        <v>5</v>
      </c>
      <c r="L3132" s="129">
        <f>INT(base[[#This Row],[Data de liquidação]])</f>
        <v>46214</v>
      </c>
      <c r="M3132" s="126">
        <f>base[[#This Row],[L/P Bruto]]-base[[#This Row],[L/P Líquido]]</f>
        <v>0</v>
      </c>
      <c r="N3132" s="126">
        <f>base[[#This Row],[L/P Líquido]]/base[[#This Row],[Stake/Responsabilidade]]</f>
        <v>-1</v>
      </c>
      <c r="O3132" s="132">
        <f>IF(base[[#This Row],[L/P Líquido]]&gt;0,1,0)</f>
        <v>0</v>
      </c>
      <c r="P3132" s="132"/>
      <c r="Q3132" s="132" t="str">
        <f>LEFT(base[[#This Row],[Evento / Mercado]],FIND("vs",base[[#This Row],[Evento / Mercado]])-2)</f>
        <v>Shenzhen Peng City</v>
      </c>
      <c r="R31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West Coast</v>
      </c>
      <c r="S3132" s="132" t="str">
        <f>LEFT(base[[#This Row],[Evento / Mercado]],FIND("/",base[[#This Row],[Evento / Mercado]])-2)</f>
        <v>Shenzhen Peng City vs Qingdao West Coast</v>
      </c>
    </row>
    <row r="3133" spans="2:19" ht="15" customHeight="1">
      <c r="B3133" s="128" t="s">
        <v>3152</v>
      </c>
      <c r="C3133" s="128" t="s">
        <v>2982</v>
      </c>
      <c r="D3133" s="129">
        <v>46214.494641203702</v>
      </c>
      <c r="E3133" s="130">
        <v>34.520000000000003</v>
      </c>
      <c r="F3133" s="136">
        <v>4.4999999999999998E-2</v>
      </c>
      <c r="G3133" s="126">
        <f t="shared" si="66"/>
        <v>36.146596858638745</v>
      </c>
      <c r="H3133" s="126" t="s">
        <v>2761</v>
      </c>
      <c r="I3133" s="127" t="s">
        <v>476</v>
      </c>
      <c r="J3133" s="126">
        <v>14</v>
      </c>
      <c r="K3133" s="126">
        <v>469.95</v>
      </c>
      <c r="L3133" s="129">
        <f>INT(base[[#This Row],[Data de liquidação]])</f>
        <v>46214</v>
      </c>
      <c r="M3133" s="126">
        <f>base[[#This Row],[L/P Bruto]]-base[[#This Row],[L/P Líquido]]</f>
        <v>1.6265968586387416</v>
      </c>
      <c r="N3133" s="126">
        <f>base[[#This Row],[L/P Líquido]]/base[[#This Row],[Stake/Responsabilidade]]</f>
        <v>7.3454622832216196E-2</v>
      </c>
      <c r="O3133" s="132">
        <f>IF(base[[#This Row],[L/P Líquido]]&gt;0,1,0)</f>
        <v>1</v>
      </c>
      <c r="P3133" s="132"/>
      <c r="Q3133" s="132" t="str">
        <f>LEFT(base[[#This Row],[Evento / Mercado]],FIND("vs",base[[#This Row],[Evento / Mercado]])-2)</f>
        <v>Mjällby AIF</v>
      </c>
      <c r="R31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AIK</v>
      </c>
      <c r="S3133" s="132" t="str">
        <f>LEFT(base[[#This Row],[Evento / Mercado]],FIND("/",base[[#This Row],[Evento / Mercado]])-2)</f>
        <v>Mjällby AIF vs AIK</v>
      </c>
    </row>
    <row r="3134" spans="2:19" ht="15" customHeight="1">
      <c r="B3134" s="128" t="s">
        <v>3151</v>
      </c>
      <c r="C3134" s="128" t="s">
        <v>2982</v>
      </c>
      <c r="D3134" s="129">
        <v>46214.529976851853</v>
      </c>
      <c r="E3134" s="130">
        <v>18.62</v>
      </c>
      <c r="F3134" s="136">
        <v>4.4999999999999998E-2</v>
      </c>
      <c r="G3134" s="126">
        <f t="shared" si="66"/>
        <v>19.497382198952881</v>
      </c>
      <c r="H3134" s="126" t="s">
        <v>2820</v>
      </c>
      <c r="I3134" s="127" t="s">
        <v>13</v>
      </c>
      <c r="J3134" s="126">
        <f>(1.81+2.2)/2</f>
        <v>2.0049999999999999</v>
      </c>
      <c r="K3134" s="126">
        <v>100</v>
      </c>
      <c r="L3134" s="129">
        <f>INT(base[[#This Row],[Data de liquidação]])</f>
        <v>46214</v>
      </c>
      <c r="M3134" s="126">
        <f>base[[#This Row],[L/P Bruto]]-base[[#This Row],[L/P Líquido]]</f>
        <v>0.87738219895287983</v>
      </c>
      <c r="N3134" s="126">
        <f>base[[#This Row],[L/P Líquido]]/base[[#This Row],[Stake/Responsabilidade]]</f>
        <v>0.1862</v>
      </c>
      <c r="O3134" s="132">
        <f>IF(base[[#This Row],[L/P Líquido]]&gt;0,1,0)</f>
        <v>1</v>
      </c>
      <c r="P3134" s="132"/>
      <c r="Q3134" s="132" t="str">
        <f>LEFT(base[[#This Row],[Evento / Mercado]],FIND("vs",base[[#This Row],[Evento / Mercado]])-2)</f>
        <v>FC Nõmme United</v>
      </c>
      <c r="R31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Kuressaare</v>
      </c>
      <c r="S3134" s="132" t="str">
        <f>LEFT(base[[#This Row],[Evento / Mercado]],FIND("/",base[[#This Row],[Evento / Mercado]])-2)</f>
        <v>FC Nõmme United vs FC Kuressaare</v>
      </c>
    </row>
    <row r="3135" spans="2:19" ht="15" customHeight="1">
      <c r="B3135" s="128" t="s">
        <v>3169</v>
      </c>
      <c r="C3135" s="128" t="s">
        <v>2981</v>
      </c>
      <c r="D3135" s="129">
        <v>46214.53943287037</v>
      </c>
      <c r="E3135" s="130">
        <v>-27.27</v>
      </c>
      <c r="F3135" s="136">
        <v>4.4999999999999998E-2</v>
      </c>
      <c r="G3135" s="126">
        <f t="shared" si="66"/>
        <v>-27.27</v>
      </c>
      <c r="H3135" s="126" t="s">
        <v>2743</v>
      </c>
      <c r="I3135" s="127" t="s">
        <v>2744</v>
      </c>
      <c r="J3135" s="126">
        <v>12</v>
      </c>
      <c r="K3135" s="126">
        <v>27.27</v>
      </c>
      <c r="L3135" s="129">
        <f>INT(base[[#This Row],[Data de liquidação]])</f>
        <v>46214</v>
      </c>
      <c r="M3135" s="126">
        <f>base[[#This Row],[L/P Bruto]]-base[[#This Row],[L/P Líquido]]</f>
        <v>0</v>
      </c>
      <c r="N3135" s="126">
        <f>base[[#This Row],[L/P Líquido]]/base[[#This Row],[Stake/Responsabilidade]]</f>
        <v>-1</v>
      </c>
      <c r="O3135" s="132">
        <f>IF(base[[#This Row],[L/P Líquido]]&gt;0,1,0)</f>
        <v>0</v>
      </c>
      <c r="P3135" s="132"/>
      <c r="Q3135" s="132" t="str">
        <f>LEFT(base[[#This Row],[Evento / Mercado]],FIND("vs",base[[#This Row],[Evento / Mercado]])-2)</f>
        <v>IF Gnistan</v>
      </c>
      <c r="R31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135" s="132" t="str">
        <f>LEFT(base[[#This Row],[Evento / Mercado]],FIND("/",base[[#This Row],[Evento / Mercado]])-2)</f>
        <v>IF Gnistan vs IFK Mariehamn</v>
      </c>
    </row>
    <row r="3136" spans="2:19" ht="15" customHeight="1">
      <c r="B3136" s="128" t="s">
        <v>3150</v>
      </c>
      <c r="C3136" s="128" t="s">
        <v>2982</v>
      </c>
      <c r="D3136" s="129">
        <v>46214.539594907408</v>
      </c>
      <c r="E3136" s="130">
        <v>7.76</v>
      </c>
      <c r="F3136" s="136">
        <v>4.4999999999999998E-2</v>
      </c>
      <c r="G3136" s="126">
        <f t="shared" si="66"/>
        <v>8.1256544502617807</v>
      </c>
      <c r="H3136" s="126" t="s">
        <v>2817</v>
      </c>
      <c r="I3136" s="127" t="s">
        <v>2992</v>
      </c>
      <c r="J3136" s="126">
        <v>10.5</v>
      </c>
      <c r="K3136" s="126">
        <v>100.04</v>
      </c>
      <c r="L3136" s="129">
        <f>INT(base[[#This Row],[Data de liquidação]])</f>
        <v>46214</v>
      </c>
      <c r="M3136" s="126">
        <f>base[[#This Row],[L/P Bruto]]-base[[#This Row],[L/P Líquido]]</f>
        <v>0.36565445026178089</v>
      </c>
      <c r="N3136" s="126">
        <f>base[[#This Row],[L/P Líquido]]/base[[#This Row],[Stake/Responsabilidade]]</f>
        <v>7.756897241103558E-2</v>
      </c>
      <c r="O3136" s="132">
        <f>IF(base[[#This Row],[L/P Líquido]]&gt;0,1,0)</f>
        <v>1</v>
      </c>
      <c r="P3136" s="132"/>
      <c r="Q3136" s="132" t="str">
        <f>LEFT(base[[#This Row],[Evento / Mercado]],FIND("vs",base[[#This Row],[Evento / Mercado]])-2)</f>
        <v>IF Gnistan</v>
      </c>
      <c r="R31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136" s="132" t="str">
        <f>LEFT(base[[#This Row],[Evento / Mercado]],FIND("/",base[[#This Row],[Evento / Mercado]])-2)</f>
        <v>IF Gnistan vs IFK Mariehamn</v>
      </c>
    </row>
    <row r="3137" spans="2:19" ht="15" customHeight="1">
      <c r="B3137" s="128" t="s">
        <v>3150</v>
      </c>
      <c r="C3137" s="128" t="s">
        <v>2981</v>
      </c>
      <c r="D3137" s="129">
        <v>46214.539594907408</v>
      </c>
      <c r="E3137" s="130">
        <v>16.559999999999999</v>
      </c>
      <c r="F3137" s="136">
        <v>4.4999999999999998E-2</v>
      </c>
      <c r="G3137" s="126">
        <f t="shared" si="66"/>
        <v>17.340314136125652</v>
      </c>
      <c r="H3137" s="126" t="s">
        <v>2743</v>
      </c>
      <c r="I3137" s="127" t="s">
        <v>1233</v>
      </c>
      <c r="J3137" s="126">
        <v>6.2</v>
      </c>
      <c r="K3137" s="126">
        <v>299.99</v>
      </c>
      <c r="L3137" s="129">
        <f>INT(base[[#This Row],[Data de liquidação]])</f>
        <v>46214</v>
      </c>
      <c r="M3137" s="126">
        <f>base[[#This Row],[L/P Bruto]]-base[[#This Row],[L/P Líquido]]</f>
        <v>0.78031413612565359</v>
      </c>
      <c r="N3137" s="126">
        <f>base[[#This Row],[L/P Líquido]]/base[[#This Row],[Stake/Responsabilidade]]</f>
        <v>5.5201840061335369E-2</v>
      </c>
      <c r="O3137" s="132">
        <f>IF(base[[#This Row],[L/P Líquido]]&gt;0,1,0)</f>
        <v>1</v>
      </c>
      <c r="P3137" s="132"/>
      <c r="Q3137" s="132" t="str">
        <f>LEFT(base[[#This Row],[Evento / Mercado]],FIND("vs",base[[#This Row],[Evento / Mercado]])-2)</f>
        <v>IF Gnistan</v>
      </c>
      <c r="R31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137" s="132" t="str">
        <f>LEFT(base[[#This Row],[Evento / Mercado]],FIND("/",base[[#This Row],[Evento / Mercado]])-2)</f>
        <v>IF Gnistan vs IFK Mariehamn</v>
      </c>
    </row>
    <row r="3138" spans="2:19" ht="15" customHeight="1">
      <c r="B3138" s="128" t="s">
        <v>3149</v>
      </c>
      <c r="C3138" s="128" t="s">
        <v>2982</v>
      </c>
      <c r="D3138" s="129">
        <v>46214.541273148148</v>
      </c>
      <c r="E3138" s="130">
        <v>44.21</v>
      </c>
      <c r="F3138" s="136">
        <v>4.4999999999999998E-2</v>
      </c>
      <c r="G3138" s="126">
        <f t="shared" si="66"/>
        <v>46.293193717277489</v>
      </c>
      <c r="H3138" s="126" t="s">
        <v>2761</v>
      </c>
      <c r="I3138" s="127" t="s">
        <v>476</v>
      </c>
      <c r="J3138" s="126">
        <f>(7.4*33.98+15*399.98+6.8*71.98)/base[[#This Row],[Stake/Responsabilidade]]</f>
        <v>13.322955291141243</v>
      </c>
      <c r="K3138" s="126">
        <f>33.98+399.98+71.98</f>
        <v>505.94000000000005</v>
      </c>
      <c r="L3138" s="129">
        <f>INT(base[[#This Row],[Data de liquidação]])</f>
        <v>46214</v>
      </c>
      <c r="M3138" s="126">
        <f>base[[#This Row],[L/P Bruto]]-base[[#This Row],[L/P Líquido]]</f>
        <v>2.0831937172774886</v>
      </c>
      <c r="N3138" s="126">
        <f>base[[#This Row],[L/P Líquido]]/base[[#This Row],[Stake/Responsabilidade]]</f>
        <v>8.7381902992449689E-2</v>
      </c>
      <c r="O3138" s="132">
        <f>IF(base[[#This Row],[L/P Líquido]]&gt;0,1,0)</f>
        <v>1</v>
      </c>
      <c r="P3138" s="132"/>
      <c r="Q3138" s="132" t="str">
        <f>LEFT(base[[#This Row],[Evento / Mercado]],FIND("vs",base[[#This Row],[Evento / Mercado]])-2)</f>
        <v>FC Nõmme United</v>
      </c>
      <c r="R31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Kuressaare</v>
      </c>
      <c r="S3138" s="132" t="str">
        <f>LEFT(base[[#This Row],[Evento / Mercado]],FIND("/",base[[#This Row],[Evento / Mercado]])-2)</f>
        <v>FC Nõmme United vs FC Kuressaare</v>
      </c>
    </row>
    <row r="3139" spans="2:19" ht="15" customHeight="1">
      <c r="B3139" s="128" t="s">
        <v>3168</v>
      </c>
      <c r="C3139" s="128" t="s">
        <v>2981</v>
      </c>
      <c r="D3139" s="129">
        <v>46214.62395833333</v>
      </c>
      <c r="E3139" s="130">
        <v>-40.54</v>
      </c>
      <c r="F3139" s="136">
        <v>4.4999999999999998E-2</v>
      </c>
      <c r="G3139" s="126">
        <f t="shared" ref="G3139:G3202" si="68">IF(E3139&gt;0,E3139/(1-F3139),E3139)</f>
        <v>-40.54</v>
      </c>
      <c r="H3139" s="126" t="s">
        <v>2743</v>
      </c>
      <c r="I3139" s="127" t="s">
        <v>2744</v>
      </c>
      <c r="J3139" s="126">
        <v>8.4</v>
      </c>
      <c r="K3139" s="126">
        <v>40.54</v>
      </c>
      <c r="L3139" s="129">
        <f>INT(base[[#This Row],[Data de liquidação]])</f>
        <v>46214</v>
      </c>
      <c r="M3139" s="126">
        <f>base[[#This Row],[L/P Bruto]]-base[[#This Row],[L/P Líquido]]</f>
        <v>0</v>
      </c>
      <c r="N3139" s="126">
        <f>base[[#This Row],[L/P Líquido]]/base[[#This Row],[Stake/Responsabilidade]]</f>
        <v>-1</v>
      </c>
      <c r="O3139" s="132">
        <f>IF(base[[#This Row],[L/P Líquido]]&gt;0,1,0)</f>
        <v>0</v>
      </c>
      <c r="P3139" s="132"/>
      <c r="Q3139" s="132" t="str">
        <f>LEFT(base[[#This Row],[Evento / Mercado]],FIND("vs",base[[#This Row],[Evento / Mercado]])-2)</f>
        <v>Tromsø</v>
      </c>
      <c r="R31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3139" s="132" t="str">
        <f>LEFT(base[[#This Row],[Evento / Mercado]],FIND("/",base[[#This Row],[Evento / Mercado]])-2)</f>
        <v>Tromsø vs Vålerenga</v>
      </c>
    </row>
    <row r="3140" spans="2:19" ht="15" customHeight="1">
      <c r="B3140" s="128" t="s">
        <v>3148</v>
      </c>
      <c r="C3140" s="128" t="s">
        <v>2982</v>
      </c>
      <c r="D3140" s="129">
        <v>46214.624131944445</v>
      </c>
      <c r="E3140" s="130">
        <v>13.98</v>
      </c>
      <c r="F3140" s="136">
        <v>4.4999999999999998E-2</v>
      </c>
      <c r="G3140" s="126">
        <f t="shared" si="68"/>
        <v>14.638743455497384</v>
      </c>
      <c r="H3140" s="126" t="s">
        <v>2817</v>
      </c>
      <c r="I3140" s="127" t="s">
        <v>2993</v>
      </c>
      <c r="J3140" s="126">
        <v>5.2</v>
      </c>
      <c r="K3140" s="126">
        <v>100</v>
      </c>
      <c r="L3140" s="129">
        <f>INT(base[[#This Row],[Data de liquidação]])</f>
        <v>46214</v>
      </c>
      <c r="M3140" s="126">
        <f>base[[#This Row],[L/P Bruto]]-base[[#This Row],[L/P Líquido]]</f>
        <v>0.65874345549738322</v>
      </c>
      <c r="N3140" s="126">
        <f>base[[#This Row],[L/P Líquido]]/base[[#This Row],[Stake/Responsabilidade]]</f>
        <v>0.13980000000000001</v>
      </c>
      <c r="O3140" s="132">
        <f>IF(base[[#This Row],[L/P Líquido]]&gt;0,1,0)</f>
        <v>1</v>
      </c>
      <c r="P3140" s="132"/>
      <c r="Q3140" s="132" t="str">
        <f>LEFT(base[[#This Row],[Evento / Mercado]],FIND("vs",base[[#This Row],[Evento / Mercado]])-2)</f>
        <v>Tromsø</v>
      </c>
      <c r="R31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3140" s="132" t="str">
        <f>LEFT(base[[#This Row],[Evento / Mercado]],FIND("/",base[[#This Row],[Evento / Mercado]])-2)</f>
        <v>Tromsø vs Vålerenga</v>
      </c>
    </row>
    <row r="3141" spans="2:19" ht="15" customHeight="1">
      <c r="B3141" s="128" t="s">
        <v>3148</v>
      </c>
      <c r="C3141" s="128" t="s">
        <v>2981</v>
      </c>
      <c r="D3141" s="129">
        <v>46214.624131944445</v>
      </c>
      <c r="E3141" s="130">
        <v>66.44</v>
      </c>
      <c r="F3141" s="136">
        <v>4.4999999999999998E-2</v>
      </c>
      <c r="G3141" s="126">
        <f t="shared" si="68"/>
        <v>69.570680628272257</v>
      </c>
      <c r="H3141" s="126" t="s">
        <v>2743</v>
      </c>
      <c r="I3141" s="127" t="s">
        <v>1233</v>
      </c>
      <c r="J3141" s="126">
        <v>4.2</v>
      </c>
      <c r="K3141" s="126">
        <v>300</v>
      </c>
      <c r="L3141" s="129">
        <f>INT(base[[#This Row],[Data de liquidação]])</f>
        <v>46214</v>
      </c>
      <c r="M3141" s="126">
        <f>base[[#This Row],[L/P Bruto]]-base[[#This Row],[L/P Líquido]]</f>
        <v>3.130680628272259</v>
      </c>
      <c r="N3141" s="126">
        <f>base[[#This Row],[L/P Líquido]]/base[[#This Row],[Stake/Responsabilidade]]</f>
        <v>0.22146666666666667</v>
      </c>
      <c r="O3141" s="132">
        <f>IF(base[[#This Row],[L/P Líquido]]&gt;0,1,0)</f>
        <v>1</v>
      </c>
      <c r="P3141" s="132"/>
      <c r="Q3141" s="132" t="str">
        <f>LEFT(base[[#This Row],[Evento / Mercado]],FIND("vs",base[[#This Row],[Evento / Mercado]])-2)</f>
        <v>Tromsø</v>
      </c>
      <c r="R31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3141" s="132" t="str">
        <f>LEFT(base[[#This Row],[Evento / Mercado]],FIND("/",base[[#This Row],[Evento / Mercado]])-2)</f>
        <v>Tromsø vs Vålerenga</v>
      </c>
    </row>
    <row r="3142" spans="2:19" ht="15" customHeight="1">
      <c r="B3142" s="128" t="s">
        <v>3147</v>
      </c>
      <c r="C3142" s="128" t="s">
        <v>2982</v>
      </c>
      <c r="D3142" s="129">
        <v>46214.66611111111</v>
      </c>
      <c r="E3142" s="130">
        <v>-15</v>
      </c>
      <c r="F3142" s="136">
        <v>4.4999999999999998E-2</v>
      </c>
      <c r="G3142" s="126">
        <f t="shared" si="68"/>
        <v>-15</v>
      </c>
      <c r="H3142" s="126" t="s">
        <v>1339</v>
      </c>
      <c r="I3142" s="127" t="s">
        <v>1933</v>
      </c>
      <c r="J3142" s="126">
        <v>1.5</v>
      </c>
      <c r="K3142" s="126">
        <v>15</v>
      </c>
      <c r="L3142" s="129">
        <f>INT(base[[#This Row],[Data de liquidação]])</f>
        <v>46214</v>
      </c>
      <c r="M3142" s="126">
        <f>base[[#This Row],[L/P Bruto]]-base[[#This Row],[L/P Líquido]]</f>
        <v>0</v>
      </c>
      <c r="N3142" s="126">
        <f>base[[#This Row],[L/P Líquido]]/base[[#This Row],[Stake/Responsabilidade]]</f>
        <v>-1</v>
      </c>
      <c r="O3142" s="132">
        <f>IF(base[[#This Row],[L/P Líquido]]&gt;0,1,0)</f>
        <v>0</v>
      </c>
      <c r="P3142" s="132"/>
      <c r="Q3142" s="132" t="str">
        <f>LEFT(base[[#This Row],[Evento / Mercado]],FIND("vs",base[[#This Row],[Evento / Mercado]])-2)</f>
        <v>Manta FC</v>
      </c>
      <c r="R31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Orense SC</v>
      </c>
      <c r="S3142" s="132" t="str">
        <f>LEFT(base[[#This Row],[Evento / Mercado]],FIND("/",base[[#This Row],[Evento / Mercado]])-2)</f>
        <v>Manta FC vs Orense SC</v>
      </c>
    </row>
    <row r="3143" spans="2:19" ht="15" customHeight="1">
      <c r="B3143" s="128" t="s">
        <v>3146</v>
      </c>
      <c r="C3143" s="128" t="s">
        <v>2982</v>
      </c>
      <c r="D3143" s="129">
        <v>46214.698136574072</v>
      </c>
      <c r="E3143" s="130">
        <v>14.33</v>
      </c>
      <c r="F3143" s="136">
        <v>4.4999999999999998E-2</v>
      </c>
      <c r="G3143" s="126">
        <f t="shared" si="68"/>
        <v>15.005235602094242</v>
      </c>
      <c r="H3143" s="126" t="s">
        <v>1339</v>
      </c>
      <c r="I3143" s="127" t="s">
        <v>1236</v>
      </c>
      <c r="J3143" s="126">
        <v>7.4</v>
      </c>
      <c r="K3143" s="126">
        <v>15</v>
      </c>
      <c r="L3143" s="129">
        <f>INT(base[[#This Row],[Data de liquidação]])</f>
        <v>46214</v>
      </c>
      <c r="M3143" s="126">
        <f>base[[#This Row],[L/P Bruto]]-base[[#This Row],[L/P Líquido]]</f>
        <v>0.67523560209424183</v>
      </c>
      <c r="N3143" s="126">
        <f>base[[#This Row],[L/P Líquido]]/base[[#This Row],[Stake/Responsabilidade]]</f>
        <v>0.95533333333333337</v>
      </c>
      <c r="O3143" s="132">
        <f>IF(base[[#This Row],[L/P Líquido]]&gt;0,1,0)</f>
        <v>1</v>
      </c>
      <c r="P3143" s="132"/>
      <c r="Q3143" s="132" t="str">
        <f>LEFT(base[[#This Row],[Evento / Mercado]],FIND("vs",base[[#This Row],[Evento / Mercado]])-2)</f>
        <v>Mushuc Runa</v>
      </c>
      <c r="R31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Independiente del Valle</v>
      </c>
      <c r="S3143" s="132" t="str">
        <f>LEFT(base[[#This Row],[Evento / Mercado]],FIND("/",base[[#This Row],[Evento / Mercado]])-2)</f>
        <v>Mushuc Runa vs Independiente del Valle</v>
      </c>
    </row>
    <row r="3144" spans="2:19" ht="15" customHeight="1">
      <c r="B3144" s="128" t="s">
        <v>3145</v>
      </c>
      <c r="C3144" s="128" t="s">
        <v>2982</v>
      </c>
      <c r="D3144" s="129">
        <v>46214.721516203703</v>
      </c>
      <c r="E3144" s="130">
        <v>-13.85</v>
      </c>
      <c r="F3144" s="136">
        <v>4.4999999999999998E-2</v>
      </c>
      <c r="G3144" s="126">
        <f t="shared" si="68"/>
        <v>-13.85</v>
      </c>
      <c r="H3144" s="126" t="s">
        <v>1339</v>
      </c>
      <c r="I3144" s="127" t="s">
        <v>1236</v>
      </c>
      <c r="J3144" s="126">
        <v>10</v>
      </c>
      <c r="K3144" s="126">
        <v>15</v>
      </c>
      <c r="L3144" s="129">
        <f>INT(base[[#This Row],[Data de liquidação]])</f>
        <v>46214</v>
      </c>
      <c r="M3144" s="126">
        <f>base[[#This Row],[L/P Bruto]]-base[[#This Row],[L/P Líquido]]</f>
        <v>0</v>
      </c>
      <c r="N3144" s="126">
        <f>base[[#This Row],[L/P Líquido]]/base[[#This Row],[Stake/Responsabilidade]]</f>
        <v>-0.92333333333333334</v>
      </c>
      <c r="O3144" s="132">
        <f>IF(base[[#This Row],[L/P Líquido]]&gt;0,1,0)</f>
        <v>0</v>
      </c>
      <c r="P3144" s="132"/>
      <c r="Q3144" s="132" t="str">
        <f>LEFT(base[[#This Row],[Evento / Mercado]],FIND("vs",base[[#This Row],[Evento / Mercado]])-2)</f>
        <v>CDT Real Oruro</v>
      </c>
      <c r="R31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Gualberto Villarroel</v>
      </c>
      <c r="S3144" s="132" t="str">
        <f>LEFT(base[[#This Row],[Evento / Mercado]],FIND("/",base[[#This Row],[Evento / Mercado]])-2)</f>
        <v>CDT Real Oruro vs CD Gualberto Villarroel</v>
      </c>
    </row>
    <row r="3145" spans="2:19" ht="15" customHeight="1">
      <c r="B3145" s="128" t="s">
        <v>3143</v>
      </c>
      <c r="C3145" s="128" t="s">
        <v>2980</v>
      </c>
      <c r="D3145" s="129">
        <v>46214.834027777775</v>
      </c>
      <c r="E3145" s="130">
        <v>-133.34</v>
      </c>
      <c r="F3145" s="136">
        <v>4.4999999999999998E-2</v>
      </c>
      <c r="G3145" s="126">
        <f>IF(E3145&gt;0,E3145/(1-F3145),E3145)</f>
        <v>-133.34</v>
      </c>
      <c r="H3145" s="126" t="s">
        <v>145</v>
      </c>
      <c r="I3145" s="127" t="s">
        <v>2877</v>
      </c>
      <c r="J3145" s="126">
        <v>5.5</v>
      </c>
      <c r="K3145" s="126">
        <v>400.01</v>
      </c>
      <c r="L3145" s="129">
        <f>INT(base[[#This Row],[Data de liquidação]])</f>
        <v>46214</v>
      </c>
      <c r="M3145" s="126">
        <f>base[[#This Row],[L/P Bruto]]-base[[#This Row],[L/P Líquido]]</f>
        <v>0</v>
      </c>
      <c r="N3145" s="126">
        <f>base[[#This Row],[L/P Líquido]]/base[[#This Row],[Stake/Responsabilidade]]</f>
        <v>-0.33334166645833857</v>
      </c>
      <c r="O3145" s="132">
        <f>IF(base[[#This Row],[L/P Líquido]]&gt;0,1,0)</f>
        <v>0</v>
      </c>
      <c r="P3145" s="132" t="s">
        <v>2818</v>
      </c>
      <c r="Q3145" s="132" t="str">
        <f>LEFT(base[[#This Row],[Evento / Mercado]],FIND("vs",base[[#This Row],[Evento / Mercado]])-2)</f>
        <v>Norway</v>
      </c>
      <c r="R31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3145" s="132" t="str">
        <f>LEFT(base[[#This Row],[Evento / Mercado]],FIND("/",base[[#This Row],[Evento / Mercado]])-2)</f>
        <v>Norway vs England</v>
      </c>
    </row>
    <row r="3146" spans="2:19" ht="15" customHeight="1">
      <c r="B3146" s="128" t="s">
        <v>3144</v>
      </c>
      <c r="C3146" s="128" t="s">
        <v>2980</v>
      </c>
      <c r="D3146" s="129">
        <v>46214.834027777775</v>
      </c>
      <c r="E3146" s="130">
        <v>8.09</v>
      </c>
      <c r="F3146" s="136">
        <v>4.4999999999999998E-2</v>
      </c>
      <c r="G3146" s="126">
        <f>IF(E3146&gt;0,E3146/(1-F3146),E3146)</f>
        <v>8.4712041884816749</v>
      </c>
      <c r="H3146" s="126" t="s">
        <v>3074</v>
      </c>
      <c r="I3146" s="127" t="s">
        <v>2877</v>
      </c>
      <c r="J3146" s="126">
        <v>60</v>
      </c>
      <c r="K3146" s="126">
        <v>499.73</v>
      </c>
      <c r="L3146" s="129">
        <f>INT(base[[#This Row],[Data de liquidação]])</f>
        <v>46214</v>
      </c>
      <c r="M3146" s="126">
        <f>base[[#This Row],[L/P Bruto]]-base[[#This Row],[L/P Líquido]]</f>
        <v>0.38120418848167503</v>
      </c>
      <c r="N3146" s="126">
        <f>base[[#This Row],[L/P Líquido]]/base[[#This Row],[Stake/Responsabilidade]]</f>
        <v>1.6188741920637142E-2</v>
      </c>
      <c r="O3146" s="132">
        <f>IF(base[[#This Row],[L/P Líquido]]&gt;0,1,0)</f>
        <v>1</v>
      </c>
      <c r="P3146" s="132"/>
      <c r="Q3146" s="132" t="str">
        <f>LEFT(base[[#This Row],[Evento / Mercado]],FIND("vs",base[[#This Row],[Evento / Mercado]])-2)</f>
        <v>Norway</v>
      </c>
      <c r="R31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3146" s="132" t="str">
        <f>LEFT(base[[#This Row],[Evento / Mercado]],FIND("/",base[[#This Row],[Evento / Mercado]])-2)</f>
        <v>Norway vs England</v>
      </c>
    </row>
    <row r="3147" spans="2:19" ht="15" customHeight="1">
      <c r="B3147" s="128" t="s">
        <v>3144</v>
      </c>
      <c r="C3147" s="128" t="s">
        <v>2981</v>
      </c>
      <c r="D3147" s="129">
        <v>46214.834120370368</v>
      </c>
      <c r="E3147" s="130">
        <v>291.60000000000002</v>
      </c>
      <c r="F3147" s="136">
        <v>4.4999999999999998E-2</v>
      </c>
      <c r="G3147" s="126">
        <f t="shared" si="68"/>
        <v>305.3403141361257</v>
      </c>
      <c r="H3147" s="126" t="s">
        <v>2743</v>
      </c>
      <c r="I3147" s="127" t="s">
        <v>2744</v>
      </c>
      <c r="J3147" s="126">
        <v>8.4</v>
      </c>
      <c r="K3147" s="126">
        <v>40.54</v>
      </c>
      <c r="L3147" s="129">
        <f>INT(base[[#This Row],[Data de liquidação]])</f>
        <v>46214</v>
      </c>
      <c r="M3147" s="126">
        <f>base[[#This Row],[L/P Bruto]]-base[[#This Row],[L/P Líquido]]</f>
        <v>13.740314136125676</v>
      </c>
      <c r="N3147" s="126">
        <f>base[[#This Row],[L/P Líquido]]/base[[#This Row],[Stake/Responsabilidade]]</f>
        <v>7.1928959052787373</v>
      </c>
      <c r="O3147" s="132">
        <f>IF(base[[#This Row],[L/P Líquido]]&gt;0,1,0)</f>
        <v>1</v>
      </c>
      <c r="P3147" s="132"/>
      <c r="Q3147" s="132" t="str">
        <f>LEFT(base[[#This Row],[Evento / Mercado]],FIND("vs",base[[#This Row],[Evento / Mercado]])-2)</f>
        <v>Norway</v>
      </c>
      <c r="R31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3147" s="132" t="str">
        <f>LEFT(base[[#This Row],[Evento / Mercado]],FIND("/",base[[#This Row],[Evento / Mercado]])-2)</f>
        <v>Norway vs England</v>
      </c>
    </row>
    <row r="3148" spans="2:19" ht="15" customHeight="1">
      <c r="B3148" s="128" t="s">
        <v>3144</v>
      </c>
      <c r="C3148" s="128" t="s">
        <v>2982</v>
      </c>
      <c r="D3148" s="129">
        <v>46214.834131944444</v>
      </c>
      <c r="E3148" s="130">
        <v>26.74</v>
      </c>
      <c r="F3148" s="136">
        <v>4.4999999999999998E-2</v>
      </c>
      <c r="G3148" s="126">
        <f t="shared" si="68"/>
        <v>28</v>
      </c>
      <c r="H3148" s="126" t="s">
        <v>2821</v>
      </c>
      <c r="I3148" s="127" t="s">
        <v>542</v>
      </c>
      <c r="J3148" s="126">
        <v>18</v>
      </c>
      <c r="K3148" s="126">
        <v>476</v>
      </c>
      <c r="L3148" s="129">
        <f>INT(base[[#This Row],[Data de liquidação]])</f>
        <v>46214</v>
      </c>
      <c r="M3148" s="126">
        <f>base[[#This Row],[L/P Bruto]]-base[[#This Row],[L/P Líquido]]</f>
        <v>1.2600000000000016</v>
      </c>
      <c r="N3148" s="126">
        <f>base[[#This Row],[L/P Líquido]]/base[[#This Row],[Stake/Responsabilidade]]</f>
        <v>5.6176470588235293E-2</v>
      </c>
      <c r="O3148" s="132">
        <f>IF(base[[#This Row],[L/P Líquido]]&gt;0,1,0)</f>
        <v>1</v>
      </c>
      <c r="P3148" s="132"/>
      <c r="Q3148" s="132" t="str">
        <f>LEFT(base[[#This Row],[Evento / Mercado]],FIND("vs",base[[#This Row],[Evento / Mercado]])-2)</f>
        <v>Norway</v>
      </c>
      <c r="R31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3148" s="132" t="str">
        <f>LEFT(base[[#This Row],[Evento / Mercado]],FIND("/",base[[#This Row],[Evento / Mercado]])-2)</f>
        <v>Norway vs England</v>
      </c>
    </row>
    <row r="3149" spans="2:19" ht="15" customHeight="1">
      <c r="B3149" s="128" t="s">
        <v>3143</v>
      </c>
      <c r="C3149" s="128" t="s">
        <v>2981</v>
      </c>
      <c r="D3149" s="129">
        <v>46214.834629629629</v>
      </c>
      <c r="E3149" s="130">
        <v>-299.99</v>
      </c>
      <c r="F3149" s="136">
        <v>4.4999999999999998E-2</v>
      </c>
      <c r="G3149" s="126">
        <f t="shared" si="68"/>
        <v>-299.99</v>
      </c>
      <c r="H3149" s="126" t="s">
        <v>2743</v>
      </c>
      <c r="I3149" s="127" t="s">
        <v>1233</v>
      </c>
      <c r="J3149" s="126">
        <v>4.0999999999999996</v>
      </c>
      <c r="K3149" s="126">
        <v>299.99</v>
      </c>
      <c r="L3149" s="129">
        <f>INT(base[[#This Row],[Data de liquidação]])</f>
        <v>46214</v>
      </c>
      <c r="M3149" s="126">
        <f>base[[#This Row],[L/P Bruto]]-base[[#This Row],[L/P Líquido]]</f>
        <v>0</v>
      </c>
      <c r="N3149" s="126">
        <f>base[[#This Row],[L/P Líquido]]/base[[#This Row],[Stake/Responsabilidade]]</f>
        <v>-1</v>
      </c>
      <c r="O3149" s="132">
        <f>IF(base[[#This Row],[L/P Líquido]]&gt;0,1,0)</f>
        <v>0</v>
      </c>
      <c r="P3149" s="132"/>
      <c r="Q3149" s="132" t="str">
        <f>LEFT(base[[#This Row],[Evento / Mercado]],FIND("vs",base[[#This Row],[Evento / Mercado]])-2)</f>
        <v>Norway</v>
      </c>
      <c r="R31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3149" s="132" t="str">
        <f>LEFT(base[[#This Row],[Evento / Mercado]],FIND("/",base[[#This Row],[Evento / Mercado]])-2)</f>
        <v>Norway vs England</v>
      </c>
    </row>
    <row r="3150" spans="2:19" ht="15" customHeight="1">
      <c r="B3150" s="128" t="s">
        <v>3143</v>
      </c>
      <c r="C3150" s="128" t="s">
        <v>2982</v>
      </c>
      <c r="D3150" s="129">
        <v>46214.834641203706</v>
      </c>
      <c r="E3150" s="130">
        <v>42.36</v>
      </c>
      <c r="F3150" s="136">
        <v>4.4999999999999998E-2</v>
      </c>
      <c r="G3150" s="126">
        <f t="shared" si="68"/>
        <v>44.356020942408378</v>
      </c>
      <c r="H3150" s="126" t="s">
        <v>2817</v>
      </c>
      <c r="I3150" s="127" t="s">
        <v>2993</v>
      </c>
      <c r="J3150" s="126">
        <f>(4.68*99.6+2.4*100)/base[[#This Row],[Stake/Responsabilidade]]</f>
        <v>3.5377154308617231</v>
      </c>
      <c r="K3150" s="126">
        <f>100+99.6</f>
        <v>199.6</v>
      </c>
      <c r="L3150" s="129">
        <f>INT(base[[#This Row],[Data de liquidação]])</f>
        <v>46214</v>
      </c>
      <c r="M3150" s="126">
        <f>base[[#This Row],[L/P Bruto]]-base[[#This Row],[L/P Líquido]]</f>
        <v>1.9960209424083786</v>
      </c>
      <c r="N3150" s="126">
        <f>base[[#This Row],[L/P Líquido]]/base[[#This Row],[Stake/Responsabilidade]]</f>
        <v>0.2122244488977956</v>
      </c>
      <c r="O3150" s="132">
        <f>IF(base[[#This Row],[L/P Líquido]]&gt;0,1,0)</f>
        <v>1</v>
      </c>
      <c r="P3150" s="132"/>
      <c r="Q3150" s="132" t="str">
        <f>LEFT(base[[#This Row],[Evento / Mercado]],FIND("vs",base[[#This Row],[Evento / Mercado]])-2)</f>
        <v>Norway</v>
      </c>
      <c r="R31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3150" s="132" t="str">
        <f>LEFT(base[[#This Row],[Evento / Mercado]],FIND("/",base[[#This Row],[Evento / Mercado]])-2)</f>
        <v>Norway vs England</v>
      </c>
    </row>
    <row r="3151" spans="2:19" ht="15" customHeight="1">
      <c r="B3151" s="128" t="s">
        <v>3182</v>
      </c>
      <c r="C3151" s="128" t="s">
        <v>2981</v>
      </c>
      <c r="D3151" s="129">
        <v>46215.000543981485</v>
      </c>
      <c r="E3151" s="130">
        <v>292.02</v>
      </c>
      <c r="F3151" s="136">
        <v>4.4999999999999998E-2</v>
      </c>
      <c r="G3151" s="126">
        <f t="shared" si="68"/>
        <v>305.78010471204186</v>
      </c>
      <c r="H3151" s="126" t="s">
        <v>2743</v>
      </c>
      <c r="I3151" s="127" t="s">
        <v>2744</v>
      </c>
      <c r="J3151" s="126">
        <v>7.6</v>
      </c>
      <c r="K3151" s="126">
        <v>46.88</v>
      </c>
      <c r="L3151" s="129">
        <f>INT(base[[#This Row],[Data de liquidação]])</f>
        <v>46215</v>
      </c>
      <c r="M3151" s="126">
        <f>base[[#This Row],[L/P Bruto]]-base[[#This Row],[L/P Líquido]]</f>
        <v>13.76010471204188</v>
      </c>
      <c r="N3151" s="126">
        <f>base[[#This Row],[L/P Líquido]]/base[[#This Row],[Stake/Responsabilidade]]</f>
        <v>6.2290955631399312</v>
      </c>
      <c r="O3151" s="132">
        <f>IF(base[[#This Row],[L/P Líquido]]&gt;0,1,0)</f>
        <v>1</v>
      </c>
      <c r="P3151" s="132"/>
      <c r="Q3151" s="132" t="str">
        <f>LEFT(base[[#This Row],[Evento / Mercado]],FIND("vs",base[[#This Row],[Evento / Mercado]])-2)</f>
        <v>Argentina</v>
      </c>
      <c r="R31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Switzerland</v>
      </c>
      <c r="S3151" s="132" t="str">
        <f>LEFT(base[[#This Row],[Evento / Mercado]],FIND("/",base[[#This Row],[Evento / Mercado]])-2)</f>
        <v>Argentina vs Switzerland</v>
      </c>
    </row>
    <row r="3152" spans="2:19" ht="15" customHeight="1">
      <c r="B3152" s="128" t="s">
        <v>3182</v>
      </c>
      <c r="C3152" s="128" t="s">
        <v>2982</v>
      </c>
      <c r="D3152" s="129">
        <v>46215.000543981485</v>
      </c>
      <c r="E3152" s="130">
        <v>30.08</v>
      </c>
      <c r="F3152" s="136">
        <v>4.4999999999999998E-2</v>
      </c>
      <c r="G3152" s="126">
        <f t="shared" si="68"/>
        <v>31.497382198952881</v>
      </c>
      <c r="H3152" s="126" t="s">
        <v>2821</v>
      </c>
      <c r="I3152" s="127" t="s">
        <v>476</v>
      </c>
      <c r="J3152" s="126">
        <v>17</v>
      </c>
      <c r="K3152" s="126">
        <v>504</v>
      </c>
      <c r="L3152" s="129">
        <f>INT(base[[#This Row],[Data de liquidação]])</f>
        <v>46215</v>
      </c>
      <c r="M3152" s="126">
        <f>base[[#This Row],[L/P Bruto]]-base[[#This Row],[L/P Líquido]]</f>
        <v>1.4173821989528825</v>
      </c>
      <c r="N3152" s="126">
        <f>base[[#This Row],[L/P Líquido]]/base[[#This Row],[Stake/Responsabilidade]]</f>
        <v>5.9682539682539677E-2</v>
      </c>
      <c r="O3152" s="132">
        <f>IF(base[[#This Row],[L/P Líquido]]&gt;0,1,0)</f>
        <v>1</v>
      </c>
      <c r="P3152" s="132"/>
      <c r="Q3152" s="132" t="str">
        <f>LEFT(base[[#This Row],[Evento / Mercado]],FIND("vs",base[[#This Row],[Evento / Mercado]])-2)</f>
        <v>Argentina</v>
      </c>
      <c r="R31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Switzerland</v>
      </c>
      <c r="S3152" s="132" t="str">
        <f>LEFT(base[[#This Row],[Evento / Mercado]],FIND("/",base[[#This Row],[Evento / Mercado]])-2)</f>
        <v>Argentina vs Switzerland</v>
      </c>
    </row>
    <row r="3153" spans="2:19" ht="15" customHeight="1">
      <c r="B3153" s="128" t="s">
        <v>3191</v>
      </c>
      <c r="C3153" s="128" t="s">
        <v>2982</v>
      </c>
      <c r="D3153" s="129">
        <v>46215.000960648147</v>
      </c>
      <c r="E3153" s="130">
        <v>28.3</v>
      </c>
      <c r="F3153" s="136">
        <v>4.4999999999999998E-2</v>
      </c>
      <c r="G3153" s="126">
        <f t="shared" si="68"/>
        <v>29.633507853403142</v>
      </c>
      <c r="H3153" s="126" t="s">
        <v>145</v>
      </c>
      <c r="I3153" s="127" t="s">
        <v>3192</v>
      </c>
      <c r="J3153" s="126">
        <v>14.5</v>
      </c>
      <c r="K3153" s="126">
        <v>400.01</v>
      </c>
      <c r="L3153" s="129">
        <f>INT(base[[#This Row],[Data de liquidação]])</f>
        <v>46215</v>
      </c>
      <c r="M3153" s="126">
        <f>base[[#This Row],[L/P Bruto]]-base[[#This Row],[L/P Líquido]]</f>
        <v>1.333507853403141</v>
      </c>
      <c r="N3153" s="126">
        <f>base[[#This Row],[L/P Líquido]]/base[[#This Row],[Stake/Responsabilidade]]</f>
        <v>7.0748231294217645E-2</v>
      </c>
      <c r="O3153" s="132">
        <f>IF(base[[#This Row],[L/P Líquido]]&gt;0,1,0)</f>
        <v>1</v>
      </c>
      <c r="P3153" s="132"/>
      <c r="Q3153" s="132" t="str">
        <f>LEFT(base[[#This Row],[Evento / Mercado]],FIND("vs",base[[#This Row],[Evento / Mercado]])-2)</f>
        <v>Argentina</v>
      </c>
      <c r="R31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Switzerland</v>
      </c>
      <c r="S3153" s="132" t="str">
        <f>LEFT(base[[#This Row],[Evento / Mercado]],FIND("/",base[[#This Row],[Evento / Mercado]])-2)</f>
        <v>Argentina vs Switzerland</v>
      </c>
    </row>
    <row r="3154" spans="2:19" ht="15" customHeight="1">
      <c r="B3154" s="128" t="s">
        <v>3181</v>
      </c>
      <c r="C3154" s="128" t="s">
        <v>2981</v>
      </c>
      <c r="D3154" s="129">
        <v>46215.001018518517</v>
      </c>
      <c r="E3154" s="130">
        <v>-300.02</v>
      </c>
      <c r="F3154" s="136">
        <v>4.4999999999999998E-2</v>
      </c>
      <c r="G3154" s="126">
        <f t="shared" si="68"/>
        <v>-300.02</v>
      </c>
      <c r="H3154" s="126" t="s">
        <v>2743</v>
      </c>
      <c r="I3154" s="127" t="s">
        <v>1233</v>
      </c>
      <c r="J3154" s="126">
        <f>(3.65*5.01+3.61*295.01)/base[[#This Row],[Stake/Responsabilidade]]</f>
        <v>3.6106679554696348</v>
      </c>
      <c r="K3154" s="126">
        <f>295.01+5.01</f>
        <v>300.02</v>
      </c>
      <c r="L3154" s="129">
        <f>INT(base[[#This Row],[Data de liquidação]])</f>
        <v>46215</v>
      </c>
      <c r="M3154" s="126">
        <f>base[[#This Row],[L/P Bruto]]-base[[#This Row],[L/P Líquido]]</f>
        <v>0</v>
      </c>
      <c r="N3154" s="126">
        <f>base[[#This Row],[L/P Líquido]]/base[[#This Row],[Stake/Responsabilidade]]</f>
        <v>-1</v>
      </c>
      <c r="O3154" s="132">
        <f>IF(base[[#This Row],[L/P Líquido]]&gt;0,1,0)</f>
        <v>0</v>
      </c>
      <c r="P3154" s="132"/>
      <c r="Q3154" s="132" t="str">
        <f>LEFT(base[[#This Row],[Evento / Mercado]],FIND("vs",base[[#This Row],[Evento / Mercado]])-2)</f>
        <v>Argentina</v>
      </c>
      <c r="R31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Switzerland</v>
      </c>
      <c r="S3154" s="132" t="str">
        <f>LEFT(base[[#This Row],[Evento / Mercado]],FIND("/",base[[#This Row],[Evento / Mercado]])-2)</f>
        <v>Argentina vs Switzerland</v>
      </c>
    </row>
    <row r="3155" spans="2:19" ht="15" customHeight="1">
      <c r="B3155" s="128" t="s">
        <v>3181</v>
      </c>
      <c r="C3155" s="128" t="s">
        <v>2982</v>
      </c>
      <c r="D3155" s="129">
        <v>46215.001018518517</v>
      </c>
      <c r="E3155" s="130">
        <v>9.5500000000000007</v>
      </c>
      <c r="F3155" s="136">
        <v>4.4999999999999998E-2</v>
      </c>
      <c r="G3155" s="126">
        <f t="shared" si="68"/>
        <v>10.000000000000002</v>
      </c>
      <c r="H3155" s="126" t="s">
        <v>2817</v>
      </c>
      <c r="I3155" s="127" t="s">
        <v>2992</v>
      </c>
      <c r="J3155" s="126">
        <v>6.6</v>
      </c>
      <c r="K3155" s="126">
        <v>100.02</v>
      </c>
      <c r="L3155" s="129">
        <f>INT(base[[#This Row],[Data de liquidação]])</f>
        <v>46215</v>
      </c>
      <c r="M3155" s="126">
        <f>base[[#This Row],[L/P Bruto]]-base[[#This Row],[L/P Líquido]]</f>
        <v>0.45000000000000107</v>
      </c>
      <c r="N3155" s="126">
        <f>base[[#This Row],[L/P Líquido]]/base[[#This Row],[Stake/Responsabilidade]]</f>
        <v>9.5480903819236157E-2</v>
      </c>
      <c r="O3155" s="132">
        <f>IF(base[[#This Row],[L/P Líquido]]&gt;0,1,0)</f>
        <v>1</v>
      </c>
      <c r="P3155" s="132"/>
      <c r="Q3155" s="132" t="str">
        <f>LEFT(base[[#This Row],[Evento / Mercado]],FIND("vs",base[[#This Row],[Evento / Mercado]])-2)</f>
        <v>Argentina</v>
      </c>
      <c r="R31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Switzerland</v>
      </c>
      <c r="S3155" s="132" t="str">
        <f>LEFT(base[[#This Row],[Evento / Mercado]],FIND("/",base[[#This Row],[Evento / Mercado]])-2)</f>
        <v>Argentina vs Switzerland</v>
      </c>
    </row>
    <row r="3156" spans="2:19" ht="15" customHeight="1">
      <c r="B3156" s="128" t="s">
        <v>3180</v>
      </c>
      <c r="C3156" s="128" t="s">
        <v>2981</v>
      </c>
      <c r="D3156" s="129">
        <v>46215.452685185184</v>
      </c>
      <c r="E3156" s="130">
        <v>-28.57</v>
      </c>
      <c r="F3156" s="136">
        <v>4.4999999999999998E-2</v>
      </c>
      <c r="G3156" s="126">
        <f t="shared" si="68"/>
        <v>-28.57</v>
      </c>
      <c r="H3156" s="126" t="s">
        <v>2743</v>
      </c>
      <c r="I3156" s="127" t="s">
        <v>2744</v>
      </c>
      <c r="J3156" s="126">
        <v>11.5</v>
      </c>
      <c r="K3156" s="126">
        <v>28.57</v>
      </c>
      <c r="L3156" s="129">
        <f>INT(base[[#This Row],[Data de liquidação]])</f>
        <v>46215</v>
      </c>
      <c r="M3156" s="126">
        <f>base[[#This Row],[L/P Bruto]]-base[[#This Row],[L/P Líquido]]</f>
        <v>0</v>
      </c>
      <c r="N3156" s="126">
        <f>base[[#This Row],[L/P Líquido]]/base[[#This Row],[Stake/Responsabilidade]]</f>
        <v>-1</v>
      </c>
      <c r="O3156" s="132">
        <f>IF(base[[#This Row],[L/P Líquido]]&gt;0,1,0)</f>
        <v>0</v>
      </c>
      <c r="P3156" s="132"/>
      <c r="Q3156" s="132" t="str">
        <f>LEFT(base[[#This Row],[Evento / Mercado]],FIND("vs",base[[#This Row],[Evento / Mercado]])-2)</f>
        <v>Hammarby IF</v>
      </c>
      <c r="R31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Kalmar FF</v>
      </c>
      <c r="S3156" s="132" t="str">
        <f>LEFT(base[[#This Row],[Evento / Mercado]],FIND("/",base[[#This Row],[Evento / Mercado]])-2)</f>
        <v>Hammarby IF vs Kalmar FF</v>
      </c>
    </row>
    <row r="3157" spans="2:19" ht="15" customHeight="1">
      <c r="B3157" s="128" t="s">
        <v>3179</v>
      </c>
      <c r="C3157" s="128" t="s">
        <v>2981</v>
      </c>
      <c r="D3157" s="129">
        <v>46215.452789351853</v>
      </c>
      <c r="E3157" s="130">
        <v>47.14</v>
      </c>
      <c r="F3157" s="136">
        <v>4.4999999999999998E-2</v>
      </c>
      <c r="G3157" s="126">
        <f t="shared" si="68"/>
        <v>49.361256544502623</v>
      </c>
      <c r="H3157" s="126" t="s">
        <v>2743</v>
      </c>
      <c r="I3157" s="127" t="s">
        <v>1233</v>
      </c>
      <c r="J3157" s="126">
        <v>5.6</v>
      </c>
      <c r="K3157" s="126">
        <v>287.5</v>
      </c>
      <c r="L3157" s="129">
        <f>INT(base[[#This Row],[Data de liquidação]])</f>
        <v>46215</v>
      </c>
      <c r="M3157" s="126">
        <f>base[[#This Row],[L/P Bruto]]-base[[#This Row],[L/P Líquido]]</f>
        <v>2.2212565445026229</v>
      </c>
      <c r="N3157" s="126">
        <f>base[[#This Row],[L/P Líquido]]/base[[#This Row],[Stake/Responsabilidade]]</f>
        <v>0.16396521739130435</v>
      </c>
      <c r="O3157" s="132">
        <f>IF(base[[#This Row],[L/P Líquido]]&gt;0,1,0)</f>
        <v>1</v>
      </c>
      <c r="P3157" s="132"/>
      <c r="Q3157" s="132" t="str">
        <f>LEFT(base[[#This Row],[Evento / Mercado]],FIND("vs",base[[#This Row],[Evento / Mercado]])-2)</f>
        <v>Hammarby IF</v>
      </c>
      <c r="R31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Kalmar FF</v>
      </c>
      <c r="S3157" s="132" t="str">
        <f>LEFT(base[[#This Row],[Evento / Mercado]],FIND("/",base[[#This Row],[Evento / Mercado]])-2)</f>
        <v>Hammarby IF vs Kalmar FF</v>
      </c>
    </row>
    <row r="3158" spans="2:19" ht="15" customHeight="1">
      <c r="B3158" s="128" t="s">
        <v>3179</v>
      </c>
      <c r="C3158" s="128" t="s">
        <v>2982</v>
      </c>
      <c r="D3158" s="129">
        <v>46215.452789351853</v>
      </c>
      <c r="E3158" s="130">
        <v>7.23</v>
      </c>
      <c r="F3158" s="136">
        <v>4.4999999999999998E-2</v>
      </c>
      <c r="G3158" s="126">
        <f t="shared" si="68"/>
        <v>7.5706806282722523</v>
      </c>
      <c r="H3158" s="126" t="s">
        <v>2817</v>
      </c>
      <c r="I3158" s="127" t="s">
        <v>2992</v>
      </c>
      <c r="J3158" s="126">
        <v>8</v>
      </c>
      <c r="K3158" s="126">
        <v>100.03</v>
      </c>
      <c r="L3158" s="129">
        <f>INT(base[[#This Row],[Data de liquidação]])</f>
        <v>46215</v>
      </c>
      <c r="M3158" s="126">
        <f>base[[#This Row],[L/P Bruto]]-base[[#This Row],[L/P Líquido]]</f>
        <v>0.34068062827225187</v>
      </c>
      <c r="N3158" s="126">
        <f>base[[#This Row],[L/P Líquido]]/base[[#This Row],[Stake/Responsabilidade]]</f>
        <v>7.2278316505048484E-2</v>
      </c>
      <c r="O3158" s="132">
        <f>IF(base[[#This Row],[L/P Líquido]]&gt;0,1,0)</f>
        <v>1</v>
      </c>
      <c r="P3158" s="132"/>
      <c r="Q3158" s="132" t="str">
        <f>LEFT(base[[#This Row],[Evento / Mercado]],FIND("vs",base[[#This Row],[Evento / Mercado]])-2)</f>
        <v>Hammarby IF</v>
      </c>
      <c r="R31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Kalmar FF</v>
      </c>
      <c r="S3158" s="132" t="str">
        <f>LEFT(base[[#This Row],[Evento / Mercado]],FIND("/",base[[#This Row],[Evento / Mercado]])-2)</f>
        <v>Hammarby IF vs Kalmar FF</v>
      </c>
    </row>
    <row r="3159" spans="2:19" ht="15" customHeight="1">
      <c r="B3159" s="128" t="s">
        <v>3178</v>
      </c>
      <c r="C3159" s="128" t="s">
        <v>2981</v>
      </c>
      <c r="D3159" s="129">
        <v>46215.45349537037</v>
      </c>
      <c r="E3159" s="130">
        <v>-36.590000000000003</v>
      </c>
      <c r="F3159" s="136">
        <v>4.4999999999999998E-2</v>
      </c>
      <c r="G3159" s="126">
        <f t="shared" si="68"/>
        <v>-36.590000000000003</v>
      </c>
      <c r="H3159" s="126" t="s">
        <v>2743</v>
      </c>
      <c r="I3159" s="127" t="s">
        <v>2744</v>
      </c>
      <c r="J3159" s="126">
        <v>9.33</v>
      </c>
      <c r="K3159" s="126">
        <v>36.590000000000003</v>
      </c>
      <c r="L3159" s="129">
        <f>INT(base[[#This Row],[Data de liquidação]])</f>
        <v>46215</v>
      </c>
      <c r="M3159" s="126">
        <f>base[[#This Row],[L/P Bruto]]-base[[#This Row],[L/P Líquido]]</f>
        <v>0</v>
      </c>
      <c r="N3159" s="126">
        <f>base[[#This Row],[L/P Líquido]]/base[[#This Row],[Stake/Responsabilidade]]</f>
        <v>-1</v>
      </c>
      <c r="O3159" s="132">
        <f>IF(base[[#This Row],[L/P Líquido]]&gt;0,1,0)</f>
        <v>0</v>
      </c>
      <c r="P3159" s="132"/>
      <c r="Q3159" s="132" t="str">
        <f>LEFT(base[[#This Row],[Evento / Mercado]],FIND("vs",base[[#This Row],[Evento / Mercado]])-2)</f>
        <v>Malmö FF</v>
      </c>
      <c r="R31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159" s="132" t="str">
        <f>LEFT(base[[#This Row],[Evento / Mercado]],FIND("/",base[[#This Row],[Evento / Mercado]])-2)</f>
        <v>Malmö FF vs IFK Göteborg</v>
      </c>
    </row>
    <row r="3160" spans="2:19" ht="15" customHeight="1">
      <c r="B3160" s="128" t="s">
        <v>3177</v>
      </c>
      <c r="C3160" s="128" t="s">
        <v>2981</v>
      </c>
      <c r="D3160" s="129">
        <v>46215.453611111108</v>
      </c>
      <c r="E3160" s="130">
        <v>50.63</v>
      </c>
      <c r="F3160" s="136">
        <v>4.4999999999999998E-2</v>
      </c>
      <c r="G3160" s="126">
        <f t="shared" si="68"/>
        <v>53.015706806282729</v>
      </c>
      <c r="H3160" s="126" t="s">
        <v>2743</v>
      </c>
      <c r="I3160" s="127" t="s">
        <v>1233</v>
      </c>
      <c r="J3160" s="126">
        <v>4.2</v>
      </c>
      <c r="K3160" s="126">
        <v>300</v>
      </c>
      <c r="L3160" s="129">
        <f>INT(base[[#This Row],[Data de liquidação]])</f>
        <v>46215</v>
      </c>
      <c r="M3160" s="126">
        <f>base[[#This Row],[L/P Bruto]]-base[[#This Row],[L/P Líquido]]</f>
        <v>2.3857068062827267</v>
      </c>
      <c r="N3160" s="126">
        <f>base[[#This Row],[L/P Líquido]]/base[[#This Row],[Stake/Responsabilidade]]</f>
        <v>0.16876666666666668</v>
      </c>
      <c r="O3160" s="132">
        <f>IF(base[[#This Row],[L/P Líquido]]&gt;0,1,0)</f>
        <v>1</v>
      </c>
      <c r="P3160" s="132"/>
      <c r="Q3160" s="132" t="str">
        <f>LEFT(base[[#This Row],[Evento / Mercado]],FIND("vs",base[[#This Row],[Evento / Mercado]])-2)</f>
        <v>Malmö FF</v>
      </c>
      <c r="R31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160" s="132" t="str">
        <f>LEFT(base[[#This Row],[Evento / Mercado]],FIND("/",base[[#This Row],[Evento / Mercado]])-2)</f>
        <v>Malmö FF vs IFK Göteborg</v>
      </c>
    </row>
    <row r="3161" spans="2:19" ht="15" customHeight="1">
      <c r="B3161" s="128" t="s">
        <v>3177</v>
      </c>
      <c r="C3161" s="128" t="s">
        <v>2982</v>
      </c>
      <c r="D3161" s="129">
        <v>46215.453611111108</v>
      </c>
      <c r="E3161" s="130">
        <v>14.58</v>
      </c>
      <c r="F3161" s="136">
        <v>4.4999999999999998E-2</v>
      </c>
      <c r="G3161" s="126">
        <f t="shared" si="68"/>
        <v>15.267015706806284</v>
      </c>
      <c r="H3161" s="126" t="s">
        <v>2817</v>
      </c>
      <c r="I3161" s="127" t="s">
        <v>2993</v>
      </c>
      <c r="J3161" s="126">
        <v>3.9</v>
      </c>
      <c r="K3161" s="126">
        <v>99.99</v>
      </c>
      <c r="L3161" s="129">
        <f>INT(base[[#This Row],[Data de liquidação]])</f>
        <v>46215</v>
      </c>
      <c r="M3161" s="126">
        <f>base[[#This Row],[L/P Bruto]]-base[[#This Row],[L/P Líquido]]</f>
        <v>0.68701570680628343</v>
      </c>
      <c r="N3161" s="126">
        <f>base[[#This Row],[L/P Líquido]]/base[[#This Row],[Stake/Responsabilidade]]</f>
        <v>0.14581458145814583</v>
      </c>
      <c r="O3161" s="132">
        <f>IF(base[[#This Row],[L/P Líquido]]&gt;0,1,0)</f>
        <v>1</v>
      </c>
      <c r="P3161" s="132"/>
      <c r="Q3161" s="132" t="str">
        <f>LEFT(base[[#This Row],[Evento / Mercado]],FIND("vs",base[[#This Row],[Evento / Mercado]])-2)</f>
        <v>Malmö FF</v>
      </c>
      <c r="R31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161" s="132" t="str">
        <f>LEFT(base[[#This Row],[Evento / Mercado]],FIND("/",base[[#This Row],[Evento / Mercado]])-2)</f>
        <v>Malmö FF vs IFK Göteborg</v>
      </c>
    </row>
    <row r="3162" spans="2:19" ht="15" customHeight="1">
      <c r="B3162" s="128" t="s">
        <v>3190</v>
      </c>
      <c r="C3162" s="128" t="s">
        <v>2982</v>
      </c>
      <c r="D3162" s="129">
        <v>46215.462407407409</v>
      </c>
      <c r="E3162" s="130">
        <v>-14.46</v>
      </c>
      <c r="F3162" s="136">
        <v>4.4999999999999998E-2</v>
      </c>
      <c r="G3162" s="126">
        <f t="shared" si="68"/>
        <v>-14.46</v>
      </c>
      <c r="H3162" s="126" t="s">
        <v>1339</v>
      </c>
      <c r="I3162" s="127" t="s">
        <v>1236</v>
      </c>
      <c r="J3162" s="126">
        <v>11</v>
      </c>
      <c r="K3162" s="126">
        <v>15</v>
      </c>
      <c r="L3162" s="129">
        <f>INT(base[[#This Row],[Data de liquidação]])</f>
        <v>46215</v>
      </c>
      <c r="M3162" s="126">
        <f>base[[#This Row],[L/P Bruto]]-base[[#This Row],[L/P Líquido]]</f>
        <v>0</v>
      </c>
      <c r="N3162" s="126">
        <f>base[[#This Row],[L/P Líquido]]/base[[#This Row],[Stake/Responsabilidade]]</f>
        <v>-0.96400000000000008</v>
      </c>
      <c r="O3162" s="132">
        <f>IF(base[[#This Row],[L/P Líquido]]&gt;0,1,0)</f>
        <v>0</v>
      </c>
      <c r="P3162" s="132"/>
      <c r="Q3162" s="132" t="str">
        <f>LEFT(base[[#This Row],[Evento / Mercado]],FIND("vs",base[[#This Row],[Evento / Mercado]])-2)</f>
        <v>KFUM Oslo</v>
      </c>
      <c r="R31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3162" s="132" t="str">
        <f>LEFT(base[[#This Row],[Evento / Mercado]],FIND("/",base[[#This Row],[Evento / Mercado]])-2)</f>
        <v>KFUM Oslo vs Bod</v>
      </c>
    </row>
    <row r="3163" spans="2:19" ht="15" customHeight="1">
      <c r="B3163" s="128" t="s">
        <v>3189</v>
      </c>
      <c r="C3163" s="128" t="s">
        <v>2982</v>
      </c>
      <c r="D3163" s="129">
        <v>46215.550208333334</v>
      </c>
      <c r="E3163" s="130">
        <v>0.64</v>
      </c>
      <c r="F3163" s="136">
        <v>4.4999999999999998E-2</v>
      </c>
      <c r="G3163" s="126">
        <f t="shared" si="68"/>
        <v>0.67015706806282727</v>
      </c>
      <c r="H3163" s="126" t="s">
        <v>1339</v>
      </c>
      <c r="I3163" s="127" t="s">
        <v>1993</v>
      </c>
      <c r="J3163" s="126">
        <v>1.07</v>
      </c>
      <c r="K3163" s="126">
        <v>10</v>
      </c>
      <c r="L3163" s="129">
        <f>INT(base[[#This Row],[Data de liquidação]])</f>
        <v>46215</v>
      </c>
      <c r="M3163" s="126">
        <f>base[[#This Row],[L/P Bruto]]-base[[#This Row],[L/P Líquido]]</f>
        <v>3.0157068062827252E-2</v>
      </c>
      <c r="N3163" s="126">
        <f>base[[#This Row],[L/P Líquido]]/base[[#This Row],[Stake/Responsabilidade]]</f>
        <v>6.4000000000000001E-2</v>
      </c>
      <c r="O3163" s="132">
        <f>IF(base[[#This Row],[L/P Líquido]]&gt;0,1,0)</f>
        <v>1</v>
      </c>
      <c r="P3163" s="132"/>
      <c r="Q3163" s="132" t="str">
        <f>LEFT(base[[#This Row],[Evento / Mercado]],FIND("vs",base[[#This Row],[Evento / Mercado]])-2)</f>
        <v>Brann</v>
      </c>
      <c r="R31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Start</v>
      </c>
      <c r="S3163" s="132" t="str">
        <f>LEFT(base[[#This Row],[Evento / Mercado]],FIND("/",base[[#This Row],[Evento / Mercado]])-2)</f>
        <v>Brann vs Start</v>
      </c>
    </row>
    <row r="3164" spans="2:19" ht="15" customHeight="1">
      <c r="B3164" s="128" t="s">
        <v>3188</v>
      </c>
      <c r="C3164" s="128" t="s">
        <v>2982</v>
      </c>
      <c r="D3164" s="129">
        <v>46215.555381944447</v>
      </c>
      <c r="E3164" s="130">
        <v>4.99</v>
      </c>
      <c r="F3164" s="136">
        <v>4.4999999999999998E-2</v>
      </c>
      <c r="G3164" s="126">
        <f t="shared" si="68"/>
        <v>5.2251308900523563</v>
      </c>
      <c r="H3164" s="126" t="s">
        <v>1339</v>
      </c>
      <c r="I3164" s="127" t="s">
        <v>1430</v>
      </c>
      <c r="J3164" s="126">
        <v>24.22</v>
      </c>
      <c r="K3164" s="126">
        <v>121.22</v>
      </c>
      <c r="L3164" s="129">
        <f>INT(base[[#This Row],[Data de liquidação]])</f>
        <v>46215</v>
      </c>
      <c r="M3164" s="126">
        <f>base[[#This Row],[L/P Bruto]]-base[[#This Row],[L/P Líquido]]</f>
        <v>0.2351308900523561</v>
      </c>
      <c r="N3164" s="126">
        <f>base[[#This Row],[L/P Líquido]]/base[[#This Row],[Stake/Responsabilidade]]</f>
        <v>4.1164824286421382E-2</v>
      </c>
      <c r="O3164" s="132">
        <f>IF(base[[#This Row],[L/P Líquido]]&gt;0,1,0)</f>
        <v>1</v>
      </c>
      <c r="P3164" s="132"/>
      <c r="Q3164" s="132" t="str">
        <f>LEFT(base[[#This Row],[Evento / Mercado]],FIND("vs",base[[#This Row],[Evento / Mercado]])-2)</f>
        <v>GAIS</v>
      </c>
      <c r="R31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Elfsborg</v>
      </c>
      <c r="S3164" s="132" t="str">
        <f>LEFT(base[[#This Row],[Evento / Mercado]],FIND("/",base[[#This Row],[Evento / Mercado]])-2)</f>
        <v>GAIS vs IF Elfsborg</v>
      </c>
    </row>
    <row r="3165" spans="2:19" ht="15" customHeight="1">
      <c r="B3165" s="128" t="s">
        <v>3187</v>
      </c>
      <c r="C3165" s="128" t="s">
        <v>2982</v>
      </c>
      <c r="D3165" s="129">
        <v>46215.55641203704</v>
      </c>
      <c r="E3165" s="130">
        <v>34.22</v>
      </c>
      <c r="F3165" s="136">
        <v>4.4999999999999998E-2</v>
      </c>
      <c r="G3165" s="126">
        <f t="shared" si="68"/>
        <v>35.832460732984295</v>
      </c>
      <c r="H3165" s="126" t="s">
        <v>74</v>
      </c>
      <c r="I3165" s="127" t="s">
        <v>541</v>
      </c>
      <c r="J3165" s="126">
        <v>13</v>
      </c>
      <c r="K3165" s="126">
        <v>429.06</v>
      </c>
      <c r="L3165" s="129">
        <f>INT(base[[#This Row],[Data de liquidação]])</f>
        <v>46215</v>
      </c>
      <c r="M3165" s="126">
        <f>base[[#This Row],[L/P Bruto]]-base[[#This Row],[L/P Líquido]]</f>
        <v>1.6124607329842959</v>
      </c>
      <c r="N3165" s="126">
        <f>base[[#This Row],[L/P Líquido]]/base[[#This Row],[Stake/Responsabilidade]]</f>
        <v>7.9755745117233018E-2</v>
      </c>
      <c r="O3165" s="132">
        <f>IF(base[[#This Row],[L/P Líquido]]&gt;0,1,0)</f>
        <v>1</v>
      </c>
      <c r="P3165" s="132"/>
      <c r="Q3165" s="132" t="str">
        <f>LEFT(base[[#This Row],[Evento / Mercado]],FIND("vs",base[[#This Row],[Evento / Mercado]])-2)</f>
        <v>IF Brommapojkarna</v>
      </c>
      <c r="R31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3165" s="132" t="str">
        <f>LEFT(base[[#This Row],[Evento / Mercado]],FIND("/",base[[#This Row],[Evento / Mercado]])-2)</f>
        <v>IF Brommapojkarna vs IK Sirius</v>
      </c>
    </row>
    <row r="3166" spans="2:19" ht="15" customHeight="1">
      <c r="B3166" s="128" t="s">
        <v>3186</v>
      </c>
      <c r="C3166" s="128" t="s">
        <v>2982</v>
      </c>
      <c r="D3166" s="129">
        <v>46215.580381944441</v>
      </c>
      <c r="E3166" s="130">
        <v>47.75</v>
      </c>
      <c r="F3166" s="136">
        <v>4.4999999999999998E-2</v>
      </c>
      <c r="G3166" s="126">
        <f t="shared" si="68"/>
        <v>50</v>
      </c>
      <c r="H3166" s="126" t="s">
        <v>2761</v>
      </c>
      <c r="I3166" s="127" t="s">
        <v>476</v>
      </c>
      <c r="J3166" s="126">
        <v>12</v>
      </c>
      <c r="K3166" s="126">
        <v>550</v>
      </c>
      <c r="L3166" s="129">
        <f>INT(base[[#This Row],[Data de liquidação]])</f>
        <v>46215</v>
      </c>
      <c r="M3166" s="126">
        <f>base[[#This Row],[L/P Bruto]]-base[[#This Row],[L/P Líquido]]</f>
        <v>2.25</v>
      </c>
      <c r="N3166" s="126">
        <f>base[[#This Row],[L/P Líquido]]/base[[#This Row],[Stake/Responsabilidade]]</f>
        <v>8.6818181818181822E-2</v>
      </c>
      <c r="O3166" s="132">
        <f>IF(base[[#This Row],[L/P Líquido]]&gt;0,1,0)</f>
        <v>1</v>
      </c>
      <c r="P3166" s="132"/>
      <c r="Q3166" s="132" t="str">
        <f>LEFT(base[[#This Row],[Evento / Mercado]],FIND("vs",base[[#This Row],[Evento / Mercado]])-2)</f>
        <v>Brann</v>
      </c>
      <c r="R31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Start</v>
      </c>
      <c r="S3166" s="132" t="str">
        <f>LEFT(base[[#This Row],[Evento / Mercado]],FIND("/",base[[#This Row],[Evento / Mercado]])-2)</f>
        <v>Brann vs Start</v>
      </c>
    </row>
    <row r="3167" spans="2:19" ht="15" customHeight="1">
      <c r="B3167" s="128" t="s">
        <v>3185</v>
      </c>
      <c r="C3167" s="128" t="s">
        <v>2982</v>
      </c>
      <c r="D3167" s="129">
        <v>46215.672256944446</v>
      </c>
      <c r="E3167" s="130">
        <v>29.46</v>
      </c>
      <c r="F3167" s="136">
        <v>4.4999999999999998E-2</v>
      </c>
      <c r="G3167" s="126">
        <f t="shared" si="68"/>
        <v>30.848167539267017</v>
      </c>
      <c r="H3167" s="126" t="s">
        <v>74</v>
      </c>
      <c r="I3167" s="127" t="s">
        <v>541</v>
      </c>
      <c r="J3167" s="126">
        <v>16</v>
      </c>
      <c r="K3167" s="126">
        <v>462.67</v>
      </c>
      <c r="L3167" s="129">
        <f>INT(base[[#This Row],[Data de liquidação]])</f>
        <v>46215</v>
      </c>
      <c r="M3167" s="126">
        <f>base[[#This Row],[L/P Bruto]]-base[[#This Row],[L/P Líquido]]</f>
        <v>1.3881675392670161</v>
      </c>
      <c r="N3167" s="126">
        <f>base[[#This Row],[L/P Líquido]]/base[[#This Row],[Stake/Responsabilidade]]</f>
        <v>6.3673892839388763E-2</v>
      </c>
      <c r="O3167" s="132">
        <f>IF(base[[#This Row],[L/P Líquido]]&gt;0,1,0)</f>
        <v>1</v>
      </c>
      <c r="P3167" s="132"/>
      <c r="Q3167" s="132" t="str">
        <f>LEFT(base[[#This Row],[Evento / Mercado]],FIND("vs",base[[#This Row],[Evento / Mercado]])-2)</f>
        <v>Sarpsborg 08</v>
      </c>
      <c r="R31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Viking FK</v>
      </c>
      <c r="S3167" s="132" t="str">
        <f>LEFT(base[[#This Row],[Evento / Mercado]],FIND("/",base[[#This Row],[Evento / Mercado]])-2)</f>
        <v>Sarpsborg 08 vs Viking FK</v>
      </c>
    </row>
    <row r="3168" spans="2:19" ht="15" customHeight="1">
      <c r="B3168" s="128" t="s">
        <v>3174</v>
      </c>
      <c r="C3168" s="128" t="s">
        <v>2982</v>
      </c>
      <c r="D3168" s="129">
        <v>46215.672442129631</v>
      </c>
      <c r="E3168" s="130">
        <v>-18.600000000000001</v>
      </c>
      <c r="F3168" s="136">
        <v>4.4999999999999998E-2</v>
      </c>
      <c r="G3168" s="126">
        <f t="shared" si="68"/>
        <v>-18.600000000000001</v>
      </c>
      <c r="H3168" s="126" t="s">
        <v>1339</v>
      </c>
      <c r="I3168" s="127" t="s">
        <v>1236</v>
      </c>
      <c r="J3168" s="126">
        <v>14.5</v>
      </c>
      <c r="K3168" s="126">
        <v>15</v>
      </c>
      <c r="L3168" s="129">
        <f>INT(base[[#This Row],[Data de liquidação]])</f>
        <v>46215</v>
      </c>
      <c r="M3168" s="126">
        <f>base[[#This Row],[L/P Bruto]]-base[[#This Row],[L/P Líquido]]</f>
        <v>0</v>
      </c>
      <c r="N3168" s="126">
        <f>base[[#This Row],[L/P Líquido]]/base[[#This Row],[Stake/Responsabilidade]]</f>
        <v>-1.24</v>
      </c>
      <c r="O3168" s="132">
        <f>IF(base[[#This Row],[L/P Líquido]]&gt;0,1,0)</f>
        <v>0</v>
      </c>
      <c r="P3168" s="132"/>
      <c r="Q3168" s="132" t="str">
        <f>LEFT(base[[#This Row],[Evento / Mercado]],FIND("vs",base[[#This Row],[Evento / Mercado]])-2)</f>
        <v>Sarpsborg 08</v>
      </c>
      <c r="R31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Viking FK</v>
      </c>
      <c r="S3168" s="132" t="str">
        <f>LEFT(base[[#This Row],[Evento / Mercado]],FIND("/",base[[#This Row],[Evento / Mercado]])-2)</f>
        <v>Sarpsborg 08 vs Viking FK</v>
      </c>
    </row>
    <row r="3169" spans="2:19" ht="15" customHeight="1">
      <c r="B3169" s="128" t="s">
        <v>3173</v>
      </c>
      <c r="C3169" s="128" t="s">
        <v>2981</v>
      </c>
      <c r="D3169" s="129">
        <v>46215.703912037039</v>
      </c>
      <c r="E3169" s="130">
        <v>-20</v>
      </c>
      <c r="F3169" s="136">
        <v>4.4999999999999998E-2</v>
      </c>
      <c r="G3169" s="126">
        <f t="shared" si="68"/>
        <v>-20</v>
      </c>
      <c r="H3169" s="126" t="s">
        <v>2743</v>
      </c>
      <c r="I3169" s="127" t="s">
        <v>2744</v>
      </c>
      <c r="J3169" s="126">
        <v>16</v>
      </c>
      <c r="K3169" s="126">
        <v>20</v>
      </c>
      <c r="L3169" s="129">
        <f>INT(base[[#This Row],[Data de liquidação]])</f>
        <v>46215</v>
      </c>
      <c r="M3169" s="126">
        <f>base[[#This Row],[L/P Bruto]]-base[[#This Row],[L/P Líquido]]</f>
        <v>0</v>
      </c>
      <c r="N3169" s="126">
        <f>base[[#This Row],[L/P Líquido]]/base[[#This Row],[Stake/Responsabilidade]]</f>
        <v>-1</v>
      </c>
      <c r="O3169" s="132">
        <f>IF(base[[#This Row],[L/P Líquido]]&gt;0,1,0)</f>
        <v>0</v>
      </c>
      <c r="P3169" s="132"/>
      <c r="Q3169" s="132" t="str">
        <f>LEFT(base[[#This Row],[Evento / Mercado]],FIND("vs",base[[#This Row],[Evento / Mercado]])-2)</f>
        <v>KR Reykjavik</v>
      </c>
      <c r="R31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3169" s="132" t="str">
        <f>LEFT(base[[#This Row],[Evento / Mercado]],FIND("/",base[[#This Row],[Evento / Mercado]])-2)</f>
        <v>KR Reykjavik vs ÍB Vestmannaeyja</v>
      </c>
    </row>
    <row r="3170" spans="2:19" ht="15" customHeight="1">
      <c r="B3170" s="128" t="s">
        <v>3173</v>
      </c>
      <c r="C3170" s="128" t="s">
        <v>2982</v>
      </c>
      <c r="D3170" s="129">
        <v>46215.703912037039</v>
      </c>
      <c r="E3170" s="130">
        <v>35.89</v>
      </c>
      <c r="F3170" s="136">
        <v>4.4999999999999998E-2</v>
      </c>
      <c r="G3170" s="126">
        <f t="shared" si="68"/>
        <v>37.581151832460733</v>
      </c>
      <c r="H3170" s="126" t="s">
        <v>3074</v>
      </c>
      <c r="I3170" s="127" t="s">
        <v>301</v>
      </c>
      <c r="J3170" s="126">
        <f>(7.8*242.83+7.2*11.59)/base[[#This Row],[Stake/Responsabilidade]]</f>
        <v>7.7726672431412629</v>
      </c>
      <c r="K3170" s="126">
        <f>242.83+11.59</f>
        <v>254.42000000000002</v>
      </c>
      <c r="L3170" s="129">
        <f>INT(base[[#This Row],[Data de liquidação]])</f>
        <v>46215</v>
      </c>
      <c r="M3170" s="126">
        <f>base[[#This Row],[L/P Bruto]]-base[[#This Row],[L/P Líquido]]</f>
        <v>1.6911518324607329</v>
      </c>
      <c r="N3170" s="126">
        <f>base[[#This Row],[L/P Líquido]]/base[[#This Row],[Stake/Responsabilidade]]</f>
        <v>0.1410659539344391</v>
      </c>
      <c r="O3170" s="132">
        <f>IF(base[[#This Row],[L/P Líquido]]&gt;0,1,0)</f>
        <v>1</v>
      </c>
      <c r="P3170" s="132"/>
      <c r="Q3170" s="132" t="str">
        <f>LEFT(base[[#This Row],[Evento / Mercado]],FIND("vs",base[[#This Row],[Evento / Mercado]])-2)</f>
        <v>KR Reykjavik</v>
      </c>
      <c r="R31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3170" s="132" t="str">
        <f>LEFT(base[[#This Row],[Evento / Mercado]],FIND("/",base[[#This Row],[Evento / Mercado]])-2)</f>
        <v>KR Reykjavik vs ÍB Vestmannaeyja</v>
      </c>
    </row>
    <row r="3171" spans="2:19" ht="15" customHeight="1">
      <c r="B3171" s="128" t="s">
        <v>3172</v>
      </c>
      <c r="C3171" s="128" t="s">
        <v>2981</v>
      </c>
      <c r="D3171" s="129">
        <v>46215.704074074078</v>
      </c>
      <c r="E3171" s="130">
        <v>5.7</v>
      </c>
      <c r="F3171" s="136">
        <v>4.4999999999999998E-2</v>
      </c>
      <c r="G3171" s="126">
        <f t="shared" si="68"/>
        <v>5.9685863874345557</v>
      </c>
      <c r="H3171" s="126" t="s">
        <v>2743</v>
      </c>
      <c r="I3171" s="127" t="s">
        <v>1233</v>
      </c>
      <c r="J3171" s="126">
        <v>5.8</v>
      </c>
      <c r="K3171" s="126">
        <v>300</v>
      </c>
      <c r="L3171" s="129">
        <f>INT(base[[#This Row],[Data de liquidação]])</f>
        <v>46215</v>
      </c>
      <c r="M3171" s="126">
        <f>base[[#This Row],[L/P Bruto]]-base[[#This Row],[L/P Líquido]]</f>
        <v>0.26858638743455554</v>
      </c>
      <c r="N3171" s="126">
        <f>base[[#This Row],[L/P Líquido]]/base[[#This Row],[Stake/Responsabilidade]]</f>
        <v>1.9E-2</v>
      </c>
      <c r="O3171" s="132">
        <f>IF(base[[#This Row],[L/P Líquido]]&gt;0,1,0)</f>
        <v>1</v>
      </c>
      <c r="P3171" s="132"/>
      <c r="Q3171" s="132" t="str">
        <f>LEFT(base[[#This Row],[Evento / Mercado]],FIND("vs",base[[#This Row],[Evento / Mercado]])-2)</f>
        <v>KR Reykjavik</v>
      </c>
      <c r="R31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3171" s="132" t="str">
        <f>LEFT(base[[#This Row],[Evento / Mercado]],FIND("/",base[[#This Row],[Evento / Mercado]])-2)</f>
        <v>KR Reykjavik vs ÍB Vestmannaeyja</v>
      </c>
    </row>
    <row r="3172" spans="2:19" ht="15" customHeight="1">
      <c r="B3172" s="128" t="s">
        <v>3172</v>
      </c>
      <c r="C3172" s="128" t="s">
        <v>2982</v>
      </c>
      <c r="D3172" s="129">
        <v>46215.704074074078</v>
      </c>
      <c r="E3172" s="130">
        <v>27.83</v>
      </c>
      <c r="F3172" s="136">
        <v>4.4999999999999998E-2</v>
      </c>
      <c r="G3172" s="126">
        <f t="shared" si="68"/>
        <v>29.141361256544503</v>
      </c>
      <c r="H3172" s="126" t="s">
        <v>2817</v>
      </c>
      <c r="I3172" s="127" t="s">
        <v>2995</v>
      </c>
      <c r="J3172" s="126">
        <f>(5.3*100.02+2.72*100)/base[[#This Row],[Stake/Responsabilidade]]</f>
        <v>4.0101289871012904</v>
      </c>
      <c r="K3172" s="126">
        <f>100.02+100</f>
        <v>200.01999999999998</v>
      </c>
      <c r="L3172" s="129">
        <f>INT(base[[#This Row],[Data de liquidação]])</f>
        <v>46215</v>
      </c>
      <c r="M3172" s="126">
        <f>base[[#This Row],[L/P Bruto]]-base[[#This Row],[L/P Líquido]]</f>
        <v>1.3113612565445045</v>
      </c>
      <c r="N3172" s="126">
        <f>base[[#This Row],[L/P Líquido]]/base[[#This Row],[Stake/Responsabilidade]]</f>
        <v>0.13913608639136088</v>
      </c>
      <c r="O3172" s="132">
        <f>IF(base[[#This Row],[L/P Líquido]]&gt;0,1,0)</f>
        <v>1</v>
      </c>
      <c r="P3172" s="132"/>
      <c r="Q3172" s="132" t="str">
        <f>LEFT(base[[#This Row],[Evento / Mercado]],FIND("vs",base[[#This Row],[Evento / Mercado]])-2)</f>
        <v>KR Reykjavik</v>
      </c>
      <c r="R31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3172" s="132" t="str">
        <f>LEFT(base[[#This Row],[Evento / Mercado]],FIND("/",base[[#This Row],[Evento / Mercado]])-2)</f>
        <v>KR Reykjavik vs ÍB Vestmannaeyja</v>
      </c>
    </row>
    <row r="3173" spans="2:19" ht="15" customHeight="1">
      <c r="B3173" s="128" t="s">
        <v>3184</v>
      </c>
      <c r="C3173" s="128" t="s">
        <v>2982</v>
      </c>
      <c r="D3173" s="129">
        <v>46215.751747685186</v>
      </c>
      <c r="E3173" s="130">
        <v>6.04</v>
      </c>
      <c r="F3173" s="136">
        <v>4.4999999999999998E-2</v>
      </c>
      <c r="G3173" s="126">
        <f t="shared" si="68"/>
        <v>6.3246073298429319</v>
      </c>
      <c r="H3173" s="126" t="s">
        <v>1339</v>
      </c>
      <c r="I3173" s="127" t="s">
        <v>1430</v>
      </c>
      <c r="J3173" s="126">
        <v>19.18</v>
      </c>
      <c r="K3173" s="126">
        <v>114.89</v>
      </c>
      <c r="L3173" s="129">
        <f>INT(base[[#This Row],[Data de liquidação]])</f>
        <v>46215</v>
      </c>
      <c r="M3173" s="126">
        <f>base[[#This Row],[L/P Bruto]]-base[[#This Row],[L/P Líquido]]</f>
        <v>0.28460732984293191</v>
      </c>
      <c r="N3173" s="126">
        <f>base[[#This Row],[L/P Líquido]]/base[[#This Row],[Stake/Responsabilidade]]</f>
        <v>5.2572025415614933E-2</v>
      </c>
      <c r="O3173" s="132">
        <f>IF(base[[#This Row],[L/P Líquido]]&gt;0,1,0)</f>
        <v>1</v>
      </c>
      <c r="P3173" s="132"/>
      <c r="Q3173" s="132" t="str">
        <f>LEFT(base[[#This Row],[Evento / Mercado]],FIND("vs",base[[#This Row],[Evento / Mercado]])-2)</f>
        <v>Avaí FC</v>
      </c>
      <c r="R31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3173" s="132" t="str">
        <f>LEFT(base[[#This Row],[Evento / Mercado]],FIND("/",base[[#This Row],[Evento / Mercado]])-2)</f>
        <v>Avaí FC vs Clube Náutico Capibaribe</v>
      </c>
    </row>
    <row r="3174" spans="2:19" ht="15" customHeight="1">
      <c r="B3174" s="128" t="s">
        <v>3183</v>
      </c>
      <c r="C3174" s="128" t="s">
        <v>2982</v>
      </c>
      <c r="D3174" s="129">
        <v>46215.861180555556</v>
      </c>
      <c r="E3174" s="130">
        <v>77.83</v>
      </c>
      <c r="F3174" s="136">
        <v>4.4999999999999998E-2</v>
      </c>
      <c r="G3174" s="126">
        <f t="shared" si="68"/>
        <v>81.497382198952877</v>
      </c>
      <c r="H3174" s="126" t="s">
        <v>2820</v>
      </c>
      <c r="I3174" s="127" t="s">
        <v>2874</v>
      </c>
      <c r="J3174" s="126">
        <v>3.5</v>
      </c>
      <c r="K3174" s="126">
        <v>50</v>
      </c>
      <c r="L3174" s="129">
        <f>INT(base[[#This Row],[Data de liquidação]])</f>
        <v>46215</v>
      </c>
      <c r="M3174" s="126">
        <f>base[[#This Row],[L/P Bruto]]-base[[#This Row],[L/P Líquido]]</f>
        <v>3.667382198952879</v>
      </c>
      <c r="N3174" s="126">
        <f>base[[#This Row],[L/P Líquido]]/base[[#This Row],[Stake/Responsabilidade]]</f>
        <v>1.5566</v>
      </c>
      <c r="O3174" s="132">
        <f>IF(base[[#This Row],[L/P Líquido]]&gt;0,1,0)</f>
        <v>1</v>
      </c>
      <c r="P3174" s="132"/>
      <c r="Q3174" s="132" t="str">
        <f>LEFT(base[[#This Row],[Evento / Mercado]],FIND("vs",base[[#This Row],[Evento / Mercado]])-2)</f>
        <v>CRB</v>
      </c>
      <c r="R31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Goiás EC</v>
      </c>
      <c r="S3174" s="132" t="str">
        <f>LEFT(base[[#This Row],[Evento / Mercado]],FIND("/",base[[#This Row],[Evento / Mercado]])-2)</f>
        <v>CRB vs Goiás EC</v>
      </c>
    </row>
    <row r="3175" spans="2:19" ht="15" customHeight="1">
      <c r="B3175" s="128" t="s">
        <v>3197</v>
      </c>
      <c r="C3175" s="128" t="s">
        <v>2982</v>
      </c>
      <c r="D3175" s="129">
        <v>46216.615300925929</v>
      </c>
      <c r="E3175" s="130">
        <v>14.33</v>
      </c>
      <c r="F3175" s="136">
        <v>4.4999999999999998E-2</v>
      </c>
      <c r="G3175" s="126">
        <f t="shared" si="68"/>
        <v>15.005235602094242</v>
      </c>
      <c r="H3175" s="126" t="s">
        <v>1339</v>
      </c>
      <c r="I3175" s="127" t="s">
        <v>1236</v>
      </c>
      <c r="J3175" s="126">
        <v>12.5</v>
      </c>
      <c r="K3175" s="126">
        <v>15</v>
      </c>
      <c r="L3175" s="129">
        <f>INT(base[[#This Row],[Data de liquidação]])</f>
        <v>46216</v>
      </c>
      <c r="M3175" s="126">
        <f>base[[#This Row],[L/P Bruto]]-base[[#This Row],[L/P Líquido]]</f>
        <v>0.67523560209424183</v>
      </c>
      <c r="N3175" s="126">
        <f>base[[#This Row],[L/P Líquido]]/base[[#This Row],[Stake/Responsabilidade]]</f>
        <v>0.95533333333333337</v>
      </c>
      <c r="O3175" s="132">
        <f>IF(base[[#This Row],[L/P Líquido]]&gt;0,1,0)</f>
        <v>1</v>
      </c>
      <c r="P3175" s="132"/>
      <c r="Q3175" s="132" t="str">
        <f>LEFT(base[[#This Row],[Evento / Mercado]],FIND("vs",base[[#This Row],[Evento / Mercado]])-2)</f>
        <v>Djurgårdens IF</v>
      </c>
      <c r="R31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3175" s="132" t="str">
        <f>LEFT(base[[#This Row],[Evento / Mercado]],FIND("/",base[[#This Row],[Evento / Mercado]])-2)</f>
        <v>Djurgårdens IF vs Halmstads BK</v>
      </c>
    </row>
    <row r="3176" spans="2:19" ht="15" customHeight="1">
      <c r="B3176" s="128" t="s">
        <v>3198</v>
      </c>
      <c r="C3176" s="128" t="s">
        <v>2981</v>
      </c>
      <c r="D3176" s="129">
        <v>46216.661192129628</v>
      </c>
      <c r="E3176" s="130">
        <v>-18.75</v>
      </c>
      <c r="F3176" s="136">
        <v>4.4999999999999998E-2</v>
      </c>
      <c r="G3176" s="126">
        <f t="shared" si="68"/>
        <v>-18.75</v>
      </c>
      <c r="H3176" s="126" t="s">
        <v>2743</v>
      </c>
      <c r="I3176" s="127" t="s">
        <v>2744</v>
      </c>
      <c r="J3176" s="126">
        <v>17</v>
      </c>
      <c r="K3176" s="126">
        <v>18.75</v>
      </c>
      <c r="L3176" s="129">
        <f>INT(base[[#This Row],[Data de liquidação]])</f>
        <v>46216</v>
      </c>
      <c r="M3176" s="126">
        <f>base[[#This Row],[L/P Bruto]]-base[[#This Row],[L/P Líquido]]</f>
        <v>0</v>
      </c>
      <c r="N3176" s="126">
        <f>base[[#This Row],[L/P Líquido]]/base[[#This Row],[Stake/Responsabilidade]]</f>
        <v>-1</v>
      </c>
      <c r="O3176" s="132">
        <f>IF(base[[#This Row],[L/P Líquido]]&gt;0,1,0)</f>
        <v>0</v>
      </c>
      <c r="P3176" s="132"/>
      <c r="Q3176" s="132" t="str">
        <f>LEFT(base[[#This Row],[Evento / Mercado]],FIND("vs",base[[#This Row],[Evento / Mercado]])-2)</f>
        <v>Djurgårdens IF</v>
      </c>
      <c r="R31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3176" s="132" t="str">
        <f>LEFT(base[[#This Row],[Evento / Mercado]],FIND("/",base[[#This Row],[Evento / Mercado]])-2)</f>
        <v>Djurgårdens IF vs Halmstads BK</v>
      </c>
    </row>
    <row r="3177" spans="2:19" ht="15" customHeight="1">
      <c r="B3177" s="128" t="s">
        <v>3196</v>
      </c>
      <c r="C3177" s="128" t="s">
        <v>2982</v>
      </c>
      <c r="D3177" s="129">
        <v>46216.661400462966</v>
      </c>
      <c r="E3177" s="130">
        <v>4.78</v>
      </c>
      <c r="F3177" s="136">
        <v>4.4999999999999998E-2</v>
      </c>
      <c r="G3177" s="126">
        <f t="shared" si="68"/>
        <v>5.005235602094241</v>
      </c>
      <c r="H3177" s="126" t="s">
        <v>2817</v>
      </c>
      <c r="I3177" s="127" t="s">
        <v>3199</v>
      </c>
      <c r="J3177" s="126">
        <v>13.5</v>
      </c>
      <c r="K3177" s="126">
        <v>100</v>
      </c>
      <c r="L3177" s="129">
        <f>INT(base[[#This Row],[Data de liquidação]])</f>
        <v>46216</v>
      </c>
      <c r="M3177" s="126">
        <f>base[[#This Row],[L/P Bruto]]-base[[#This Row],[L/P Líquido]]</f>
        <v>0.22523560209424076</v>
      </c>
      <c r="N3177" s="126">
        <f>base[[#This Row],[L/P Líquido]]/base[[#This Row],[Stake/Responsabilidade]]</f>
        <v>4.7800000000000002E-2</v>
      </c>
      <c r="O3177" s="132">
        <f>IF(base[[#This Row],[L/P Líquido]]&gt;0,1,0)</f>
        <v>1</v>
      </c>
      <c r="P3177" s="132"/>
      <c r="Q3177" s="132" t="str">
        <f>LEFT(base[[#This Row],[Evento / Mercado]],FIND("vs",base[[#This Row],[Evento / Mercado]])-2)</f>
        <v>Djurgårdens IF</v>
      </c>
      <c r="R31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3177" s="132" t="str">
        <f>LEFT(base[[#This Row],[Evento / Mercado]],FIND("/",base[[#This Row],[Evento / Mercado]])-2)</f>
        <v>Djurgårdens IF vs Halmstads BK</v>
      </c>
    </row>
    <row r="3178" spans="2:19" ht="15" customHeight="1">
      <c r="B3178" s="128" t="s">
        <v>3196</v>
      </c>
      <c r="C3178" s="128" t="s">
        <v>2981</v>
      </c>
      <c r="D3178" s="129">
        <v>46216.661400462966</v>
      </c>
      <c r="E3178" s="130">
        <v>32.44</v>
      </c>
      <c r="F3178" s="136">
        <v>4.4999999999999998E-2</v>
      </c>
      <c r="G3178" s="126">
        <f t="shared" si="68"/>
        <v>33.968586387434556</v>
      </c>
      <c r="H3178" s="126" t="s">
        <v>2743</v>
      </c>
      <c r="I3178" s="127" t="s">
        <v>1233</v>
      </c>
      <c r="J3178" s="126">
        <v>7.8</v>
      </c>
      <c r="K3178" s="126">
        <v>300.02</v>
      </c>
      <c r="L3178" s="129">
        <f>INT(base[[#This Row],[Data de liquidação]])</f>
        <v>46216</v>
      </c>
      <c r="M3178" s="126">
        <f>base[[#This Row],[L/P Bruto]]-base[[#This Row],[L/P Líquido]]</f>
        <v>1.528586387434558</v>
      </c>
      <c r="N3178" s="126">
        <f>base[[#This Row],[L/P Líquido]]/base[[#This Row],[Stake/Responsabilidade]]</f>
        <v>0.10812612492500499</v>
      </c>
      <c r="O3178" s="132">
        <f>IF(base[[#This Row],[L/P Líquido]]&gt;0,1,0)</f>
        <v>1</v>
      </c>
      <c r="P3178" s="132"/>
      <c r="Q3178" s="132" t="str">
        <f>LEFT(base[[#This Row],[Evento / Mercado]],FIND("vs",base[[#This Row],[Evento / Mercado]])-2)</f>
        <v>Djurgårdens IF</v>
      </c>
      <c r="R31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3178" s="132" t="str">
        <f>LEFT(base[[#This Row],[Evento / Mercado]],FIND("/",base[[#This Row],[Evento / Mercado]])-2)</f>
        <v>Djurgårdens IF vs Halmstads BK</v>
      </c>
    </row>
    <row r="3179" spans="2:19" ht="15" customHeight="1">
      <c r="B3179" s="128" t="s">
        <v>3195</v>
      </c>
      <c r="C3179" s="128" t="s">
        <v>2982</v>
      </c>
      <c r="D3179" s="129">
        <v>46216.750706018516</v>
      </c>
      <c r="E3179" s="130">
        <v>9.7899999999999991</v>
      </c>
      <c r="F3179" s="136">
        <v>4.4999999999999998E-2</v>
      </c>
      <c r="G3179" s="126">
        <f t="shared" si="68"/>
        <v>10.25130890052356</v>
      </c>
      <c r="H3179" s="126" t="s">
        <v>2820</v>
      </c>
      <c r="I3179" s="127" t="s">
        <v>13</v>
      </c>
      <c r="J3179" s="126">
        <v>1.65</v>
      </c>
      <c r="K3179" s="126">
        <v>25</v>
      </c>
      <c r="L3179" s="129">
        <f>INT(base[[#This Row],[Data de liquidação]])</f>
        <v>46216</v>
      </c>
      <c r="M3179" s="126">
        <f>base[[#This Row],[L/P Bruto]]-base[[#This Row],[L/P Líquido]]</f>
        <v>0.46130890052356044</v>
      </c>
      <c r="N3179" s="126">
        <f>base[[#This Row],[L/P Líquido]]/base[[#This Row],[Stake/Responsabilidade]]</f>
        <v>0.39159999999999995</v>
      </c>
      <c r="O3179" s="132">
        <f>IF(base[[#This Row],[L/P Líquido]]&gt;0,1,0)</f>
        <v>1</v>
      </c>
      <c r="P3179" s="132"/>
      <c r="Q3179" s="132" t="str">
        <f>LEFT(base[[#This Row],[Evento / Mercado]],FIND("vs",base[[#This Row],[Evento / Mercado]])-2)</f>
        <v>Breidablik</v>
      </c>
      <c r="R31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Keflavik IF</v>
      </c>
      <c r="S3179" s="132" t="str">
        <f>LEFT(base[[#This Row],[Evento / Mercado]],FIND("/",base[[#This Row],[Evento / Mercado]])-2)</f>
        <v>Breidablik vs Keflavik IF</v>
      </c>
    </row>
    <row r="3180" spans="2:19" ht="15" customHeight="1">
      <c r="B3180" s="128" t="s">
        <v>3194</v>
      </c>
      <c r="C3180" s="128" t="s">
        <v>2982</v>
      </c>
      <c r="D3180" s="129">
        <v>46216.753807870373</v>
      </c>
      <c r="E3180" s="130">
        <v>13.1</v>
      </c>
      <c r="F3180" s="136">
        <v>4.4999999999999998E-2</v>
      </c>
      <c r="G3180" s="126">
        <f t="shared" si="68"/>
        <v>13.717277486910994</v>
      </c>
      <c r="H3180" s="126" t="s">
        <v>2821</v>
      </c>
      <c r="I3180" s="127" t="s">
        <v>476</v>
      </c>
      <c r="J3180" s="126">
        <v>40</v>
      </c>
      <c r="K3180" s="126">
        <v>535.08000000000004</v>
      </c>
      <c r="L3180" s="129">
        <f>INT(base[[#This Row],[Data de liquidação]])</f>
        <v>46216</v>
      </c>
      <c r="M3180" s="126">
        <f>base[[#This Row],[L/P Bruto]]-base[[#This Row],[L/P Líquido]]</f>
        <v>0.61727748691099471</v>
      </c>
      <c r="N3180" s="126">
        <f>base[[#This Row],[L/P Líquido]]/base[[#This Row],[Stake/Responsabilidade]]</f>
        <v>2.4482320400687745E-2</v>
      </c>
      <c r="O3180" s="132">
        <f>IF(base[[#This Row],[L/P Líquido]]&gt;0,1,0)</f>
        <v>1</v>
      </c>
      <c r="P3180" s="132"/>
      <c r="Q3180" s="132" t="str">
        <f>LEFT(base[[#This Row],[Evento / Mercado]],FIND("vs",base[[#This Row],[Evento / Mercado]])-2)</f>
        <v>Breidablik</v>
      </c>
      <c r="R31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Keflavik IF</v>
      </c>
      <c r="S3180" s="132" t="str">
        <f>LEFT(base[[#This Row],[Evento / Mercado]],FIND("/",base[[#This Row],[Evento / Mercado]])-2)</f>
        <v>Breidablik vs Keflavik IF</v>
      </c>
    </row>
    <row r="3181" spans="2:19" ht="15" customHeight="1">
      <c r="B3181" s="128" t="s">
        <v>3194</v>
      </c>
      <c r="C3181" s="128" t="s">
        <v>2981</v>
      </c>
      <c r="D3181" s="129">
        <v>46216.753807870373</v>
      </c>
      <c r="E3181" s="130">
        <v>15.64</v>
      </c>
      <c r="F3181" s="136">
        <v>4.4999999999999998E-2</v>
      </c>
      <c r="G3181" s="126">
        <f t="shared" si="68"/>
        <v>16.376963350785342</v>
      </c>
      <c r="H3181" s="126" t="s">
        <v>3074</v>
      </c>
      <c r="I3181" s="127" t="s">
        <v>301</v>
      </c>
      <c r="J3181" s="126">
        <f>(16*20.7+16.5*228.01)/base[[#This Row],[Stake/Responsabilidade]]</f>
        <v>16.458385267982791</v>
      </c>
      <c r="K3181" s="126">
        <f>20.7+228.01</f>
        <v>248.70999999999998</v>
      </c>
      <c r="L3181" s="129">
        <f>INT(base[[#This Row],[Data de liquidação]])</f>
        <v>46216</v>
      </c>
      <c r="M3181" s="126">
        <f>base[[#This Row],[L/P Bruto]]-base[[#This Row],[L/P Líquido]]</f>
        <v>0.73696335078534148</v>
      </c>
      <c r="N3181" s="126">
        <f>base[[#This Row],[L/P Líquido]]/base[[#This Row],[Stake/Responsabilidade]]</f>
        <v>6.2884483937115529E-2</v>
      </c>
      <c r="O3181" s="132">
        <f>IF(base[[#This Row],[L/P Líquido]]&gt;0,1,0)</f>
        <v>1</v>
      </c>
      <c r="P3181" s="132"/>
      <c r="Q3181" s="132" t="str">
        <f>LEFT(base[[#This Row],[Evento / Mercado]],FIND("vs",base[[#This Row],[Evento / Mercado]])-2)</f>
        <v>Breidablik</v>
      </c>
      <c r="R31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Keflavik IF</v>
      </c>
      <c r="S3181" s="132" t="str">
        <f>LEFT(base[[#This Row],[Evento / Mercado]],FIND("/",base[[#This Row],[Evento / Mercado]])-2)</f>
        <v>Breidablik vs Keflavik IF</v>
      </c>
    </row>
    <row r="3182" spans="2:19" ht="15" customHeight="1">
      <c r="B3182" s="128" t="s">
        <v>3193</v>
      </c>
      <c r="C3182" s="128" t="s">
        <v>2982</v>
      </c>
      <c r="D3182" s="129">
        <v>46216.934374999997</v>
      </c>
      <c r="E3182" s="130">
        <v>-15</v>
      </c>
      <c r="F3182" s="136">
        <v>4.4999999999999998E-2</v>
      </c>
      <c r="G3182" s="126">
        <f t="shared" si="68"/>
        <v>-15</v>
      </c>
      <c r="H3182" s="126" t="s">
        <v>1339</v>
      </c>
      <c r="I3182" s="127" t="s">
        <v>1933</v>
      </c>
      <c r="J3182" s="126">
        <v>1.52</v>
      </c>
      <c r="K3182" s="126">
        <v>15</v>
      </c>
      <c r="L3182" s="129">
        <f>INT(base[[#This Row],[Data de liquidação]])</f>
        <v>46216</v>
      </c>
      <c r="M3182" s="126">
        <f>base[[#This Row],[L/P Bruto]]-base[[#This Row],[L/P Líquido]]</f>
        <v>0</v>
      </c>
      <c r="N3182" s="126">
        <f>base[[#This Row],[L/P Líquido]]/base[[#This Row],[Stake/Responsabilidade]]</f>
        <v>-1</v>
      </c>
      <c r="O3182" s="132">
        <f>IF(base[[#This Row],[L/P Líquido]]&gt;0,1,0)</f>
        <v>0</v>
      </c>
      <c r="P3182" s="132"/>
      <c r="Q3182" s="132" t="str">
        <f>LEFT(base[[#This Row],[Evento / Mercado]],FIND("vs",base[[#This Row],[Evento / Mercado]])-2)</f>
        <v>Ceará SC</v>
      </c>
      <c r="R31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3182" s="132" t="str">
        <f>LEFT(base[[#This Row],[Evento / Mercado]],FIND("/",base[[#This Row],[Evento / Mercado]])-2)</f>
        <v>Ceará SC vs Athletic Club MG</v>
      </c>
    </row>
    <row r="3183" spans="2:19" ht="15" customHeight="1">
      <c r="B3183" s="128" t="s">
        <v>3203</v>
      </c>
      <c r="C3183" s="128" t="s">
        <v>2982</v>
      </c>
      <c r="D3183" s="129">
        <v>46217.407546296294</v>
      </c>
      <c r="E3183" s="130">
        <v>14.33</v>
      </c>
      <c r="F3183" s="136">
        <v>4.4999999999999998E-2</v>
      </c>
      <c r="G3183" s="126">
        <f t="shared" si="68"/>
        <v>15.005235602094242</v>
      </c>
      <c r="H3183" s="126" t="s">
        <v>1339</v>
      </c>
      <c r="I3183" s="127" t="s">
        <v>1236</v>
      </c>
      <c r="J3183" s="126">
        <v>9.6</v>
      </c>
      <c r="K3183" s="126">
        <v>15</v>
      </c>
      <c r="L3183" s="129">
        <f>INT(base[[#This Row],[Data de liquidação]])</f>
        <v>46217</v>
      </c>
      <c r="M3183" s="126">
        <f>base[[#This Row],[L/P Bruto]]-base[[#This Row],[L/P Líquido]]</f>
        <v>0.67523560209424183</v>
      </c>
      <c r="N3183" s="126">
        <f>base[[#This Row],[L/P Líquido]]/base[[#This Row],[Stake/Responsabilidade]]</f>
        <v>0.95533333333333337</v>
      </c>
      <c r="O3183" s="132">
        <f>IF(base[[#This Row],[L/P Líquido]]&gt;0,1,0)</f>
        <v>1</v>
      </c>
      <c r="P3183" s="132"/>
      <c r="Q3183" s="132" t="str">
        <f>LEFT(base[[#This Row],[Evento / Mercado]],FIND("vs",base[[#This Row],[Evento / Mercado]])-2)</f>
        <v>Zhejiang Professional</v>
      </c>
      <c r="R31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Hainiu</v>
      </c>
      <c r="S3183" s="132" t="str">
        <f>LEFT(base[[#This Row],[Evento / Mercado]],FIND("/",base[[#This Row],[Evento / Mercado]])-2)</f>
        <v>Zhejiang Professional vs Qingdao Hainiu</v>
      </c>
    </row>
    <row r="3184" spans="2:19" ht="15" customHeight="1">
      <c r="B3184" s="128" t="s">
        <v>3208</v>
      </c>
      <c r="C3184" s="128" t="s">
        <v>2981</v>
      </c>
      <c r="D3184" s="129">
        <v>46217.680231481485</v>
      </c>
      <c r="E3184" s="130">
        <v>-28.57</v>
      </c>
      <c r="F3184" s="136">
        <v>4.4999999999999998E-2</v>
      </c>
      <c r="G3184" s="126">
        <f t="shared" si="68"/>
        <v>-28.57</v>
      </c>
      <c r="H3184" s="126" t="s">
        <v>2743</v>
      </c>
      <c r="I3184" s="127" t="s">
        <v>2744</v>
      </c>
      <c r="J3184" s="126">
        <v>11.5</v>
      </c>
      <c r="K3184" s="126">
        <v>28.57</v>
      </c>
      <c r="L3184" s="129">
        <f>INT(base[[#This Row],[Data de liquidação]])</f>
        <v>46217</v>
      </c>
      <c r="M3184" s="126">
        <f>base[[#This Row],[L/P Bruto]]-base[[#This Row],[L/P Líquido]]</f>
        <v>0</v>
      </c>
      <c r="N3184" s="126">
        <f>base[[#This Row],[L/P Líquido]]/base[[#This Row],[Stake/Responsabilidade]]</f>
        <v>-1</v>
      </c>
      <c r="O3184" s="132">
        <f>IF(base[[#This Row],[L/P Líquido]]&gt;0,1,0)</f>
        <v>0</v>
      </c>
      <c r="P3184" s="132"/>
      <c r="Q3184" s="132" t="str">
        <f>LEFT(base[[#This Row],[Evento / Mercado]],FIND("vs",base[[#This Row],[Evento / Mercado]])-2)</f>
        <v>L</v>
      </c>
      <c r="R31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 Sofia vs FK Borac Banja Luka</v>
      </c>
      <c r="S3184" s="132" t="str">
        <f>LEFT(base[[#This Row],[Evento / Mercado]],FIND("/",base[[#This Row],[Evento / Mercado]])-2)</f>
        <v>Levski Sofia vs FK Borac Banja Luka</v>
      </c>
    </row>
    <row r="3185" spans="2:19" ht="15" customHeight="1">
      <c r="B3185" s="128" t="s">
        <v>3202</v>
      </c>
      <c r="C3185" s="128" t="s">
        <v>2982</v>
      </c>
      <c r="D3185" s="129">
        <v>46217.680393518516</v>
      </c>
      <c r="E3185" s="130">
        <v>5.8</v>
      </c>
      <c r="F3185" s="136">
        <v>4.4999999999999998E-2</v>
      </c>
      <c r="G3185" s="126">
        <f t="shared" si="68"/>
        <v>6.0732984293193715</v>
      </c>
      <c r="H3185" s="126" t="s">
        <v>2817</v>
      </c>
      <c r="I3185" s="127" t="s">
        <v>2992</v>
      </c>
      <c r="J3185" s="126">
        <v>13</v>
      </c>
      <c r="K3185" s="126">
        <v>96.51</v>
      </c>
      <c r="L3185" s="129">
        <f>INT(base[[#This Row],[Data de liquidação]])</f>
        <v>46217</v>
      </c>
      <c r="M3185" s="126">
        <f>base[[#This Row],[L/P Bruto]]-base[[#This Row],[L/P Líquido]]</f>
        <v>0.27329842931937165</v>
      </c>
      <c r="N3185" s="126">
        <f>base[[#This Row],[L/P Líquido]]/base[[#This Row],[Stake/Responsabilidade]]</f>
        <v>6.0097399233240076E-2</v>
      </c>
      <c r="O3185" s="132">
        <f>IF(base[[#This Row],[L/P Líquido]]&gt;0,1,0)</f>
        <v>1</v>
      </c>
      <c r="P3185" s="132"/>
      <c r="Q3185" s="132" t="str">
        <f>LEFT(base[[#This Row],[Evento / Mercado]],FIND("vs",base[[#This Row],[Evento / Mercado]])-2)</f>
        <v>L</v>
      </c>
      <c r="R31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 Sofia vs FK Borac Banja Luka</v>
      </c>
      <c r="S3185" s="132" t="str">
        <f>LEFT(base[[#This Row],[Evento / Mercado]],FIND("/",base[[#This Row],[Evento / Mercado]])-2)</f>
        <v>Levski Sofia vs FK Borac Banja Luka</v>
      </c>
    </row>
    <row r="3186" spans="2:19" ht="15" customHeight="1">
      <c r="B3186" s="128" t="s">
        <v>3202</v>
      </c>
      <c r="C3186" s="128" t="s">
        <v>2981</v>
      </c>
      <c r="D3186" s="129">
        <v>46217.680393518516</v>
      </c>
      <c r="E3186" s="130">
        <v>60.35</v>
      </c>
      <c r="F3186" s="136">
        <v>4.4999999999999998E-2</v>
      </c>
      <c r="G3186" s="126">
        <f t="shared" si="68"/>
        <v>63.193717277486918</v>
      </c>
      <c r="H3186" s="126" t="s">
        <v>2743</v>
      </c>
      <c r="I3186" s="127" t="s">
        <v>1233</v>
      </c>
      <c r="J3186" s="126">
        <v>5.5</v>
      </c>
      <c r="K3186" s="126">
        <v>300.02</v>
      </c>
      <c r="L3186" s="129">
        <f>INT(base[[#This Row],[Data de liquidação]])</f>
        <v>46217</v>
      </c>
      <c r="M3186" s="126">
        <f>base[[#This Row],[L/P Bruto]]-base[[#This Row],[L/P Líquido]]</f>
        <v>2.8437172774869168</v>
      </c>
      <c r="N3186" s="126">
        <f>base[[#This Row],[L/P Líquido]]/base[[#This Row],[Stake/Responsabilidade]]</f>
        <v>0.20115325644957005</v>
      </c>
      <c r="O3186" s="132">
        <f>IF(base[[#This Row],[L/P Líquido]]&gt;0,1,0)</f>
        <v>1</v>
      </c>
      <c r="P3186" s="132"/>
      <c r="Q3186" s="132" t="str">
        <f>LEFT(base[[#This Row],[Evento / Mercado]],FIND("vs",base[[#This Row],[Evento / Mercado]])-2)</f>
        <v>L</v>
      </c>
      <c r="R31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 Sofia vs FK Borac Banja Luka</v>
      </c>
      <c r="S3186" s="132" t="str">
        <f>LEFT(base[[#This Row],[Evento / Mercado]],FIND("/",base[[#This Row],[Evento / Mercado]])-2)</f>
        <v>Levski Sofia vs FK Borac Banja Luka</v>
      </c>
    </row>
    <row r="3187" spans="2:19" ht="15" customHeight="1">
      <c r="B3187" s="128" t="s">
        <v>3204</v>
      </c>
      <c r="C3187" s="128" t="s">
        <v>2980</v>
      </c>
      <c r="D3187" s="129">
        <v>46217.74722222222</v>
      </c>
      <c r="E3187" s="130">
        <v>-10.75</v>
      </c>
      <c r="F3187" s="136">
        <v>4.4999999999999998E-2</v>
      </c>
      <c r="G3187" s="126">
        <f t="shared" si="68"/>
        <v>-10.75</v>
      </c>
      <c r="H3187" s="126" t="s">
        <v>3261</v>
      </c>
      <c r="I3187" s="126" t="s">
        <v>3213</v>
      </c>
      <c r="J3187" s="126">
        <v>32</v>
      </c>
      <c r="K3187" s="126">
        <v>199.95</v>
      </c>
      <c r="L3187" s="129">
        <f>INT(base[[#This Row],[Data de liquidação]])</f>
        <v>46217</v>
      </c>
      <c r="M3187" s="126">
        <f>base[[#This Row],[L/P Bruto]]-base[[#This Row],[L/P Líquido]]</f>
        <v>0</v>
      </c>
      <c r="N3187" s="126">
        <f>base[[#This Row],[L/P Líquido]]/base[[#This Row],[Stake/Responsabilidade]]</f>
        <v>-5.3763440860215055E-2</v>
      </c>
      <c r="O3187" s="132">
        <f>IF(base[[#This Row],[L/P Líquido]]&gt;0,1,0)</f>
        <v>0</v>
      </c>
      <c r="P3187" s="132"/>
      <c r="Q3187" s="132" t="str">
        <f>LEFT(base[[#This Row],[Evento / Mercado]],FIND("vs",base[[#This Row],[Evento / Mercado]])-2)</f>
        <v>Shamrock Rovers</v>
      </c>
      <c r="R31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Floriana FC</v>
      </c>
      <c r="S3187" s="132" t="str">
        <f>LEFT(base[[#This Row],[Evento / Mercado]],FIND("/",base[[#This Row],[Evento / Mercado]])-2)</f>
        <v>Shamrock Rovers vs Floriana FC</v>
      </c>
    </row>
    <row r="3188" spans="2:19" ht="15" customHeight="1">
      <c r="B3188" s="128" t="s">
        <v>3204</v>
      </c>
      <c r="C3188" s="128" t="s">
        <v>2981</v>
      </c>
      <c r="D3188" s="129">
        <v>46217.747604166667</v>
      </c>
      <c r="E3188" s="130">
        <v>-25</v>
      </c>
      <c r="F3188" s="136">
        <v>4.4999999999999998E-2</v>
      </c>
      <c r="G3188" s="126">
        <f t="shared" si="68"/>
        <v>-25</v>
      </c>
      <c r="H3188" s="126" t="s">
        <v>2743</v>
      </c>
      <c r="I3188" s="127" t="s">
        <v>2744</v>
      </c>
      <c r="J3188" s="126">
        <v>13</v>
      </c>
      <c r="K3188" s="126">
        <v>25</v>
      </c>
      <c r="L3188" s="129">
        <f>INT(base[[#This Row],[Data de liquidação]])</f>
        <v>46217</v>
      </c>
      <c r="M3188" s="126">
        <f>base[[#This Row],[L/P Bruto]]-base[[#This Row],[L/P Líquido]]</f>
        <v>0</v>
      </c>
      <c r="N3188" s="126">
        <f>base[[#This Row],[L/P Líquido]]/base[[#This Row],[Stake/Responsabilidade]]</f>
        <v>-1</v>
      </c>
      <c r="O3188" s="132">
        <f>IF(base[[#This Row],[L/P Líquido]]&gt;0,1,0)</f>
        <v>0</v>
      </c>
      <c r="P3188" s="132"/>
      <c r="Q3188" s="132" t="str">
        <f>LEFT(base[[#This Row],[Evento / Mercado]],FIND("vs",base[[#This Row],[Evento / Mercado]])-2)</f>
        <v>Shamrock Rovers</v>
      </c>
      <c r="R31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Floriana FC</v>
      </c>
      <c r="S3188" s="132" t="str">
        <f>LEFT(base[[#This Row],[Evento / Mercado]],FIND("/",base[[#This Row],[Evento / Mercado]])-2)</f>
        <v>Shamrock Rovers vs Floriana FC</v>
      </c>
    </row>
    <row r="3189" spans="2:19" ht="15" customHeight="1">
      <c r="B3189" s="128" t="s">
        <v>3201</v>
      </c>
      <c r="C3189" s="128" t="s">
        <v>2982</v>
      </c>
      <c r="D3189" s="129">
        <v>46217.747777777775</v>
      </c>
      <c r="E3189" s="130">
        <v>5.79</v>
      </c>
      <c r="F3189" s="136">
        <v>4.4999999999999998E-2</v>
      </c>
      <c r="G3189" s="126">
        <f t="shared" si="68"/>
        <v>6.0628272251308903</v>
      </c>
      <c r="H3189" s="126" t="s">
        <v>2817</v>
      </c>
      <c r="I3189" s="127" t="s">
        <v>2992</v>
      </c>
      <c r="J3189" s="126">
        <v>12</v>
      </c>
      <c r="K3189" s="126">
        <v>99.99</v>
      </c>
      <c r="L3189" s="129">
        <f>INT(base[[#This Row],[Data de liquidação]])</f>
        <v>46217</v>
      </c>
      <c r="M3189" s="126">
        <f>base[[#This Row],[L/P Bruto]]-base[[#This Row],[L/P Líquido]]</f>
        <v>0.27282722513089031</v>
      </c>
      <c r="N3189" s="126">
        <f>base[[#This Row],[L/P Líquido]]/base[[#This Row],[Stake/Responsabilidade]]</f>
        <v>5.7905790579057911E-2</v>
      </c>
      <c r="O3189" s="132">
        <f>IF(base[[#This Row],[L/P Líquido]]&gt;0,1,0)</f>
        <v>1</v>
      </c>
      <c r="P3189" s="132"/>
      <c r="Q3189" s="132" t="str">
        <f>LEFT(base[[#This Row],[Evento / Mercado]],FIND("vs",base[[#This Row],[Evento / Mercado]])-2)</f>
        <v>Shamrock Rovers</v>
      </c>
      <c r="R31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Floriana FC</v>
      </c>
      <c r="S3189" s="132" t="str">
        <f>LEFT(base[[#This Row],[Evento / Mercado]],FIND("/",base[[#This Row],[Evento / Mercado]])-2)</f>
        <v>Shamrock Rovers vs Floriana FC</v>
      </c>
    </row>
    <row r="3190" spans="2:19" ht="15" customHeight="1">
      <c r="B3190" s="128" t="s">
        <v>3201</v>
      </c>
      <c r="C3190" s="128" t="s">
        <v>2981</v>
      </c>
      <c r="D3190" s="129">
        <v>46217.747777777775</v>
      </c>
      <c r="E3190" s="130">
        <v>25.2</v>
      </c>
      <c r="F3190" s="136">
        <v>4.4999999999999998E-2</v>
      </c>
      <c r="G3190" s="126">
        <f t="shared" si="68"/>
        <v>26.387434554973822</v>
      </c>
      <c r="H3190" s="126" t="s">
        <v>2743</v>
      </c>
      <c r="I3190" s="127" t="s">
        <v>1233</v>
      </c>
      <c r="J3190" s="126">
        <v>6.4</v>
      </c>
      <c r="K3190" s="126">
        <v>300.02</v>
      </c>
      <c r="L3190" s="129">
        <f>INT(base[[#This Row],[Data de liquidação]])</f>
        <v>46217</v>
      </c>
      <c r="M3190" s="126">
        <f>base[[#This Row],[L/P Bruto]]-base[[#This Row],[L/P Líquido]]</f>
        <v>1.187434554973823</v>
      </c>
      <c r="N3190" s="126">
        <f>base[[#This Row],[L/P Líquido]]/base[[#This Row],[Stake/Responsabilidade]]</f>
        <v>8.399440037330845E-2</v>
      </c>
      <c r="O3190" s="132">
        <f>IF(base[[#This Row],[L/P Líquido]]&gt;0,1,0)</f>
        <v>1</v>
      </c>
      <c r="P3190" s="132"/>
      <c r="Q3190" s="132" t="str">
        <f>LEFT(base[[#This Row],[Evento / Mercado]],FIND("vs",base[[#This Row],[Evento / Mercado]])-2)</f>
        <v>Shamrock Rovers</v>
      </c>
      <c r="R31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Floriana FC</v>
      </c>
      <c r="S3190" s="132" t="str">
        <f>LEFT(base[[#This Row],[Evento / Mercado]],FIND("/",base[[#This Row],[Evento / Mercado]])-2)</f>
        <v>Shamrock Rovers vs Floriana FC</v>
      </c>
    </row>
    <row r="3191" spans="2:19" ht="15" customHeight="1">
      <c r="B3191" s="128" t="s">
        <v>3200</v>
      </c>
      <c r="C3191" s="128" t="s">
        <v>2982</v>
      </c>
      <c r="D3191" s="129">
        <v>46217.954212962963</v>
      </c>
      <c r="E3191" s="130">
        <v>4.26</v>
      </c>
      <c r="F3191" s="136">
        <v>4.4999999999999998E-2</v>
      </c>
      <c r="G3191" s="126">
        <f t="shared" si="68"/>
        <v>4.4607329842931938</v>
      </c>
      <c r="H3191" s="126" t="s">
        <v>3261</v>
      </c>
      <c r="I3191" s="126" t="s">
        <v>3213</v>
      </c>
      <c r="J3191" s="126">
        <v>20</v>
      </c>
      <c r="K3191" s="126">
        <v>200.07</v>
      </c>
      <c r="L3191" s="129">
        <f>INT(base[[#This Row],[Data de liquidação]])</f>
        <v>46217</v>
      </c>
      <c r="M3191" s="126">
        <f>base[[#This Row],[L/P Bruto]]-base[[#This Row],[L/P Líquido]]</f>
        <v>0.20073298429319397</v>
      </c>
      <c r="N3191" s="126">
        <f>base[[#This Row],[L/P Líquido]]/base[[#This Row],[Stake/Responsabilidade]]</f>
        <v>2.1292547608337081E-2</v>
      </c>
      <c r="O3191" s="132">
        <f>IF(base[[#This Row],[L/P Líquido]]&gt;0,1,0)</f>
        <v>1</v>
      </c>
      <c r="P3191" s="132"/>
      <c r="Q3191" s="132" t="str">
        <f>LEFT(base[[#This Row],[Evento / Mercado]],FIND("vs",base[[#This Row],[Evento / Mercado]])-2)</f>
        <v>Blooming Santa Cruz</v>
      </c>
      <c r="R31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Gualberto Villarroel</v>
      </c>
      <c r="S3191" s="132" t="str">
        <f>LEFT(base[[#This Row],[Evento / Mercado]],FIND("/",base[[#This Row],[Evento / Mercado]])-2)</f>
        <v>Blooming Santa Cruz vs CD Gualberto Villarroel</v>
      </c>
    </row>
    <row r="3192" spans="2:19" ht="15" customHeight="1">
      <c r="B3192" s="128" t="s">
        <v>3224</v>
      </c>
      <c r="C3192" s="128" t="s">
        <v>2982</v>
      </c>
      <c r="D3192" s="129">
        <v>46218.661481481482</v>
      </c>
      <c r="E3192" s="130">
        <v>7.23</v>
      </c>
      <c r="F3192" s="136">
        <v>4.4999999999999998E-2</v>
      </c>
      <c r="G3192" s="126">
        <f t="shared" si="68"/>
        <v>7.5706806282722523</v>
      </c>
      <c r="H3192" s="126" t="s">
        <v>1339</v>
      </c>
      <c r="I3192" s="127" t="s">
        <v>1933</v>
      </c>
      <c r="J3192" s="126">
        <v>1.51</v>
      </c>
      <c r="K3192" s="126">
        <v>15</v>
      </c>
      <c r="L3192" s="129">
        <f>INT(base[[#This Row],[Data de liquidação]])</f>
        <v>46218</v>
      </c>
      <c r="M3192" s="126">
        <f>base[[#This Row],[L/P Bruto]]-base[[#This Row],[L/P Líquido]]</f>
        <v>0.34068062827225187</v>
      </c>
      <c r="N3192" s="126">
        <f>base[[#This Row],[L/P Líquido]]/base[[#This Row],[Stake/Responsabilidade]]</f>
        <v>0.48200000000000004</v>
      </c>
      <c r="O3192" s="132">
        <f>IF(base[[#This Row],[L/P Líquido]]&gt;0,1,0)</f>
        <v>1</v>
      </c>
      <c r="P3192" s="132"/>
      <c r="Q3192" s="132" t="str">
        <f>LEFT(base[[#This Row],[Evento / Mercado]],FIND("vs",base[[#This Row],[Evento / Mercado]])-2)</f>
        <v>Libertad FC</v>
      </c>
      <c r="R31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Deportivo Técnico Universitario</v>
      </c>
      <c r="S3192" s="132" t="str">
        <f>LEFT(base[[#This Row],[Evento / Mercado]],FIND("/",base[[#This Row],[Evento / Mercado]])-2)</f>
        <v>Libertad FC vs Club Deportivo Técnico Universitario</v>
      </c>
    </row>
    <row r="3193" spans="2:19" ht="15" customHeight="1">
      <c r="B3193" s="128" t="s">
        <v>3221</v>
      </c>
      <c r="C3193" s="128" t="s">
        <v>2981</v>
      </c>
      <c r="D3193" s="129">
        <v>46218.681909722225</v>
      </c>
      <c r="E3193" s="130">
        <v>2.02</v>
      </c>
      <c r="F3193" s="136">
        <v>4.4999999999999998E-2</v>
      </c>
      <c r="G3193" s="126">
        <f t="shared" si="68"/>
        <v>2.1151832460732987</v>
      </c>
      <c r="H3193" s="126" t="s">
        <v>2743</v>
      </c>
      <c r="I3193" s="127" t="s">
        <v>2744</v>
      </c>
      <c r="J3193" s="126">
        <v>12</v>
      </c>
      <c r="K3193" s="126">
        <f>24.02+3.01</f>
        <v>27.03</v>
      </c>
      <c r="L3193" s="129">
        <f>INT(base[[#This Row],[Data de liquidação]])</f>
        <v>46218</v>
      </c>
      <c r="M3193" s="126">
        <f>base[[#This Row],[L/P Bruto]]-base[[#This Row],[L/P Líquido]]</f>
        <v>9.5183246073298644E-2</v>
      </c>
      <c r="N3193" s="126">
        <f>base[[#This Row],[L/P Líquido]]/base[[#This Row],[Stake/Responsabilidade]]</f>
        <v>7.4731779504254525E-2</v>
      </c>
      <c r="O3193" s="132">
        <f>IF(base[[#This Row],[L/P Líquido]]&gt;0,1,0)</f>
        <v>1</v>
      </c>
      <c r="P3193" s="132"/>
      <c r="Q3193" s="132" t="str">
        <f>LEFT(base[[#This Row],[Evento / Mercado]],FIND("vs",base[[#This Row],[Evento / Mercado]])-2)</f>
        <v>CS Universitatea Craiova</v>
      </c>
      <c r="R31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ML Vitebsk</v>
      </c>
      <c r="S3193" s="132" t="str">
        <f>LEFT(base[[#This Row],[Evento / Mercado]],FIND("/",base[[#This Row],[Evento / Mercado]])-2)</f>
        <v>CS Universitatea Craiova vs ML Vitebsk</v>
      </c>
    </row>
    <row r="3194" spans="2:19" ht="15" customHeight="1">
      <c r="B3194" s="128" t="s">
        <v>3220</v>
      </c>
      <c r="C3194" s="128" t="s">
        <v>2981</v>
      </c>
      <c r="D3194" s="129">
        <v>46218.682141203702</v>
      </c>
      <c r="E3194" s="130">
        <v>-103.18</v>
      </c>
      <c r="F3194" s="136">
        <v>4.4999999999999998E-2</v>
      </c>
      <c r="G3194" s="126">
        <f t="shared" si="68"/>
        <v>-103.18</v>
      </c>
      <c r="H3194" s="126" t="s">
        <v>2743</v>
      </c>
      <c r="I3194" s="127" t="s">
        <v>1233</v>
      </c>
      <c r="J3194" s="126">
        <v>6.4</v>
      </c>
      <c r="K3194" s="126">
        <v>300.02</v>
      </c>
      <c r="L3194" s="129">
        <f>INT(base[[#This Row],[Data de liquidação]])</f>
        <v>46218</v>
      </c>
      <c r="M3194" s="126">
        <f>base[[#This Row],[L/P Bruto]]-base[[#This Row],[L/P Líquido]]</f>
        <v>0</v>
      </c>
      <c r="N3194" s="126">
        <f>base[[#This Row],[L/P Líquido]]/base[[#This Row],[Stake/Responsabilidade]]</f>
        <v>-0.34391040597293521</v>
      </c>
      <c r="O3194" s="132">
        <f>IF(base[[#This Row],[L/P Líquido]]&gt;0,1,0)</f>
        <v>0</v>
      </c>
      <c r="P3194" s="132"/>
      <c r="Q3194" s="132" t="str">
        <f>LEFT(base[[#This Row],[Evento / Mercado]],FIND("vs",base[[#This Row],[Evento / Mercado]])-2)</f>
        <v>CS Universitatea Craiova</v>
      </c>
      <c r="R31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ML Vitebsk</v>
      </c>
      <c r="S3194" s="132" t="str">
        <f>LEFT(base[[#This Row],[Evento / Mercado]],FIND("/",base[[#This Row],[Evento / Mercado]])-2)</f>
        <v>CS Universitatea Craiova vs ML Vitebsk</v>
      </c>
    </row>
    <row r="3195" spans="2:19" ht="15" customHeight="1">
      <c r="B3195" s="128" t="s">
        <v>3220</v>
      </c>
      <c r="C3195" s="128" t="s">
        <v>2982</v>
      </c>
      <c r="D3195" s="129">
        <v>46218.682141203702</v>
      </c>
      <c r="E3195" s="130">
        <v>-7.84</v>
      </c>
      <c r="F3195" s="136">
        <v>4.4999999999999998E-2</v>
      </c>
      <c r="G3195" s="126">
        <f t="shared" si="68"/>
        <v>-7.84</v>
      </c>
      <c r="H3195" s="126" t="s">
        <v>2817</v>
      </c>
      <c r="I3195" s="127" t="s">
        <v>2992</v>
      </c>
      <c r="J3195" s="126">
        <v>12.5</v>
      </c>
      <c r="K3195" s="126">
        <v>100.05</v>
      </c>
      <c r="L3195" s="129">
        <f>INT(base[[#This Row],[Data de liquidação]])</f>
        <v>46218</v>
      </c>
      <c r="M3195" s="126">
        <f>base[[#This Row],[L/P Bruto]]-base[[#This Row],[L/P Líquido]]</f>
        <v>0</v>
      </c>
      <c r="N3195" s="126">
        <f>base[[#This Row],[L/P Líquido]]/base[[#This Row],[Stake/Responsabilidade]]</f>
        <v>-7.8360819590204897E-2</v>
      </c>
      <c r="O3195" s="132">
        <f>IF(base[[#This Row],[L/P Líquido]]&gt;0,1,0)</f>
        <v>0</v>
      </c>
      <c r="P3195" s="132"/>
      <c r="Q3195" s="132" t="str">
        <f>LEFT(base[[#This Row],[Evento / Mercado]],FIND("vs",base[[#This Row],[Evento / Mercado]])-2)</f>
        <v>CS Universitatea Craiova</v>
      </c>
      <c r="R31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ML Vitebsk</v>
      </c>
      <c r="S3195" s="132" t="str">
        <f>LEFT(base[[#This Row],[Evento / Mercado]],FIND("/",base[[#This Row],[Evento / Mercado]])-2)</f>
        <v>CS Universitatea Craiova vs ML Vitebsk</v>
      </c>
    </row>
    <row r="3196" spans="2:19" ht="15" customHeight="1">
      <c r="B3196" s="128" t="s">
        <v>3219</v>
      </c>
      <c r="C3196" s="128" t="s">
        <v>2981</v>
      </c>
      <c r="D3196" s="129">
        <v>46218.743344907409</v>
      </c>
      <c r="E3196" s="130">
        <v>8.61</v>
      </c>
      <c r="F3196" s="136">
        <v>4.4999999999999998E-2</v>
      </c>
      <c r="G3196" s="126">
        <f t="shared" si="68"/>
        <v>9.0157068062827221</v>
      </c>
      <c r="H3196" s="126" t="s">
        <v>3261</v>
      </c>
      <c r="I3196" s="126" t="s">
        <v>3213</v>
      </c>
      <c r="J3196" s="126">
        <v>18</v>
      </c>
      <c r="K3196" s="126">
        <v>199.92</v>
      </c>
      <c r="L3196" s="129">
        <f>INT(base[[#This Row],[Data de liquidação]])</f>
        <v>46218</v>
      </c>
      <c r="M3196" s="126">
        <f>base[[#This Row],[L/P Bruto]]-base[[#This Row],[L/P Líquido]]</f>
        <v>0.40570680628272271</v>
      </c>
      <c r="N3196" s="126">
        <f>base[[#This Row],[L/P Líquido]]/base[[#This Row],[Stake/Responsabilidade]]</f>
        <v>4.3067226890756302E-2</v>
      </c>
      <c r="O3196" s="132">
        <f>IF(base[[#This Row],[L/P Líquido]]&gt;0,1,0)</f>
        <v>1</v>
      </c>
      <c r="P3196" s="132"/>
      <c r="Q3196" s="132" t="str">
        <f>LEFT(base[[#This Row],[Evento / Mercado]],FIND("vs",base[[#This Row],[Evento / Mercado]])-2)</f>
        <v>FK Sutjeska</v>
      </c>
      <c r="R31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Kairat Almaty</v>
      </c>
      <c r="S3196" s="132" t="str">
        <f>LEFT(base[[#This Row],[Evento / Mercado]],FIND("/",base[[#This Row],[Evento / Mercado]])-2)</f>
        <v>FK Sutjeska vs FC Kairat Almaty</v>
      </c>
    </row>
    <row r="3197" spans="2:19" ht="15" customHeight="1">
      <c r="B3197" s="128" t="s">
        <v>3053</v>
      </c>
      <c r="C3197" s="128" t="s">
        <v>2982</v>
      </c>
      <c r="D3197" s="129">
        <v>46218.758611111109</v>
      </c>
      <c r="E3197" s="130">
        <v>-51.85</v>
      </c>
      <c r="F3197" s="136">
        <v>4.4999999999999998E-2</v>
      </c>
      <c r="G3197" s="126">
        <f t="shared" si="68"/>
        <v>-51.85</v>
      </c>
      <c r="H3197" s="126" t="s">
        <v>2895</v>
      </c>
      <c r="I3197" s="127" t="s">
        <v>3225</v>
      </c>
      <c r="J3197" s="126">
        <v>9.4</v>
      </c>
      <c r="K3197" s="126">
        <v>400.01</v>
      </c>
      <c r="L3197" s="129">
        <f>INT(base[[#This Row],[Data de liquidação]])</f>
        <v>46218</v>
      </c>
      <c r="M3197" s="126">
        <f>base[[#This Row],[L/P Bruto]]-base[[#This Row],[L/P Líquido]]</f>
        <v>0</v>
      </c>
      <c r="N3197" s="126">
        <f>base[[#This Row],[L/P Líquido]]/base[[#This Row],[Stake/Responsabilidade]]</f>
        <v>-0.12962175945601362</v>
      </c>
      <c r="O3197" s="132">
        <f>IF(base[[#This Row],[L/P Líquido]]&gt;0,1,0)</f>
        <v>0</v>
      </c>
      <c r="P3197" s="132"/>
      <c r="Q3197" s="132" t="e">
        <f>LEFT(base[[#This Row],[Evento / Mercado]],FIND("vs",base[[#This Row],[Evento / Mercado]])-2)</f>
        <v>#VALUE!</v>
      </c>
      <c r="R3197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3197" s="132" t="str">
        <f>LEFT(base[[#This Row],[Evento / Mercado]],FIND("/",base[[#This Row],[Evento / Mercado]])-2)</f>
        <v>FIFA World Cup 2026</v>
      </c>
    </row>
    <row r="3198" spans="2:19" ht="15" customHeight="1">
      <c r="B3198" s="128" t="s">
        <v>3223</v>
      </c>
      <c r="C3198" s="128" t="s">
        <v>2982</v>
      </c>
      <c r="D3198" s="129">
        <v>46218.876527777778</v>
      </c>
      <c r="E3198" s="130">
        <v>7.64</v>
      </c>
      <c r="F3198" s="136">
        <v>4.4999999999999998E-2</v>
      </c>
      <c r="G3198" s="126">
        <f t="shared" si="68"/>
        <v>8</v>
      </c>
      <c r="H3198" s="126" t="s">
        <v>1339</v>
      </c>
      <c r="I3198" s="127" t="s">
        <v>1430</v>
      </c>
      <c r="J3198" s="126">
        <v>16</v>
      </c>
      <c r="K3198" s="126">
        <v>120</v>
      </c>
      <c r="L3198" s="129">
        <f>INT(base[[#This Row],[Data de liquidação]])</f>
        <v>46218</v>
      </c>
      <c r="M3198" s="126">
        <f>base[[#This Row],[L/P Bruto]]-base[[#This Row],[L/P Líquido]]</f>
        <v>0.36000000000000032</v>
      </c>
      <c r="N3198" s="126">
        <f>base[[#This Row],[L/P Líquido]]/base[[#This Row],[Stake/Responsabilidade]]</f>
        <v>6.3666666666666663E-2</v>
      </c>
      <c r="O3198" s="132">
        <f>IF(base[[#This Row],[L/P Líquido]]&gt;0,1,0)</f>
        <v>1</v>
      </c>
      <c r="P3198" s="132"/>
      <c r="Q3198" s="132" t="str">
        <f>LEFT(base[[#This Row],[Evento / Mercado]],FIND("vs",base[[#This Row],[Evento / Mercado]])-2)</f>
        <v>Universidad Católica del Ecuador</v>
      </c>
      <c r="R31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LDU Quito</v>
      </c>
      <c r="S3198" s="132" t="str">
        <f>LEFT(base[[#This Row],[Evento / Mercado]],FIND("/",base[[#This Row],[Evento / Mercado]])-2)</f>
        <v>Universidad Católica del Ecuador vs LDU Quito</v>
      </c>
    </row>
    <row r="3199" spans="2:19" ht="15" customHeight="1">
      <c r="B3199" s="128" t="s">
        <v>3222</v>
      </c>
      <c r="C3199" s="128" t="s">
        <v>2982</v>
      </c>
      <c r="D3199" s="129">
        <v>46218.957546296297</v>
      </c>
      <c r="E3199" s="130">
        <v>-9.52</v>
      </c>
      <c r="F3199" s="136">
        <v>4.4999999999999998E-2</v>
      </c>
      <c r="G3199" s="126">
        <f t="shared" si="68"/>
        <v>-9.52</v>
      </c>
      <c r="H3199" s="126" t="s">
        <v>3261</v>
      </c>
      <c r="I3199" s="126" t="s">
        <v>3213</v>
      </c>
      <c r="J3199" s="126">
        <v>36</v>
      </c>
      <c r="K3199" s="126">
        <v>199.85</v>
      </c>
      <c r="L3199" s="129">
        <f>INT(base[[#This Row],[Data de liquidação]])</f>
        <v>46218</v>
      </c>
      <c r="M3199" s="126">
        <f>base[[#This Row],[L/P Bruto]]-base[[#This Row],[L/P Líquido]]</f>
        <v>0</v>
      </c>
      <c r="N3199" s="126">
        <f>base[[#This Row],[L/P Líquido]]/base[[#This Row],[Stake/Responsabilidade]]</f>
        <v>-4.7635726795096318E-2</v>
      </c>
      <c r="O3199" s="132">
        <f>IF(base[[#This Row],[L/P Líquido]]&gt;0,1,0)</f>
        <v>0</v>
      </c>
      <c r="P3199" s="132"/>
      <c r="Q3199" s="132" t="str">
        <f>LEFT(base[[#This Row],[Evento / Mercado]],FIND("vs",base[[#This Row],[Evento / Mercado]])-2)</f>
        <v>The Strongest</v>
      </c>
      <c r="R31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Oriente Petrolero</v>
      </c>
      <c r="S3199" s="132" t="str">
        <f>LEFT(base[[#This Row],[Evento / Mercado]],FIND("/",base[[#This Row],[Evento / Mercado]])-2)</f>
        <v>The Strongest vs Oriente Petrolero</v>
      </c>
    </row>
    <row r="3200" spans="2:19" ht="15" customHeight="1">
      <c r="B3200" s="128" t="s">
        <v>3214</v>
      </c>
      <c r="C3200" s="128" t="s">
        <v>2980</v>
      </c>
      <c r="D3200" s="129">
        <v>46218.978472222225</v>
      </c>
      <c r="E3200" s="130">
        <v>4.9400000000000004</v>
      </c>
      <c r="F3200" s="136">
        <v>4.4999999999999998E-2</v>
      </c>
      <c r="G3200" s="126">
        <f t="shared" si="68"/>
        <v>5.172774869109948</v>
      </c>
      <c r="H3200" s="126" t="s">
        <v>3261</v>
      </c>
      <c r="I3200" s="126" t="s">
        <v>3213</v>
      </c>
      <c r="J3200" s="126">
        <v>28</v>
      </c>
      <c r="K3200" s="126">
        <v>193.86</v>
      </c>
      <c r="L3200" s="129">
        <f>INT(base[[#This Row],[Data de liquidação]])</f>
        <v>46218</v>
      </c>
      <c r="M3200" s="126">
        <f>base[[#This Row],[L/P Bruto]]-base[[#This Row],[L/P Líquido]]</f>
        <v>0.2327748691099476</v>
      </c>
      <c r="N3200" s="126">
        <f>base[[#This Row],[L/P Líquido]]/base[[#This Row],[Stake/Responsabilidade]]</f>
        <v>2.5482306819354174E-2</v>
      </c>
      <c r="O3200" s="132">
        <f>IF(base[[#This Row],[L/P Líquido]]&gt;0,1,0)</f>
        <v>1</v>
      </c>
      <c r="P3200" s="132"/>
      <c r="Q3200" s="132" t="str">
        <f>LEFT(base[[#This Row],[Evento / Mercado]],FIND("vs",base[[#This Row],[Evento / Mercado]])-2)</f>
        <v>Barcelona SC</v>
      </c>
      <c r="R32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Guayaquil City FC</v>
      </c>
      <c r="S3200" s="132" t="str">
        <f>LEFT(base[[#This Row],[Evento / Mercado]],FIND("/",base[[#This Row],[Evento / Mercado]])-2)</f>
        <v>Barcelona SC vs Guayaquil City FC</v>
      </c>
    </row>
    <row r="3201" spans="2:19" ht="15" customHeight="1">
      <c r="B3201" s="128" t="s">
        <v>3214</v>
      </c>
      <c r="C3201" s="128" t="s">
        <v>2981</v>
      </c>
      <c r="D3201" s="129">
        <v>46218.978680555556</v>
      </c>
      <c r="E3201" s="130">
        <v>291.62</v>
      </c>
      <c r="F3201" s="136">
        <v>4.4999999999999998E-2</v>
      </c>
      <c r="G3201" s="126">
        <f t="shared" si="68"/>
        <v>305.36125654450262</v>
      </c>
      <c r="H3201" s="126" t="s">
        <v>2743</v>
      </c>
      <c r="I3201" s="127" t="s">
        <v>2744</v>
      </c>
      <c r="J3201" s="126">
        <v>8.1999999999999993</v>
      </c>
      <c r="K3201" s="126">
        <v>41.67</v>
      </c>
      <c r="L3201" s="129">
        <f>INT(base[[#This Row],[Data de liquidação]])</f>
        <v>46218</v>
      </c>
      <c r="M3201" s="126">
        <f>base[[#This Row],[L/P Bruto]]-base[[#This Row],[L/P Líquido]]</f>
        <v>13.741256544502619</v>
      </c>
      <c r="N3201" s="126">
        <f>base[[#This Row],[L/P Líquido]]/base[[#This Row],[Stake/Responsabilidade]]</f>
        <v>6.9983201343892487</v>
      </c>
      <c r="O3201" s="132">
        <f>IF(base[[#This Row],[L/P Líquido]]&gt;0,1,0)</f>
        <v>1</v>
      </c>
      <c r="P3201" s="132"/>
      <c r="Q3201" s="132" t="str">
        <f>LEFT(base[[#This Row],[Evento / Mercado]],FIND("vs",base[[#This Row],[Evento / Mercado]])-2)</f>
        <v>Barcelona SC</v>
      </c>
      <c r="R32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Guayaquil City FC</v>
      </c>
      <c r="S3201" s="132" t="str">
        <f>LEFT(base[[#This Row],[Evento / Mercado]],FIND("/",base[[#This Row],[Evento / Mercado]])-2)</f>
        <v>Barcelona SC vs Guayaquil City FC</v>
      </c>
    </row>
    <row r="3202" spans="2:19" ht="15" customHeight="1">
      <c r="B3202" s="128" t="s">
        <v>3215</v>
      </c>
      <c r="C3202" s="128" t="s">
        <v>2981</v>
      </c>
      <c r="D3202" s="129">
        <v>46218.978715277779</v>
      </c>
      <c r="E3202" s="130">
        <v>-300</v>
      </c>
      <c r="F3202" s="136">
        <v>4.4999999999999998E-2</v>
      </c>
      <c r="G3202" s="126">
        <f t="shared" si="68"/>
        <v>-300</v>
      </c>
      <c r="H3202" s="126" t="s">
        <v>2743</v>
      </c>
      <c r="I3202" s="127" t="s">
        <v>1233</v>
      </c>
      <c r="J3202" s="126">
        <v>4.2</v>
      </c>
      <c r="K3202" s="126">
        <v>300</v>
      </c>
      <c r="L3202" s="129">
        <f>INT(base[[#This Row],[Data de liquidação]])</f>
        <v>46218</v>
      </c>
      <c r="M3202" s="126">
        <f>base[[#This Row],[L/P Bruto]]-base[[#This Row],[L/P Líquido]]</f>
        <v>0</v>
      </c>
      <c r="N3202" s="126">
        <f>base[[#This Row],[L/P Líquido]]/base[[#This Row],[Stake/Responsabilidade]]</f>
        <v>-1</v>
      </c>
      <c r="O3202" s="132">
        <f>IF(base[[#This Row],[L/P Líquido]]&gt;0,1,0)</f>
        <v>0</v>
      </c>
      <c r="P3202" s="132"/>
      <c r="Q3202" s="132" t="str">
        <f>LEFT(base[[#This Row],[Evento / Mercado]],FIND("vs",base[[#This Row],[Evento / Mercado]])-2)</f>
        <v>Barcelona SC</v>
      </c>
      <c r="R32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Guayaquil City FC</v>
      </c>
      <c r="S3202" s="132" t="str">
        <f>LEFT(base[[#This Row],[Evento / Mercado]],FIND("/",base[[#This Row],[Evento / Mercado]])-2)</f>
        <v>Barcelona SC vs Guayaquil City FC</v>
      </c>
    </row>
    <row r="3203" spans="2:19" ht="15" customHeight="1">
      <c r="B3203" s="128" t="s">
        <v>3215</v>
      </c>
      <c r="C3203" s="128" t="s">
        <v>2982</v>
      </c>
      <c r="D3203" s="129">
        <v>46218.978715277779</v>
      </c>
      <c r="E3203" s="130">
        <v>119</v>
      </c>
      <c r="F3203" s="136">
        <v>4.4999999999999998E-2</v>
      </c>
      <c r="G3203" s="126">
        <f t="shared" ref="G3203:G3266" si="69">IF(E3203&gt;0,E3203/(1-F3203),E3203)</f>
        <v>124.60732984293195</v>
      </c>
      <c r="H3203" s="126" t="s">
        <v>2817</v>
      </c>
      <c r="I3203" s="127" t="s">
        <v>2992</v>
      </c>
      <c r="J3203" s="126">
        <f>(1.84*100+8.2*100.01)/base[[#This Row],[Stake/Responsabilidade]]</f>
        <v>5.0201589920503977</v>
      </c>
      <c r="K3203" s="126">
        <v>200.01</v>
      </c>
      <c r="L3203" s="129">
        <f>INT(base[[#This Row],[Data de liquidação]])</f>
        <v>46218</v>
      </c>
      <c r="M3203" s="126">
        <f>base[[#This Row],[L/P Bruto]]-base[[#This Row],[L/P Líquido]]</f>
        <v>5.6073298429319465</v>
      </c>
      <c r="N3203" s="126">
        <f>base[[#This Row],[L/P Líquido]]/base[[#This Row],[Stake/Responsabilidade]]</f>
        <v>0.59497025148742566</v>
      </c>
      <c r="O3203" s="132">
        <f>IF(base[[#This Row],[L/P Líquido]]&gt;0,1,0)</f>
        <v>1</v>
      </c>
      <c r="P3203" s="132"/>
      <c r="Q3203" s="132" t="str">
        <f>LEFT(base[[#This Row],[Evento / Mercado]],FIND("vs",base[[#This Row],[Evento / Mercado]])-2)</f>
        <v>Barcelona SC</v>
      </c>
      <c r="R32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Guayaquil City FC</v>
      </c>
      <c r="S3203" s="132" t="str">
        <f>LEFT(base[[#This Row],[Evento / Mercado]],FIND("/",base[[#This Row],[Evento / Mercado]])-2)</f>
        <v>Barcelona SC vs Guayaquil City FC</v>
      </c>
    </row>
    <row r="3204" spans="2:19" ht="15" customHeight="1">
      <c r="B3204" s="128" t="s">
        <v>3238</v>
      </c>
      <c r="C3204" s="128" t="s">
        <v>2982</v>
      </c>
      <c r="D3204" s="129">
        <v>46219.578460648147</v>
      </c>
      <c r="E3204" s="130">
        <v>19.89</v>
      </c>
      <c r="F3204" s="136">
        <v>4.4999999999999998E-2</v>
      </c>
      <c r="G3204" s="126">
        <f t="shared" si="69"/>
        <v>20.827225130890053</v>
      </c>
      <c r="H3204" s="126" t="s">
        <v>1339</v>
      </c>
      <c r="I3204" s="127" t="s">
        <v>1446</v>
      </c>
      <c r="J3204" s="126">
        <v>2.42</v>
      </c>
      <c r="K3204" s="126">
        <v>29.58</v>
      </c>
      <c r="L3204" s="129">
        <f>INT(base[[#This Row],[Data de liquidação]])</f>
        <v>46219</v>
      </c>
      <c r="M3204" s="126">
        <f>base[[#This Row],[L/P Bruto]]-base[[#This Row],[L/P Líquido]]</f>
        <v>0.93722513089005233</v>
      </c>
      <c r="N3204" s="126">
        <f>base[[#This Row],[L/P Líquido]]/base[[#This Row],[Stake/Responsabilidade]]</f>
        <v>0.67241379310344829</v>
      </c>
      <c r="O3204" s="132">
        <f>IF(base[[#This Row],[L/P Líquido]]&gt;0,1,0)</f>
        <v>1</v>
      </c>
      <c r="P3204" s="132"/>
      <c r="Q3204" s="132" t="str">
        <f>LEFT(base[[#This Row],[Evento / Mercado]],FIND("vs",base[[#This Row],[Evento / Mercado]])-2)</f>
        <v>FC Inter Turku</v>
      </c>
      <c r="R32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Sarajevo</v>
      </c>
      <c r="S3204" s="132" t="str">
        <f>LEFT(base[[#This Row],[Evento / Mercado]],FIND("/",base[[#This Row],[Evento / Mercado]])-2)</f>
        <v>FC Inter Turku vs FK Sarajevo</v>
      </c>
    </row>
    <row r="3205" spans="2:19" ht="15" customHeight="1">
      <c r="B3205" s="128" t="s">
        <v>3237</v>
      </c>
      <c r="C3205" s="128" t="s">
        <v>2982</v>
      </c>
      <c r="D3205" s="129">
        <v>46219.620509259257</v>
      </c>
      <c r="E3205" s="130">
        <v>22.74</v>
      </c>
      <c r="F3205" s="136">
        <v>4.4999999999999998E-2</v>
      </c>
      <c r="G3205" s="126">
        <f t="shared" si="69"/>
        <v>23.811518324607331</v>
      </c>
      <c r="H3205" s="126" t="s">
        <v>1339</v>
      </c>
      <c r="I3205" s="127" t="s">
        <v>1446</v>
      </c>
      <c r="J3205" s="126">
        <v>2.2599999999999998</v>
      </c>
      <c r="K3205" s="126">
        <v>30</v>
      </c>
      <c r="L3205" s="129">
        <f>INT(base[[#This Row],[Data de liquidação]])</f>
        <v>46219</v>
      </c>
      <c r="M3205" s="126">
        <f>base[[#This Row],[L/P Bruto]]-base[[#This Row],[L/P Líquido]]</f>
        <v>1.0715183246073323</v>
      </c>
      <c r="N3205" s="126">
        <f>base[[#This Row],[L/P Líquido]]/base[[#This Row],[Stake/Responsabilidade]]</f>
        <v>0.7579999999999999</v>
      </c>
      <c r="O3205" s="132">
        <f>IF(base[[#This Row],[L/P Líquido]]&gt;0,1,0)</f>
        <v>1</v>
      </c>
      <c r="P3205" s="132"/>
      <c r="Q3205" s="132" t="str">
        <f>LEFT(base[[#This Row],[Evento / Mercado]],FIND("vs",base[[#This Row],[Evento / Mercado]])-2)</f>
        <v>Ilves</v>
      </c>
      <c r="R32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Differdange 03</v>
      </c>
      <c r="S3205" s="132" t="str">
        <f>LEFT(base[[#This Row],[Evento / Mercado]],FIND("/",base[[#This Row],[Evento / Mercado]])-2)</f>
        <v>Ilves vs Differdange 03</v>
      </c>
    </row>
    <row r="3206" spans="2:19" ht="15" customHeight="1">
      <c r="B3206" s="128" t="s">
        <v>3240</v>
      </c>
      <c r="C3206" s="128" t="s">
        <v>2981</v>
      </c>
      <c r="D3206" s="129">
        <v>46219.660474537035</v>
      </c>
      <c r="E3206" s="130">
        <v>-33.33</v>
      </c>
      <c r="F3206" s="136">
        <v>4.4999999999999998E-2</v>
      </c>
      <c r="G3206" s="126">
        <f t="shared" si="69"/>
        <v>-33.33</v>
      </c>
      <c r="H3206" s="126" t="s">
        <v>2743</v>
      </c>
      <c r="I3206" s="127" t="s">
        <v>2744</v>
      </c>
      <c r="J3206" s="126">
        <v>10</v>
      </c>
      <c r="K3206" s="126">
        <v>33.33</v>
      </c>
      <c r="L3206" s="129">
        <f>INT(base[[#This Row],[Data de liquidação]])</f>
        <v>46219</v>
      </c>
      <c r="M3206" s="126">
        <f>base[[#This Row],[L/P Bruto]]-base[[#This Row],[L/P Líquido]]</f>
        <v>0</v>
      </c>
      <c r="N3206" s="126">
        <f>base[[#This Row],[L/P Líquido]]/base[[#This Row],[Stake/Responsabilidade]]</f>
        <v>-1</v>
      </c>
      <c r="O3206" s="132">
        <f>IF(base[[#This Row],[L/P Líquido]]&gt;0,1,0)</f>
        <v>0</v>
      </c>
      <c r="P3206" s="132"/>
      <c r="Q3206" s="132" t="str">
        <f>LEFT(base[[#This Row],[Evento / Mercado]],FIND("vs",base[[#This Row],[Evento / Mercado]])-2)</f>
        <v>Žalgiris Vilnius</v>
      </c>
      <c r="R32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OFK Petrovac</v>
      </c>
      <c r="S3206" s="132" t="str">
        <f>LEFT(base[[#This Row],[Evento / Mercado]],FIND("/",base[[#This Row],[Evento / Mercado]])-2)</f>
        <v>Žalgiris Vilnius vs OFK Petrovac</v>
      </c>
    </row>
    <row r="3207" spans="2:19" ht="15" customHeight="1">
      <c r="B3207" s="128" t="s">
        <v>3236</v>
      </c>
      <c r="C3207" s="128" t="s">
        <v>2982</v>
      </c>
      <c r="D3207" s="129">
        <v>46219.660578703704</v>
      </c>
      <c r="E3207" s="130">
        <v>11.34</v>
      </c>
      <c r="F3207" s="136">
        <v>4.4999999999999998E-2</v>
      </c>
      <c r="G3207" s="126">
        <f t="shared" si="69"/>
        <v>11.874345549738221</v>
      </c>
      <c r="H3207" s="126" t="s">
        <v>2817</v>
      </c>
      <c r="I3207" s="127" t="s">
        <v>2992</v>
      </c>
      <c r="J3207" s="126">
        <v>8.14</v>
      </c>
      <c r="K3207" s="126">
        <v>99.19</v>
      </c>
      <c r="L3207" s="129">
        <f>INT(base[[#This Row],[Data de liquidação]])</f>
        <v>46219</v>
      </c>
      <c r="M3207" s="126">
        <f>base[[#This Row],[L/P Bruto]]-base[[#This Row],[L/P Líquido]]</f>
        <v>0.53434554973822124</v>
      </c>
      <c r="N3207" s="126">
        <f>base[[#This Row],[L/P Líquido]]/base[[#This Row],[Stake/Responsabilidade]]</f>
        <v>0.11432604093154553</v>
      </c>
      <c r="O3207" s="132">
        <f>IF(base[[#This Row],[L/P Líquido]]&gt;0,1,0)</f>
        <v>1</v>
      </c>
      <c r="P3207" s="132"/>
      <c r="Q3207" s="132" t="str">
        <f>LEFT(base[[#This Row],[Evento / Mercado]],FIND("vs",base[[#This Row],[Evento / Mercado]])-2)</f>
        <v>Žalgiris Vilnius</v>
      </c>
      <c r="R32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OFK Petrovac</v>
      </c>
      <c r="S3207" s="132" t="str">
        <f>LEFT(base[[#This Row],[Evento / Mercado]],FIND("/",base[[#This Row],[Evento / Mercado]])-2)</f>
        <v>Žalgiris Vilnius vs OFK Petrovac</v>
      </c>
    </row>
    <row r="3208" spans="2:19" ht="15" customHeight="1">
      <c r="B3208" s="128" t="s">
        <v>3236</v>
      </c>
      <c r="C3208" s="128" t="s">
        <v>2981</v>
      </c>
      <c r="D3208" s="129">
        <v>46219.660578703704</v>
      </c>
      <c r="E3208" s="130">
        <v>66.83</v>
      </c>
      <c r="F3208" s="136">
        <v>4.4999999999999998E-2</v>
      </c>
      <c r="G3208" s="126">
        <f t="shared" si="69"/>
        <v>69.979057591623032</v>
      </c>
      <c r="H3208" s="126" t="s">
        <v>2743</v>
      </c>
      <c r="I3208" s="127" t="s">
        <v>1233</v>
      </c>
      <c r="J3208" s="126">
        <v>5</v>
      </c>
      <c r="K3208" s="126">
        <v>300</v>
      </c>
      <c r="L3208" s="129">
        <f>INT(base[[#This Row],[Data de liquidação]])</f>
        <v>46219</v>
      </c>
      <c r="M3208" s="126">
        <f>base[[#This Row],[L/P Bruto]]-base[[#This Row],[L/P Líquido]]</f>
        <v>3.1490575916230341</v>
      </c>
      <c r="N3208" s="126">
        <f>base[[#This Row],[L/P Líquido]]/base[[#This Row],[Stake/Responsabilidade]]</f>
        <v>0.22276666666666667</v>
      </c>
      <c r="O3208" s="132">
        <f>IF(base[[#This Row],[L/P Líquido]]&gt;0,1,0)</f>
        <v>1</v>
      </c>
      <c r="P3208" s="132"/>
      <c r="Q3208" s="132" t="str">
        <f>LEFT(base[[#This Row],[Evento / Mercado]],FIND("vs",base[[#This Row],[Evento / Mercado]])-2)</f>
        <v>Žalgiris Vilnius</v>
      </c>
      <c r="R32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OFK Petrovac</v>
      </c>
      <c r="S3208" s="132" t="str">
        <f>LEFT(base[[#This Row],[Evento / Mercado]],FIND("/",base[[#This Row],[Evento / Mercado]])-2)</f>
        <v>Žalgiris Vilnius vs OFK Petrovac</v>
      </c>
    </row>
    <row r="3209" spans="2:19" ht="15" customHeight="1">
      <c r="B3209" s="128" t="s">
        <v>3235</v>
      </c>
      <c r="C3209" s="128" t="s">
        <v>2982</v>
      </c>
      <c r="D3209" s="129">
        <v>46219.684560185182</v>
      </c>
      <c r="E3209" s="130">
        <v>46.36</v>
      </c>
      <c r="F3209" s="136">
        <v>4.4999999999999998E-2</v>
      </c>
      <c r="G3209" s="126">
        <f t="shared" si="69"/>
        <v>48.544502617801051</v>
      </c>
      <c r="H3209" s="126" t="s">
        <v>2820</v>
      </c>
      <c r="I3209" s="127" t="s">
        <v>13</v>
      </c>
      <c r="J3209" s="126">
        <f>(1.93*50+2.08*25)/base[[#This Row],[Stake/Responsabilidade]]</f>
        <v>1.98</v>
      </c>
      <c r="K3209" s="126">
        <v>75</v>
      </c>
      <c r="L3209" s="129">
        <f>INT(base[[#This Row],[Data de liquidação]])</f>
        <v>46219</v>
      </c>
      <c r="M3209" s="126">
        <f>base[[#This Row],[L/P Bruto]]-base[[#This Row],[L/P Líquido]]</f>
        <v>2.1845026178010514</v>
      </c>
      <c r="N3209" s="126">
        <f>base[[#This Row],[L/P Líquido]]/base[[#This Row],[Stake/Responsabilidade]]</f>
        <v>0.61813333333333331</v>
      </c>
      <c r="O3209" s="132">
        <f>IF(base[[#This Row],[L/P Líquido]]&gt;0,1,0)</f>
        <v>1</v>
      </c>
      <c r="P3209" s="132"/>
      <c r="Q3209" s="132" t="str">
        <f>LEFT(base[[#This Row],[Evento / Mercado]],FIND("vs",base[[#This Row],[Evento / Mercado]])-2)</f>
        <v>Hamrun Spartans</v>
      </c>
      <c r="R32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NSI Runavik</v>
      </c>
      <c r="S3209" s="132" t="str">
        <f>LEFT(base[[#This Row],[Evento / Mercado]],FIND("/",base[[#This Row],[Evento / Mercado]])-2)</f>
        <v>Hamrun Spartans vs NSI Runavik</v>
      </c>
    </row>
    <row r="3210" spans="2:19" ht="15" customHeight="1">
      <c r="B3210" s="128" t="s">
        <v>3234</v>
      </c>
      <c r="C3210" s="128" t="s">
        <v>2982</v>
      </c>
      <c r="D3210" s="129">
        <v>46219.686921296299</v>
      </c>
      <c r="E3210" s="130">
        <v>-30</v>
      </c>
      <c r="F3210" s="136">
        <v>4.4999999999999998E-2</v>
      </c>
      <c r="G3210" s="126">
        <f t="shared" si="69"/>
        <v>-30</v>
      </c>
      <c r="H3210" s="126" t="s">
        <v>1339</v>
      </c>
      <c r="I3210" s="127" t="s">
        <v>1446</v>
      </c>
      <c r="J3210" s="126">
        <v>2.08</v>
      </c>
      <c r="K3210" s="126">
        <v>25</v>
      </c>
      <c r="L3210" s="129">
        <f>INT(base[[#This Row],[Data de liquidação]])</f>
        <v>46219</v>
      </c>
      <c r="M3210" s="126">
        <f>base[[#This Row],[L/P Bruto]]-base[[#This Row],[L/P Líquido]]</f>
        <v>0</v>
      </c>
      <c r="N3210" s="126">
        <f>base[[#This Row],[L/P Líquido]]/base[[#This Row],[Stake/Responsabilidade]]</f>
        <v>-1.2</v>
      </c>
      <c r="O3210" s="132">
        <f>IF(base[[#This Row],[L/P Líquido]]&gt;0,1,0)</f>
        <v>0</v>
      </c>
      <c r="P3210" s="132"/>
      <c r="Q3210" s="132" t="str">
        <f>LEFT(base[[#This Row],[Evento / Mercado]],FIND("vs",base[[#This Row],[Evento / Mercado]])-2)</f>
        <v>Hamrun Spartans</v>
      </c>
      <c r="R32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NSI Runavik</v>
      </c>
      <c r="S3210" s="132" t="str">
        <f>LEFT(base[[#This Row],[Evento / Mercado]],FIND("/",base[[#This Row],[Evento / Mercado]])-2)</f>
        <v>Hamrun Spartans vs NSI Runavik</v>
      </c>
    </row>
    <row r="3211" spans="2:19" ht="15" customHeight="1">
      <c r="B3211" s="128" t="s">
        <v>3239</v>
      </c>
      <c r="C3211" s="128" t="s">
        <v>2981</v>
      </c>
      <c r="D3211" s="129">
        <v>46219.712152777778</v>
      </c>
      <c r="E3211" s="130">
        <v>-26.09</v>
      </c>
      <c r="F3211" s="136">
        <v>4.4999999999999998E-2</v>
      </c>
      <c r="G3211" s="126">
        <f t="shared" si="69"/>
        <v>-26.09</v>
      </c>
      <c r="H3211" s="126" t="s">
        <v>2743</v>
      </c>
      <c r="I3211" s="127" t="s">
        <v>2744</v>
      </c>
      <c r="J3211" s="126">
        <v>12.5</v>
      </c>
      <c r="K3211" s="126">
        <v>26.09</v>
      </c>
      <c r="L3211" s="129">
        <f>INT(base[[#This Row],[Data de liquidação]])</f>
        <v>46219</v>
      </c>
      <c r="M3211" s="126">
        <f>base[[#This Row],[L/P Bruto]]-base[[#This Row],[L/P Líquido]]</f>
        <v>0</v>
      </c>
      <c r="N3211" s="126">
        <f>base[[#This Row],[L/P Líquido]]/base[[#This Row],[Stake/Responsabilidade]]</f>
        <v>-1</v>
      </c>
      <c r="O3211" s="132">
        <f>IF(base[[#This Row],[L/P Líquido]]&gt;0,1,0)</f>
        <v>0</v>
      </c>
      <c r="P3211" s="132"/>
      <c r="Q3211" s="132" t="str">
        <f>LEFT(base[[#This Row],[Evento / Mercado]],FIND("vs",base[[#This Row],[Evento / Mercado]])-2)</f>
        <v>Ferencvárosi TC</v>
      </c>
      <c r="R32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Vojvodina</v>
      </c>
      <c r="S3211" s="132" t="str">
        <f>LEFT(base[[#This Row],[Evento / Mercado]],FIND("/",base[[#This Row],[Evento / Mercado]])-2)</f>
        <v>Ferencvárosi TC vs Vojvodina</v>
      </c>
    </row>
    <row r="3212" spans="2:19" ht="15" customHeight="1">
      <c r="B3212" s="128" t="s">
        <v>3233</v>
      </c>
      <c r="C3212" s="128" t="s">
        <v>2982</v>
      </c>
      <c r="D3212" s="129">
        <v>46219.712233796294</v>
      </c>
      <c r="E3212" s="130">
        <v>10.98</v>
      </c>
      <c r="F3212" s="136">
        <v>4.4999999999999998E-2</v>
      </c>
      <c r="G3212" s="126">
        <f t="shared" si="69"/>
        <v>11.497382198952881</v>
      </c>
      <c r="H3212" s="126" t="s">
        <v>2817</v>
      </c>
      <c r="I3212" s="127" t="s">
        <v>2992</v>
      </c>
      <c r="J3212" s="126">
        <v>9</v>
      </c>
      <c r="K3212" s="126">
        <v>100</v>
      </c>
      <c r="L3212" s="129">
        <f>INT(base[[#This Row],[Data de liquidação]])</f>
        <v>46219</v>
      </c>
      <c r="M3212" s="126">
        <f>base[[#This Row],[L/P Bruto]]-base[[#This Row],[L/P Líquido]]</f>
        <v>0.5173821989528804</v>
      </c>
      <c r="N3212" s="126">
        <f>base[[#This Row],[L/P Líquido]]/base[[#This Row],[Stake/Responsabilidade]]</f>
        <v>0.10980000000000001</v>
      </c>
      <c r="O3212" s="132">
        <f>IF(base[[#This Row],[L/P Líquido]]&gt;0,1,0)</f>
        <v>1</v>
      </c>
      <c r="P3212" s="132"/>
      <c r="Q3212" s="132" t="str">
        <f>LEFT(base[[#This Row],[Evento / Mercado]],FIND("vs",base[[#This Row],[Evento / Mercado]])-2)</f>
        <v>Ferencvárosi TC</v>
      </c>
      <c r="R32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Vojvodina</v>
      </c>
      <c r="S3212" s="132" t="str">
        <f>LEFT(base[[#This Row],[Evento / Mercado]],FIND("/",base[[#This Row],[Evento / Mercado]])-2)</f>
        <v>Ferencvárosi TC vs Vojvodina</v>
      </c>
    </row>
    <row r="3213" spans="2:19" ht="15" customHeight="1">
      <c r="B3213" s="128" t="s">
        <v>3233</v>
      </c>
      <c r="C3213" s="128" t="s">
        <v>2981</v>
      </c>
      <c r="D3213" s="129">
        <v>46219.712233796294</v>
      </c>
      <c r="E3213" s="130">
        <v>55.63</v>
      </c>
      <c r="F3213" s="136">
        <v>4.4999999999999998E-2</v>
      </c>
      <c r="G3213" s="126">
        <f t="shared" si="69"/>
        <v>58.251308900523568</v>
      </c>
      <c r="H3213" s="126" t="s">
        <v>2743</v>
      </c>
      <c r="I3213" s="127" t="s">
        <v>1233</v>
      </c>
      <c r="J3213" s="126">
        <v>6</v>
      </c>
      <c r="K3213" s="126">
        <v>300</v>
      </c>
      <c r="L3213" s="129">
        <f>INT(base[[#This Row],[Data de liquidação]])</f>
        <v>46219</v>
      </c>
      <c r="M3213" s="126">
        <f>base[[#This Row],[L/P Bruto]]-base[[#This Row],[L/P Líquido]]</f>
        <v>2.6213089005235659</v>
      </c>
      <c r="N3213" s="126">
        <f>base[[#This Row],[L/P Líquido]]/base[[#This Row],[Stake/Responsabilidade]]</f>
        <v>0.18543333333333334</v>
      </c>
      <c r="O3213" s="132">
        <f>IF(base[[#This Row],[L/P Líquido]]&gt;0,1,0)</f>
        <v>1</v>
      </c>
      <c r="P3213" s="132"/>
      <c r="Q3213" s="132" t="str">
        <f>LEFT(base[[#This Row],[Evento / Mercado]],FIND("vs",base[[#This Row],[Evento / Mercado]])-2)</f>
        <v>Ferencvárosi TC</v>
      </c>
      <c r="R32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Vojvodina</v>
      </c>
      <c r="S3213" s="132" t="str">
        <f>LEFT(base[[#This Row],[Evento / Mercado]],FIND("/",base[[#This Row],[Evento / Mercado]])-2)</f>
        <v>Ferencvárosi TC vs Vojvodina</v>
      </c>
    </row>
    <row r="3214" spans="2:19" ht="15" customHeight="1">
      <c r="B3214" s="128" t="s">
        <v>3232</v>
      </c>
      <c r="C3214" s="128" t="s">
        <v>2982</v>
      </c>
      <c r="D3214" s="129">
        <v>46219.714409722219</v>
      </c>
      <c r="E3214" s="130">
        <v>2.54</v>
      </c>
      <c r="F3214" s="136">
        <v>4.4999999999999998E-2</v>
      </c>
      <c r="G3214" s="126">
        <f t="shared" si="69"/>
        <v>2.6596858638743459</v>
      </c>
      <c r="H3214" s="126" t="s">
        <v>1339</v>
      </c>
      <c r="I3214" s="127" t="s">
        <v>2404</v>
      </c>
      <c r="J3214" s="126">
        <v>1.53</v>
      </c>
      <c r="K3214" s="126">
        <v>5</v>
      </c>
      <c r="L3214" s="129">
        <f>INT(base[[#This Row],[Data de liquidação]])</f>
        <v>46219</v>
      </c>
      <c r="M3214" s="126">
        <f>base[[#This Row],[L/P Bruto]]-base[[#This Row],[L/P Líquido]]</f>
        <v>0.11968586387434588</v>
      </c>
      <c r="N3214" s="126">
        <f>base[[#This Row],[L/P Líquido]]/base[[#This Row],[Stake/Responsabilidade]]</f>
        <v>0.50800000000000001</v>
      </c>
      <c r="O3214" s="132">
        <f>IF(base[[#This Row],[L/P Líquido]]&gt;0,1,0)</f>
        <v>1</v>
      </c>
      <c r="P3214" s="132"/>
      <c r="Q3214" s="132" t="str">
        <f>LEFT(base[[#This Row],[Evento / Mercado]],FIND("vs",base[[#This Row],[Evento / Mercado]])-2)</f>
        <v>Academia de Balompie Boliviano</v>
      </c>
      <c r="R32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Independiente Petrolero</v>
      </c>
      <c r="S3214" s="132" t="str">
        <f>LEFT(base[[#This Row],[Evento / Mercado]],FIND("/",base[[#This Row],[Evento / Mercado]])-2)</f>
        <v>Academia de Balompie Boliviano vs Club Independiente Petrolero</v>
      </c>
    </row>
    <row r="3215" spans="2:19" ht="15" customHeight="1">
      <c r="B3215" s="128" t="s">
        <v>3231</v>
      </c>
      <c r="C3215" s="128" t="s">
        <v>2982</v>
      </c>
      <c r="D3215" s="129">
        <v>46219.842499999999</v>
      </c>
      <c r="E3215" s="130">
        <v>1.36</v>
      </c>
      <c r="F3215" s="136">
        <v>4.4999999999999998E-2</v>
      </c>
      <c r="G3215" s="126">
        <f t="shared" si="69"/>
        <v>1.424083769633508</v>
      </c>
      <c r="H3215" s="126" t="s">
        <v>1339</v>
      </c>
      <c r="I3215" s="127" t="s">
        <v>1993</v>
      </c>
      <c r="J3215" s="126">
        <v>1.1399999999999999</v>
      </c>
      <c r="K3215" s="126">
        <v>10</v>
      </c>
      <c r="L3215" s="129">
        <f>INT(base[[#This Row],[Data de liquidação]])</f>
        <v>46219</v>
      </c>
      <c r="M3215" s="126">
        <f>base[[#This Row],[L/P Bruto]]-base[[#This Row],[L/P Líquido]]</f>
        <v>6.4083769633507925E-2</v>
      </c>
      <c r="N3215" s="126">
        <f>base[[#This Row],[L/P Líquido]]/base[[#This Row],[Stake/Responsabilidade]]</f>
        <v>0.13600000000000001</v>
      </c>
      <c r="O3215" s="132">
        <f>IF(base[[#This Row],[L/P Líquido]]&gt;0,1,0)</f>
        <v>1</v>
      </c>
      <c r="P3215" s="132"/>
      <c r="Q3215" s="132" t="str">
        <f>LEFT(base[[#This Row],[Evento / Mercado]],FIND("vs",base[[#This Row],[Evento / Mercado]])-2)</f>
        <v>Botafogo FR</v>
      </c>
      <c r="R32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3215" s="132" t="str">
        <f>LEFT(base[[#This Row],[Evento / Mercado]],FIND("/",base[[#This Row],[Evento / Mercado]])-2)</f>
        <v>Botafogo FR vs Santos FC</v>
      </c>
    </row>
    <row r="3216" spans="2:19" ht="15" customHeight="1">
      <c r="B3216" s="128" t="s">
        <v>3230</v>
      </c>
      <c r="C3216" s="128" t="s">
        <v>2982</v>
      </c>
      <c r="D3216" s="129">
        <v>46219.867592592593</v>
      </c>
      <c r="E3216" s="130">
        <v>3.73</v>
      </c>
      <c r="F3216" s="136">
        <v>4.4999999999999998E-2</v>
      </c>
      <c r="G3216" s="126">
        <f t="shared" si="69"/>
        <v>3.9057591623036649</v>
      </c>
      <c r="H3216" s="126" t="s">
        <v>1339</v>
      </c>
      <c r="I3216" s="127" t="s">
        <v>2404</v>
      </c>
      <c r="J3216" s="126">
        <v>1.78</v>
      </c>
      <c r="K3216" s="126">
        <v>5</v>
      </c>
      <c r="L3216" s="129">
        <f>INT(base[[#This Row],[Data de liquidação]])</f>
        <v>46219</v>
      </c>
      <c r="M3216" s="126">
        <f>base[[#This Row],[L/P Bruto]]-base[[#This Row],[L/P Líquido]]</f>
        <v>0.17575916230366495</v>
      </c>
      <c r="N3216" s="126">
        <f>base[[#This Row],[L/P Líquido]]/base[[#This Row],[Stake/Responsabilidade]]</f>
        <v>0.746</v>
      </c>
      <c r="O3216" s="132">
        <f>IF(base[[#This Row],[L/P Líquido]]&gt;0,1,0)</f>
        <v>1</v>
      </c>
      <c r="P3216" s="132"/>
      <c r="Q3216" s="132" t="str">
        <f>LEFT(base[[#This Row],[Evento / Mercado]],FIND("vs",base[[#This Row],[Evento / Mercado]])-2)</f>
        <v>Botafogo FR</v>
      </c>
      <c r="R32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3216" s="132" t="str">
        <f>LEFT(base[[#This Row],[Evento / Mercado]],FIND("/",base[[#This Row],[Evento / Mercado]])-2)</f>
        <v>Botafogo FR vs Santos FC</v>
      </c>
    </row>
    <row r="3217" spans="2:19" ht="15" customHeight="1">
      <c r="B3217" s="128" t="s">
        <v>3229</v>
      </c>
      <c r="C3217" s="128" t="s">
        <v>2982</v>
      </c>
      <c r="D3217" s="129">
        <v>46219.916493055556</v>
      </c>
      <c r="E3217" s="130">
        <v>4.24</v>
      </c>
      <c r="F3217" s="136">
        <v>4.4999999999999998E-2</v>
      </c>
      <c r="G3217" s="126">
        <f t="shared" si="69"/>
        <v>4.4397905759162306</v>
      </c>
      <c r="H3217" s="126" t="s">
        <v>1339</v>
      </c>
      <c r="I3217" s="127" t="s">
        <v>1430</v>
      </c>
      <c r="J3217" s="126">
        <v>26</v>
      </c>
      <c r="K3217" s="126">
        <v>111</v>
      </c>
      <c r="L3217" s="129">
        <f>INT(base[[#This Row],[Data de liquidação]])</f>
        <v>46219</v>
      </c>
      <c r="M3217" s="126">
        <f>base[[#This Row],[L/P Bruto]]-base[[#This Row],[L/P Líquido]]</f>
        <v>0.1997905759162304</v>
      </c>
      <c r="N3217" s="126">
        <f>base[[#This Row],[L/P Líquido]]/base[[#This Row],[Stake/Responsabilidade]]</f>
        <v>3.8198198198198204E-2</v>
      </c>
      <c r="O3217" s="132">
        <f>IF(base[[#This Row],[L/P Líquido]]&gt;0,1,0)</f>
        <v>1</v>
      </c>
      <c r="P3217" s="132"/>
      <c r="Q3217" s="132" t="str">
        <f>LEFT(base[[#This Row],[Evento / Mercado]],FIND("vs",base[[#This Row],[Evento / Mercado]])-2)</f>
        <v>CRB</v>
      </c>
      <c r="R32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3217" s="132" t="str">
        <f>LEFT(base[[#This Row],[Evento / Mercado]],FIND("/",base[[#This Row],[Evento / Mercado]])-2)</f>
        <v>CRB vs Clube Náutico Capibaribe</v>
      </c>
    </row>
    <row r="3218" spans="2:19" ht="15" customHeight="1">
      <c r="B3218" s="128" t="s">
        <v>3228</v>
      </c>
      <c r="C3218" s="128" t="s">
        <v>2982</v>
      </c>
      <c r="D3218" s="129">
        <v>46219.927187499998</v>
      </c>
      <c r="E3218" s="130">
        <v>0.56999999999999995</v>
      </c>
      <c r="F3218" s="136">
        <v>4.4999999999999998E-2</v>
      </c>
      <c r="G3218" s="126">
        <f t="shared" si="69"/>
        <v>0.59685863874345546</v>
      </c>
      <c r="H3218" s="126" t="s">
        <v>1339</v>
      </c>
      <c r="I3218" s="127" t="s">
        <v>1993</v>
      </c>
      <c r="J3218" s="126">
        <v>1.06</v>
      </c>
      <c r="K3218" s="126">
        <v>10</v>
      </c>
      <c r="L3218" s="129">
        <f>INT(base[[#This Row],[Data de liquidação]])</f>
        <v>46219</v>
      </c>
      <c r="M3218" s="126">
        <f>base[[#This Row],[L/P Bruto]]-base[[#This Row],[L/P Líquido]]</f>
        <v>2.685863874345551E-2</v>
      </c>
      <c r="N3218" s="126">
        <f>base[[#This Row],[L/P Líquido]]/base[[#This Row],[Stake/Responsabilidade]]</f>
        <v>5.6999999999999995E-2</v>
      </c>
      <c r="O3218" s="132">
        <f>IF(base[[#This Row],[L/P Líquido]]&gt;0,1,0)</f>
        <v>1</v>
      </c>
      <c r="P3218" s="132"/>
      <c r="Q3218" s="132" t="str">
        <f>LEFT(base[[#This Row],[Evento / Mercado]],FIND("vs",base[[#This Row],[Evento / Mercado]])-2)</f>
        <v>Saint Louis City SC</v>
      </c>
      <c r="R32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Kansas City</v>
      </c>
      <c r="S3218" s="132" t="str">
        <f>LEFT(base[[#This Row],[Evento / Mercado]],FIND("/",base[[#This Row],[Evento / Mercado]])-2)</f>
        <v>Saint Louis City SC vs Sporting Kansas City</v>
      </c>
    </row>
    <row r="3219" spans="2:19" ht="15" customHeight="1">
      <c r="B3219" s="128" t="s">
        <v>3227</v>
      </c>
      <c r="C3219" s="128" t="s">
        <v>2982</v>
      </c>
      <c r="D3219" s="129">
        <v>46219.931458333333</v>
      </c>
      <c r="E3219" s="130">
        <v>14.33</v>
      </c>
      <c r="F3219" s="136">
        <v>4.4999999999999998E-2</v>
      </c>
      <c r="G3219" s="126">
        <f t="shared" si="69"/>
        <v>15.005235602094242</v>
      </c>
      <c r="H3219" s="126" t="s">
        <v>1339</v>
      </c>
      <c r="I3219" s="127" t="s">
        <v>1236</v>
      </c>
      <c r="J3219" s="126">
        <v>12</v>
      </c>
      <c r="K3219" s="126">
        <v>15</v>
      </c>
      <c r="L3219" s="129">
        <f>INT(base[[#This Row],[Data de liquidação]])</f>
        <v>46219</v>
      </c>
      <c r="M3219" s="126">
        <f>base[[#This Row],[L/P Bruto]]-base[[#This Row],[L/P Líquido]]</f>
        <v>0.67523560209424183</v>
      </c>
      <c r="N3219" s="126">
        <f>base[[#This Row],[L/P Líquido]]/base[[#This Row],[Stake/Responsabilidade]]</f>
        <v>0.95533333333333337</v>
      </c>
      <c r="O3219" s="132">
        <f>IF(base[[#This Row],[L/P Líquido]]&gt;0,1,0)</f>
        <v>1</v>
      </c>
      <c r="P3219" s="132"/>
      <c r="Q3219" s="132" t="str">
        <f>LEFT(base[[#This Row],[Evento / Mercado]],FIND("vs",base[[#This Row],[Evento / Mercado]])-2)</f>
        <v>Saint Louis City SC</v>
      </c>
      <c r="R32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Kansas City</v>
      </c>
      <c r="S3219" s="132" t="str">
        <f>LEFT(base[[#This Row],[Evento / Mercado]],FIND("/",base[[#This Row],[Evento / Mercado]])-2)</f>
        <v>Saint Louis City SC vs Sporting Kansas City</v>
      </c>
    </row>
    <row r="3220" spans="2:19" ht="15" customHeight="1">
      <c r="B3220" s="128" t="s">
        <v>3226</v>
      </c>
      <c r="C3220" s="128" t="s">
        <v>2982</v>
      </c>
      <c r="D3220" s="129">
        <v>46219.943368055552</v>
      </c>
      <c r="E3220" s="130">
        <v>-50</v>
      </c>
      <c r="F3220" s="136">
        <v>4.4999999999999998E-2</v>
      </c>
      <c r="G3220" s="126">
        <f t="shared" si="69"/>
        <v>-50</v>
      </c>
      <c r="H3220" s="126" t="s">
        <v>3004</v>
      </c>
      <c r="I3220" s="127" t="s">
        <v>75</v>
      </c>
      <c r="J3220" s="126">
        <v>1.34</v>
      </c>
      <c r="K3220" s="126">
        <v>50</v>
      </c>
      <c r="L3220" s="129">
        <f>INT(base[[#This Row],[Data de liquidação]])</f>
        <v>46219</v>
      </c>
      <c r="M3220" s="126">
        <f>base[[#This Row],[L/P Bruto]]-base[[#This Row],[L/P Líquido]]</f>
        <v>0</v>
      </c>
      <c r="N3220" s="126">
        <f>base[[#This Row],[L/P Líquido]]/base[[#This Row],[Stake/Responsabilidade]]</f>
        <v>-1</v>
      </c>
      <c r="O3220" s="132">
        <f>IF(base[[#This Row],[L/P Líquido]]&gt;0,1,0)</f>
        <v>0</v>
      </c>
      <c r="P3220" s="132"/>
      <c r="Q3220" s="132" t="str">
        <f>LEFT(base[[#This Row],[Evento / Mercado]],FIND("vs",base[[#This Row],[Evento / Mercado]])-2)</f>
        <v>CF Montreal</v>
      </c>
      <c r="R32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3220" s="132" t="str">
        <f>LEFT(base[[#This Row],[Evento / Mercado]],FIND("/",base[[#This Row],[Evento / Mercado]])-2)</f>
        <v>CF Montreal vs Toronto FC</v>
      </c>
    </row>
    <row r="3221" spans="2:19" ht="15" customHeight="1">
      <c r="B3221" s="128" t="s">
        <v>3258</v>
      </c>
      <c r="C3221" s="128" t="s">
        <v>2982</v>
      </c>
      <c r="D3221" s="129">
        <v>46220.065694444442</v>
      </c>
      <c r="E3221" s="130">
        <v>-6.69</v>
      </c>
      <c r="F3221" s="136">
        <v>4.4999999999999998E-2</v>
      </c>
      <c r="G3221" s="126">
        <f t="shared" si="69"/>
        <v>-6.69</v>
      </c>
      <c r="H3221" s="126" t="s">
        <v>1339</v>
      </c>
      <c r="I3221" s="127" t="s">
        <v>1236</v>
      </c>
      <c r="J3221" s="126">
        <v>5.35</v>
      </c>
      <c r="K3221" s="126">
        <v>15</v>
      </c>
      <c r="L3221" s="129">
        <f>INT(base[[#This Row],[Data de liquidação]])</f>
        <v>46220</v>
      </c>
      <c r="M3221" s="126">
        <f>base[[#This Row],[L/P Bruto]]-base[[#This Row],[L/P Líquido]]</f>
        <v>0</v>
      </c>
      <c r="N3221" s="126">
        <f>base[[#This Row],[L/P Líquido]]/base[[#This Row],[Stake/Responsabilidade]]</f>
        <v>-0.44600000000000001</v>
      </c>
      <c r="O3221" s="132">
        <f>IF(base[[#This Row],[L/P Líquido]]&gt;0,1,0)</f>
        <v>0</v>
      </c>
      <c r="P3221" s="132"/>
      <c r="Q3221" s="132" t="str">
        <f>LEFT(base[[#This Row],[Evento / Mercado]],FIND("vs",base[[#This Row],[Evento / Mercado]])-2)</f>
        <v>Club Tijuana</v>
      </c>
      <c r="R32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Tigres de la UANL</v>
      </c>
      <c r="S3221" s="132" t="str">
        <f>LEFT(base[[#This Row],[Evento / Mercado]],FIND("/",base[[#This Row],[Evento / Mercado]])-2)</f>
        <v>Club Tijuana vs Tigres de la UANL</v>
      </c>
    </row>
    <row r="3222" spans="2:19" ht="15" customHeight="1">
      <c r="B3222" s="128" t="s">
        <v>3257</v>
      </c>
      <c r="C3222" s="128" t="s">
        <v>2982</v>
      </c>
      <c r="D3222" s="129">
        <v>46220.07340277778</v>
      </c>
      <c r="E3222" s="130">
        <v>22.47</v>
      </c>
      <c r="F3222" s="136">
        <v>4.4999999999999998E-2</v>
      </c>
      <c r="G3222" s="126">
        <f t="shared" si="69"/>
        <v>23.528795811518325</v>
      </c>
      <c r="H3222" s="126" t="s">
        <v>2761</v>
      </c>
      <c r="I3222" s="127" t="s">
        <v>476</v>
      </c>
      <c r="J3222" s="126">
        <v>18</v>
      </c>
      <c r="K3222" s="126">
        <v>400.01</v>
      </c>
      <c r="L3222" s="129">
        <f>INT(base[[#This Row],[Data de liquidação]])</f>
        <v>46220</v>
      </c>
      <c r="M3222" s="126">
        <f>base[[#This Row],[L/P Bruto]]-base[[#This Row],[L/P Líquido]]</f>
        <v>1.0587958115183262</v>
      </c>
      <c r="N3222" s="126">
        <f>base[[#This Row],[L/P Líquido]]/base[[#This Row],[Stake/Responsabilidade]]</f>
        <v>5.6173595660108495E-2</v>
      </c>
      <c r="O3222" s="132">
        <f>IF(base[[#This Row],[L/P Líquido]]&gt;0,1,0)</f>
        <v>1</v>
      </c>
      <c r="P3222" s="132"/>
      <c r="Q3222" s="132" t="str">
        <f>LEFT(base[[#This Row],[Evento / Mercado]],FIND("vs",base[[#This Row],[Evento / Mercado]])-2)</f>
        <v>Seattle Sounders</v>
      </c>
      <c r="R32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Portland Timbers</v>
      </c>
      <c r="S3222" s="132" t="str">
        <f>LEFT(base[[#This Row],[Evento / Mercado]],FIND("/",base[[#This Row],[Evento / Mercado]])-2)</f>
        <v>Seattle Sounders vs Portland Timbers</v>
      </c>
    </row>
    <row r="3223" spans="2:19" ht="15" customHeight="1">
      <c r="B3223" s="128" t="s">
        <v>3255</v>
      </c>
      <c r="C3223" s="128" t="s">
        <v>2982</v>
      </c>
      <c r="D3223" s="129">
        <v>46220.400034722225</v>
      </c>
      <c r="E3223" s="130">
        <v>2.77</v>
      </c>
      <c r="F3223" s="136">
        <v>4.4999999999999998E-2</v>
      </c>
      <c r="G3223" s="126">
        <f t="shared" si="69"/>
        <v>2.9005235602094244</v>
      </c>
      <c r="H3223" s="126" t="s">
        <v>1339</v>
      </c>
      <c r="I3223" s="127" t="s">
        <v>2404</v>
      </c>
      <c r="J3223" s="126">
        <v>1.58</v>
      </c>
      <c r="K3223" s="126">
        <v>5</v>
      </c>
      <c r="L3223" s="129">
        <f>INT(base[[#This Row],[Data de liquidação]])</f>
        <v>46220</v>
      </c>
      <c r="M3223" s="126">
        <f>base[[#This Row],[L/P Bruto]]-base[[#This Row],[L/P Líquido]]</f>
        <v>0.13052356020942435</v>
      </c>
      <c r="N3223" s="126">
        <f>base[[#This Row],[L/P Líquido]]/base[[#This Row],[Stake/Responsabilidade]]</f>
        <v>0.55400000000000005</v>
      </c>
      <c r="O3223" s="132">
        <f>IF(base[[#This Row],[L/P Líquido]]&gt;0,1,0)</f>
        <v>1</v>
      </c>
      <c r="P3223" s="132"/>
      <c r="Q3223" s="132" t="str">
        <f>LEFT(base[[#This Row],[Evento / Mercado]],FIND("vs",base[[#This Row],[Evento / Mercado]])-2)</f>
        <v>Qingdao West Coast</v>
      </c>
      <c r="R32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3223" s="132" t="str">
        <f>LEFT(base[[#This Row],[Evento / Mercado]],FIND("/",base[[#This Row],[Evento / Mercado]])-2)</f>
        <v>Qingdao West Coast vs Chengdu Rongcheng</v>
      </c>
    </row>
    <row r="3224" spans="2:19" ht="15" customHeight="1">
      <c r="B3224" s="128" t="s">
        <v>3256</v>
      </c>
      <c r="C3224" s="128" t="s">
        <v>2982</v>
      </c>
      <c r="D3224" s="129">
        <v>46220.400034722225</v>
      </c>
      <c r="E3224" s="130">
        <v>-9.64</v>
      </c>
      <c r="F3224" s="136">
        <v>4.4999999999999998E-2</v>
      </c>
      <c r="G3224" s="126">
        <f t="shared" si="69"/>
        <v>-9.64</v>
      </c>
      <c r="H3224" s="126" t="s">
        <v>1339</v>
      </c>
      <c r="I3224" s="127" t="s">
        <v>1236</v>
      </c>
      <c r="J3224" s="126">
        <v>11.5</v>
      </c>
      <c r="K3224" s="126">
        <v>15</v>
      </c>
      <c r="L3224" s="129">
        <f>INT(base[[#This Row],[Data de liquidação]])</f>
        <v>46220</v>
      </c>
      <c r="M3224" s="126">
        <f>base[[#This Row],[L/P Bruto]]-base[[#This Row],[L/P Líquido]]</f>
        <v>0</v>
      </c>
      <c r="N3224" s="126">
        <f>base[[#This Row],[L/P Líquido]]/base[[#This Row],[Stake/Responsabilidade]]</f>
        <v>-0.64266666666666672</v>
      </c>
      <c r="O3224" s="132">
        <f>IF(base[[#This Row],[L/P Líquido]]&gt;0,1,0)</f>
        <v>0</v>
      </c>
      <c r="P3224" s="132"/>
      <c r="Q3224" s="132" t="str">
        <f>LEFT(base[[#This Row],[Evento / Mercado]],FIND("vs",base[[#This Row],[Evento / Mercado]])-2)</f>
        <v>Qingdao West Coast</v>
      </c>
      <c r="R32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3224" s="132" t="str">
        <f>LEFT(base[[#This Row],[Evento / Mercado]],FIND("/",base[[#This Row],[Evento / Mercado]])-2)</f>
        <v>Qingdao West Coast vs Chengdu Rongcheng</v>
      </c>
    </row>
    <row r="3225" spans="2:19" ht="15" customHeight="1">
      <c r="B3225" s="128" t="s">
        <v>3254</v>
      </c>
      <c r="C3225" s="128" t="s">
        <v>2982</v>
      </c>
      <c r="D3225" s="129">
        <v>46220.426759259259</v>
      </c>
      <c r="E3225" s="130">
        <v>10.27</v>
      </c>
      <c r="F3225" s="136">
        <v>4.4999999999999998E-2</v>
      </c>
      <c r="G3225" s="126">
        <f t="shared" si="69"/>
        <v>10.753926701570681</v>
      </c>
      <c r="H3225" s="126" t="s">
        <v>2820</v>
      </c>
      <c r="I3225" s="127" t="s">
        <v>2874</v>
      </c>
      <c r="J3225" s="126">
        <v>1.55</v>
      </c>
      <c r="K3225" s="126">
        <v>25</v>
      </c>
      <c r="L3225" s="129">
        <f>INT(base[[#This Row],[Data de liquidação]])</f>
        <v>46220</v>
      </c>
      <c r="M3225" s="126">
        <f>base[[#This Row],[L/P Bruto]]-base[[#This Row],[L/P Líquido]]</f>
        <v>0.48392670157068096</v>
      </c>
      <c r="N3225" s="126">
        <f>base[[#This Row],[L/P Líquido]]/base[[#This Row],[Stake/Responsabilidade]]</f>
        <v>0.4108</v>
      </c>
      <c r="O3225" s="132">
        <f>IF(base[[#This Row],[L/P Líquido]]&gt;0,1,0)</f>
        <v>1</v>
      </c>
      <c r="P3225" s="132"/>
      <c r="Q3225" s="132" t="str">
        <f>LEFT(base[[#This Row],[Evento / Mercado]],FIND("vs",base[[#This Row],[Evento / Mercado]])-2)</f>
        <v>Yunnan Yukun</v>
      </c>
      <c r="R32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Port</v>
      </c>
      <c r="S3225" s="132" t="str">
        <f>LEFT(base[[#This Row],[Evento / Mercado]],FIND("/",base[[#This Row],[Evento / Mercado]])-2)</f>
        <v>Yunnan Yukun vs Shanghai Port</v>
      </c>
    </row>
    <row r="3226" spans="2:19" ht="15" customHeight="1">
      <c r="B3226" s="128" t="s">
        <v>3260</v>
      </c>
      <c r="C3226" s="128" t="s">
        <v>2981</v>
      </c>
      <c r="D3226" s="129">
        <v>46220.437974537039</v>
      </c>
      <c r="E3226" s="130">
        <v>291.64</v>
      </c>
      <c r="F3226" s="136">
        <v>4.4999999999999998E-2</v>
      </c>
      <c r="G3226" s="126">
        <f t="shared" si="69"/>
        <v>305.38219895287961</v>
      </c>
      <c r="H3226" s="126" t="s">
        <v>2743</v>
      </c>
      <c r="I3226" s="127" t="s">
        <v>2744</v>
      </c>
      <c r="J3226" s="126">
        <v>14</v>
      </c>
      <c r="K3226" s="126">
        <v>23.08</v>
      </c>
      <c r="L3226" s="129">
        <f>INT(base[[#This Row],[Data de liquidação]])</f>
        <v>46220</v>
      </c>
      <c r="M3226" s="126">
        <f>base[[#This Row],[L/P Bruto]]-base[[#This Row],[L/P Líquido]]</f>
        <v>13.742198952879619</v>
      </c>
      <c r="N3226" s="126">
        <f>base[[#This Row],[L/P Líquido]]/base[[#This Row],[Stake/Responsabilidade]]</f>
        <v>12.636048526863085</v>
      </c>
      <c r="O3226" s="132">
        <f>IF(base[[#This Row],[L/P Líquido]]&gt;0,1,0)</f>
        <v>1</v>
      </c>
      <c r="P3226" s="132"/>
      <c r="Q3226" s="132" t="str">
        <f>LEFT(base[[#This Row],[Evento / Mercado]],FIND("vs",base[[#This Row],[Evento / Mercado]])-2)</f>
        <v>Beijing Guoan</v>
      </c>
      <c r="R32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Liaoning Tieren F.C.</v>
      </c>
      <c r="S3226" s="132" t="str">
        <f>LEFT(base[[#This Row],[Evento / Mercado]],FIND("/",base[[#This Row],[Evento / Mercado]])-2)</f>
        <v>Beijing Guoan vs Liaoning Tieren F.C.</v>
      </c>
    </row>
    <row r="3227" spans="2:19" ht="15" customHeight="1">
      <c r="B3227" s="128" t="s">
        <v>3253</v>
      </c>
      <c r="C3227" s="128" t="s">
        <v>2982</v>
      </c>
      <c r="D3227" s="129">
        <v>46220.438113425924</v>
      </c>
      <c r="E3227" s="130">
        <v>9.99</v>
      </c>
      <c r="F3227" s="136">
        <v>4.4999999999999998E-2</v>
      </c>
      <c r="G3227" s="126">
        <f t="shared" si="69"/>
        <v>10.460732984293195</v>
      </c>
      <c r="H3227" s="126" t="s">
        <v>2817</v>
      </c>
      <c r="I3227" s="127" t="s">
        <v>2992</v>
      </c>
      <c r="J3227" s="126">
        <v>7.8</v>
      </c>
      <c r="K3227" s="126">
        <v>100.03</v>
      </c>
      <c r="L3227" s="129">
        <f>INT(base[[#This Row],[Data de liquidação]])</f>
        <v>46220</v>
      </c>
      <c r="M3227" s="126">
        <f>base[[#This Row],[L/P Bruto]]-base[[#This Row],[L/P Líquido]]</f>
        <v>0.47073298429319443</v>
      </c>
      <c r="N3227" s="126">
        <f>base[[#This Row],[L/P Líquido]]/base[[#This Row],[Stake/Responsabilidade]]</f>
        <v>9.9870038988303517E-2</v>
      </c>
      <c r="O3227" s="132">
        <f>IF(base[[#This Row],[L/P Líquido]]&gt;0,1,0)</f>
        <v>1</v>
      </c>
      <c r="P3227" s="132"/>
      <c r="Q3227" s="132" t="str">
        <f>LEFT(base[[#This Row],[Evento / Mercado]],FIND("vs",base[[#This Row],[Evento / Mercado]])-2)</f>
        <v>Beijing Guoan</v>
      </c>
      <c r="R32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Liaoning Tieren F.C.</v>
      </c>
      <c r="S3227" s="132" t="str">
        <f>LEFT(base[[#This Row],[Evento / Mercado]],FIND("/",base[[#This Row],[Evento / Mercado]])-2)</f>
        <v>Beijing Guoan vs Liaoning Tieren F.C.</v>
      </c>
    </row>
    <row r="3228" spans="2:19" ht="15" customHeight="1">
      <c r="B3228" s="128" t="s">
        <v>3253</v>
      </c>
      <c r="C3228" s="128" t="s">
        <v>2981</v>
      </c>
      <c r="D3228" s="129">
        <v>46220.438113425924</v>
      </c>
      <c r="E3228" s="130">
        <v>-300</v>
      </c>
      <c r="F3228" s="136">
        <v>4.4999999999999998E-2</v>
      </c>
      <c r="G3228" s="126">
        <f t="shared" si="69"/>
        <v>-300</v>
      </c>
      <c r="H3228" s="126" t="s">
        <v>2743</v>
      </c>
      <c r="I3228" s="127" t="s">
        <v>1233</v>
      </c>
      <c r="J3228" s="126">
        <v>6</v>
      </c>
      <c r="K3228" s="126">
        <v>300</v>
      </c>
      <c r="L3228" s="129">
        <f>INT(base[[#This Row],[Data de liquidação]])</f>
        <v>46220</v>
      </c>
      <c r="M3228" s="126">
        <f>base[[#This Row],[L/P Bruto]]-base[[#This Row],[L/P Líquido]]</f>
        <v>0</v>
      </c>
      <c r="N3228" s="126">
        <f>base[[#This Row],[L/P Líquido]]/base[[#This Row],[Stake/Responsabilidade]]</f>
        <v>-1</v>
      </c>
      <c r="O3228" s="132">
        <f>IF(base[[#This Row],[L/P Líquido]]&gt;0,1,0)</f>
        <v>0</v>
      </c>
      <c r="P3228" s="132"/>
      <c r="Q3228" s="132" t="str">
        <f>LEFT(base[[#This Row],[Evento / Mercado]],FIND("vs",base[[#This Row],[Evento / Mercado]])-2)</f>
        <v>Beijing Guoan</v>
      </c>
      <c r="R32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Liaoning Tieren F.C.</v>
      </c>
      <c r="S3228" s="132" t="str">
        <f>LEFT(base[[#This Row],[Evento / Mercado]],FIND("/",base[[#This Row],[Evento / Mercado]])-2)</f>
        <v>Beijing Guoan vs Liaoning Tieren F.C.</v>
      </c>
    </row>
    <row r="3229" spans="2:19" ht="15" customHeight="1">
      <c r="B3229" s="128" t="s">
        <v>3252</v>
      </c>
      <c r="C3229" s="128" t="s">
        <v>2982</v>
      </c>
      <c r="D3229" s="129">
        <v>46220.662141203706</v>
      </c>
      <c r="E3229" s="130">
        <v>-50</v>
      </c>
      <c r="F3229" s="136">
        <v>4.4999999999999998E-2</v>
      </c>
      <c r="G3229" s="126">
        <f t="shared" si="69"/>
        <v>-50</v>
      </c>
      <c r="H3229" s="126" t="s">
        <v>3004</v>
      </c>
      <c r="I3229" s="127" t="s">
        <v>75</v>
      </c>
      <c r="J3229" s="126">
        <v>1.27</v>
      </c>
      <c r="K3229" s="126">
        <v>50</v>
      </c>
      <c r="L3229" s="129">
        <f>INT(base[[#This Row],[Data de liquidação]])</f>
        <v>46220</v>
      </c>
      <c r="M3229" s="126">
        <f>base[[#This Row],[L/P Bruto]]-base[[#This Row],[L/P Líquido]]</f>
        <v>0</v>
      </c>
      <c r="N3229" s="126">
        <f>base[[#This Row],[L/P Líquido]]/base[[#This Row],[Stake/Responsabilidade]]</f>
        <v>-1</v>
      </c>
      <c r="O3229" s="132">
        <f>IF(base[[#This Row],[L/P Líquido]]&gt;0,1,0)</f>
        <v>0</v>
      </c>
      <c r="P3229" s="132"/>
      <c r="Q3229" s="132" t="str">
        <f>LEFT(base[[#This Row],[Evento / Mercado]],FIND("vs",base[[#This Row],[Evento / Mercado]])-2)</f>
        <v>Mjällby AIF</v>
      </c>
      <c r="R32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Västerås SK FK</v>
      </c>
      <c r="S3229" s="132" t="str">
        <f>LEFT(base[[#This Row],[Evento / Mercado]],FIND("/",base[[#This Row],[Evento / Mercado]])-2)</f>
        <v>Mjällby AIF vs Västerås SK FK</v>
      </c>
    </row>
    <row r="3230" spans="2:19" ht="15" customHeight="1">
      <c r="B3230" s="128" t="s">
        <v>3251</v>
      </c>
      <c r="C3230" s="128" t="s">
        <v>2982</v>
      </c>
      <c r="D3230" s="129">
        <v>46220.676423611112</v>
      </c>
      <c r="E3230" s="130">
        <v>16.61</v>
      </c>
      <c r="F3230" s="136">
        <v>4.4999999999999998E-2</v>
      </c>
      <c r="G3230" s="126">
        <f t="shared" si="69"/>
        <v>17.392670157068064</v>
      </c>
      <c r="H3230" s="126" t="s">
        <v>145</v>
      </c>
      <c r="I3230" s="127" t="s">
        <v>301</v>
      </c>
      <c r="J3230" s="126">
        <v>23</v>
      </c>
      <c r="K3230" s="126">
        <v>382.58</v>
      </c>
      <c r="L3230" s="129">
        <f>INT(base[[#This Row],[Data de liquidação]])</f>
        <v>46220</v>
      </c>
      <c r="M3230" s="126">
        <f>base[[#This Row],[L/P Bruto]]-base[[#This Row],[L/P Líquido]]</f>
        <v>0.78267015706806475</v>
      </c>
      <c r="N3230" s="126">
        <f>base[[#This Row],[L/P Líquido]]/base[[#This Row],[Stake/Responsabilidade]]</f>
        <v>4.341575618171363E-2</v>
      </c>
      <c r="O3230" s="132">
        <f>IF(base[[#This Row],[L/P Líquido]]&gt;0,1,0)</f>
        <v>1</v>
      </c>
      <c r="P3230" s="132"/>
      <c r="Q3230" s="132" t="str">
        <f>LEFT(base[[#This Row],[Evento / Mercado]],FIND("vs",base[[#This Row],[Evento / Mercado]])-2)</f>
        <v>Bodø/Glimt</v>
      </c>
      <c r="R3230" s="13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3230" s="132" t="str">
        <f>LEFT(base[[#This Row],[Evento / Mercado]],FIND("/",base[[#This Row],[Evento / Mercado]])-2)</f>
        <v>Bod</v>
      </c>
    </row>
    <row r="3231" spans="2:19" ht="15" customHeight="1">
      <c r="B3231" s="128" t="s">
        <v>3250</v>
      </c>
      <c r="C3231" s="128" t="s">
        <v>2982</v>
      </c>
      <c r="D3231" s="129">
        <v>46220.682812500003</v>
      </c>
      <c r="E3231" s="130">
        <v>14.33</v>
      </c>
      <c r="F3231" s="136">
        <v>4.4999999999999998E-2</v>
      </c>
      <c r="G3231" s="126">
        <f t="shared" si="69"/>
        <v>15.005235602094242</v>
      </c>
      <c r="H3231" s="126" t="s">
        <v>1339</v>
      </c>
      <c r="I3231" s="127" t="s">
        <v>1236</v>
      </c>
      <c r="J3231" s="126">
        <v>5.6</v>
      </c>
      <c r="K3231" s="126">
        <v>15</v>
      </c>
      <c r="L3231" s="129">
        <f>INT(base[[#This Row],[Data de liquidação]])</f>
        <v>46220</v>
      </c>
      <c r="M3231" s="126">
        <f>base[[#This Row],[L/P Bruto]]-base[[#This Row],[L/P Líquido]]</f>
        <v>0.67523560209424183</v>
      </c>
      <c r="N3231" s="126">
        <f>base[[#This Row],[L/P Líquido]]/base[[#This Row],[Stake/Responsabilidade]]</f>
        <v>0.95533333333333337</v>
      </c>
      <c r="O3231" s="132">
        <f>IF(base[[#This Row],[L/P Líquido]]&gt;0,1,0)</f>
        <v>1</v>
      </c>
      <c r="P3231" s="132"/>
      <c r="Q3231" s="132" t="str">
        <f>LEFT(base[[#This Row],[Evento / Mercado]],FIND("vs",base[[#This Row],[Evento / Mercado]])-2)</f>
        <v>FC FCSB</v>
      </c>
      <c r="R32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Arges Pitesti</v>
      </c>
      <c r="S3231" s="132" t="str">
        <f>LEFT(base[[#This Row],[Evento / Mercado]],FIND("/",base[[#This Row],[Evento / Mercado]])-2)</f>
        <v>FC FCSB vs FC Arges Pitesti</v>
      </c>
    </row>
    <row r="3232" spans="2:19" ht="15" customHeight="1">
      <c r="B3232" s="128" t="s">
        <v>3249</v>
      </c>
      <c r="C3232" s="128" t="s">
        <v>2982</v>
      </c>
      <c r="D3232" s="129">
        <v>46220.690891203703</v>
      </c>
      <c r="E3232" s="130">
        <v>3.37</v>
      </c>
      <c r="F3232" s="136">
        <v>4.4999999999999998E-2</v>
      </c>
      <c r="G3232" s="126">
        <f t="shared" si="69"/>
        <v>3.5287958115183247</v>
      </c>
      <c r="H3232" s="126" t="s">
        <v>2820</v>
      </c>
      <c r="I3232" s="127" t="s">
        <v>13</v>
      </c>
      <c r="J3232" s="126">
        <v>1.83</v>
      </c>
      <c r="K3232" s="126">
        <v>6.02</v>
      </c>
      <c r="L3232" s="129">
        <f>INT(base[[#This Row],[Data de liquidação]])</f>
        <v>46220</v>
      </c>
      <c r="M3232" s="126">
        <f>base[[#This Row],[L/P Bruto]]-base[[#This Row],[L/P Líquido]]</f>
        <v>0.15879581151832456</v>
      </c>
      <c r="N3232" s="126">
        <f>base[[#This Row],[L/P Líquido]]/base[[#This Row],[Stake/Responsabilidade]]</f>
        <v>0.5598006644518273</v>
      </c>
      <c r="O3232" s="132">
        <f>IF(base[[#This Row],[L/P Líquido]]&gt;0,1,0)</f>
        <v>1</v>
      </c>
      <c r="P3232" s="132"/>
      <c r="Q3232" s="132" t="str">
        <f>LEFT(base[[#This Row],[Evento / Mercado]],FIND("vs",base[[#This Row],[Evento / Mercado]])-2)</f>
        <v>NK Celje</v>
      </c>
      <c r="R32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NŠ Mura</v>
      </c>
      <c r="S3232" s="132" t="str">
        <f>LEFT(base[[#This Row],[Evento / Mercado]],FIND("/",base[[#This Row],[Evento / Mercado]])-2)</f>
        <v>NK Celje vs NŠ Mura</v>
      </c>
    </row>
    <row r="3233" spans="2:21" ht="15" customHeight="1">
      <c r="B3233" s="128" t="s">
        <v>3248</v>
      </c>
      <c r="C3233" s="128" t="s">
        <v>2982</v>
      </c>
      <c r="D3233" s="129">
        <v>46220.710277777776</v>
      </c>
      <c r="E3233" s="130">
        <v>-15.09</v>
      </c>
      <c r="F3233" s="136">
        <v>4.4999999999999998E-2</v>
      </c>
      <c r="G3233" s="126">
        <f t="shared" si="69"/>
        <v>-15.09</v>
      </c>
      <c r="H3233" s="126" t="s">
        <v>3261</v>
      </c>
      <c r="I3233" s="127" t="s">
        <v>476</v>
      </c>
      <c r="J3233" s="126">
        <v>15.5</v>
      </c>
      <c r="K3233" s="126">
        <v>199.95</v>
      </c>
      <c r="L3233" s="129">
        <f>INT(base[[#This Row],[Data de liquidação]])</f>
        <v>46220</v>
      </c>
      <c r="M3233" s="126">
        <f>base[[#This Row],[L/P Bruto]]-base[[#This Row],[L/P Líquido]]</f>
        <v>0</v>
      </c>
      <c r="N3233" s="126">
        <f>base[[#This Row],[L/P Líquido]]/base[[#This Row],[Stake/Responsabilidade]]</f>
        <v>-7.5468867216804209E-2</v>
      </c>
      <c r="O3233" s="132">
        <f>IF(base[[#This Row],[L/P Líquido]]&gt;0,1,0)</f>
        <v>0</v>
      </c>
      <c r="P3233" s="132"/>
      <c r="Q3233" s="132" t="str">
        <f>LEFT(base[[#This Row],[Evento / Mercado]],FIND("vs",base[[#This Row],[Evento / Mercado]])-2)</f>
        <v>FC Cajamarca</v>
      </c>
      <c r="R32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Juan Pablo II College</v>
      </c>
      <c r="S3233" s="132" t="str">
        <f>LEFT(base[[#This Row],[Evento / Mercado]],FIND("/",base[[#This Row],[Evento / Mercado]])-2)</f>
        <v>FC Cajamarca vs Juan Pablo II College</v>
      </c>
    </row>
    <row r="3234" spans="2:21" ht="15" customHeight="1">
      <c r="B3234" s="128" t="s">
        <v>3247</v>
      </c>
      <c r="C3234" s="128" t="s">
        <v>2982</v>
      </c>
      <c r="D3234" s="129">
        <v>46220.87027777778</v>
      </c>
      <c r="E3234" s="130">
        <v>34.72</v>
      </c>
      <c r="F3234" s="136">
        <v>4.4999999999999998E-2</v>
      </c>
      <c r="G3234" s="126">
        <f t="shared" si="69"/>
        <v>36.356020942408378</v>
      </c>
      <c r="H3234" s="126" t="s">
        <v>2761</v>
      </c>
      <c r="I3234" s="127" t="s">
        <v>476</v>
      </c>
      <c r="J3234" s="126">
        <v>12</v>
      </c>
      <c r="K3234" s="126">
        <v>399.96</v>
      </c>
      <c r="L3234" s="129">
        <f>INT(base[[#This Row],[Data de liquidação]])</f>
        <v>46220</v>
      </c>
      <c r="M3234" s="126">
        <f>base[[#This Row],[L/P Bruto]]-base[[#This Row],[L/P Líquido]]</f>
        <v>1.6360209424083791</v>
      </c>
      <c r="N3234" s="126">
        <f>base[[#This Row],[L/P Líquido]]/base[[#This Row],[Stake/Responsabilidade]]</f>
        <v>8.680868086808681E-2</v>
      </c>
      <c r="O3234" s="132">
        <f>IF(base[[#This Row],[L/P Líquido]]&gt;0,1,0)</f>
        <v>1</v>
      </c>
      <c r="P3234" s="132"/>
      <c r="Q3234" s="132" t="str">
        <f>LEFT(base[[#This Row],[Evento / Mercado]],FIND("vs",base[[#This Row],[Evento / Mercado]])-2)</f>
        <v>São Bernardo FC</v>
      </c>
      <c r="R32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234" s="132" t="str">
        <f>LEFT(base[[#This Row],[Evento / Mercado]],FIND("/",base[[#This Row],[Evento / Mercado]])-2)</f>
        <v>São Bernardo FC vs Avaí FC</v>
      </c>
    </row>
    <row r="3235" spans="2:21" ht="15" customHeight="1">
      <c r="B3235" s="128" t="s">
        <v>3247</v>
      </c>
      <c r="C3235" s="128" t="s">
        <v>2981</v>
      </c>
      <c r="D3235" s="129">
        <v>46220.87027777778</v>
      </c>
      <c r="E3235" s="130">
        <v>16.2</v>
      </c>
      <c r="F3235" s="136">
        <v>4.4999999999999998E-2</v>
      </c>
      <c r="G3235" s="126">
        <f t="shared" si="69"/>
        <v>16.963350785340314</v>
      </c>
      <c r="H3235" s="126" t="s">
        <v>3261</v>
      </c>
      <c r="I3235" s="127" t="s">
        <v>476</v>
      </c>
      <c r="J3235" s="126">
        <v>13</v>
      </c>
      <c r="K3235" s="126">
        <v>200.04</v>
      </c>
      <c r="L3235" s="129">
        <f>INT(base[[#This Row],[Data de liquidação]])</f>
        <v>46220</v>
      </c>
      <c r="M3235" s="126">
        <f>base[[#This Row],[L/P Bruto]]-base[[#This Row],[L/P Líquido]]</f>
        <v>0.76335078534031453</v>
      </c>
      <c r="N3235" s="126">
        <f>base[[#This Row],[L/P Líquido]]/base[[#This Row],[Stake/Responsabilidade]]</f>
        <v>8.0983803239352128E-2</v>
      </c>
      <c r="O3235" s="132">
        <f>IF(base[[#This Row],[L/P Líquido]]&gt;0,1,0)</f>
        <v>1</v>
      </c>
      <c r="P3235" s="132"/>
      <c r="Q3235" s="132" t="str">
        <f>LEFT(base[[#This Row],[Evento / Mercado]],FIND("vs",base[[#This Row],[Evento / Mercado]])-2)</f>
        <v>São Bernardo FC</v>
      </c>
      <c r="R32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235" s="132" t="str">
        <f>LEFT(base[[#This Row],[Evento / Mercado]],FIND("/",base[[#This Row],[Evento / Mercado]])-2)</f>
        <v>São Bernardo FC vs Avaí FC</v>
      </c>
    </row>
    <row r="3236" spans="2:21" ht="15" customHeight="1">
      <c r="B3236" s="128" t="s">
        <v>3259</v>
      </c>
      <c r="C3236" s="128" t="s">
        <v>2981</v>
      </c>
      <c r="D3236" s="129">
        <v>46220.870821759258</v>
      </c>
      <c r="E3236" s="130">
        <v>-50</v>
      </c>
      <c r="F3236" s="136">
        <v>4.4999999999999998E-2</v>
      </c>
      <c r="G3236" s="126">
        <f t="shared" si="69"/>
        <v>-50</v>
      </c>
      <c r="H3236" s="126" t="s">
        <v>2743</v>
      </c>
      <c r="I3236" s="127" t="s">
        <v>2744</v>
      </c>
      <c r="J3236" s="126">
        <v>7</v>
      </c>
      <c r="K3236" s="126">
        <v>50</v>
      </c>
      <c r="L3236" s="129">
        <f>INT(base[[#This Row],[Data de liquidação]])</f>
        <v>46220</v>
      </c>
      <c r="M3236" s="126">
        <f>base[[#This Row],[L/P Bruto]]-base[[#This Row],[L/P Líquido]]</f>
        <v>0</v>
      </c>
      <c r="N3236" s="126">
        <f>base[[#This Row],[L/P Líquido]]/base[[#This Row],[Stake/Responsabilidade]]</f>
        <v>-1</v>
      </c>
      <c r="O3236" s="132">
        <f>IF(base[[#This Row],[L/P Líquido]]&gt;0,1,0)</f>
        <v>0</v>
      </c>
      <c r="P3236" s="132"/>
      <c r="Q3236" s="132" t="str">
        <f>LEFT(base[[#This Row],[Evento / Mercado]],FIND("vs",base[[#This Row],[Evento / Mercado]])-2)</f>
        <v>EC Juventude</v>
      </c>
      <c r="R32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Cuiabá EC</v>
      </c>
      <c r="S3236" s="132" t="str">
        <f>LEFT(base[[#This Row],[Evento / Mercado]],FIND("/",base[[#This Row],[Evento / Mercado]])-2)</f>
        <v>EC Juventude vs Cuiabá EC</v>
      </c>
    </row>
    <row r="3237" spans="2:21" ht="15" customHeight="1">
      <c r="B3237" s="128" t="s">
        <v>3246</v>
      </c>
      <c r="C3237" s="128" t="s">
        <v>2982</v>
      </c>
      <c r="D3237" s="129">
        <v>46220.870937500003</v>
      </c>
      <c r="E3237" s="130">
        <v>16.87</v>
      </c>
      <c r="F3237" s="136">
        <v>4.4999999999999998E-2</v>
      </c>
      <c r="G3237" s="126">
        <f t="shared" si="69"/>
        <v>17.66492146596859</v>
      </c>
      <c r="H3237" s="126" t="s">
        <v>2817</v>
      </c>
      <c r="I3237" s="127" t="s">
        <v>2993</v>
      </c>
      <c r="J3237" s="126">
        <v>5.0999999999999996</v>
      </c>
      <c r="K3237" s="126">
        <v>100</v>
      </c>
      <c r="L3237" s="129">
        <f>INT(base[[#This Row],[Data de liquidação]])</f>
        <v>46220</v>
      </c>
      <c r="M3237" s="126">
        <f>base[[#This Row],[L/P Bruto]]-base[[#This Row],[L/P Líquido]]</f>
        <v>0.79492146596858859</v>
      </c>
      <c r="N3237" s="126">
        <f>base[[#This Row],[L/P Líquido]]/base[[#This Row],[Stake/Responsabilidade]]</f>
        <v>0.16870000000000002</v>
      </c>
      <c r="O3237" s="132">
        <f>IF(base[[#This Row],[L/P Líquido]]&gt;0,1,0)</f>
        <v>1</v>
      </c>
      <c r="P3237" s="132"/>
      <c r="Q3237" s="132" t="str">
        <f>LEFT(base[[#This Row],[Evento / Mercado]],FIND("vs",base[[#This Row],[Evento / Mercado]])-2)</f>
        <v>EC Juventude</v>
      </c>
      <c r="R32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Cuiabá EC</v>
      </c>
      <c r="S3237" s="132" t="str">
        <f>LEFT(base[[#This Row],[Evento / Mercado]],FIND("/",base[[#This Row],[Evento / Mercado]])-2)</f>
        <v>EC Juventude vs Cuiabá EC</v>
      </c>
    </row>
    <row r="3238" spans="2:21" ht="15" customHeight="1">
      <c r="B3238" s="128" t="s">
        <v>3246</v>
      </c>
      <c r="C3238" s="128" t="s">
        <v>2981</v>
      </c>
      <c r="D3238" s="129">
        <v>46220.870937500003</v>
      </c>
      <c r="E3238" s="130">
        <v>127.88</v>
      </c>
      <c r="F3238" s="136">
        <v>4.4999999999999998E-2</v>
      </c>
      <c r="G3238" s="126">
        <f t="shared" si="69"/>
        <v>133.90575916230367</v>
      </c>
      <c r="H3238" s="126" t="s">
        <v>2743</v>
      </c>
      <c r="I3238" s="127" t="s">
        <v>1233</v>
      </c>
      <c r="J3238" s="126">
        <v>3.05</v>
      </c>
      <c r="K3238" s="126">
        <v>300</v>
      </c>
      <c r="L3238" s="129">
        <f>INT(base[[#This Row],[Data de liquidação]])</f>
        <v>46220</v>
      </c>
      <c r="M3238" s="126">
        <f>base[[#This Row],[L/P Bruto]]-base[[#This Row],[L/P Líquido]]</f>
        <v>6.0257591623036717</v>
      </c>
      <c r="N3238" s="126">
        <f>base[[#This Row],[L/P Líquido]]/base[[#This Row],[Stake/Responsabilidade]]</f>
        <v>0.42626666666666663</v>
      </c>
      <c r="O3238" s="132">
        <f>IF(base[[#This Row],[L/P Líquido]]&gt;0,1,0)</f>
        <v>1</v>
      </c>
      <c r="P3238" s="132"/>
      <c r="Q3238" s="132" t="str">
        <f>LEFT(base[[#This Row],[Evento / Mercado]],FIND("vs",base[[#This Row],[Evento / Mercado]])-2)</f>
        <v>EC Juventude</v>
      </c>
      <c r="R32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Cuiabá EC</v>
      </c>
      <c r="S3238" s="132" t="str">
        <f>LEFT(base[[#This Row],[Evento / Mercado]],FIND("/",base[[#This Row],[Evento / Mercado]])-2)</f>
        <v>EC Juventude vs Cuiabá EC</v>
      </c>
    </row>
    <row r="3239" spans="2:21" ht="15" customHeight="1">
      <c r="B3239" s="128" t="s">
        <v>3245</v>
      </c>
      <c r="C3239" s="128" t="s">
        <v>2982</v>
      </c>
      <c r="D3239" s="129">
        <v>46220.922974537039</v>
      </c>
      <c r="E3239" s="130">
        <v>108.87</v>
      </c>
      <c r="F3239" s="136">
        <v>4.4999999999999998E-2</v>
      </c>
      <c r="G3239" s="126">
        <f t="shared" si="69"/>
        <v>114.00000000000001</v>
      </c>
      <c r="H3239" s="126" t="s">
        <v>231</v>
      </c>
      <c r="I3239" s="127" t="s">
        <v>266</v>
      </c>
      <c r="J3239" s="126">
        <v>1.95</v>
      </c>
      <c r="K3239" s="126">
        <v>120</v>
      </c>
      <c r="L3239" s="129">
        <f>INT(base[[#This Row],[Data de liquidação]])</f>
        <v>46220</v>
      </c>
      <c r="M3239" s="126">
        <f>base[[#This Row],[L/P Bruto]]-base[[#This Row],[L/P Líquido]]</f>
        <v>5.1300000000000097</v>
      </c>
      <c r="N3239" s="126">
        <f>base[[#This Row],[L/P Líquido]]/base[[#This Row],[Stake/Responsabilidade]]</f>
        <v>0.90725</v>
      </c>
      <c r="O3239" s="132">
        <f>IF(base[[#This Row],[L/P Líquido]]&gt;0,1,0)</f>
        <v>1</v>
      </c>
      <c r="P3239" s="132"/>
      <c r="Q3239" s="132" t="str">
        <f>LEFT(base[[#This Row],[Evento / Mercado]],FIND("vs",base[[#This Row],[Evento / Mercado]])-2)</f>
        <v>Fluminense FC</v>
      </c>
      <c r="R32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39" s="132" t="str">
        <f>LEFT(base[[#This Row],[Evento / Mercado]],FIND("/",base[[#This Row],[Evento / Mercado]])-2)</f>
        <v>Fluminense FC vs Red Bull Bragantino</v>
      </c>
    </row>
    <row r="3240" spans="2:21" ht="15" customHeight="1">
      <c r="B3240" s="128" t="s">
        <v>3244</v>
      </c>
      <c r="C3240" s="128" t="s">
        <v>2981</v>
      </c>
      <c r="D3240" s="129">
        <v>46220.923449074071</v>
      </c>
      <c r="E3240" s="130">
        <v>10.8</v>
      </c>
      <c r="F3240" s="136">
        <v>4.4999999999999998E-2</v>
      </c>
      <c r="G3240" s="126">
        <f t="shared" si="69"/>
        <v>11.30890052356021</v>
      </c>
      <c r="H3240" s="126" t="s">
        <v>3074</v>
      </c>
      <c r="I3240" s="127" t="s">
        <v>301</v>
      </c>
      <c r="J3240" s="126">
        <v>46</v>
      </c>
      <c r="K3240" s="126">
        <v>499.95</v>
      </c>
      <c r="L3240" s="129">
        <f>INT(base[[#This Row],[Data de liquidação]])</f>
        <v>46220</v>
      </c>
      <c r="M3240" s="126">
        <f>base[[#This Row],[L/P Bruto]]-base[[#This Row],[L/P Líquido]]</f>
        <v>0.50890052356020909</v>
      </c>
      <c r="N3240" s="126">
        <f>base[[#This Row],[L/P Líquido]]/base[[#This Row],[Stake/Responsabilidade]]</f>
        <v>2.1602160216021606E-2</v>
      </c>
      <c r="O3240" s="132">
        <f>IF(base[[#This Row],[L/P Líquido]]&gt;0,1,0)</f>
        <v>1</v>
      </c>
      <c r="P3240" s="132"/>
      <c r="Q3240" s="132" t="str">
        <f>LEFT(base[[#This Row],[Evento / Mercado]],FIND("vs",base[[#This Row],[Evento / Mercado]])-2)</f>
        <v>Fluminense FC</v>
      </c>
      <c r="R32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0" s="132" t="str">
        <f>LEFT(base[[#This Row],[Evento / Mercado]],FIND("/",base[[#This Row],[Evento / Mercado]])-2)</f>
        <v>Fluminense FC vs Red Bull Bragantino</v>
      </c>
    </row>
    <row r="3241" spans="2:21" ht="15" customHeight="1">
      <c r="B3241" s="128" t="s">
        <v>3244</v>
      </c>
      <c r="C3241" s="128" t="s">
        <v>2982</v>
      </c>
      <c r="D3241" s="129">
        <v>46220.923460648148</v>
      </c>
      <c r="E3241" s="130">
        <v>36.223149999999997</v>
      </c>
      <c r="F3241" s="136">
        <v>4.4999999999999998E-2</v>
      </c>
      <c r="G3241" s="126">
        <f t="shared" si="69"/>
        <v>37.93</v>
      </c>
      <c r="H3241" s="126" t="s">
        <v>2821</v>
      </c>
      <c r="I3241" s="127" t="s">
        <v>476</v>
      </c>
      <c r="J3241" s="126">
        <v>15.5</v>
      </c>
      <c r="K3241" s="126">
        <v>549.99</v>
      </c>
      <c r="L3241" s="129">
        <f>INT(base[[#This Row],[Data de liquidação]])</f>
        <v>46220</v>
      </c>
      <c r="M3241" s="126">
        <f>base[[#This Row],[L/P Bruto]]-base[[#This Row],[L/P Líquido]]</f>
        <v>1.7068500000000029</v>
      </c>
      <c r="N3241" s="126">
        <f>base[[#This Row],[L/P Líquido]]/base[[#This Row],[Stake/Responsabilidade]]</f>
        <v>6.5861470208549239E-2</v>
      </c>
      <c r="O3241" s="132">
        <f>IF(base[[#This Row],[L/P Líquido]]&gt;0,1,0)</f>
        <v>1</v>
      </c>
      <c r="P3241" s="132"/>
      <c r="Q3241" s="132" t="str">
        <f>LEFT(base[[#This Row],[Evento / Mercado]],FIND("vs",base[[#This Row],[Evento / Mercado]])-2)</f>
        <v>Fluminense FC</v>
      </c>
      <c r="R32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1" s="132" t="str">
        <f>LEFT(base[[#This Row],[Evento / Mercado]],FIND("/",base[[#This Row],[Evento / Mercado]])-2)</f>
        <v>Fluminense FC vs Red Bull Bragantino</v>
      </c>
    </row>
    <row r="3242" spans="2:21" ht="15" customHeight="1">
      <c r="B3242" s="128" t="s">
        <v>3244</v>
      </c>
      <c r="C3242" s="128" t="s">
        <v>2982</v>
      </c>
      <c r="D3242" s="129">
        <v>46220.923460648148</v>
      </c>
      <c r="E3242" s="130">
        <v>61.091349999999998</v>
      </c>
      <c r="F3242" s="136">
        <v>4.4999999999999998E-2</v>
      </c>
      <c r="G3242" s="126">
        <f t="shared" si="69"/>
        <v>63.97</v>
      </c>
      <c r="H3242" s="126" t="s">
        <v>2761</v>
      </c>
      <c r="I3242" s="127" t="s">
        <v>476</v>
      </c>
      <c r="J3242" s="126">
        <v>7.8</v>
      </c>
      <c r="K3242" s="126">
        <v>435</v>
      </c>
      <c r="L3242" s="129">
        <f>INT(base[[#This Row],[Data de liquidação]])</f>
        <v>46220</v>
      </c>
      <c r="M3242" s="126">
        <f>base[[#This Row],[L/P Bruto]]-base[[#This Row],[L/P Líquido]]</f>
        <v>2.8786500000000004</v>
      </c>
      <c r="N3242" s="126">
        <f>base[[#This Row],[L/P Líquido]]/base[[#This Row],[Stake/Responsabilidade]]</f>
        <v>0.14043988505747126</v>
      </c>
      <c r="O3242" s="132">
        <f>IF(base[[#This Row],[L/P Líquido]]&gt;0,1,0)</f>
        <v>1</v>
      </c>
      <c r="P3242" s="132"/>
      <c r="Q3242" s="132" t="str">
        <f>LEFT(base[[#This Row],[Evento / Mercado]],FIND("vs",base[[#This Row],[Evento / Mercado]])-2)</f>
        <v>Fluminense FC</v>
      </c>
      <c r="R32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2" s="132" t="str">
        <f>LEFT(base[[#This Row],[Evento / Mercado]],FIND("/",base[[#This Row],[Evento / Mercado]])-2)</f>
        <v>Fluminense FC vs Red Bull Bragantino</v>
      </c>
      <c r="T3242" s="8">
        <v>37.93</v>
      </c>
      <c r="U3242" s="9">
        <f t="shared" ref="U3242:U3243" si="70">T3242*0.955</f>
        <v>36.223149999999997</v>
      </c>
    </row>
    <row r="3243" spans="2:21" ht="15" customHeight="1">
      <c r="B3243" s="128" t="s">
        <v>3243</v>
      </c>
      <c r="C3243" s="128" t="s">
        <v>2982</v>
      </c>
      <c r="D3243" s="129">
        <v>46220.923703703702</v>
      </c>
      <c r="E3243" s="130">
        <v>-100</v>
      </c>
      <c r="F3243" s="136">
        <v>4.4999999999999998E-2</v>
      </c>
      <c r="G3243" s="126">
        <f t="shared" si="69"/>
        <v>-100</v>
      </c>
      <c r="H3243" s="126" t="s">
        <v>2820</v>
      </c>
      <c r="I3243" s="127" t="s">
        <v>13</v>
      </c>
      <c r="J3243" s="126">
        <f>(4+3.7)/2</f>
        <v>3.85</v>
      </c>
      <c r="K3243" s="126">
        <v>100</v>
      </c>
      <c r="L3243" s="129">
        <f>INT(base[[#This Row],[Data de liquidação]])</f>
        <v>46220</v>
      </c>
      <c r="M3243" s="126">
        <f>base[[#This Row],[L/P Bruto]]-base[[#This Row],[L/P Líquido]]</f>
        <v>0</v>
      </c>
      <c r="N3243" s="126">
        <f>base[[#This Row],[L/P Líquido]]/base[[#This Row],[Stake/Responsabilidade]]</f>
        <v>-1</v>
      </c>
      <c r="O3243" s="132">
        <f>IF(base[[#This Row],[L/P Líquido]]&gt;0,1,0)</f>
        <v>0</v>
      </c>
      <c r="P3243" s="132"/>
      <c r="Q3243" s="132" t="str">
        <f>LEFT(base[[#This Row],[Evento / Mercado]],FIND("vs",base[[#This Row],[Evento / Mercado]])-2)</f>
        <v>Fluminense FC</v>
      </c>
      <c r="R32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3" s="132" t="str">
        <f>LEFT(base[[#This Row],[Evento / Mercado]],FIND("/",base[[#This Row],[Evento / Mercado]])-2)</f>
        <v>Fluminense FC vs Red Bull Bragantino</v>
      </c>
      <c r="T3243" s="8">
        <v>63.97</v>
      </c>
      <c r="U3243" s="9">
        <f t="shared" si="70"/>
        <v>61.091349999999998</v>
      </c>
    </row>
    <row r="3244" spans="2:21" ht="15" customHeight="1">
      <c r="B3244" s="128" t="s">
        <v>3243</v>
      </c>
      <c r="C3244" s="128" t="s">
        <v>2981</v>
      </c>
      <c r="D3244" s="129">
        <v>46220.923703703702</v>
      </c>
      <c r="E3244" s="130">
        <v>-50</v>
      </c>
      <c r="F3244" s="136">
        <v>4.4999999999999998E-2</v>
      </c>
      <c r="G3244" s="126">
        <f t="shared" si="69"/>
        <v>-50</v>
      </c>
      <c r="H3244" s="126" t="s">
        <v>2820</v>
      </c>
      <c r="I3244" s="127" t="s">
        <v>13</v>
      </c>
      <c r="J3244" s="126">
        <v>2.2599999999999998</v>
      </c>
      <c r="K3244" s="126">
        <v>50</v>
      </c>
      <c r="L3244" s="129">
        <f>INT(base[[#This Row],[Data de liquidação]])</f>
        <v>46220</v>
      </c>
      <c r="M3244" s="126">
        <f>base[[#This Row],[L/P Bruto]]-base[[#This Row],[L/P Líquido]]</f>
        <v>0</v>
      </c>
      <c r="N3244" s="126">
        <f>base[[#This Row],[L/P Líquido]]/base[[#This Row],[Stake/Responsabilidade]]</f>
        <v>-1</v>
      </c>
      <c r="O3244" s="132">
        <f>IF(base[[#This Row],[L/P Líquido]]&gt;0,1,0)</f>
        <v>0</v>
      </c>
      <c r="P3244" s="132"/>
      <c r="Q3244" s="132" t="str">
        <f>LEFT(base[[#This Row],[Evento / Mercado]],FIND("vs",base[[#This Row],[Evento / Mercado]])-2)</f>
        <v>Fluminense FC</v>
      </c>
      <c r="R32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4" s="132" t="str">
        <f>LEFT(base[[#This Row],[Evento / Mercado]],FIND("/",base[[#This Row],[Evento / Mercado]])-2)</f>
        <v>Fluminense FC vs Red Bull Bragantino</v>
      </c>
    </row>
    <row r="3245" spans="2:21" ht="15" customHeight="1">
      <c r="B3245" s="128" t="s">
        <v>3243</v>
      </c>
      <c r="C3245" s="128" t="s">
        <v>2982</v>
      </c>
      <c r="D3245" s="129">
        <v>46220.923703703702</v>
      </c>
      <c r="E3245" s="130">
        <v>-2</v>
      </c>
      <c r="F3245" s="136">
        <v>4.4999999999999998E-2</v>
      </c>
      <c r="G3245" s="126">
        <f t="shared" si="69"/>
        <v>-2</v>
      </c>
      <c r="H3245" s="126" t="s">
        <v>1339</v>
      </c>
      <c r="I3245" s="127" t="s">
        <v>2820</v>
      </c>
      <c r="J3245" s="126">
        <v>1.76</v>
      </c>
      <c r="K3245" s="126">
        <v>2</v>
      </c>
      <c r="L3245" s="129">
        <f>INT(base[[#This Row],[Data de liquidação]])</f>
        <v>46220</v>
      </c>
      <c r="M3245" s="126">
        <f>base[[#This Row],[L/P Bruto]]-base[[#This Row],[L/P Líquido]]</f>
        <v>0</v>
      </c>
      <c r="N3245" s="126">
        <f>base[[#This Row],[L/P Líquido]]/base[[#This Row],[Stake/Responsabilidade]]</f>
        <v>-1</v>
      </c>
      <c r="O3245" s="132">
        <f>IF(base[[#This Row],[L/P Líquido]]&gt;0,1,0)</f>
        <v>0</v>
      </c>
      <c r="P3245" s="132"/>
      <c r="Q3245" s="132" t="str">
        <f>LEFT(base[[#This Row],[Evento / Mercado]],FIND("vs",base[[#This Row],[Evento / Mercado]])-2)</f>
        <v>Fluminense FC</v>
      </c>
      <c r="R32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5" s="132" t="str">
        <f>LEFT(base[[#This Row],[Evento / Mercado]],FIND("/",base[[#This Row],[Evento / Mercado]])-2)</f>
        <v>Fluminense FC vs Red Bull Bragantino</v>
      </c>
    </row>
    <row r="3246" spans="2:21" ht="15" customHeight="1">
      <c r="B3246" s="128" t="s">
        <v>3242</v>
      </c>
      <c r="C3246" s="128" t="s">
        <v>2982</v>
      </c>
      <c r="D3246" s="129">
        <v>46220.923726851855</v>
      </c>
      <c r="E3246" s="130">
        <v>105.83</v>
      </c>
      <c r="F3246" s="136">
        <v>4.4999999999999998E-2</v>
      </c>
      <c r="G3246" s="126">
        <f t="shared" si="69"/>
        <v>110.81675392670158</v>
      </c>
      <c r="H3246" s="126" t="s">
        <v>2817</v>
      </c>
      <c r="I3246" s="127" t="s">
        <v>2993</v>
      </c>
      <c r="J3246" s="126">
        <f>(5*100+2.1*98.22)/base[[#This Row],[Stake/Responsabilidade]]</f>
        <v>3.5630208858843706</v>
      </c>
      <c r="K3246" s="126">
        <v>198.22</v>
      </c>
      <c r="L3246" s="129">
        <f>INT(base[[#This Row],[Data de liquidação]])</f>
        <v>46220</v>
      </c>
      <c r="M3246" s="126">
        <f>base[[#This Row],[L/P Bruto]]-base[[#This Row],[L/P Líquido]]</f>
        <v>4.9867539267015815</v>
      </c>
      <c r="N3246" s="126">
        <f>base[[#This Row],[L/P Líquido]]/base[[#This Row],[Stake/Responsabilidade]]</f>
        <v>0.53390172535566538</v>
      </c>
      <c r="O3246" s="132">
        <f>IF(base[[#This Row],[L/P Líquido]]&gt;0,1,0)</f>
        <v>1</v>
      </c>
      <c r="P3246" s="132"/>
      <c r="Q3246" s="132" t="str">
        <f>LEFT(base[[#This Row],[Evento / Mercado]],FIND("vs",base[[#This Row],[Evento / Mercado]])-2)</f>
        <v>Fluminense FC</v>
      </c>
      <c r="R32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6" s="132" t="str">
        <f>LEFT(base[[#This Row],[Evento / Mercado]],FIND("/",base[[#This Row],[Evento / Mercado]])-2)</f>
        <v>Fluminense FC vs Red Bull Bragantino</v>
      </c>
    </row>
    <row r="3247" spans="2:21" ht="15" customHeight="1">
      <c r="B3247" s="128" t="s">
        <v>3242</v>
      </c>
      <c r="C3247" s="128" t="s">
        <v>2980</v>
      </c>
      <c r="D3247" s="129">
        <v>46220.923611111109</v>
      </c>
      <c r="E3247" s="130">
        <v>-300.01</v>
      </c>
      <c r="F3247" s="136">
        <v>4.4999999999999998E-2</v>
      </c>
      <c r="G3247" s="126">
        <f>IF(E3247&gt;0,E3247/(1-F3247),E3247)</f>
        <v>-300.01</v>
      </c>
      <c r="H3247" s="126" t="s">
        <v>2743</v>
      </c>
      <c r="I3247" s="127" t="s">
        <v>1233</v>
      </c>
      <c r="J3247" s="126">
        <v>3.65</v>
      </c>
      <c r="K3247" s="126">
        <v>300.01</v>
      </c>
      <c r="L3247" s="129">
        <f>INT(base[[#This Row],[Data de liquidação]])</f>
        <v>46220</v>
      </c>
      <c r="M3247" s="126">
        <f>base[[#This Row],[L/P Bruto]]-base[[#This Row],[L/P Líquido]]</f>
        <v>0</v>
      </c>
      <c r="N3247" s="126">
        <f>base[[#This Row],[L/P Líquido]]/base[[#This Row],[Stake/Responsabilidade]]</f>
        <v>-1</v>
      </c>
      <c r="O3247" s="132">
        <f>IF(base[[#This Row],[L/P Líquido]]&gt;0,1,0)</f>
        <v>0</v>
      </c>
      <c r="P3247" s="132"/>
      <c r="Q3247" s="132" t="str">
        <f>LEFT(base[[#This Row],[Evento / Mercado]],FIND("vs",base[[#This Row],[Evento / Mercado]])-2)</f>
        <v>Fluminense FC</v>
      </c>
      <c r="R32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7" s="132" t="str">
        <f>LEFT(base[[#This Row],[Evento / Mercado]],FIND("/",base[[#This Row],[Evento / Mercado]])-2)</f>
        <v>Fluminense FC vs Red Bull Bragantino</v>
      </c>
    </row>
    <row r="3248" spans="2:21" ht="15" customHeight="1">
      <c r="B3248" s="128" t="s">
        <v>3244</v>
      </c>
      <c r="C3248" s="128" t="s">
        <v>2980</v>
      </c>
      <c r="D3248" s="129">
        <v>46220.92291666667</v>
      </c>
      <c r="E3248" s="130">
        <v>286.52999999999997</v>
      </c>
      <c r="F3248" s="136">
        <v>4.4999999999999998E-2</v>
      </c>
      <c r="G3248" s="126">
        <f>IF(E3248&gt;0,E3248/(1-F3248),E3248)</f>
        <v>300.03141361256542</v>
      </c>
      <c r="H3248" s="126" t="s">
        <v>2743</v>
      </c>
      <c r="I3248" s="127" t="s">
        <v>2744</v>
      </c>
      <c r="J3248" s="126">
        <v>7.4</v>
      </c>
      <c r="K3248" s="126">
        <v>45.88</v>
      </c>
      <c r="L3248" s="129">
        <f>INT(base[[#This Row],[Data de liquidação]])</f>
        <v>46220</v>
      </c>
      <c r="M3248" s="126">
        <f>base[[#This Row],[L/P Bruto]]-base[[#This Row],[L/P Líquido]]</f>
        <v>13.501413612565443</v>
      </c>
      <c r="N3248" s="126">
        <f>base[[#This Row],[L/P Líquido]]/base[[#This Row],[Stake/Responsabilidade]]</f>
        <v>6.2452048823016559</v>
      </c>
      <c r="O3248" s="132">
        <f>IF(base[[#This Row],[L/P Líquido]]&gt;0,1,0)</f>
        <v>1</v>
      </c>
      <c r="P3248" s="132"/>
      <c r="Q3248" s="132" t="str">
        <f>LEFT(base[[#This Row],[Evento / Mercado]],FIND("vs",base[[#This Row],[Evento / Mercado]])-2)</f>
        <v>Fluminense FC</v>
      </c>
      <c r="R32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8" s="132" t="str">
        <f>LEFT(base[[#This Row],[Evento / Mercado]],FIND("/",base[[#This Row],[Evento / Mercado]])-2)</f>
        <v>Fluminense FC vs Red Bull Bragantino</v>
      </c>
    </row>
    <row r="3249" spans="2:19" ht="15" customHeight="1">
      <c r="B3249" s="128" t="s">
        <v>3241</v>
      </c>
      <c r="C3249" s="128" t="s">
        <v>2982</v>
      </c>
      <c r="D3249" s="129">
        <v>46220.957349537035</v>
      </c>
      <c r="E3249" s="130">
        <v>7.4</v>
      </c>
      <c r="F3249" s="136">
        <v>4.4999999999999998E-2</v>
      </c>
      <c r="G3249" s="126">
        <f t="shared" si="69"/>
        <v>7.7486910994764404</v>
      </c>
      <c r="H3249" s="126" t="s">
        <v>3261</v>
      </c>
      <c r="I3249" s="127" t="s">
        <v>3213</v>
      </c>
      <c r="J3249" s="126">
        <v>21</v>
      </c>
      <c r="K3249" s="126">
        <v>200</v>
      </c>
      <c r="L3249" s="129">
        <f>INT(base[[#This Row],[Data de liquidação]])</f>
        <v>46220</v>
      </c>
      <c r="M3249" s="126">
        <f>base[[#This Row],[L/P Bruto]]-base[[#This Row],[L/P Líquido]]</f>
        <v>0.34869109947644006</v>
      </c>
      <c r="N3249" s="126">
        <f>base[[#This Row],[L/P Líquido]]/base[[#This Row],[Stake/Responsabilidade]]</f>
        <v>3.7000000000000005E-2</v>
      </c>
      <c r="O3249" s="132">
        <f>IF(base[[#This Row],[L/P Líquido]]&gt;0,1,0)</f>
        <v>1</v>
      </c>
      <c r="P3249" s="132"/>
      <c r="Q3249" s="132" t="str">
        <f>LEFT(base[[#This Row],[Evento / Mercado]],FIND("vs",base[[#This Row],[Evento / Mercado]])-2)</f>
        <v>Londrina</v>
      </c>
      <c r="R32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3249" s="132" t="str">
        <f>LEFT(base[[#This Row],[Evento / Mercado]],FIND("/",base[[#This Row],[Evento / Mercado]])-2)</f>
        <v>Londrina vs Botafogo SP</v>
      </c>
    </row>
    <row r="3250" spans="2:19" ht="15" customHeight="1">
      <c r="B3250" s="128" t="s">
        <v>3281</v>
      </c>
      <c r="C3250" s="128" t="s">
        <v>2982</v>
      </c>
      <c r="D3250" s="129">
        <v>46221.083391203705</v>
      </c>
      <c r="E3250" s="130">
        <v>-21.33</v>
      </c>
      <c r="F3250" s="136">
        <v>4.4999999999999998E-2</v>
      </c>
      <c r="G3250" s="126">
        <f t="shared" si="69"/>
        <v>-21.33</v>
      </c>
      <c r="H3250" s="126" t="s">
        <v>1339</v>
      </c>
      <c r="I3250" s="127" t="s">
        <v>1236</v>
      </c>
      <c r="J3250" s="126">
        <v>6.56</v>
      </c>
      <c r="K3250" s="126">
        <v>15</v>
      </c>
      <c r="L3250" s="129">
        <f>INT(base[[#This Row],[Data de liquidação]])</f>
        <v>46221</v>
      </c>
      <c r="M3250" s="126">
        <f>base[[#This Row],[L/P Bruto]]-base[[#This Row],[L/P Líquido]]</f>
        <v>0</v>
      </c>
      <c r="N3250" s="126">
        <f>base[[#This Row],[L/P Líquido]]/base[[#This Row],[Stake/Responsabilidade]]</f>
        <v>-1.4219999999999999</v>
      </c>
      <c r="O3250" s="132">
        <f>IF(base[[#This Row],[L/P Líquido]]&gt;0,1,0)</f>
        <v>0</v>
      </c>
      <c r="P3250" s="132"/>
      <c r="Q3250" s="132" t="str">
        <f>LEFT(base[[#This Row],[Evento / Mercado]],FIND("vs",base[[#This Row],[Evento / Mercado]])-2)</f>
        <v>FC Juárez</v>
      </c>
      <c r="R32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Puebla</v>
      </c>
      <c r="S3250" s="132" t="str">
        <f>LEFT(base[[#This Row],[Evento / Mercado]],FIND("/",base[[#This Row],[Evento / Mercado]])-2)</f>
        <v>FC Juárez vs Puebla</v>
      </c>
    </row>
    <row r="3251" spans="2:19" ht="15" customHeight="1">
      <c r="B3251" s="128" t="s">
        <v>3280</v>
      </c>
      <c r="C3251" s="128" t="s">
        <v>2982</v>
      </c>
      <c r="D3251" s="129">
        <v>46221.347337962965</v>
      </c>
      <c r="E3251" s="130">
        <v>3.15</v>
      </c>
      <c r="F3251" s="136">
        <v>4.4999999999999998E-2</v>
      </c>
      <c r="G3251" s="126">
        <f t="shared" si="69"/>
        <v>3.2984293193717278</v>
      </c>
      <c r="H3251" s="126" t="s">
        <v>1339</v>
      </c>
      <c r="I3251" s="127" t="s">
        <v>2404</v>
      </c>
      <c r="J3251" s="126">
        <v>1.66</v>
      </c>
      <c r="K3251" s="126">
        <v>5</v>
      </c>
      <c r="L3251" s="129">
        <f>INT(base[[#This Row],[Data de liquidação]])</f>
        <v>46221</v>
      </c>
      <c r="M3251" s="126">
        <f>base[[#This Row],[L/P Bruto]]-base[[#This Row],[L/P Líquido]]</f>
        <v>0.14842931937172787</v>
      </c>
      <c r="N3251" s="126">
        <f>base[[#This Row],[L/P Líquido]]/base[[#This Row],[Stake/Responsabilidade]]</f>
        <v>0.63</v>
      </c>
      <c r="O3251" s="132">
        <f>IF(base[[#This Row],[L/P Líquido]]&gt;0,1,0)</f>
        <v>1</v>
      </c>
      <c r="P3251" s="132"/>
      <c r="Q3251" s="132" t="str">
        <f>LEFT(base[[#This Row],[Evento / Mercado]],FIND("vs",base[[#This Row],[Evento / Mercado]])-2)</f>
        <v>IK Oddevold</v>
      </c>
      <c r="R32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Varbergs BoIS</v>
      </c>
      <c r="S3251" s="132" t="str">
        <f>LEFT(base[[#This Row],[Evento / Mercado]],FIND("/",base[[#This Row],[Evento / Mercado]])-2)</f>
        <v>IK Oddevold vs Varbergs BoIS</v>
      </c>
    </row>
    <row r="3252" spans="2:19" ht="15" customHeight="1">
      <c r="B3252" s="128" t="s">
        <v>3279</v>
      </c>
      <c r="C3252" s="128" t="s">
        <v>2982</v>
      </c>
      <c r="D3252" s="129">
        <v>46221.464108796295</v>
      </c>
      <c r="E3252" s="130">
        <v>14.27</v>
      </c>
      <c r="F3252" s="136">
        <v>4.4999999999999998E-2</v>
      </c>
      <c r="G3252" s="126">
        <f t="shared" si="69"/>
        <v>14.942408376963352</v>
      </c>
      <c r="H3252" s="126" t="s">
        <v>3004</v>
      </c>
      <c r="I3252" s="127" t="s">
        <v>75</v>
      </c>
      <c r="J3252" s="126">
        <v>1.3</v>
      </c>
      <c r="K3252" s="126">
        <v>49.79</v>
      </c>
      <c r="L3252" s="129">
        <f>INT(base[[#This Row],[Data de liquidação]])</f>
        <v>46221</v>
      </c>
      <c r="M3252" s="126">
        <f>base[[#This Row],[L/P Bruto]]-base[[#This Row],[L/P Líquido]]</f>
        <v>0.67240837696335198</v>
      </c>
      <c r="N3252" s="126">
        <f>base[[#This Row],[L/P Líquido]]/base[[#This Row],[Stake/Responsabilidade]]</f>
        <v>0.28660373568989755</v>
      </c>
      <c r="O3252" s="132">
        <f>IF(base[[#This Row],[L/P Líquido]]&gt;0,1,0)</f>
        <v>1</v>
      </c>
      <c r="P3252" s="132"/>
      <c r="Q3252" s="132" t="str">
        <f>LEFT(base[[#This Row],[Evento / Mercado]],FIND("vs",base[[#This Row],[Evento / Mercado]])-2)</f>
        <v>Shanghai Shenhua</v>
      </c>
      <c r="R32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3252" s="132" t="str">
        <f>LEFT(base[[#This Row],[Evento / Mercado]],FIND("/",base[[#This Row],[Evento / Mercado]])-2)</f>
        <v>Shanghai Shenhua vs Tianjin Jinmenhu</v>
      </c>
    </row>
    <row r="3253" spans="2:19" ht="15" customHeight="1">
      <c r="B3253" s="128" t="s">
        <v>3282</v>
      </c>
      <c r="C3253" s="128" t="s">
        <v>2981</v>
      </c>
      <c r="D3253" s="129">
        <v>46221.477106481485</v>
      </c>
      <c r="E3253" s="130">
        <v>-2.5</v>
      </c>
      <c r="F3253" s="136">
        <v>4.4999999999999998E-2</v>
      </c>
      <c r="G3253" s="126">
        <f t="shared" si="69"/>
        <v>-2.5</v>
      </c>
      <c r="H3253" s="126" t="s">
        <v>2743</v>
      </c>
      <c r="I3253" s="127" t="s">
        <v>2744</v>
      </c>
      <c r="J3253" s="126">
        <v>11</v>
      </c>
      <c r="K3253" s="126">
        <v>30</v>
      </c>
      <c r="L3253" s="129">
        <f>INT(base[[#This Row],[Data de liquidação]])</f>
        <v>46221</v>
      </c>
      <c r="M3253" s="126">
        <f>base[[#This Row],[L/P Bruto]]-base[[#This Row],[L/P Líquido]]</f>
        <v>0</v>
      </c>
      <c r="N3253" s="126">
        <f>base[[#This Row],[L/P Líquido]]/base[[#This Row],[Stake/Responsabilidade]]</f>
        <v>-8.3333333333333329E-2</v>
      </c>
      <c r="O3253" s="132">
        <f>IF(base[[#This Row],[L/P Líquido]]&gt;0,1,0)</f>
        <v>0</v>
      </c>
      <c r="P3253" s="132"/>
      <c r="Q3253" s="132" t="str">
        <f>LEFT(base[[#This Row],[Evento / Mercado]],FIND("vs",base[[#This Row],[Evento / Mercado]])-2)</f>
        <v>Shanghai Shenhua</v>
      </c>
      <c r="R32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3253" s="132" t="str">
        <f>LEFT(base[[#This Row],[Evento / Mercado]],FIND("/",base[[#This Row],[Evento / Mercado]])-2)</f>
        <v>Shanghai Shenhua vs Tianjin Jinmenhu</v>
      </c>
    </row>
    <row r="3254" spans="2:19" ht="15" customHeight="1">
      <c r="B3254" s="128" t="s">
        <v>3278</v>
      </c>
      <c r="C3254" s="128" t="s">
        <v>2982</v>
      </c>
      <c r="D3254" s="129">
        <v>46221.477349537039</v>
      </c>
      <c r="E3254" s="130">
        <v>1.9</v>
      </c>
      <c r="F3254" s="136">
        <v>4.4999999999999998E-2</v>
      </c>
      <c r="G3254" s="126">
        <f t="shared" si="69"/>
        <v>1.9895287958115184</v>
      </c>
      <c r="H3254" s="126" t="s">
        <v>2817</v>
      </c>
      <c r="I3254" s="127" t="s">
        <v>2992</v>
      </c>
      <c r="J3254" s="126">
        <v>6.6</v>
      </c>
      <c r="K3254" s="126">
        <v>100.02</v>
      </c>
      <c r="L3254" s="129">
        <f>INT(base[[#This Row],[Data de liquidação]])</f>
        <v>46221</v>
      </c>
      <c r="M3254" s="126">
        <f>base[[#This Row],[L/P Bruto]]-base[[#This Row],[L/P Líquido]]</f>
        <v>8.9528795811518513E-2</v>
      </c>
      <c r="N3254" s="126">
        <f>base[[#This Row],[L/P Líquido]]/base[[#This Row],[Stake/Responsabilidade]]</f>
        <v>1.899620075984803E-2</v>
      </c>
      <c r="O3254" s="132">
        <f>IF(base[[#This Row],[L/P Líquido]]&gt;0,1,0)</f>
        <v>1</v>
      </c>
      <c r="P3254" s="132"/>
      <c r="Q3254" s="132" t="str">
        <f>LEFT(base[[#This Row],[Evento / Mercado]],FIND("vs",base[[#This Row],[Evento / Mercado]])-2)</f>
        <v>Shanghai Shenhua</v>
      </c>
      <c r="R32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3254" s="132" t="str">
        <f>LEFT(base[[#This Row],[Evento / Mercado]],FIND("/",base[[#This Row],[Evento / Mercado]])-2)</f>
        <v>Shanghai Shenhua vs Tianjin Jinmenhu</v>
      </c>
    </row>
    <row r="3255" spans="2:19" ht="15" customHeight="1">
      <c r="B3255" s="128" t="s">
        <v>3278</v>
      </c>
      <c r="C3255" s="128" t="s">
        <v>2981</v>
      </c>
      <c r="D3255" s="129">
        <v>46221.477349537039</v>
      </c>
      <c r="E3255" s="130">
        <v>-79.09</v>
      </c>
      <c r="F3255" s="136">
        <v>4.4999999999999998E-2</v>
      </c>
      <c r="G3255" s="126">
        <f t="shared" si="69"/>
        <v>-79.09</v>
      </c>
      <c r="H3255" s="126" t="s">
        <v>2743</v>
      </c>
      <c r="I3255" s="127" t="s">
        <v>1233</v>
      </c>
      <c r="J3255" s="126">
        <v>5.4</v>
      </c>
      <c r="K3255" s="126">
        <v>299.99</v>
      </c>
      <c r="L3255" s="129">
        <f>INT(base[[#This Row],[Data de liquidação]])</f>
        <v>46221</v>
      </c>
      <c r="M3255" s="126">
        <f>base[[#This Row],[L/P Bruto]]-base[[#This Row],[L/P Líquido]]</f>
        <v>0</v>
      </c>
      <c r="N3255" s="126">
        <f>base[[#This Row],[L/P Líquido]]/base[[#This Row],[Stake/Responsabilidade]]</f>
        <v>-0.2636421214040468</v>
      </c>
      <c r="O3255" s="132">
        <f>IF(base[[#This Row],[L/P Líquido]]&gt;0,1,0)</f>
        <v>0</v>
      </c>
      <c r="P3255" s="132"/>
      <c r="Q3255" s="132" t="str">
        <f>LEFT(base[[#This Row],[Evento / Mercado]],FIND("vs",base[[#This Row],[Evento / Mercado]])-2)</f>
        <v>Shanghai Shenhua</v>
      </c>
      <c r="R32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3255" s="132" t="str">
        <f>LEFT(base[[#This Row],[Evento / Mercado]],FIND("/",base[[#This Row],[Evento / Mercado]])-2)</f>
        <v>Shanghai Shenhua vs Tianjin Jinmenhu</v>
      </c>
    </row>
    <row r="3256" spans="2:19" ht="15" customHeight="1">
      <c r="B3256" s="128" t="s">
        <v>3277</v>
      </c>
      <c r="C3256" s="128" t="s">
        <v>2982</v>
      </c>
      <c r="D3256" s="129">
        <v>46221.494398148148</v>
      </c>
      <c r="E3256" s="130">
        <v>5.0599999999999996</v>
      </c>
      <c r="F3256" s="136">
        <v>4.4999999999999998E-2</v>
      </c>
      <c r="G3256" s="126">
        <f t="shared" si="69"/>
        <v>5.2984293193717278</v>
      </c>
      <c r="H3256" s="126" t="s">
        <v>3051</v>
      </c>
      <c r="I3256" s="127"/>
      <c r="J3256" s="126">
        <v>1.18</v>
      </c>
      <c r="K3256" s="126">
        <v>50</v>
      </c>
      <c r="L3256" s="129">
        <f>INT(base[[#This Row],[Data de liquidação]])</f>
        <v>46221</v>
      </c>
      <c r="M3256" s="126">
        <f>base[[#This Row],[L/P Bruto]]-base[[#This Row],[L/P Líquido]]</f>
        <v>0.23842931937172818</v>
      </c>
      <c r="N3256" s="126">
        <f>base[[#This Row],[L/P Líquido]]/base[[#This Row],[Stake/Responsabilidade]]</f>
        <v>0.1012</v>
      </c>
      <c r="O3256" s="132">
        <f>IF(base[[#This Row],[L/P Líquido]]&gt;0,1,0)</f>
        <v>1</v>
      </c>
      <c r="P3256" s="132"/>
      <c r="Q3256" s="132" t="str">
        <f>LEFT(base[[#This Row],[Evento / Mercado]],FIND("vs",base[[#This Row],[Evento / Mercado]])-2)</f>
        <v>AIK</v>
      </c>
      <c r="R32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GAIS</v>
      </c>
      <c r="S3256" s="132" t="str">
        <f>LEFT(base[[#This Row],[Evento / Mercado]],FIND("/",base[[#This Row],[Evento / Mercado]])-2)</f>
        <v>AIK vs GAIS</v>
      </c>
    </row>
    <row r="3257" spans="2:19" ht="15" customHeight="1">
      <c r="B3257" s="128" t="s">
        <v>3276</v>
      </c>
      <c r="C3257" s="128" t="s">
        <v>2982</v>
      </c>
      <c r="D3257" s="129">
        <v>46221.537997685184</v>
      </c>
      <c r="E3257" s="130">
        <v>16.46</v>
      </c>
      <c r="F3257" s="136">
        <v>4.4999999999999998E-2</v>
      </c>
      <c r="G3257" s="126">
        <f t="shared" si="69"/>
        <v>17.235602094240839</v>
      </c>
      <c r="H3257" s="126" t="s">
        <v>3074</v>
      </c>
      <c r="I3257" s="127" t="s">
        <v>301</v>
      </c>
      <c r="J3257" s="126">
        <v>30</v>
      </c>
      <c r="K3257" s="126">
        <v>499.96</v>
      </c>
      <c r="L3257" s="129">
        <f>INT(base[[#This Row],[Data de liquidação]])</f>
        <v>46221</v>
      </c>
      <c r="M3257" s="126">
        <f>base[[#This Row],[L/P Bruto]]-base[[#This Row],[L/P Líquido]]</f>
        <v>0.77560209424083837</v>
      </c>
      <c r="N3257" s="126">
        <f>base[[#This Row],[L/P Líquido]]/base[[#This Row],[Stake/Responsabilidade]]</f>
        <v>3.2922633810704857E-2</v>
      </c>
      <c r="O3257" s="132">
        <f>IF(base[[#This Row],[L/P Líquido]]&gt;0,1,0)</f>
        <v>1</v>
      </c>
      <c r="P3257" s="132"/>
      <c r="Q3257" s="132" t="str">
        <f>LEFT(base[[#This Row],[Evento / Mercado]],FIND("vs",base[[#This Row],[Evento / Mercado]])-2)</f>
        <v>Lillestrøm SK</v>
      </c>
      <c r="R32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KFUM Oslo</v>
      </c>
      <c r="S3257" s="132" t="str">
        <f>LEFT(base[[#This Row],[Evento / Mercado]],FIND("/",base[[#This Row],[Evento / Mercado]])-2)</f>
        <v>Lillestrøm SK vs KFUM Oslo</v>
      </c>
    </row>
    <row r="3258" spans="2:19" ht="15" customHeight="1">
      <c r="B3258" s="128" t="s">
        <v>3276</v>
      </c>
      <c r="C3258" s="128" t="s">
        <v>2981</v>
      </c>
      <c r="D3258" s="129">
        <v>46221.537997685184</v>
      </c>
      <c r="E3258" s="130">
        <v>-38.46</v>
      </c>
      <c r="F3258" s="136">
        <v>4.4999999999999998E-2</v>
      </c>
      <c r="G3258" s="126">
        <f t="shared" si="69"/>
        <v>-38.46</v>
      </c>
      <c r="H3258" s="126" t="s">
        <v>2743</v>
      </c>
      <c r="I3258" s="127" t="s">
        <v>2744</v>
      </c>
      <c r="J3258" s="126">
        <v>8.8000000000000007</v>
      </c>
      <c r="K3258" s="126">
        <v>38.46</v>
      </c>
      <c r="L3258" s="129">
        <f>INT(base[[#This Row],[Data de liquidação]])</f>
        <v>46221</v>
      </c>
      <c r="M3258" s="126">
        <f>base[[#This Row],[L/P Bruto]]-base[[#This Row],[L/P Líquido]]</f>
        <v>0</v>
      </c>
      <c r="N3258" s="126">
        <f>base[[#This Row],[L/P Líquido]]/base[[#This Row],[Stake/Responsabilidade]]</f>
        <v>-1</v>
      </c>
      <c r="O3258" s="132">
        <f>IF(base[[#This Row],[L/P Líquido]]&gt;0,1,0)</f>
        <v>0</v>
      </c>
      <c r="P3258" s="132"/>
      <c r="Q3258" s="132" t="str">
        <f>LEFT(base[[#This Row],[Evento / Mercado]],FIND("vs",base[[#This Row],[Evento / Mercado]])-2)</f>
        <v>Lillestrøm SK</v>
      </c>
      <c r="R32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KFUM Oslo</v>
      </c>
      <c r="S3258" s="132" t="str">
        <f>LEFT(base[[#This Row],[Evento / Mercado]],FIND("/",base[[#This Row],[Evento / Mercado]])-2)</f>
        <v>Lillestrøm SK vs KFUM Oslo</v>
      </c>
    </row>
    <row r="3259" spans="2:19" ht="15" customHeight="1">
      <c r="B3259" s="128" t="s">
        <v>3275</v>
      </c>
      <c r="C3259" s="128" t="s">
        <v>2982</v>
      </c>
      <c r="D3259" s="129">
        <v>46221.538194444445</v>
      </c>
      <c r="E3259" s="130">
        <v>86.16</v>
      </c>
      <c r="F3259" s="136">
        <v>4.4999999999999998E-2</v>
      </c>
      <c r="G3259" s="126">
        <f t="shared" si="69"/>
        <v>90.21989528795811</v>
      </c>
      <c r="H3259" s="126" t="s">
        <v>145</v>
      </c>
      <c r="I3259" s="127" t="s">
        <v>301</v>
      </c>
      <c r="J3259" s="126">
        <v>5.6</v>
      </c>
      <c r="K3259" s="126">
        <v>415.01</v>
      </c>
      <c r="L3259" s="129">
        <f>INT(base[[#This Row],[Data de liquidação]])</f>
        <v>46221</v>
      </c>
      <c r="M3259" s="126">
        <f>base[[#This Row],[L/P Bruto]]-base[[#This Row],[L/P Líquido]]</f>
        <v>4.0598952879581134</v>
      </c>
      <c r="N3259" s="126">
        <f>base[[#This Row],[L/P Líquido]]/base[[#This Row],[Stake/Responsabilidade]]</f>
        <v>0.20760945519385074</v>
      </c>
      <c r="O3259" s="132">
        <f>IF(base[[#This Row],[L/P Líquido]]&gt;0,1,0)</f>
        <v>1</v>
      </c>
      <c r="P3259" s="132"/>
      <c r="Q3259" s="132" t="str">
        <f>LEFT(base[[#This Row],[Evento / Mercado]],FIND("vs",base[[#This Row],[Evento / Mercado]])-2)</f>
        <v>Lillestrøm SK</v>
      </c>
      <c r="R32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KFUM Oslo</v>
      </c>
      <c r="S3259" s="132" t="str">
        <f>LEFT(base[[#This Row],[Evento / Mercado]],FIND("/",base[[#This Row],[Evento / Mercado]])-2)</f>
        <v>Lillestrøm SK vs KFUM Oslo</v>
      </c>
    </row>
    <row r="3260" spans="2:19" ht="15" customHeight="1">
      <c r="B3260" s="128" t="s">
        <v>3275</v>
      </c>
      <c r="C3260" s="128" t="s">
        <v>2981</v>
      </c>
      <c r="D3260" s="129">
        <v>46221.538194444445</v>
      </c>
      <c r="E3260" s="130">
        <v>42.88</v>
      </c>
      <c r="F3260" s="136">
        <v>4.4999999999999998E-2</v>
      </c>
      <c r="G3260" s="126">
        <f t="shared" si="69"/>
        <v>44.900523560209429</v>
      </c>
      <c r="H3260" s="126" t="s">
        <v>2743</v>
      </c>
      <c r="I3260" s="127" t="s">
        <v>1233</v>
      </c>
      <c r="J3260" s="126">
        <v>4.4000000000000004</v>
      </c>
      <c r="K3260" s="126">
        <v>300.02</v>
      </c>
      <c r="L3260" s="129">
        <f>INT(base[[#This Row],[Data de liquidação]])</f>
        <v>46221</v>
      </c>
      <c r="M3260" s="126">
        <f>base[[#This Row],[L/P Bruto]]-base[[#This Row],[L/P Líquido]]</f>
        <v>2.0205235602094263</v>
      </c>
      <c r="N3260" s="126">
        <f>base[[#This Row],[L/P Líquido]]/base[[#This Row],[Stake/Responsabilidade]]</f>
        <v>0.14292380507966138</v>
      </c>
      <c r="O3260" s="132">
        <f>IF(base[[#This Row],[L/P Líquido]]&gt;0,1,0)</f>
        <v>1</v>
      </c>
      <c r="P3260" s="132"/>
      <c r="Q3260" s="132" t="str">
        <f>LEFT(base[[#This Row],[Evento / Mercado]],FIND("vs",base[[#This Row],[Evento / Mercado]])-2)</f>
        <v>Lillestrøm SK</v>
      </c>
      <c r="R32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KFUM Oslo</v>
      </c>
      <c r="S3260" s="132" t="str">
        <f>LEFT(base[[#This Row],[Evento / Mercado]],FIND("/",base[[#This Row],[Evento / Mercado]])-2)</f>
        <v>Lillestrøm SK vs KFUM Oslo</v>
      </c>
    </row>
    <row r="3261" spans="2:19" ht="15" customHeight="1">
      <c r="B3261" s="128" t="s">
        <v>3275</v>
      </c>
      <c r="C3261" s="128" t="s">
        <v>2980</v>
      </c>
      <c r="D3261" s="129">
        <v>46221.538194444445</v>
      </c>
      <c r="E3261" s="130">
        <v>3.67</v>
      </c>
      <c r="F3261" s="136">
        <v>4.4999999999999998E-2</v>
      </c>
      <c r="G3261" s="126">
        <f t="shared" si="69"/>
        <v>3.842931937172775</v>
      </c>
      <c r="H3261" s="126" t="s">
        <v>2817</v>
      </c>
      <c r="I3261" s="127" t="s">
        <v>2993</v>
      </c>
      <c r="J3261" s="126">
        <v>5.6</v>
      </c>
      <c r="K3261" s="126">
        <v>100</v>
      </c>
      <c r="L3261" s="129">
        <f>INT(base[[#This Row],[Data de liquidação]])</f>
        <v>46221</v>
      </c>
      <c r="M3261" s="126">
        <f>base[[#This Row],[L/P Bruto]]-base[[#This Row],[L/P Líquido]]</f>
        <v>0.17293193717277511</v>
      </c>
      <c r="N3261" s="126">
        <f>base[[#This Row],[L/P Líquido]]/base[[#This Row],[Stake/Responsabilidade]]</f>
        <v>3.6699999999999997E-2</v>
      </c>
      <c r="O3261" s="132">
        <f>IF(base[[#This Row],[L/P Líquido]]&gt;0,1,0)</f>
        <v>1</v>
      </c>
      <c r="P3261" s="132"/>
      <c r="Q3261" s="132" t="str">
        <f>LEFT(base[[#This Row],[Evento / Mercado]],FIND("vs",base[[#This Row],[Evento / Mercado]])-2)</f>
        <v>Lillestrøm SK</v>
      </c>
      <c r="R32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KFUM Oslo</v>
      </c>
      <c r="S3261" s="132" t="str">
        <f>LEFT(base[[#This Row],[Evento / Mercado]],FIND("/",base[[#This Row],[Evento / Mercado]])-2)</f>
        <v>Lillestrøm SK vs KFUM Oslo</v>
      </c>
    </row>
    <row r="3262" spans="2:19" ht="15" customHeight="1">
      <c r="B3262" s="128" t="s">
        <v>3274</v>
      </c>
      <c r="C3262" s="128" t="s">
        <v>2982</v>
      </c>
      <c r="D3262" s="129">
        <v>46221.539768518516</v>
      </c>
      <c r="E3262" s="130">
        <v>38.99</v>
      </c>
      <c r="F3262" s="136">
        <v>4.4999999999999998E-2</v>
      </c>
      <c r="G3262" s="126">
        <f t="shared" si="69"/>
        <v>40.827225130890056</v>
      </c>
      <c r="H3262" s="126" t="s">
        <v>74</v>
      </c>
      <c r="I3262" s="127" t="s">
        <v>542</v>
      </c>
      <c r="J3262" s="126">
        <v>13</v>
      </c>
      <c r="K3262" s="126">
        <v>489.96</v>
      </c>
      <c r="L3262" s="129">
        <f>INT(base[[#This Row],[Data de liquidação]])</f>
        <v>46221</v>
      </c>
      <c r="M3262" s="126">
        <f>base[[#This Row],[L/P Bruto]]-base[[#This Row],[L/P Líquido]]</f>
        <v>1.8372251308900545</v>
      </c>
      <c r="N3262" s="126">
        <f>base[[#This Row],[L/P Líquido]]/base[[#This Row],[Stake/Responsabilidade]]</f>
        <v>7.9577924728549271E-2</v>
      </c>
      <c r="O3262" s="132">
        <f>IF(base[[#This Row],[L/P Líquido]]&gt;0,1,0)</f>
        <v>1</v>
      </c>
      <c r="P3262" s="132"/>
      <c r="Q3262" s="132" t="str">
        <f>LEFT(base[[#This Row],[Evento / Mercado]],FIND("vs",base[[#This Row],[Evento / Mercado]])-2)</f>
        <v>Narva Trans</v>
      </c>
      <c r="R32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Pärnu JK Vaprus</v>
      </c>
      <c r="S3262" s="132" t="str">
        <f>LEFT(base[[#This Row],[Evento / Mercado]],FIND("/",base[[#This Row],[Evento / Mercado]])-2)</f>
        <v>Narva Trans vs Pärnu JK Vaprus</v>
      </c>
    </row>
    <row r="3263" spans="2:19" ht="15" customHeight="1">
      <c r="B3263" s="128" t="s">
        <v>3273</v>
      </c>
      <c r="C3263" s="128" t="s">
        <v>2982</v>
      </c>
      <c r="D3263" s="129">
        <v>46221.594178240739</v>
      </c>
      <c r="E3263" s="130">
        <v>-20.53</v>
      </c>
      <c r="F3263" s="136">
        <v>4.4999999999999998E-2</v>
      </c>
      <c r="G3263" s="126">
        <f t="shared" si="69"/>
        <v>-20.53</v>
      </c>
      <c r="H3263" s="126" t="s">
        <v>1339</v>
      </c>
      <c r="I3263" s="127" t="s">
        <v>1236</v>
      </c>
      <c r="J3263" s="126">
        <v>13.5</v>
      </c>
      <c r="K3263" s="126">
        <v>15</v>
      </c>
      <c r="L3263" s="129">
        <f>INT(base[[#This Row],[Data de liquidação]])</f>
        <v>46221</v>
      </c>
      <c r="M3263" s="126">
        <f>base[[#This Row],[L/P Bruto]]-base[[#This Row],[L/P Líquido]]</f>
        <v>0</v>
      </c>
      <c r="N3263" s="126">
        <f>base[[#This Row],[L/P Líquido]]/base[[#This Row],[Stake/Responsabilidade]]</f>
        <v>-1.3686666666666667</v>
      </c>
      <c r="O3263" s="132">
        <f>IF(base[[#This Row],[L/P Líquido]]&gt;0,1,0)</f>
        <v>0</v>
      </c>
      <c r="P3263" s="132"/>
      <c r="Q3263" s="132" t="str">
        <f>LEFT(base[[#This Row],[Evento / Mercado]],FIND("vs",base[[#This Row],[Evento / Mercado]])-2)</f>
        <v>Viking FK</v>
      </c>
      <c r="R32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3263" s="132" t="str">
        <f>LEFT(base[[#This Row],[Evento / Mercado]],FIND("/",base[[#This Row],[Evento / Mercado]])-2)</f>
        <v>Viking FK vs Sandefjord Fotball</v>
      </c>
    </row>
    <row r="3264" spans="2:19" ht="15" customHeight="1">
      <c r="B3264" s="128" t="s">
        <v>3271</v>
      </c>
      <c r="C3264" s="128" t="s">
        <v>2980</v>
      </c>
      <c r="D3264" s="129">
        <v>46221.621527777781</v>
      </c>
      <c r="E3264" s="130">
        <v>5.68</v>
      </c>
      <c r="F3264" s="136">
        <v>4.4999999999999998E-2</v>
      </c>
      <c r="G3264" s="126">
        <f t="shared" si="69"/>
        <v>5.9476439790575917</v>
      </c>
      <c r="H3264" s="126" t="s">
        <v>2817</v>
      </c>
      <c r="I3264" s="127" t="s">
        <v>3199</v>
      </c>
      <c r="J3264" s="126">
        <v>11.5</v>
      </c>
      <c r="K3264" s="126">
        <v>99.96</v>
      </c>
      <c r="L3264" s="129">
        <f>INT(base[[#This Row],[Data de liquidação]])</f>
        <v>46221</v>
      </c>
      <c r="M3264" s="126">
        <f>base[[#This Row],[L/P Bruto]]-base[[#This Row],[L/P Líquido]]</f>
        <v>0.26764397905759196</v>
      </c>
      <c r="N3264" s="126">
        <f>base[[#This Row],[L/P Líquido]]/base[[#This Row],[Stake/Responsabilidade]]</f>
        <v>5.6822729091636652E-2</v>
      </c>
      <c r="O3264" s="132">
        <f>IF(base[[#This Row],[L/P Líquido]]&gt;0,1,0)</f>
        <v>1</v>
      </c>
      <c r="P3264" s="132"/>
      <c r="Q3264" s="132" t="str">
        <f>LEFT(base[[#This Row],[Evento / Mercado]],FIND("vs",base[[#This Row],[Evento / Mercado]])-2)</f>
        <v>Viking FK</v>
      </c>
      <c r="R32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3264" s="132" t="str">
        <f>LEFT(base[[#This Row],[Evento / Mercado]],FIND("/",base[[#This Row],[Evento / Mercado]])-2)</f>
        <v>Viking FK vs Sandefjord Fotball</v>
      </c>
    </row>
    <row r="3265" spans="2:19" ht="15" customHeight="1">
      <c r="B3265" s="128" t="s">
        <v>3272</v>
      </c>
      <c r="C3265" s="128" t="s">
        <v>2982</v>
      </c>
      <c r="D3265" s="129">
        <v>46221.62158564815</v>
      </c>
      <c r="E3265" s="130">
        <v>-23.08</v>
      </c>
      <c r="F3265" s="136">
        <v>4.4999999999999998E-2</v>
      </c>
      <c r="G3265" s="126">
        <f t="shared" si="69"/>
        <v>-23.08</v>
      </c>
      <c r="H3265" s="126" t="s">
        <v>2743</v>
      </c>
      <c r="I3265" s="127" t="s">
        <v>2744</v>
      </c>
      <c r="J3265" s="126">
        <v>14</v>
      </c>
      <c r="K3265" s="126">
        <v>23.08</v>
      </c>
      <c r="L3265" s="129">
        <f>INT(base[[#This Row],[Data de liquidação]])</f>
        <v>46221</v>
      </c>
      <c r="M3265" s="126">
        <f>base[[#This Row],[L/P Bruto]]-base[[#This Row],[L/P Líquido]]</f>
        <v>0</v>
      </c>
      <c r="N3265" s="126">
        <f>base[[#This Row],[L/P Líquido]]/base[[#This Row],[Stake/Responsabilidade]]</f>
        <v>-1</v>
      </c>
      <c r="O3265" s="132">
        <f>IF(base[[#This Row],[L/P Líquido]]&gt;0,1,0)</f>
        <v>0</v>
      </c>
      <c r="P3265" s="132"/>
      <c r="Q3265" s="132" t="str">
        <f>LEFT(base[[#This Row],[Evento / Mercado]],FIND("vs",base[[#This Row],[Evento / Mercado]])-2)</f>
        <v>Viking FK</v>
      </c>
      <c r="R32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3265" s="132" t="str">
        <f>LEFT(base[[#This Row],[Evento / Mercado]],FIND("/",base[[#This Row],[Evento / Mercado]])-2)</f>
        <v>Viking FK vs Sandefjord Fotball</v>
      </c>
    </row>
    <row r="3266" spans="2:19" ht="15" customHeight="1">
      <c r="B3266" s="128" t="s">
        <v>3271</v>
      </c>
      <c r="C3266" s="128" t="s">
        <v>2982</v>
      </c>
      <c r="D3266" s="129">
        <v>46221.621712962966</v>
      </c>
      <c r="E3266" s="130">
        <v>15.66</v>
      </c>
      <c r="F3266" s="136">
        <v>4.4999999999999998E-2</v>
      </c>
      <c r="G3266" s="126">
        <f t="shared" si="69"/>
        <v>16.397905759162306</v>
      </c>
      <c r="H3266" s="126" t="s">
        <v>2743</v>
      </c>
      <c r="I3266" s="127" t="s">
        <v>1233</v>
      </c>
      <c r="J3266" s="126">
        <v>6.8</v>
      </c>
      <c r="K3266" s="126">
        <v>299.98</v>
      </c>
      <c r="L3266" s="129">
        <f>INT(base[[#This Row],[Data de liquidação]])</f>
        <v>46221</v>
      </c>
      <c r="M3266" s="126">
        <f>base[[#This Row],[L/P Bruto]]-base[[#This Row],[L/P Líquido]]</f>
        <v>0.73790575916230594</v>
      </c>
      <c r="N3266" s="126">
        <f>base[[#This Row],[L/P Líquido]]/base[[#This Row],[Stake/Responsabilidade]]</f>
        <v>5.2203480232015466E-2</v>
      </c>
      <c r="O3266" s="132">
        <f>IF(base[[#This Row],[L/P Líquido]]&gt;0,1,0)</f>
        <v>1</v>
      </c>
      <c r="P3266" s="132"/>
      <c r="Q3266" s="132" t="str">
        <f>LEFT(base[[#This Row],[Evento / Mercado]],FIND("vs",base[[#This Row],[Evento / Mercado]])-2)</f>
        <v>Viking FK</v>
      </c>
      <c r="R32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3266" s="132" t="str">
        <f>LEFT(base[[#This Row],[Evento / Mercado]],FIND("/",base[[#This Row],[Evento / Mercado]])-2)</f>
        <v>Viking FK vs Sandefjord Fotball</v>
      </c>
    </row>
    <row r="3267" spans="2:19" ht="15" customHeight="1">
      <c r="B3267" s="128" t="s">
        <v>3271</v>
      </c>
      <c r="C3267" s="128" t="s">
        <v>2981</v>
      </c>
      <c r="D3267" s="129">
        <v>46221.621712962966</v>
      </c>
      <c r="E3267" s="130">
        <v>38.880000000000003</v>
      </c>
      <c r="F3267" s="136">
        <v>4.4999999999999998E-2</v>
      </c>
      <c r="G3267" s="126">
        <f t="shared" ref="G3267:G3330" si="71">IF(E3267&gt;0,E3267/(1-F3267),E3267)</f>
        <v>40.712041884816756</v>
      </c>
      <c r="H3267" s="126" t="s">
        <v>145</v>
      </c>
      <c r="I3267" s="127" t="s">
        <v>301</v>
      </c>
      <c r="J3267" s="126">
        <v>11</v>
      </c>
      <c r="K3267" s="126">
        <v>400</v>
      </c>
      <c r="L3267" s="129">
        <f>INT(base[[#This Row],[Data de liquidação]])</f>
        <v>46221</v>
      </c>
      <c r="M3267" s="126">
        <f>base[[#This Row],[L/P Bruto]]-base[[#This Row],[L/P Líquido]]</f>
        <v>1.8320418848167535</v>
      </c>
      <c r="N3267" s="126">
        <f>base[[#This Row],[L/P Líquido]]/base[[#This Row],[Stake/Responsabilidade]]</f>
        <v>9.7200000000000009E-2</v>
      </c>
      <c r="O3267" s="132">
        <f>IF(base[[#This Row],[L/P Líquido]]&gt;0,1,0)</f>
        <v>1</v>
      </c>
      <c r="P3267" s="132"/>
      <c r="Q3267" s="132" t="str">
        <f>LEFT(base[[#This Row],[Evento / Mercado]],FIND("vs",base[[#This Row],[Evento / Mercado]])-2)</f>
        <v>Viking FK</v>
      </c>
      <c r="R32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3267" s="132" t="str">
        <f>LEFT(base[[#This Row],[Evento / Mercado]],FIND("/",base[[#This Row],[Evento / Mercado]])-2)</f>
        <v>Viking FK vs Sandefjord Fotball</v>
      </c>
    </row>
    <row r="3268" spans="2:19" ht="15" customHeight="1">
      <c r="B3268" s="128" t="s">
        <v>3270</v>
      </c>
      <c r="C3268" s="128" t="s">
        <v>2980</v>
      </c>
      <c r="D3268" s="129">
        <v>46221.624305555553</v>
      </c>
      <c r="E3268" s="130">
        <v>9.06</v>
      </c>
      <c r="F3268" s="136">
        <v>4.4999999999999998E-2</v>
      </c>
      <c r="G3268" s="126">
        <f t="shared" si="71"/>
        <v>9.4869109947643988</v>
      </c>
      <c r="H3268" s="126" t="s">
        <v>3261</v>
      </c>
      <c r="I3268" s="127" t="s">
        <v>476</v>
      </c>
      <c r="J3268" s="126">
        <v>22</v>
      </c>
      <c r="K3268" s="126">
        <v>199.21</v>
      </c>
      <c r="L3268" s="129">
        <f>INT(base[[#This Row],[Data de liquidação]])</f>
        <v>46221</v>
      </c>
      <c r="M3268" s="126">
        <f>base[[#This Row],[L/P Bruto]]-base[[#This Row],[L/P Líquido]]</f>
        <v>0.42691099476439831</v>
      </c>
      <c r="N3268" s="126">
        <f>base[[#This Row],[L/P Líquido]]/base[[#This Row],[Stake/Responsabilidade]]</f>
        <v>4.5479644596154813E-2</v>
      </c>
      <c r="O3268" s="132">
        <f>IF(base[[#This Row],[L/P Líquido]]&gt;0,1,0)</f>
        <v>1</v>
      </c>
      <c r="P3268" s="132"/>
      <c r="Q3268" s="132" t="str">
        <f>LEFT(base[[#This Row],[Evento / Mercado]],FIND("vs",base[[#This Row],[Evento / Mercado]])-2)</f>
        <v>Molde</v>
      </c>
      <c r="R32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3268" s="132" t="str">
        <f>LEFT(base[[#This Row],[Evento / Mercado]],FIND("/",base[[#This Row],[Evento / Mercado]])-2)</f>
        <v>Molde vs Brann</v>
      </c>
    </row>
    <row r="3269" spans="2:19" ht="15" customHeight="1">
      <c r="B3269" s="128" t="s">
        <v>3270</v>
      </c>
      <c r="C3269" s="128" t="s">
        <v>2982</v>
      </c>
      <c r="D3269" s="129">
        <v>46221.624444444446</v>
      </c>
      <c r="E3269" s="130">
        <v>-34.880000000000003</v>
      </c>
      <c r="F3269" s="136">
        <v>4.4999999999999998E-2</v>
      </c>
      <c r="G3269" s="126">
        <f t="shared" si="71"/>
        <v>-34.880000000000003</v>
      </c>
      <c r="H3269" s="126" t="s">
        <v>2743</v>
      </c>
      <c r="I3269" s="127" t="s">
        <v>2744</v>
      </c>
      <c r="J3269" s="126">
        <v>9.6</v>
      </c>
      <c r="K3269" s="126">
        <v>34.880000000000003</v>
      </c>
      <c r="L3269" s="129">
        <f>INT(base[[#This Row],[Data de liquidação]])</f>
        <v>46221</v>
      </c>
      <c r="M3269" s="126">
        <f>base[[#This Row],[L/P Bruto]]-base[[#This Row],[L/P Líquido]]</f>
        <v>0</v>
      </c>
      <c r="N3269" s="126">
        <f>base[[#This Row],[L/P Líquido]]/base[[#This Row],[Stake/Responsabilidade]]</f>
        <v>-1</v>
      </c>
      <c r="O3269" s="132">
        <f>IF(base[[#This Row],[L/P Líquido]]&gt;0,1,0)</f>
        <v>0</v>
      </c>
      <c r="P3269" s="132"/>
      <c r="Q3269" s="132" t="str">
        <f>LEFT(base[[#This Row],[Evento / Mercado]],FIND("vs",base[[#This Row],[Evento / Mercado]])-2)</f>
        <v>Molde</v>
      </c>
      <c r="R32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3269" s="132" t="str">
        <f>LEFT(base[[#This Row],[Evento / Mercado]],FIND("/",base[[#This Row],[Evento / Mercado]])-2)</f>
        <v>Molde vs Brann</v>
      </c>
    </row>
    <row r="3270" spans="2:19" ht="15" customHeight="1">
      <c r="B3270" s="128" t="s">
        <v>3270</v>
      </c>
      <c r="C3270" s="128" t="s">
        <v>2981</v>
      </c>
      <c r="D3270" s="129">
        <v>46221.624444444446</v>
      </c>
      <c r="E3270" s="130">
        <v>-26.48</v>
      </c>
      <c r="F3270" s="136">
        <v>4.4999999999999998E-2</v>
      </c>
      <c r="G3270" s="126">
        <f t="shared" si="71"/>
        <v>-26.48</v>
      </c>
      <c r="H3270" s="126" t="s">
        <v>3074</v>
      </c>
      <c r="I3270" s="127" t="s">
        <v>301</v>
      </c>
      <c r="J3270" s="126">
        <v>8.4</v>
      </c>
      <c r="K3270" s="126">
        <v>243.63</v>
      </c>
      <c r="L3270" s="129">
        <f>INT(base[[#This Row],[Data de liquidação]])</f>
        <v>46221</v>
      </c>
      <c r="M3270" s="126">
        <f>base[[#This Row],[L/P Bruto]]-base[[#This Row],[L/P Líquido]]</f>
        <v>0</v>
      </c>
      <c r="N3270" s="126">
        <f>base[[#This Row],[L/P Líquido]]/base[[#This Row],[Stake/Responsabilidade]]</f>
        <v>-0.10868940606657637</v>
      </c>
      <c r="O3270" s="132">
        <f>IF(base[[#This Row],[L/P Líquido]]&gt;0,1,0)</f>
        <v>0</v>
      </c>
      <c r="P3270" s="132"/>
      <c r="Q3270" s="132" t="str">
        <f>LEFT(base[[#This Row],[Evento / Mercado]],FIND("vs",base[[#This Row],[Evento / Mercado]])-2)</f>
        <v>Molde</v>
      </c>
      <c r="R32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3270" s="132" t="str">
        <f>LEFT(base[[#This Row],[Evento / Mercado]],FIND("/",base[[#This Row],[Evento / Mercado]])-2)</f>
        <v>Molde vs Brann</v>
      </c>
    </row>
    <row r="3271" spans="2:19" ht="15" customHeight="1">
      <c r="B3271" s="128" t="s">
        <v>3269</v>
      </c>
      <c r="C3271" s="128" t="s">
        <v>2982</v>
      </c>
      <c r="D3271" s="129">
        <v>46221.6246875</v>
      </c>
      <c r="E3271" s="130">
        <v>30.25</v>
      </c>
      <c r="F3271" s="136">
        <v>4.4999999999999998E-2</v>
      </c>
      <c r="G3271" s="126">
        <f t="shared" si="71"/>
        <v>31.67539267015707</v>
      </c>
      <c r="H3271" s="126" t="s">
        <v>2743</v>
      </c>
      <c r="I3271" s="127" t="s">
        <v>1233</v>
      </c>
      <c r="J3271" s="126">
        <v>4.3</v>
      </c>
      <c r="K3271" s="126">
        <v>300</v>
      </c>
      <c r="L3271" s="129">
        <f>INT(base[[#This Row],[Data de liquidação]])</f>
        <v>46221</v>
      </c>
      <c r="M3271" s="126">
        <f>base[[#This Row],[L/P Bruto]]-base[[#This Row],[L/P Líquido]]</f>
        <v>1.4253926701570698</v>
      </c>
      <c r="N3271" s="126">
        <f>base[[#This Row],[L/P Líquido]]/base[[#This Row],[Stake/Responsabilidade]]</f>
        <v>0.10083333333333333</v>
      </c>
      <c r="O3271" s="132">
        <f>IF(base[[#This Row],[L/P Líquido]]&gt;0,1,0)</f>
        <v>1</v>
      </c>
      <c r="P3271" s="132"/>
      <c r="Q3271" s="132" t="str">
        <f>LEFT(base[[#This Row],[Evento / Mercado]],FIND("vs",base[[#This Row],[Evento / Mercado]])-2)</f>
        <v>Molde</v>
      </c>
      <c r="R32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3271" s="132" t="str">
        <f>LEFT(base[[#This Row],[Evento / Mercado]],FIND("/",base[[#This Row],[Evento / Mercado]])-2)</f>
        <v>Molde vs Brann</v>
      </c>
    </row>
    <row r="3272" spans="2:19" ht="15" customHeight="1">
      <c r="B3272" s="128" t="s">
        <v>3269</v>
      </c>
      <c r="C3272" s="128" t="s">
        <v>2981</v>
      </c>
      <c r="D3272" s="129">
        <v>46221.6246875</v>
      </c>
      <c r="E3272" s="130">
        <v>-199.99</v>
      </c>
      <c r="F3272" s="136">
        <v>4.4999999999999998E-2</v>
      </c>
      <c r="G3272" s="126">
        <f t="shared" si="71"/>
        <v>-199.99</v>
      </c>
      <c r="H3272" s="126" t="s">
        <v>2817</v>
      </c>
      <c r="I3272" s="127" t="s">
        <v>2993</v>
      </c>
      <c r="J3272" s="126">
        <f>(3.2+2.02)/2</f>
        <v>2.6100000000000003</v>
      </c>
      <c r="K3272" s="126">
        <v>199.99</v>
      </c>
      <c r="L3272" s="129">
        <f>INT(base[[#This Row],[Data de liquidação]])</f>
        <v>46221</v>
      </c>
      <c r="M3272" s="126">
        <f>base[[#This Row],[L/P Bruto]]-base[[#This Row],[L/P Líquido]]</f>
        <v>0</v>
      </c>
      <c r="N3272" s="126">
        <f>base[[#This Row],[L/P Líquido]]/base[[#This Row],[Stake/Responsabilidade]]</f>
        <v>-1</v>
      </c>
      <c r="O3272" s="132">
        <f>IF(base[[#This Row],[L/P Líquido]]&gt;0,1,0)</f>
        <v>0</v>
      </c>
      <c r="P3272" s="132"/>
      <c r="Q3272" s="132" t="str">
        <f>LEFT(base[[#This Row],[Evento / Mercado]],FIND("vs",base[[#This Row],[Evento / Mercado]])-2)</f>
        <v>Molde</v>
      </c>
      <c r="R32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3272" s="132" t="str">
        <f>LEFT(base[[#This Row],[Evento / Mercado]],FIND("/",base[[#This Row],[Evento / Mercado]])-2)</f>
        <v>Molde vs Brann</v>
      </c>
    </row>
    <row r="3273" spans="2:19" ht="15" customHeight="1">
      <c r="B3273" s="128" t="s">
        <v>3268</v>
      </c>
      <c r="C3273" s="128" t="s">
        <v>2982</v>
      </c>
      <c r="D3273" s="129">
        <v>46221.624722222223</v>
      </c>
      <c r="E3273" s="130">
        <v>-43.01</v>
      </c>
      <c r="F3273" s="136">
        <v>4.4999999999999998E-2</v>
      </c>
      <c r="G3273" s="126">
        <f t="shared" si="71"/>
        <v>-43.01</v>
      </c>
      <c r="H3273" s="126" t="s">
        <v>2820</v>
      </c>
      <c r="I3273" s="127" t="s">
        <v>2874</v>
      </c>
      <c r="J3273" s="126">
        <f>(25*1.73+25*2.3+50*3)/base[[#This Row],[Stake/Responsabilidade]]</f>
        <v>2.5074999999999998</v>
      </c>
      <c r="K3273" s="126">
        <v>100</v>
      </c>
      <c r="L3273" s="129">
        <f>INT(base[[#This Row],[Data de liquidação]])</f>
        <v>46221</v>
      </c>
      <c r="M3273" s="126">
        <f>base[[#This Row],[L/P Bruto]]-base[[#This Row],[L/P Líquido]]</f>
        <v>0</v>
      </c>
      <c r="N3273" s="126">
        <f>base[[#This Row],[L/P Líquido]]/base[[#This Row],[Stake/Responsabilidade]]</f>
        <v>-0.43009999999999998</v>
      </c>
      <c r="O3273" s="132">
        <f>IF(base[[#This Row],[L/P Líquido]]&gt;0,1,0)</f>
        <v>0</v>
      </c>
      <c r="P3273" s="132"/>
      <c r="Q3273" s="132" t="str">
        <f>LEFT(base[[#This Row],[Evento / Mercado]],FIND("vs",base[[#This Row],[Evento / Mercado]])-2)</f>
        <v>Molde</v>
      </c>
      <c r="R32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3273" s="132" t="str">
        <f>LEFT(base[[#This Row],[Evento / Mercado]],FIND("/",base[[#This Row],[Evento / Mercado]])-2)</f>
        <v>Molde vs Brann</v>
      </c>
    </row>
    <row r="3274" spans="2:19" ht="15" customHeight="1">
      <c r="B3274" s="128" t="s">
        <v>3267</v>
      </c>
      <c r="C3274" s="128" t="s">
        <v>2982</v>
      </c>
      <c r="D3274" s="129">
        <v>46221.751643518517</v>
      </c>
      <c r="E3274" s="130">
        <v>-48.39</v>
      </c>
      <c r="F3274" s="136">
        <v>4.4999999999999998E-2</v>
      </c>
      <c r="G3274" s="126">
        <f t="shared" si="71"/>
        <v>-48.39</v>
      </c>
      <c r="H3274" s="126" t="s">
        <v>2743</v>
      </c>
      <c r="I3274" s="127" t="s">
        <v>2744</v>
      </c>
      <c r="J3274" s="126">
        <v>7.2</v>
      </c>
      <c r="K3274" s="126">
        <v>48.39</v>
      </c>
      <c r="L3274" s="129">
        <f>INT(base[[#This Row],[Data de liquidação]])</f>
        <v>46221</v>
      </c>
      <c r="M3274" s="126">
        <f>base[[#This Row],[L/P Bruto]]-base[[#This Row],[L/P Líquido]]</f>
        <v>0</v>
      </c>
      <c r="N3274" s="126">
        <f>base[[#This Row],[L/P Líquido]]/base[[#This Row],[Stake/Responsabilidade]]</f>
        <v>-1</v>
      </c>
      <c r="O3274" s="132">
        <f>IF(base[[#This Row],[L/P Líquido]]&gt;0,1,0)</f>
        <v>0</v>
      </c>
      <c r="P3274" s="132"/>
      <c r="Q3274" s="132" t="str">
        <f>LEFT(base[[#This Row],[Evento / Mercado]],FIND("vs",base[[#This Row],[Evento / Mercado]])-2)</f>
        <v>Criciúma EC</v>
      </c>
      <c r="R32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Vila Nova FC</v>
      </c>
      <c r="S3274" s="132" t="str">
        <f>LEFT(base[[#This Row],[Evento / Mercado]],FIND("/",base[[#This Row],[Evento / Mercado]])-2)</f>
        <v>Criciúma EC vs Vila Nova FC</v>
      </c>
    </row>
    <row r="3275" spans="2:19" ht="15" customHeight="1">
      <c r="B3275" s="128" t="s">
        <v>3267</v>
      </c>
      <c r="C3275" s="128" t="s">
        <v>2981</v>
      </c>
      <c r="D3275" s="129">
        <v>46221.751643518517</v>
      </c>
      <c r="E3275" s="130">
        <v>14.95</v>
      </c>
      <c r="F3275" s="136">
        <v>4.4999999999999998E-2</v>
      </c>
      <c r="G3275" s="126">
        <f t="shared" si="71"/>
        <v>15.654450261780104</v>
      </c>
      <c r="H3275" s="126" t="s">
        <v>3261</v>
      </c>
      <c r="I3275" s="127" t="s">
        <v>476</v>
      </c>
      <c r="J3275" s="126">
        <v>14</v>
      </c>
      <c r="K3275" s="126">
        <v>199.94</v>
      </c>
      <c r="L3275" s="129">
        <f>INT(base[[#This Row],[Data de liquidação]])</f>
        <v>46221</v>
      </c>
      <c r="M3275" s="126">
        <f>base[[#This Row],[L/P Bruto]]-base[[#This Row],[L/P Líquido]]</f>
        <v>0.70445026178010473</v>
      </c>
      <c r="N3275" s="126">
        <f>base[[#This Row],[L/P Líquido]]/base[[#This Row],[Stake/Responsabilidade]]</f>
        <v>7.4772431729518848E-2</v>
      </c>
      <c r="O3275" s="132">
        <f>IF(base[[#This Row],[L/P Líquido]]&gt;0,1,0)</f>
        <v>1</v>
      </c>
      <c r="P3275" s="132"/>
      <c r="Q3275" s="132" t="str">
        <f>LEFT(base[[#This Row],[Evento / Mercado]],FIND("vs",base[[#This Row],[Evento / Mercado]])-2)</f>
        <v>Criciúma EC</v>
      </c>
      <c r="R32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Vila Nova FC</v>
      </c>
      <c r="S3275" s="132" t="str">
        <f>LEFT(base[[#This Row],[Evento / Mercado]],FIND("/",base[[#This Row],[Evento / Mercado]])-2)</f>
        <v>Criciúma EC vs Vila Nova FC</v>
      </c>
    </row>
    <row r="3276" spans="2:19" ht="15" customHeight="1">
      <c r="B3276" s="128" t="s">
        <v>3266</v>
      </c>
      <c r="C3276" s="128" t="s">
        <v>2981</v>
      </c>
      <c r="D3276" s="129">
        <v>46221.751793981479</v>
      </c>
      <c r="E3276" s="130">
        <v>13.24</v>
      </c>
      <c r="F3276" s="136">
        <v>4.4999999999999998E-2</v>
      </c>
      <c r="G3276" s="126">
        <f t="shared" si="71"/>
        <v>13.863874345549739</v>
      </c>
      <c r="H3276" s="126" t="s">
        <v>2817</v>
      </c>
      <c r="I3276" s="127" t="s">
        <v>2993</v>
      </c>
      <c r="J3276" s="126">
        <v>5.6</v>
      </c>
      <c r="K3276" s="126">
        <v>100</v>
      </c>
      <c r="L3276" s="129">
        <f>INT(base[[#This Row],[Data de liquidação]])</f>
        <v>46221</v>
      </c>
      <c r="M3276" s="126">
        <f>base[[#This Row],[L/P Bruto]]-base[[#This Row],[L/P Líquido]]</f>
        <v>0.62387434554973886</v>
      </c>
      <c r="N3276" s="126">
        <f>base[[#This Row],[L/P Líquido]]/base[[#This Row],[Stake/Responsabilidade]]</f>
        <v>0.13239999999999999</v>
      </c>
      <c r="O3276" s="132">
        <f>IF(base[[#This Row],[L/P Líquido]]&gt;0,1,0)</f>
        <v>1</v>
      </c>
      <c r="P3276" s="132"/>
      <c r="Q3276" s="132" t="str">
        <f>LEFT(base[[#This Row],[Evento / Mercado]],FIND("vs",base[[#This Row],[Evento / Mercado]])-2)</f>
        <v>Criciúma EC</v>
      </c>
      <c r="R32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Vila Nova FC</v>
      </c>
      <c r="S3276" s="132" t="str">
        <f>LEFT(base[[#This Row],[Evento / Mercado]],FIND("/",base[[#This Row],[Evento / Mercado]])-2)</f>
        <v>Criciúma EC vs Vila Nova FC</v>
      </c>
    </row>
    <row r="3277" spans="2:19" ht="15" customHeight="1">
      <c r="B3277" s="128" t="s">
        <v>3266</v>
      </c>
      <c r="C3277" s="128" t="s">
        <v>2982</v>
      </c>
      <c r="D3277" s="129">
        <v>46221.751805555556</v>
      </c>
      <c r="E3277" s="130">
        <v>114.6</v>
      </c>
      <c r="F3277" s="136">
        <v>4.4999999999999998E-2</v>
      </c>
      <c r="G3277" s="126">
        <f t="shared" si="71"/>
        <v>120</v>
      </c>
      <c r="H3277" s="126" t="s">
        <v>2743</v>
      </c>
      <c r="I3277" s="127" t="s">
        <v>1233</v>
      </c>
      <c r="J3277" s="126">
        <v>3.4</v>
      </c>
      <c r="K3277" s="126">
        <v>300</v>
      </c>
      <c r="L3277" s="129">
        <f>INT(base[[#This Row],[Data de liquidação]])</f>
        <v>46221</v>
      </c>
      <c r="M3277" s="126">
        <f>base[[#This Row],[L/P Bruto]]-base[[#This Row],[L/P Líquido]]</f>
        <v>5.4000000000000057</v>
      </c>
      <c r="N3277" s="126">
        <f>base[[#This Row],[L/P Líquido]]/base[[#This Row],[Stake/Responsabilidade]]</f>
        <v>0.38200000000000001</v>
      </c>
      <c r="O3277" s="132">
        <f>IF(base[[#This Row],[L/P Líquido]]&gt;0,1,0)</f>
        <v>1</v>
      </c>
      <c r="P3277" s="132"/>
      <c r="Q3277" s="132" t="str">
        <f>LEFT(base[[#This Row],[Evento / Mercado]],FIND("vs",base[[#This Row],[Evento / Mercado]])-2)</f>
        <v>Criciúma EC</v>
      </c>
      <c r="R32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Vila Nova FC</v>
      </c>
      <c r="S3277" s="132" t="str">
        <f>LEFT(base[[#This Row],[Evento / Mercado]],FIND("/",base[[#This Row],[Evento / Mercado]])-2)</f>
        <v>Criciúma EC vs Vila Nova FC</v>
      </c>
    </row>
    <row r="3278" spans="2:19" ht="15" customHeight="1">
      <c r="B3278" s="128" t="s">
        <v>3265</v>
      </c>
      <c r="C3278" s="128" t="s">
        <v>2980</v>
      </c>
      <c r="D3278" s="129">
        <v>46221.827777777777</v>
      </c>
      <c r="E3278" s="130">
        <v>4.83</v>
      </c>
      <c r="F3278" s="136">
        <v>4.4999999999999998E-2</v>
      </c>
      <c r="G3278" s="126">
        <f t="shared" si="71"/>
        <v>5.0575916230366493</v>
      </c>
      <c r="H3278" s="126" t="s">
        <v>3261</v>
      </c>
      <c r="I3278" s="127" t="s">
        <v>3213</v>
      </c>
      <c r="J3278" s="126">
        <v>30</v>
      </c>
      <c r="K3278" s="126">
        <v>200.1</v>
      </c>
      <c r="L3278" s="129">
        <f>INT(base[[#This Row],[Data de liquidação]])</f>
        <v>46221</v>
      </c>
      <c r="M3278" s="126">
        <f>base[[#This Row],[L/P Bruto]]-base[[#This Row],[L/P Líquido]]</f>
        <v>0.22759162303664926</v>
      </c>
      <c r="N3278" s="126">
        <f>base[[#This Row],[L/P Líquido]]/base[[#This Row],[Stake/Responsabilidade]]</f>
        <v>2.4137931034482758E-2</v>
      </c>
      <c r="O3278" s="132">
        <f>IF(base[[#This Row],[L/P Líquido]]&gt;0,1,0)</f>
        <v>1</v>
      </c>
      <c r="P3278" s="132"/>
      <c r="Q3278" s="132" t="str">
        <f>LEFT(base[[#This Row],[Evento / Mercado]],FIND("vs",base[[#This Row],[Evento / Mercado]])-2)</f>
        <v>Atlético Goianiense</v>
      </c>
      <c r="R32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3278" s="132" t="str">
        <f>LEFT(base[[#This Row],[Evento / Mercado]],FIND("/",base[[#This Row],[Evento / Mercado]])-2)</f>
        <v>Atlético Goianiense vs Athletic Club MG</v>
      </c>
    </row>
    <row r="3279" spans="2:19" ht="15" customHeight="1">
      <c r="B3279" s="128" t="s">
        <v>3265</v>
      </c>
      <c r="C3279" s="128" t="s">
        <v>2982</v>
      </c>
      <c r="D3279" s="129">
        <v>46221.828275462962</v>
      </c>
      <c r="E3279" s="130">
        <v>-29.74</v>
      </c>
      <c r="F3279" s="136">
        <v>4.4999999999999998E-2</v>
      </c>
      <c r="G3279" s="126">
        <f t="shared" si="71"/>
        <v>-29.74</v>
      </c>
      <c r="H3279" s="126" t="s">
        <v>2743</v>
      </c>
      <c r="I3279" s="127" t="s">
        <v>2744</v>
      </c>
      <c r="J3279" s="126">
        <v>6.8</v>
      </c>
      <c r="K3279" s="126">
        <v>51.72</v>
      </c>
      <c r="L3279" s="129">
        <f>INT(base[[#This Row],[Data de liquidação]])</f>
        <v>46221</v>
      </c>
      <c r="M3279" s="126">
        <f>base[[#This Row],[L/P Bruto]]-base[[#This Row],[L/P Líquido]]</f>
        <v>0</v>
      </c>
      <c r="N3279" s="126">
        <f>base[[#This Row],[L/P Líquido]]/base[[#This Row],[Stake/Responsabilidade]]</f>
        <v>-0.57501933488012369</v>
      </c>
      <c r="O3279" s="132">
        <f>IF(base[[#This Row],[L/P Líquido]]&gt;0,1,0)</f>
        <v>0</v>
      </c>
      <c r="P3279" s="132"/>
      <c r="Q3279" s="132" t="str">
        <f>LEFT(base[[#This Row],[Evento / Mercado]],FIND("vs",base[[#This Row],[Evento / Mercado]])-2)</f>
        <v>Atlético Goianiense</v>
      </c>
      <c r="R32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3279" s="132" t="str">
        <f>LEFT(base[[#This Row],[Evento / Mercado]],FIND("/",base[[#This Row],[Evento / Mercado]])-2)</f>
        <v>Atlético Goianiense vs Athletic Club MG</v>
      </c>
    </row>
    <row r="3280" spans="2:19" ht="15" customHeight="1">
      <c r="B3280" s="128" t="s">
        <v>3264</v>
      </c>
      <c r="C3280" s="128" t="s">
        <v>2981</v>
      </c>
      <c r="D3280" s="129">
        <v>46221.828472222223</v>
      </c>
      <c r="E3280" s="130">
        <v>10.24</v>
      </c>
      <c r="F3280" s="136">
        <v>4.4999999999999998E-2</v>
      </c>
      <c r="G3280" s="126">
        <f t="shared" si="71"/>
        <v>10.722513089005236</v>
      </c>
      <c r="H3280" s="126" t="s">
        <v>2817</v>
      </c>
      <c r="I3280" s="127" t="s">
        <v>2993</v>
      </c>
      <c r="J3280" s="126">
        <v>4.8</v>
      </c>
      <c r="K3280" s="126">
        <v>100.02</v>
      </c>
      <c r="L3280" s="129">
        <f>INT(base[[#This Row],[Data de liquidação]])</f>
        <v>46221</v>
      </c>
      <c r="M3280" s="126">
        <f>base[[#This Row],[L/P Bruto]]-base[[#This Row],[L/P Líquido]]</f>
        <v>0.48251308900523604</v>
      </c>
      <c r="N3280" s="126">
        <f>base[[#This Row],[L/P Líquido]]/base[[#This Row],[Stake/Responsabilidade]]</f>
        <v>0.10237952409518097</v>
      </c>
      <c r="O3280" s="132">
        <f>IF(base[[#This Row],[L/P Líquido]]&gt;0,1,0)</f>
        <v>1</v>
      </c>
      <c r="P3280" s="132"/>
      <c r="Q3280" s="132" t="str">
        <f>LEFT(base[[#This Row],[Evento / Mercado]],FIND("vs",base[[#This Row],[Evento / Mercado]])-2)</f>
        <v>Atlético Goianiense</v>
      </c>
      <c r="R32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3280" s="132" t="str">
        <f>LEFT(base[[#This Row],[Evento / Mercado]],FIND("/",base[[#This Row],[Evento / Mercado]])-2)</f>
        <v>Atlético Goianiense vs Athletic Club MG</v>
      </c>
    </row>
    <row r="3281" spans="2:19" ht="15" customHeight="1">
      <c r="B3281" s="128" t="s">
        <v>3264</v>
      </c>
      <c r="C3281" s="128" t="s">
        <v>2982</v>
      </c>
      <c r="D3281" s="129">
        <v>46221.828483796293</v>
      </c>
      <c r="E3281" s="130">
        <v>-100.36</v>
      </c>
      <c r="F3281" s="136">
        <v>4.4999999999999998E-2</v>
      </c>
      <c r="G3281" s="126">
        <f t="shared" si="71"/>
        <v>-100.36</v>
      </c>
      <c r="H3281" s="126" t="s">
        <v>2743</v>
      </c>
      <c r="I3281" s="127" t="s">
        <v>1233</v>
      </c>
      <c r="J3281" s="126">
        <v>3.25</v>
      </c>
      <c r="K3281" s="126">
        <v>299.99</v>
      </c>
      <c r="L3281" s="129">
        <f>INT(base[[#This Row],[Data de liquidação]])</f>
        <v>46221</v>
      </c>
      <c r="M3281" s="126">
        <f>base[[#This Row],[L/P Bruto]]-base[[#This Row],[L/P Líquido]]</f>
        <v>0</v>
      </c>
      <c r="N3281" s="126">
        <f>base[[#This Row],[L/P Líquido]]/base[[#This Row],[Stake/Responsabilidade]]</f>
        <v>-0.3345444848161605</v>
      </c>
      <c r="O3281" s="132">
        <f>IF(base[[#This Row],[L/P Líquido]]&gt;0,1,0)</f>
        <v>0</v>
      </c>
      <c r="P3281" s="132"/>
      <c r="Q3281" s="132" t="str">
        <f>LEFT(base[[#This Row],[Evento / Mercado]],FIND("vs",base[[#This Row],[Evento / Mercado]])-2)</f>
        <v>Atlético Goianiense</v>
      </c>
      <c r="R32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3281" s="132" t="str">
        <f>LEFT(base[[#This Row],[Evento / Mercado]],FIND("/",base[[#This Row],[Evento / Mercado]])-2)</f>
        <v>Atlético Goianiense vs Athletic Club MG</v>
      </c>
    </row>
    <row r="3282" spans="2:19" ht="15" customHeight="1">
      <c r="B3282" s="128" t="s">
        <v>3263</v>
      </c>
      <c r="C3282" s="128" t="s">
        <v>2982</v>
      </c>
      <c r="D3282" s="129">
        <v>46221.834363425929</v>
      </c>
      <c r="E3282" s="130">
        <v>14.69</v>
      </c>
      <c r="F3282" s="136">
        <v>4.4999999999999998E-2</v>
      </c>
      <c r="G3282" s="126">
        <f t="shared" si="71"/>
        <v>15.38219895287958</v>
      </c>
      <c r="H3282" s="126" t="s">
        <v>2821</v>
      </c>
      <c r="I3282" s="127" t="s">
        <v>476</v>
      </c>
      <c r="J3282" s="126">
        <v>27</v>
      </c>
      <c r="K3282" s="126">
        <v>399.88</v>
      </c>
      <c r="L3282" s="129">
        <f>INT(base[[#This Row],[Data de liquidação]])</f>
        <v>46221</v>
      </c>
      <c r="M3282" s="126">
        <f>base[[#This Row],[L/P Bruto]]-base[[#This Row],[L/P Líquido]]</f>
        <v>0.69219895287958089</v>
      </c>
      <c r="N3282" s="126">
        <f>base[[#This Row],[L/P Líquido]]/base[[#This Row],[Stake/Responsabilidade]]</f>
        <v>3.6736020806241873E-2</v>
      </c>
      <c r="O3282" s="132">
        <f>IF(base[[#This Row],[L/P Líquido]]&gt;0,1,0)</f>
        <v>1</v>
      </c>
      <c r="P3282" s="132"/>
      <c r="Q3282" s="132" t="str">
        <f>LEFT(base[[#This Row],[Evento / Mercado]],FIND("vs",base[[#This Row],[Evento / Mercado]])-2)</f>
        <v>France</v>
      </c>
      <c r="R32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3282" s="132" t="str">
        <f>LEFT(base[[#This Row],[Evento / Mercado]],FIND("/",base[[#This Row],[Evento / Mercado]])-2)</f>
        <v>France vs England</v>
      </c>
    </row>
    <row r="3283" spans="2:19" ht="15" customHeight="1">
      <c r="B3283" s="128" t="s">
        <v>3262</v>
      </c>
      <c r="C3283" s="128" t="s">
        <v>2982</v>
      </c>
      <c r="D3283" s="129">
        <v>46221.955034722225</v>
      </c>
      <c r="E3283" s="130">
        <v>-22.48</v>
      </c>
      <c r="F3283" s="136">
        <v>4.4999999999999998E-2</v>
      </c>
      <c r="G3283" s="126">
        <f t="shared" si="71"/>
        <v>-22.48</v>
      </c>
      <c r="H3283" s="126" t="s">
        <v>1339</v>
      </c>
      <c r="I3283" s="127" t="s">
        <v>1236</v>
      </c>
      <c r="J3283" s="126">
        <v>7.67</v>
      </c>
      <c r="K3283" s="126">
        <v>15</v>
      </c>
      <c r="L3283" s="129">
        <f>INT(base[[#This Row],[Data de liquidação]])</f>
        <v>46221</v>
      </c>
      <c r="M3283" s="126">
        <f>base[[#This Row],[L/P Bruto]]-base[[#This Row],[L/P Líquido]]</f>
        <v>0</v>
      </c>
      <c r="N3283" s="126">
        <f>base[[#This Row],[L/P Líquido]]/base[[#This Row],[Stake/Responsabilidade]]</f>
        <v>-1.4986666666666666</v>
      </c>
      <c r="O3283" s="132">
        <f>IF(base[[#This Row],[L/P Líquido]]&gt;0,1,0)</f>
        <v>0</v>
      </c>
      <c r="P3283" s="132"/>
      <c r="Q3283" s="132" t="str">
        <f>LEFT(base[[#This Row],[Evento / Mercado]],FIND("vs",base[[#This Row],[Evento / Mercado]])-2)</f>
        <v>Barcelona SC</v>
      </c>
      <c r="R32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Libertad FC</v>
      </c>
      <c r="S3283" s="132" t="str">
        <f>LEFT(base[[#This Row],[Evento / Mercado]],FIND("/",base[[#This Row],[Evento / Mercado]])-2)</f>
        <v>Barcelona SC vs Libertad FC</v>
      </c>
    </row>
    <row r="3284" spans="2:19" ht="15" customHeight="1">
      <c r="B3284" s="128" t="s">
        <v>3302</v>
      </c>
      <c r="C3284" s="128" t="s">
        <v>2982</v>
      </c>
      <c r="D3284" s="129">
        <v>46222.396192129629</v>
      </c>
      <c r="E3284" s="130">
        <v>286.52</v>
      </c>
      <c r="F3284" s="136">
        <v>4.4999999999999998E-2</v>
      </c>
      <c r="G3284" s="126">
        <f t="shared" si="71"/>
        <v>300.02094240837698</v>
      </c>
      <c r="H3284" s="126" t="s">
        <v>2743</v>
      </c>
      <c r="I3284" s="127" t="s">
        <v>2744</v>
      </c>
      <c r="J3284" s="126">
        <v>7.8</v>
      </c>
      <c r="K3284" s="126">
        <v>44.12</v>
      </c>
      <c r="L3284" s="129">
        <f>INT(base[[#This Row],[Data de liquidação]])</f>
        <v>46222</v>
      </c>
      <c r="M3284" s="126">
        <f>base[[#This Row],[L/P Bruto]]-base[[#This Row],[L/P Líquido]]</f>
        <v>13.500942408377</v>
      </c>
      <c r="N3284" s="126">
        <f>base[[#This Row],[L/P Líquido]]/base[[#This Row],[Stake/Responsabilidade]]</f>
        <v>6.494106980961015</v>
      </c>
      <c r="O3284" s="132">
        <f>IF(base[[#This Row],[L/P Líquido]]&gt;0,1,0)</f>
        <v>1</v>
      </c>
      <c r="P3284" s="132"/>
      <c r="Q3284" s="132" t="str">
        <f>LEFT(base[[#This Row],[Evento / Mercado]],FIND("vs",base[[#This Row],[Evento / Mercado]])-2)</f>
        <v>FC Anyang</v>
      </c>
      <c r="R32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Gwangju FC</v>
      </c>
      <c r="S3284" s="132" t="str">
        <f>LEFT(base[[#This Row],[Evento / Mercado]],FIND("/",base[[#This Row],[Evento / Mercado]])-2)</f>
        <v>FC Anyang vs Gwangju FC</v>
      </c>
    </row>
    <row r="3285" spans="2:19" ht="15" customHeight="1">
      <c r="B3285" s="128" t="s">
        <v>3290</v>
      </c>
      <c r="C3285" s="128" t="s">
        <v>2981</v>
      </c>
      <c r="D3285" s="129">
        <v>46222.396296296298</v>
      </c>
      <c r="E3285" s="130">
        <v>12.53</v>
      </c>
      <c r="F3285" s="136">
        <v>4.4999999999999998E-2</v>
      </c>
      <c r="G3285" s="126">
        <f t="shared" si="71"/>
        <v>13.120418848167539</v>
      </c>
      <c r="H3285" s="126" t="s">
        <v>2817</v>
      </c>
      <c r="I3285" s="127" t="s">
        <v>2992</v>
      </c>
      <c r="J3285" s="126">
        <v>6.8</v>
      </c>
      <c r="K3285" s="126">
        <v>99.99</v>
      </c>
      <c r="L3285" s="129">
        <f>INT(base[[#This Row],[Data de liquidação]])</f>
        <v>46222</v>
      </c>
      <c r="M3285" s="126">
        <f>base[[#This Row],[L/P Bruto]]-base[[#This Row],[L/P Líquido]]</f>
        <v>0.59041884816753942</v>
      </c>
      <c r="N3285" s="126">
        <f>base[[#This Row],[L/P Líquido]]/base[[#This Row],[Stake/Responsabilidade]]</f>
        <v>0.1253125312531253</v>
      </c>
      <c r="O3285" s="132">
        <f>IF(base[[#This Row],[L/P Líquido]]&gt;0,1,0)</f>
        <v>1</v>
      </c>
      <c r="P3285" s="132"/>
      <c r="Q3285" s="132" t="str">
        <f>LEFT(base[[#This Row],[Evento / Mercado]],FIND("vs",base[[#This Row],[Evento / Mercado]])-2)</f>
        <v>FC Anyang</v>
      </c>
      <c r="R32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Gwangju FC</v>
      </c>
      <c r="S3285" s="132" t="str">
        <f>LEFT(base[[#This Row],[Evento / Mercado]],FIND("/",base[[#This Row],[Evento / Mercado]])-2)</f>
        <v>FC Anyang vs Gwangju FC</v>
      </c>
    </row>
    <row r="3286" spans="2:19" ht="15" customHeight="1">
      <c r="B3286" s="128" t="s">
        <v>3290</v>
      </c>
      <c r="C3286" s="128" t="s">
        <v>2982</v>
      </c>
      <c r="D3286" s="129">
        <v>46222.396296296298</v>
      </c>
      <c r="E3286" s="130">
        <v>-300.05</v>
      </c>
      <c r="F3286" s="136">
        <v>4.4999999999999998E-2</v>
      </c>
      <c r="G3286" s="126">
        <f t="shared" si="71"/>
        <v>-300.05</v>
      </c>
      <c r="H3286" s="126" t="s">
        <v>2743</v>
      </c>
      <c r="I3286" s="127" t="s">
        <v>1233</v>
      </c>
      <c r="J3286" s="126">
        <v>3.9</v>
      </c>
      <c r="K3286" s="126">
        <v>300.05</v>
      </c>
      <c r="L3286" s="129">
        <f>INT(base[[#This Row],[Data de liquidação]])</f>
        <v>46222</v>
      </c>
      <c r="M3286" s="126">
        <f>base[[#This Row],[L/P Bruto]]-base[[#This Row],[L/P Líquido]]</f>
        <v>0</v>
      </c>
      <c r="N3286" s="126">
        <f>base[[#This Row],[L/P Líquido]]/base[[#This Row],[Stake/Responsabilidade]]</f>
        <v>-1</v>
      </c>
      <c r="O3286" s="132">
        <f>IF(base[[#This Row],[L/P Líquido]]&gt;0,1,0)</f>
        <v>0</v>
      </c>
      <c r="P3286" s="132"/>
      <c r="Q3286" s="132" t="str">
        <f>LEFT(base[[#This Row],[Evento / Mercado]],FIND("vs",base[[#This Row],[Evento / Mercado]])-2)</f>
        <v>FC Anyang</v>
      </c>
      <c r="R32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Gwangju FC</v>
      </c>
      <c r="S3286" s="132" t="str">
        <f>LEFT(base[[#This Row],[Evento / Mercado]],FIND("/",base[[#This Row],[Evento / Mercado]])-2)</f>
        <v>FC Anyang vs Gwangju FC</v>
      </c>
    </row>
    <row r="3287" spans="2:19" ht="15" customHeight="1">
      <c r="B3287" s="128" t="s">
        <v>3301</v>
      </c>
      <c r="C3287" s="128" t="s">
        <v>2982</v>
      </c>
      <c r="D3287" s="129">
        <v>46222.409768518519</v>
      </c>
      <c r="E3287" s="130">
        <v>-31.58</v>
      </c>
      <c r="F3287" s="136">
        <v>4.4999999999999998E-2</v>
      </c>
      <c r="G3287" s="126">
        <f t="shared" si="71"/>
        <v>-31.58</v>
      </c>
      <c r="H3287" s="126" t="s">
        <v>2743</v>
      </c>
      <c r="I3287" s="127" t="s">
        <v>2744</v>
      </c>
      <c r="J3287" s="126">
        <v>10.5</v>
      </c>
      <c r="K3287" s="126">
        <v>31.58</v>
      </c>
      <c r="L3287" s="129">
        <f>INT(base[[#This Row],[Data de liquidação]])</f>
        <v>46222</v>
      </c>
      <c r="M3287" s="126">
        <f>base[[#This Row],[L/P Bruto]]-base[[#This Row],[L/P Líquido]]</f>
        <v>0</v>
      </c>
      <c r="N3287" s="126">
        <f>base[[#This Row],[L/P Líquido]]/base[[#This Row],[Stake/Responsabilidade]]</f>
        <v>-1</v>
      </c>
      <c r="O3287" s="132">
        <f>IF(base[[#This Row],[L/P Líquido]]&gt;0,1,0)</f>
        <v>0</v>
      </c>
      <c r="P3287" s="132"/>
      <c r="Q3287" s="132" t="str">
        <f>LEFT(base[[#This Row],[Evento / Mercado]],FIND("vs",base[[#This Row],[Evento / Mercado]])-2)</f>
        <v>IFK Norrköping</v>
      </c>
      <c r="R32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Sandvikens IF</v>
      </c>
      <c r="S3287" s="132" t="str">
        <f>LEFT(base[[#This Row],[Evento / Mercado]],FIND("/",base[[#This Row],[Evento / Mercado]])-2)</f>
        <v>IFK Norrköping vs Sandvikens IF</v>
      </c>
    </row>
    <row r="3288" spans="2:19" ht="15" customHeight="1">
      <c r="B3288" s="128" t="s">
        <v>3289</v>
      </c>
      <c r="C3288" s="128" t="s">
        <v>2981</v>
      </c>
      <c r="D3288" s="129">
        <v>46222.409895833334</v>
      </c>
      <c r="E3288" s="130">
        <v>9.43</v>
      </c>
      <c r="F3288" s="136">
        <v>4.4999999999999998E-2</v>
      </c>
      <c r="G3288" s="126">
        <f t="shared" si="71"/>
        <v>9.8743455497382193</v>
      </c>
      <c r="H3288" s="126" t="s">
        <v>2817</v>
      </c>
      <c r="I3288" s="127" t="s">
        <v>2992</v>
      </c>
      <c r="J3288" s="126">
        <v>6.2</v>
      </c>
      <c r="K3288" s="126">
        <v>100</v>
      </c>
      <c r="L3288" s="129">
        <f>INT(base[[#This Row],[Data de liquidação]])</f>
        <v>46222</v>
      </c>
      <c r="M3288" s="126">
        <f>base[[#This Row],[L/P Bruto]]-base[[#This Row],[L/P Líquido]]</f>
        <v>0.4443455497382196</v>
      </c>
      <c r="N3288" s="126">
        <f>base[[#This Row],[L/P Líquido]]/base[[#This Row],[Stake/Responsabilidade]]</f>
        <v>9.4299999999999995E-2</v>
      </c>
      <c r="O3288" s="132">
        <f>IF(base[[#This Row],[L/P Líquido]]&gt;0,1,0)</f>
        <v>1</v>
      </c>
      <c r="P3288" s="132"/>
      <c r="Q3288" s="132" t="str">
        <f>LEFT(base[[#This Row],[Evento / Mercado]],FIND("vs",base[[#This Row],[Evento / Mercado]])-2)</f>
        <v>IFK Norrköping</v>
      </c>
      <c r="R32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Sandvikens IF</v>
      </c>
      <c r="S3288" s="132" t="str">
        <f>LEFT(base[[#This Row],[Evento / Mercado]],FIND("/",base[[#This Row],[Evento / Mercado]])-2)</f>
        <v>IFK Norrköping vs Sandvikens IF</v>
      </c>
    </row>
    <row r="3289" spans="2:19" ht="15" customHeight="1">
      <c r="B3289" s="128" t="s">
        <v>3289</v>
      </c>
      <c r="C3289" s="128" t="s">
        <v>2982</v>
      </c>
      <c r="D3289" s="129">
        <v>46222.409895833334</v>
      </c>
      <c r="E3289" s="130">
        <v>46.93</v>
      </c>
      <c r="F3289" s="136">
        <v>4.4999999999999998E-2</v>
      </c>
      <c r="G3289" s="126">
        <f t="shared" si="71"/>
        <v>49.141361256544506</v>
      </c>
      <c r="H3289" s="126" t="s">
        <v>2743</v>
      </c>
      <c r="I3289" s="127" t="s">
        <v>1233</v>
      </c>
      <c r="J3289" s="126">
        <v>5</v>
      </c>
      <c r="K3289" s="126">
        <v>300</v>
      </c>
      <c r="L3289" s="129">
        <f>INT(base[[#This Row],[Data de liquidação]])</f>
        <v>46222</v>
      </c>
      <c r="M3289" s="126">
        <f>base[[#This Row],[L/P Bruto]]-base[[#This Row],[L/P Líquido]]</f>
        <v>2.2113612565445067</v>
      </c>
      <c r="N3289" s="126">
        <f>base[[#This Row],[L/P Líquido]]/base[[#This Row],[Stake/Responsabilidade]]</f>
        <v>0.15643333333333334</v>
      </c>
      <c r="O3289" s="132">
        <f>IF(base[[#This Row],[L/P Líquido]]&gt;0,1,0)</f>
        <v>1</v>
      </c>
      <c r="P3289" s="132"/>
      <c r="Q3289" s="132" t="str">
        <f>LEFT(base[[#This Row],[Evento / Mercado]],FIND("vs",base[[#This Row],[Evento / Mercado]])-2)</f>
        <v>IFK Norrköping</v>
      </c>
      <c r="R32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Sandvikens IF</v>
      </c>
      <c r="S3289" s="132" t="str">
        <f>LEFT(base[[#This Row],[Evento / Mercado]],FIND("/",base[[#This Row],[Evento / Mercado]])-2)</f>
        <v>IFK Norrköping vs Sandvikens IF</v>
      </c>
    </row>
    <row r="3290" spans="2:19" ht="15" customHeight="1">
      <c r="B3290" s="128" t="s">
        <v>3300</v>
      </c>
      <c r="C3290" s="128" t="s">
        <v>2982</v>
      </c>
      <c r="D3290" s="129">
        <v>46222.493414351855</v>
      </c>
      <c r="E3290" s="130">
        <v>-50</v>
      </c>
      <c r="F3290" s="136">
        <v>4.4999999999999998E-2</v>
      </c>
      <c r="G3290" s="126">
        <f t="shared" si="71"/>
        <v>-50</v>
      </c>
      <c r="H3290" s="126" t="s">
        <v>2743</v>
      </c>
      <c r="I3290" s="127" t="s">
        <v>2744</v>
      </c>
      <c r="J3290" s="126">
        <v>7</v>
      </c>
      <c r="K3290" s="126">
        <v>50</v>
      </c>
      <c r="L3290" s="129">
        <f>INT(base[[#This Row],[Data de liquidação]])</f>
        <v>46222</v>
      </c>
      <c r="M3290" s="126">
        <f>base[[#This Row],[L/P Bruto]]-base[[#This Row],[L/P Líquido]]</f>
        <v>0</v>
      </c>
      <c r="N3290" s="126">
        <f>base[[#This Row],[L/P Líquido]]/base[[#This Row],[Stake/Responsabilidade]]</f>
        <v>-1</v>
      </c>
      <c r="O3290" s="132">
        <f>IF(base[[#This Row],[L/P Líquido]]&gt;0,1,0)</f>
        <v>0</v>
      </c>
      <c r="P3290" s="132"/>
      <c r="Q3290" s="132" t="str">
        <f>LEFT(base[[#This Row],[Evento / Mercado]],FIND("vs",base[[#This Row],[Evento / Mercado]])-2)</f>
        <v>United IK Nordic</v>
      </c>
      <c r="R32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Örebro SK</v>
      </c>
      <c r="S3290" s="132" t="str">
        <f>LEFT(base[[#This Row],[Evento / Mercado]],FIND("/",base[[#This Row],[Evento / Mercado]])-2)</f>
        <v>United IK Nordic vs Örebro SK</v>
      </c>
    </row>
    <row r="3291" spans="2:19" ht="15" customHeight="1">
      <c r="B3291" s="128" t="s">
        <v>3299</v>
      </c>
      <c r="C3291" s="128" t="s">
        <v>2982</v>
      </c>
      <c r="D3291" s="129">
        <v>46222.493634259263</v>
      </c>
      <c r="E3291" s="130">
        <v>75.69</v>
      </c>
      <c r="F3291" s="136">
        <v>4.4999999999999998E-2</v>
      </c>
      <c r="G3291" s="126">
        <f t="shared" si="71"/>
        <v>79.2565445026178</v>
      </c>
      <c r="H3291" s="126" t="s">
        <v>2743</v>
      </c>
      <c r="I3291" s="127" t="s">
        <v>1233</v>
      </c>
      <c r="J3291" s="126">
        <v>3.6</v>
      </c>
      <c r="K3291" s="126">
        <v>299.99</v>
      </c>
      <c r="L3291" s="129">
        <f>INT(base[[#This Row],[Data de liquidação]])</f>
        <v>46222</v>
      </c>
      <c r="M3291" s="126">
        <f>base[[#This Row],[L/P Bruto]]-base[[#This Row],[L/P Líquido]]</f>
        <v>3.566544502617802</v>
      </c>
      <c r="N3291" s="126">
        <f>base[[#This Row],[L/P Líquido]]/base[[#This Row],[Stake/Responsabilidade]]</f>
        <v>0.25230841028034268</v>
      </c>
      <c r="O3291" s="132">
        <f>IF(base[[#This Row],[L/P Líquido]]&gt;0,1,0)</f>
        <v>1</v>
      </c>
      <c r="P3291" s="132"/>
      <c r="Q3291" s="132" t="str">
        <f>LEFT(base[[#This Row],[Evento / Mercado]],FIND("vs",base[[#This Row],[Evento / Mercado]])-2)</f>
        <v>United IK Nordic</v>
      </c>
      <c r="R32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Örebro SK</v>
      </c>
      <c r="S3291" s="132" t="str">
        <f>LEFT(base[[#This Row],[Evento / Mercado]],FIND("/",base[[#This Row],[Evento / Mercado]])-2)</f>
        <v>United IK Nordic vs Örebro SK</v>
      </c>
    </row>
    <row r="3292" spans="2:19" ht="15" customHeight="1">
      <c r="B3292" s="128" t="s">
        <v>3298</v>
      </c>
      <c r="C3292" s="128" t="s">
        <v>2982</v>
      </c>
      <c r="D3292" s="129">
        <v>46222.535937499997</v>
      </c>
      <c r="E3292" s="130">
        <v>4.3499999999999996</v>
      </c>
      <c r="F3292" s="136">
        <v>4.4999999999999998E-2</v>
      </c>
      <c r="G3292" s="126">
        <f t="shared" si="71"/>
        <v>4.5549738219895284</v>
      </c>
      <c r="H3292" s="126" t="s">
        <v>1339</v>
      </c>
      <c r="I3292" s="127" t="s">
        <v>2469</v>
      </c>
      <c r="J3292" s="126">
        <v>12</v>
      </c>
      <c r="K3292" s="126">
        <v>50.05</v>
      </c>
      <c r="L3292" s="129">
        <f>INT(base[[#This Row],[Data de liquidação]])</f>
        <v>46222</v>
      </c>
      <c r="M3292" s="126">
        <f>base[[#This Row],[L/P Bruto]]-base[[#This Row],[L/P Líquido]]</f>
        <v>0.20497382198952874</v>
      </c>
      <c r="N3292" s="126">
        <f>base[[#This Row],[L/P Líquido]]/base[[#This Row],[Stake/Responsabilidade]]</f>
        <v>8.6913086913086912E-2</v>
      </c>
      <c r="O3292" s="132">
        <f>IF(base[[#This Row],[L/P Líquido]]&gt;0,1,0)</f>
        <v>1</v>
      </c>
      <c r="P3292" s="132"/>
      <c r="Q3292" s="132" t="str">
        <f>LEFT(base[[#This Row],[Evento / Mercado]],FIND("vs",base[[#This Row],[Evento / Mercado]])-2)</f>
        <v>FC Kuressaare</v>
      </c>
      <c r="R32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Nõmme Kalju FC</v>
      </c>
      <c r="S3292" s="132" t="str">
        <f>LEFT(base[[#This Row],[Evento / Mercado]],FIND("/",base[[#This Row],[Evento / Mercado]])-2)</f>
        <v>FC Kuressaare vs Nõmme Kalju FC</v>
      </c>
    </row>
    <row r="3293" spans="2:19" ht="15" customHeight="1">
      <c r="B3293" s="128" t="s">
        <v>3297</v>
      </c>
      <c r="C3293" s="128" t="s">
        <v>2982</v>
      </c>
      <c r="D3293" s="129">
        <v>46222.539050925923</v>
      </c>
      <c r="E3293" s="130">
        <v>-4.84</v>
      </c>
      <c r="F3293" s="136">
        <v>4.4999999999999998E-2</v>
      </c>
      <c r="G3293" s="126">
        <f t="shared" si="71"/>
        <v>-4.84</v>
      </c>
      <c r="H3293" s="126" t="s">
        <v>1339</v>
      </c>
      <c r="I3293" s="127" t="s">
        <v>1236</v>
      </c>
      <c r="J3293" s="126">
        <v>8.1999999999999993</v>
      </c>
      <c r="K3293" s="126">
        <v>15</v>
      </c>
      <c r="L3293" s="129">
        <f>INT(base[[#This Row],[Data de liquidação]])</f>
        <v>46222</v>
      </c>
      <c r="M3293" s="126">
        <f>base[[#This Row],[L/P Bruto]]-base[[#This Row],[L/P Líquido]]</f>
        <v>0</v>
      </c>
      <c r="N3293" s="126">
        <f>base[[#This Row],[L/P Líquido]]/base[[#This Row],[Stake/Responsabilidade]]</f>
        <v>-0.32266666666666666</v>
      </c>
      <c r="O3293" s="132">
        <f>IF(base[[#This Row],[L/P Líquido]]&gt;0,1,0)</f>
        <v>0</v>
      </c>
      <c r="P3293" s="132"/>
      <c r="Q3293" s="132" t="str">
        <f>LEFT(base[[#This Row],[Evento / Mercado]],FIND("vs",base[[#This Row],[Evento / Mercado]])-2)</f>
        <v>Hammarby IF</v>
      </c>
      <c r="R32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3293" s="132" t="str">
        <f>LEFT(base[[#This Row],[Evento / Mercado]],FIND("/",base[[#This Row],[Evento / Mercado]])-2)</f>
        <v>Hammarby IF vs Degerfors IF</v>
      </c>
    </row>
    <row r="3294" spans="2:19" ht="15" customHeight="1">
      <c r="B3294" s="128" t="s">
        <v>3296</v>
      </c>
      <c r="C3294" s="128" t="s">
        <v>2982</v>
      </c>
      <c r="D3294" s="129">
        <v>46222.548761574071</v>
      </c>
      <c r="E3294" s="130">
        <v>16.71</v>
      </c>
      <c r="F3294" s="136">
        <v>4.4999999999999998E-2</v>
      </c>
      <c r="G3294" s="126">
        <f t="shared" si="71"/>
        <v>17.497382198952881</v>
      </c>
      <c r="H3294" s="126" t="s">
        <v>3004</v>
      </c>
      <c r="I3294" s="127" t="s">
        <v>75</v>
      </c>
      <c r="J3294" s="126">
        <v>1.35</v>
      </c>
      <c r="K3294" s="126">
        <v>50</v>
      </c>
      <c r="L3294" s="129">
        <f>INT(base[[#This Row],[Data de liquidação]])</f>
        <v>46222</v>
      </c>
      <c r="M3294" s="126">
        <f>base[[#This Row],[L/P Bruto]]-base[[#This Row],[L/P Líquido]]</f>
        <v>0.78738219895287997</v>
      </c>
      <c r="N3294" s="126">
        <f>base[[#This Row],[L/P Líquido]]/base[[#This Row],[Stake/Responsabilidade]]</f>
        <v>0.3342</v>
      </c>
      <c r="O3294" s="132">
        <f>IF(base[[#This Row],[L/P Líquido]]&gt;0,1,0)</f>
        <v>1</v>
      </c>
      <c r="P3294" s="132"/>
      <c r="Q3294" s="132" t="str">
        <f>LEFT(base[[#This Row],[Evento / Mercado]],FIND("vs",base[[#This Row],[Evento / Mercado]])-2)</f>
        <v>IF Elfsborg</v>
      </c>
      <c r="R32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3294" s="132" t="str">
        <f>LEFT(base[[#This Row],[Evento / Mercado]],FIND("/",base[[#This Row],[Evento / Mercado]])-2)</f>
        <v>IF Elfsborg vs IK Sirius</v>
      </c>
    </row>
    <row r="3295" spans="2:19" ht="15" customHeight="1">
      <c r="B3295" s="128" t="s">
        <v>3284</v>
      </c>
      <c r="C3295" s="128" t="s">
        <v>2980</v>
      </c>
      <c r="D3295" s="129">
        <v>46222.554861111108</v>
      </c>
      <c r="E3295" s="130">
        <v>3.95</v>
      </c>
      <c r="F3295" s="136">
        <v>4.4999999999999998E-2</v>
      </c>
      <c r="G3295" s="126">
        <f t="shared" si="71"/>
        <v>4.1361256544502618</v>
      </c>
      <c r="H3295" s="126" t="s">
        <v>2817</v>
      </c>
      <c r="I3295" s="127" t="s">
        <v>3199</v>
      </c>
      <c r="J3295" s="126">
        <v>16.5</v>
      </c>
      <c r="K3295" s="126">
        <v>99.98</v>
      </c>
      <c r="L3295" s="129">
        <f>INT(base[[#This Row],[Data de liquidação]])</f>
        <v>46222</v>
      </c>
      <c r="M3295" s="126">
        <f>base[[#This Row],[L/P Bruto]]-base[[#This Row],[L/P Líquido]]</f>
        <v>0.18612565445026164</v>
      </c>
      <c r="N3295" s="126">
        <f>base[[#This Row],[L/P Líquido]]/base[[#This Row],[Stake/Responsabilidade]]</f>
        <v>3.9507901580316064E-2</v>
      </c>
      <c r="O3295" s="132">
        <f>IF(base[[#This Row],[L/P Líquido]]&gt;0,1,0)</f>
        <v>1</v>
      </c>
      <c r="P3295" s="132"/>
      <c r="Q3295" s="132" t="str">
        <f>LEFT(base[[#This Row],[Evento / Mercado]],FIND("vs",base[[#This Row],[Evento / Mercado]])-2)</f>
        <v>Hammarby IF</v>
      </c>
      <c r="R32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3295" s="132" t="str">
        <f>LEFT(base[[#This Row],[Evento / Mercado]],FIND("/",base[[#This Row],[Evento / Mercado]])-2)</f>
        <v>Hammarby IF vs Degerfors IF</v>
      </c>
    </row>
    <row r="3296" spans="2:19" ht="15" customHeight="1">
      <c r="B3296" s="128" t="s">
        <v>3288</v>
      </c>
      <c r="C3296" s="128" t="s">
        <v>2981</v>
      </c>
      <c r="D3296" s="129">
        <v>46222.555219907408</v>
      </c>
      <c r="E3296" s="130">
        <v>-20</v>
      </c>
      <c r="F3296" s="136">
        <v>4.4999999999999998E-2</v>
      </c>
      <c r="G3296" s="126">
        <f t="shared" si="71"/>
        <v>-20</v>
      </c>
      <c r="H3296" s="126" t="s">
        <v>2743</v>
      </c>
      <c r="I3296" s="127" t="s">
        <v>2744</v>
      </c>
      <c r="J3296" s="126">
        <v>16</v>
      </c>
      <c r="K3296" s="126">
        <v>20</v>
      </c>
      <c r="L3296" s="129">
        <f>INT(base[[#This Row],[Data de liquidação]])</f>
        <v>46222</v>
      </c>
      <c r="M3296" s="126">
        <f>base[[#This Row],[L/P Bruto]]-base[[#This Row],[L/P Líquido]]</f>
        <v>0</v>
      </c>
      <c r="N3296" s="126">
        <f>base[[#This Row],[L/P Líquido]]/base[[#This Row],[Stake/Responsabilidade]]</f>
        <v>-1</v>
      </c>
      <c r="O3296" s="132">
        <f>IF(base[[#This Row],[L/P Líquido]]&gt;0,1,0)</f>
        <v>0</v>
      </c>
      <c r="P3296" s="132"/>
      <c r="Q3296" s="132" t="str">
        <f>LEFT(base[[#This Row],[Evento / Mercado]],FIND("vs",base[[#This Row],[Evento / Mercado]])-2)</f>
        <v>Hammarby IF</v>
      </c>
      <c r="R32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3296" s="132" t="str">
        <f>LEFT(base[[#This Row],[Evento / Mercado]],FIND("/",base[[#This Row],[Evento / Mercado]])-2)</f>
        <v>Hammarby IF vs Degerfors IF</v>
      </c>
    </row>
    <row r="3297" spans="2:21" ht="15" customHeight="1">
      <c r="B3297" s="128" t="s">
        <v>3284</v>
      </c>
      <c r="C3297" s="128" t="s">
        <v>2981</v>
      </c>
      <c r="D3297" s="129">
        <v>46222.555324074077</v>
      </c>
      <c r="E3297" s="130">
        <v>38.42</v>
      </c>
      <c r="F3297" s="136">
        <v>4.4999999999999998E-2</v>
      </c>
      <c r="G3297" s="126">
        <f t="shared" si="71"/>
        <v>40.230366492146601</v>
      </c>
      <c r="H3297" s="126" t="s">
        <v>2743</v>
      </c>
      <c r="I3297" s="127" t="s">
        <v>1233</v>
      </c>
      <c r="J3297" s="126">
        <v>7.8</v>
      </c>
      <c r="K3297" s="126">
        <v>300.02</v>
      </c>
      <c r="L3297" s="129">
        <f>INT(base[[#This Row],[Data de liquidação]])</f>
        <v>46222</v>
      </c>
      <c r="M3297" s="126">
        <f>base[[#This Row],[L/P Bruto]]-base[[#This Row],[L/P Líquido]]</f>
        <v>1.8103664921465992</v>
      </c>
      <c r="N3297" s="126">
        <f>base[[#This Row],[L/P Líquido]]/base[[#This Row],[Stake/Responsabilidade]]</f>
        <v>0.12805812945803616</v>
      </c>
      <c r="O3297" s="132">
        <f>IF(base[[#This Row],[L/P Líquido]]&gt;0,1,0)</f>
        <v>1</v>
      </c>
      <c r="P3297" s="132"/>
      <c r="Q3297" s="132" t="str">
        <f>LEFT(base[[#This Row],[Evento / Mercado]],FIND("vs",base[[#This Row],[Evento / Mercado]])-2)</f>
        <v>Hammarby IF</v>
      </c>
      <c r="R32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3297" s="132" t="str">
        <f>LEFT(base[[#This Row],[Evento / Mercado]],FIND("/",base[[#This Row],[Evento / Mercado]])-2)</f>
        <v>Hammarby IF vs Degerfors IF</v>
      </c>
    </row>
    <row r="3298" spans="2:21" ht="15" customHeight="1">
      <c r="B3298" s="128" t="s">
        <v>3284</v>
      </c>
      <c r="C3298" s="128" t="s">
        <v>2982</v>
      </c>
      <c r="D3298" s="129">
        <v>46222.555324074077</v>
      </c>
      <c r="E3298" s="130">
        <v>24.64</v>
      </c>
      <c r="F3298" s="136">
        <v>4.4999999999999998E-2</v>
      </c>
      <c r="G3298" s="126">
        <f t="shared" si="71"/>
        <v>25.801047120418851</v>
      </c>
      <c r="H3298" s="126" t="s">
        <v>145</v>
      </c>
      <c r="I3298" s="127" t="s">
        <v>301</v>
      </c>
      <c r="J3298" s="126">
        <v>16.5</v>
      </c>
      <c r="K3298" s="126">
        <f>299.93+99.98</f>
        <v>399.91</v>
      </c>
      <c r="L3298" s="129">
        <f>INT(base[[#This Row],[Data de liquidação]])</f>
        <v>46222</v>
      </c>
      <c r="M3298" s="126">
        <f>base[[#This Row],[L/P Bruto]]-base[[#This Row],[L/P Líquido]]</f>
        <v>1.1610471204188499</v>
      </c>
      <c r="N3298" s="126">
        <f>base[[#This Row],[L/P Líquido]]/base[[#This Row],[Stake/Responsabilidade]]</f>
        <v>6.161386311920182E-2</v>
      </c>
      <c r="O3298" s="132">
        <f>IF(base[[#This Row],[L/P Líquido]]&gt;0,1,0)</f>
        <v>1</v>
      </c>
      <c r="P3298" s="132"/>
      <c r="Q3298" s="132" t="str">
        <f>LEFT(base[[#This Row],[Evento / Mercado]],FIND("vs",base[[#This Row],[Evento / Mercado]])-2)</f>
        <v>Hammarby IF</v>
      </c>
      <c r="R32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3298" s="132" t="str">
        <f>LEFT(base[[#This Row],[Evento / Mercado]],FIND("/",base[[#This Row],[Evento / Mercado]])-2)</f>
        <v>Hammarby IF vs Degerfors IF</v>
      </c>
    </row>
    <row r="3299" spans="2:21" ht="15" customHeight="1">
      <c r="B3299" s="128" t="s">
        <v>3295</v>
      </c>
      <c r="C3299" s="128" t="s">
        <v>2982</v>
      </c>
      <c r="D3299" s="129">
        <v>46222.556770833333</v>
      </c>
      <c r="E3299" s="130">
        <v>30.81</v>
      </c>
      <c r="F3299" s="136">
        <v>4.4999999999999998E-2</v>
      </c>
      <c r="G3299" s="126">
        <f t="shared" si="71"/>
        <v>32.261780104712045</v>
      </c>
      <c r="H3299" s="126" t="s">
        <v>2761</v>
      </c>
      <c r="I3299" s="127" t="s">
        <v>542</v>
      </c>
      <c r="J3299" s="126">
        <v>16.5</v>
      </c>
      <c r="K3299" s="126">
        <v>500.03</v>
      </c>
      <c r="L3299" s="129">
        <f>INT(base[[#This Row],[Data de liquidação]])</f>
        <v>46222</v>
      </c>
      <c r="M3299" s="126">
        <f>base[[#This Row],[L/P Bruto]]-base[[#This Row],[L/P Líquido]]</f>
        <v>1.4517801047120464</v>
      </c>
      <c r="N3299" s="126">
        <f>base[[#This Row],[L/P Líquido]]/base[[#This Row],[Stake/Responsabilidade]]</f>
        <v>6.161630302181869E-2</v>
      </c>
      <c r="O3299" s="132">
        <f>IF(base[[#This Row],[L/P Líquido]]&gt;0,1,0)</f>
        <v>1</v>
      </c>
      <c r="P3299" s="132"/>
      <c r="Q3299" s="132" t="str">
        <f>LEFT(base[[#This Row],[Evento / Mercado]],FIND("vs",base[[#This Row],[Evento / Mercado]])-2)</f>
        <v>IF Elfsborg</v>
      </c>
      <c r="R32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3299" s="132" t="str">
        <f>LEFT(base[[#This Row],[Evento / Mercado]],FIND("/",base[[#This Row],[Evento / Mercado]])-2)</f>
        <v>IF Elfsborg vs IK Sirius</v>
      </c>
    </row>
    <row r="3300" spans="2:21" ht="15" customHeight="1">
      <c r="B3300" s="128" t="s">
        <v>3294</v>
      </c>
      <c r="C3300" s="128" t="s">
        <v>2982</v>
      </c>
      <c r="D3300" s="129">
        <v>46222.581145833334</v>
      </c>
      <c r="E3300" s="130">
        <v>37.369149999999998</v>
      </c>
      <c r="F3300" s="136">
        <v>4.4999999999999998E-2</v>
      </c>
      <c r="G3300" s="126">
        <f t="shared" si="71"/>
        <v>39.130000000000003</v>
      </c>
      <c r="H3300" s="126" t="s">
        <v>2761</v>
      </c>
      <c r="I3300" s="127" t="s">
        <v>476</v>
      </c>
      <c r="J3300" s="126">
        <v>16.5</v>
      </c>
      <c r="K3300" s="126">
        <v>528.27</v>
      </c>
      <c r="L3300" s="129">
        <f>INT(base[[#This Row],[Data de liquidação]])</f>
        <v>46222</v>
      </c>
      <c r="M3300" s="126">
        <f>base[[#This Row],[L/P Bruto]]-base[[#This Row],[L/P Líquido]]</f>
        <v>1.7608500000000049</v>
      </c>
      <c r="N3300" s="126">
        <f>base[[#This Row],[L/P Líquido]]/base[[#This Row],[Stake/Responsabilidade]]</f>
        <v>7.0738732087758147E-2</v>
      </c>
      <c r="O3300" s="132">
        <f>IF(base[[#This Row],[L/P Líquido]]&gt;0,1,0)</f>
        <v>1</v>
      </c>
      <c r="P3300" s="132"/>
      <c r="Q3300" s="132" t="str">
        <f>LEFT(base[[#This Row],[Evento / Mercado]],FIND("vs",base[[#This Row],[Evento / Mercado]])-2)</f>
        <v>CD Gualberto Villarroel</v>
      </c>
      <c r="R33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The Strongest</v>
      </c>
      <c r="S3300" s="132" t="str">
        <f>LEFT(base[[#This Row],[Evento / Mercado]],FIND("/",base[[#This Row],[Evento / Mercado]])-2)</f>
        <v>CD Gualberto Villarroel vs The Strongest</v>
      </c>
      <c r="T3300" s="8">
        <v>39.130000000000003</v>
      </c>
      <c r="U3300" s="9">
        <f t="shared" ref="U3300:U3301" si="72">T3300*0.955</f>
        <v>37.369149999999998</v>
      </c>
    </row>
    <row r="3301" spans="2:21" ht="15" customHeight="1">
      <c r="B3301" s="128" t="s">
        <v>3294</v>
      </c>
      <c r="C3301" s="128" t="s">
        <v>2982</v>
      </c>
      <c r="D3301" s="129">
        <v>46222.581145833334</v>
      </c>
      <c r="E3301" s="130">
        <v>4.3452500000000001</v>
      </c>
      <c r="F3301" s="136">
        <v>4.4999999999999998E-2</v>
      </c>
      <c r="G3301" s="126">
        <f t="shared" si="71"/>
        <v>4.55</v>
      </c>
      <c r="H3301" s="126" t="s">
        <v>1339</v>
      </c>
      <c r="I3301" s="127" t="s">
        <v>2469</v>
      </c>
      <c r="J3301" s="126">
        <v>12</v>
      </c>
      <c r="K3301" s="126">
        <v>50.05</v>
      </c>
      <c r="L3301" s="129">
        <f>INT(base[[#This Row],[Data de liquidação]])</f>
        <v>46222</v>
      </c>
      <c r="M3301" s="126">
        <f>base[[#This Row],[L/P Bruto]]-base[[#This Row],[L/P Líquido]]</f>
        <v>0.20474999999999977</v>
      </c>
      <c r="N3301" s="126">
        <f>base[[#This Row],[L/P Líquido]]/base[[#This Row],[Stake/Responsabilidade]]</f>
        <v>8.6818181818181822E-2</v>
      </c>
      <c r="O3301" s="132">
        <f>IF(base[[#This Row],[L/P Líquido]]&gt;0,1,0)</f>
        <v>1</v>
      </c>
      <c r="P3301" s="132"/>
      <c r="Q3301" s="132" t="str">
        <f>LEFT(base[[#This Row],[Evento / Mercado]],FIND("vs",base[[#This Row],[Evento / Mercado]])-2)</f>
        <v>CD Gualberto Villarroel</v>
      </c>
      <c r="R33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The Strongest</v>
      </c>
      <c r="S3301" s="132" t="str">
        <f>LEFT(base[[#This Row],[Evento / Mercado]],FIND("/",base[[#This Row],[Evento / Mercado]])-2)</f>
        <v>CD Gualberto Villarroel vs The Strongest</v>
      </c>
      <c r="T3301" s="8">
        <v>4.55</v>
      </c>
      <c r="U3301" s="9">
        <f t="shared" si="72"/>
        <v>4.3452500000000001</v>
      </c>
    </row>
    <row r="3302" spans="2:21" ht="15" customHeight="1">
      <c r="B3302" s="128" t="s">
        <v>3293</v>
      </c>
      <c r="C3302" s="128" t="s">
        <v>2982</v>
      </c>
      <c r="D3302" s="129">
        <v>46222.620682870373</v>
      </c>
      <c r="E3302" s="130">
        <v>4.45</v>
      </c>
      <c r="F3302" s="136">
        <v>4.4999999999999998E-2</v>
      </c>
      <c r="G3302" s="126">
        <f t="shared" si="71"/>
        <v>4.6596858638743459</v>
      </c>
      <c r="H3302" s="126" t="s">
        <v>2821</v>
      </c>
      <c r="I3302" s="127" t="s">
        <v>476</v>
      </c>
      <c r="J3302" s="126">
        <v>90</v>
      </c>
      <c r="K3302" s="126">
        <v>414.74</v>
      </c>
      <c r="L3302" s="129">
        <f>INT(base[[#This Row],[Data de liquidação]])</f>
        <v>46222</v>
      </c>
      <c r="M3302" s="126">
        <f>base[[#This Row],[L/P Bruto]]-base[[#This Row],[L/P Líquido]]</f>
        <v>0.20968586387434573</v>
      </c>
      <c r="N3302" s="126">
        <f>base[[#This Row],[L/P Líquido]]/base[[#This Row],[Stake/Responsabilidade]]</f>
        <v>1.0729613733905579E-2</v>
      </c>
      <c r="O3302" s="132">
        <f>IF(base[[#This Row],[L/P Líquido]]&gt;0,1,0)</f>
        <v>1</v>
      </c>
      <c r="P3302" s="132"/>
      <c r="Q3302" s="132" t="str">
        <f>LEFT(base[[#This Row],[Evento / Mercado]],FIND("vs",base[[#This Row],[Evento / Mercado]])-2)</f>
        <v>KR Reykjavik</v>
      </c>
      <c r="R33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Stjarnan</v>
      </c>
      <c r="S3302" s="132" t="str">
        <f>LEFT(base[[#This Row],[Evento / Mercado]],FIND("/",base[[#This Row],[Evento / Mercado]])-2)</f>
        <v>KR Reykjavik vs Stjarnan</v>
      </c>
    </row>
    <row r="3303" spans="2:21" ht="15" customHeight="1">
      <c r="B3303" s="128" t="s">
        <v>3292</v>
      </c>
      <c r="C3303" s="128" t="s">
        <v>2982</v>
      </c>
      <c r="D3303" s="129">
        <v>46222.636331018519</v>
      </c>
      <c r="E3303" s="130">
        <v>7.46</v>
      </c>
      <c r="F3303" s="136">
        <v>4.4999999999999998E-2</v>
      </c>
      <c r="G3303" s="126">
        <f t="shared" si="71"/>
        <v>7.8115183246073299</v>
      </c>
      <c r="H3303" s="126" t="s">
        <v>1339</v>
      </c>
      <c r="I3303" s="127" t="s">
        <v>1933</v>
      </c>
      <c r="J3303" s="126">
        <v>1.52</v>
      </c>
      <c r="K3303" s="126">
        <v>15</v>
      </c>
      <c r="L3303" s="129">
        <f>INT(base[[#This Row],[Data de liquidação]])</f>
        <v>46222</v>
      </c>
      <c r="M3303" s="126">
        <f>base[[#This Row],[L/P Bruto]]-base[[#This Row],[L/P Líquido]]</f>
        <v>0.3515183246073299</v>
      </c>
      <c r="N3303" s="126">
        <f>base[[#This Row],[L/P Líquido]]/base[[#This Row],[Stake/Responsabilidade]]</f>
        <v>0.49733333333333335</v>
      </c>
      <c r="O3303" s="132">
        <f>IF(base[[#This Row],[L/P Líquido]]&gt;0,1,0)</f>
        <v>1</v>
      </c>
      <c r="P3303" s="132"/>
      <c r="Q3303" s="132" t="str">
        <f>LEFT(base[[#This Row],[Evento / Mercado]],FIND("vs",base[[#This Row],[Evento / Mercado]])-2)</f>
        <v>Club Deportivo Técnico Universitario</v>
      </c>
      <c r="R33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Aucas</v>
      </c>
      <c r="S3303" s="132" t="str">
        <f>LEFT(base[[#This Row],[Evento / Mercado]],FIND("/",base[[#This Row],[Evento / Mercado]])-2)</f>
        <v>Club Deportivo Técnico Universitario vs Aucas</v>
      </c>
    </row>
    <row r="3304" spans="2:21" ht="15" customHeight="1">
      <c r="B3304" s="128" t="s">
        <v>3283</v>
      </c>
      <c r="C3304" s="128" t="s">
        <v>2980</v>
      </c>
      <c r="D3304" s="129">
        <v>46222.957638888889</v>
      </c>
      <c r="E3304" s="130">
        <v>22.48</v>
      </c>
      <c r="F3304" s="136">
        <v>4.4999999999999998E-2</v>
      </c>
      <c r="G3304" s="126">
        <f t="shared" si="71"/>
        <v>23.539267015706809</v>
      </c>
      <c r="H3304" s="126" t="s">
        <v>2817</v>
      </c>
      <c r="I3304" s="127" t="s">
        <v>2993</v>
      </c>
      <c r="J3304" s="126">
        <f>(10+4.2)/2</f>
        <v>7.1</v>
      </c>
      <c r="K3304" s="126">
        <v>199.99</v>
      </c>
      <c r="L3304" s="129">
        <f>INT(base[[#This Row],[Data de liquidação]])</f>
        <v>46222</v>
      </c>
      <c r="M3304" s="126">
        <f>base[[#This Row],[L/P Bruto]]-base[[#This Row],[L/P Líquido]]</f>
        <v>1.0592670157068085</v>
      </c>
      <c r="N3304" s="126">
        <f>base[[#This Row],[L/P Líquido]]/base[[#This Row],[Stake/Responsabilidade]]</f>
        <v>0.11240562028101404</v>
      </c>
      <c r="O3304" s="132">
        <f>IF(base[[#This Row],[L/P Líquido]]&gt;0,1,0)</f>
        <v>1</v>
      </c>
      <c r="P3304" s="132"/>
      <c r="Q3304" s="132" t="str">
        <f>LEFT(base[[#This Row],[Evento / Mercado]],FIND("vs",base[[#This Row],[Evento / Mercado]])-2)</f>
        <v>Alianza Lima</v>
      </c>
      <c r="R33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3304" s="132" t="str">
        <f>LEFT(base[[#This Row],[Evento / Mercado]],FIND("/",base[[#This Row],[Evento / Mercado]])-2)</f>
        <v>Alianza Lima vs Sport Huancayo</v>
      </c>
    </row>
    <row r="3305" spans="2:21" ht="15" customHeight="1">
      <c r="B3305" s="128" t="s">
        <v>3283</v>
      </c>
      <c r="C3305" s="128" t="s">
        <v>2981</v>
      </c>
      <c r="D3305" s="129">
        <v>46222.957662037035</v>
      </c>
      <c r="E3305" s="130">
        <v>35.049999999999997</v>
      </c>
      <c r="F3305" s="136">
        <v>4.4999999999999998E-2</v>
      </c>
      <c r="G3305" s="126">
        <f t="shared" si="71"/>
        <v>36.701570680628272</v>
      </c>
      <c r="H3305" s="126" t="s">
        <v>2743</v>
      </c>
      <c r="I3305" s="127" t="s">
        <v>1233</v>
      </c>
      <c r="J3305" s="126">
        <v>5.2</v>
      </c>
      <c r="K3305" s="126">
        <v>300.01</v>
      </c>
      <c r="L3305" s="129">
        <f>INT(base[[#This Row],[Data de liquidação]])</f>
        <v>46222</v>
      </c>
      <c r="M3305" s="126">
        <f>base[[#This Row],[L/P Bruto]]-base[[#This Row],[L/P Líquido]]</f>
        <v>1.6515706806282751</v>
      </c>
      <c r="N3305" s="126">
        <f>base[[#This Row],[L/P Líquido]]/base[[#This Row],[Stake/Responsabilidade]]</f>
        <v>0.11682943901869937</v>
      </c>
      <c r="O3305" s="132">
        <f>IF(base[[#This Row],[L/P Líquido]]&gt;0,1,0)</f>
        <v>1</v>
      </c>
      <c r="P3305" s="132"/>
      <c r="Q3305" s="132" t="str">
        <f>LEFT(base[[#This Row],[Evento / Mercado]],FIND("vs",base[[#This Row],[Evento / Mercado]])-2)</f>
        <v>Alianza Lima</v>
      </c>
      <c r="R33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3305" s="132" t="str">
        <f>LEFT(base[[#This Row],[Evento / Mercado]],FIND("/",base[[#This Row],[Evento / Mercado]])-2)</f>
        <v>Alianza Lima vs Sport Huancayo</v>
      </c>
    </row>
    <row r="3306" spans="2:21" ht="15" customHeight="1">
      <c r="B3306" s="128" t="s">
        <v>3283</v>
      </c>
      <c r="C3306" s="128" t="s">
        <v>2982</v>
      </c>
      <c r="D3306" s="129">
        <v>46222.957662037035</v>
      </c>
      <c r="E3306" s="130">
        <v>43.48</v>
      </c>
      <c r="F3306" s="136">
        <v>4.4999999999999998E-2</v>
      </c>
      <c r="G3306" s="126">
        <f t="shared" si="71"/>
        <v>45.528795811518322</v>
      </c>
      <c r="H3306" s="126" t="s">
        <v>145</v>
      </c>
      <c r="I3306" s="127" t="s">
        <v>301</v>
      </c>
      <c r="J3306" s="126">
        <f>(9.2*100.04+10*299.97)/base[[#This Row],[Stake/Responsabilidade]]</f>
        <v>9.7999250018749517</v>
      </c>
      <c r="K3306" s="126">
        <f>100.04+299.97</f>
        <v>400.01000000000005</v>
      </c>
      <c r="L3306" s="129">
        <f>INT(base[[#This Row],[Data de liquidação]])</f>
        <v>46222</v>
      </c>
      <c r="M3306" s="126">
        <f>base[[#This Row],[L/P Bruto]]-base[[#This Row],[L/P Líquido]]</f>
        <v>2.0487958115183247</v>
      </c>
      <c r="N3306" s="126">
        <f>base[[#This Row],[L/P Líquido]]/base[[#This Row],[Stake/Responsabilidade]]</f>
        <v>0.10869728256793577</v>
      </c>
      <c r="O3306" s="132">
        <f>IF(base[[#This Row],[L/P Líquido]]&gt;0,1,0)</f>
        <v>1</v>
      </c>
      <c r="P3306" s="132"/>
      <c r="Q3306" s="132" t="str">
        <f>LEFT(base[[#This Row],[Evento / Mercado]],FIND("vs",base[[#This Row],[Evento / Mercado]])-2)</f>
        <v>Alianza Lima</v>
      </c>
      <c r="R33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3306" s="132" t="str">
        <f>LEFT(base[[#This Row],[Evento / Mercado]],FIND("/",base[[#This Row],[Evento / Mercado]])-2)</f>
        <v>Alianza Lima vs Sport Huancayo</v>
      </c>
    </row>
    <row r="3307" spans="2:21" ht="15" customHeight="1">
      <c r="B3307" s="128" t="s">
        <v>3287</v>
      </c>
      <c r="C3307" s="128" t="s">
        <v>2981</v>
      </c>
      <c r="D3307" s="129">
        <v>46222.957719907405</v>
      </c>
      <c r="E3307" s="130">
        <v>-31.58</v>
      </c>
      <c r="F3307" s="136">
        <v>4.4999999999999998E-2</v>
      </c>
      <c r="G3307" s="126">
        <f t="shared" si="71"/>
        <v>-31.58</v>
      </c>
      <c r="H3307" s="126" t="s">
        <v>2743</v>
      </c>
      <c r="I3307" s="127" t="s">
        <v>2744</v>
      </c>
      <c r="J3307" s="126">
        <v>10.5</v>
      </c>
      <c r="K3307" s="126">
        <v>31.58</v>
      </c>
      <c r="L3307" s="129">
        <f>INT(base[[#This Row],[Data de liquidação]])</f>
        <v>46222</v>
      </c>
      <c r="M3307" s="126">
        <f>base[[#This Row],[L/P Bruto]]-base[[#This Row],[L/P Líquido]]</f>
        <v>0</v>
      </c>
      <c r="N3307" s="126">
        <f>base[[#This Row],[L/P Líquido]]/base[[#This Row],[Stake/Responsabilidade]]</f>
        <v>-1</v>
      </c>
      <c r="O3307" s="132">
        <f>IF(base[[#This Row],[L/P Líquido]]&gt;0,1,0)</f>
        <v>0</v>
      </c>
      <c r="P3307" s="132"/>
      <c r="Q3307" s="132" t="str">
        <f>LEFT(base[[#This Row],[Evento / Mercado]],FIND("vs",base[[#This Row],[Evento / Mercado]])-2)</f>
        <v>Alianza Lima</v>
      </c>
      <c r="R33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3307" s="132" t="str">
        <f>LEFT(base[[#This Row],[Evento / Mercado]],FIND("/",base[[#This Row],[Evento / Mercado]])-2)</f>
        <v>Alianza Lima vs Sport Huancayo</v>
      </c>
    </row>
    <row r="3308" spans="2:21" ht="15" customHeight="1">
      <c r="B3308" s="128" t="s">
        <v>3287</v>
      </c>
      <c r="C3308" s="128" t="s">
        <v>2982</v>
      </c>
      <c r="D3308" s="129">
        <v>46222.957719907405</v>
      </c>
      <c r="E3308" s="130">
        <v>-11.8</v>
      </c>
      <c r="F3308" s="136">
        <v>4.4999999999999998E-2</v>
      </c>
      <c r="G3308" s="126">
        <f t="shared" si="71"/>
        <v>-11.8</v>
      </c>
      <c r="H3308" s="126" t="s">
        <v>3261</v>
      </c>
      <c r="I3308" s="127" t="s">
        <v>3213</v>
      </c>
      <c r="J3308" s="126">
        <f>(24*70.03+28*48.06+27*82.06)/base[[#This Row],[Stake/Responsabilidade]]</f>
        <v>26.190457157132151</v>
      </c>
      <c r="K3308" s="126">
        <f>82.06+48.06+70.03</f>
        <v>200.15</v>
      </c>
      <c r="L3308" s="129">
        <f>INT(base[[#This Row],[Data de liquidação]])</f>
        <v>46222</v>
      </c>
      <c r="M3308" s="126">
        <f>base[[#This Row],[L/P Bruto]]-base[[#This Row],[L/P Líquido]]</f>
        <v>0</v>
      </c>
      <c r="N3308" s="126">
        <f>base[[#This Row],[L/P Líquido]]/base[[#This Row],[Stake/Responsabilidade]]</f>
        <v>-5.8955783162628034E-2</v>
      </c>
      <c r="O3308" s="132">
        <f>IF(base[[#This Row],[L/P Líquido]]&gt;0,1,0)</f>
        <v>0</v>
      </c>
      <c r="P3308" s="132"/>
      <c r="Q3308" s="132" t="str">
        <f>LEFT(base[[#This Row],[Evento / Mercado]],FIND("vs",base[[#This Row],[Evento / Mercado]])-2)</f>
        <v>Alianza Lima</v>
      </c>
      <c r="R33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3308" s="132" t="str">
        <f>LEFT(base[[#This Row],[Evento / Mercado]],FIND("/",base[[#This Row],[Evento / Mercado]])-2)</f>
        <v>Alianza Lima vs Sport Huancayo</v>
      </c>
    </row>
    <row r="3309" spans="2:21" ht="15" customHeight="1">
      <c r="B3309" s="128" t="s">
        <v>3286</v>
      </c>
      <c r="C3309" s="128" t="s">
        <v>2981</v>
      </c>
      <c r="D3309" s="129">
        <v>46222.975347222222</v>
      </c>
      <c r="E3309" s="130">
        <v>-30</v>
      </c>
      <c r="F3309" s="136">
        <v>4.4999999999999998E-2</v>
      </c>
      <c r="G3309" s="126">
        <f t="shared" si="71"/>
        <v>-30</v>
      </c>
      <c r="H3309" s="126" t="s">
        <v>2743</v>
      </c>
      <c r="I3309" s="127" t="s">
        <v>2744</v>
      </c>
      <c r="J3309" s="126">
        <v>11</v>
      </c>
      <c r="K3309" s="126">
        <v>30</v>
      </c>
      <c r="L3309" s="129">
        <f>INT(base[[#This Row],[Data de liquidação]])</f>
        <v>46222</v>
      </c>
      <c r="M3309" s="126">
        <f>base[[#This Row],[L/P Bruto]]-base[[#This Row],[L/P Líquido]]</f>
        <v>0</v>
      </c>
      <c r="N3309" s="126">
        <f>base[[#This Row],[L/P Líquido]]/base[[#This Row],[Stake/Responsabilidade]]</f>
        <v>-1</v>
      </c>
      <c r="O3309" s="132">
        <f>IF(base[[#This Row],[L/P Líquido]]&gt;0,1,0)</f>
        <v>0</v>
      </c>
      <c r="P3309" s="132"/>
      <c r="Q3309" s="132" t="str">
        <f>LEFT(base[[#This Row],[Evento / Mercado]],FIND("vs",base[[#This Row],[Evento / Mercado]])-2)</f>
        <v>Blooming Santa Cruz</v>
      </c>
      <c r="R33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Tomayapo</v>
      </c>
      <c r="S3309" s="132" t="str">
        <f>LEFT(base[[#This Row],[Evento / Mercado]],FIND("/",base[[#This Row],[Evento / Mercado]])-2)</f>
        <v>Blooming Santa Cruz vs Real Tomayapo</v>
      </c>
    </row>
    <row r="3310" spans="2:21" ht="15" customHeight="1">
      <c r="B3310" s="128" t="s">
        <v>3285</v>
      </c>
      <c r="C3310" s="128" t="s">
        <v>2981</v>
      </c>
      <c r="D3310" s="129">
        <v>46222.975682870368</v>
      </c>
      <c r="E3310" s="130">
        <v>62.04</v>
      </c>
      <c r="F3310" s="136">
        <v>4.4999999999999998E-2</v>
      </c>
      <c r="G3310" s="126">
        <f t="shared" si="71"/>
        <v>64.96335078534031</v>
      </c>
      <c r="H3310" s="126" t="s">
        <v>2743</v>
      </c>
      <c r="I3310" s="127" t="s">
        <v>1233</v>
      </c>
      <c r="J3310" s="126">
        <v>5.7</v>
      </c>
      <c r="K3310" s="126">
        <v>300</v>
      </c>
      <c r="L3310" s="129">
        <f>INT(base[[#This Row],[Data de liquidação]])</f>
        <v>46222</v>
      </c>
      <c r="M3310" s="126">
        <f>base[[#This Row],[L/P Bruto]]-base[[#This Row],[L/P Líquido]]</f>
        <v>2.9233507853403111</v>
      </c>
      <c r="N3310" s="126">
        <f>base[[#This Row],[L/P Líquido]]/base[[#This Row],[Stake/Responsabilidade]]</f>
        <v>0.20679999999999998</v>
      </c>
      <c r="O3310" s="132">
        <f>IF(base[[#This Row],[L/P Líquido]]&gt;0,1,0)</f>
        <v>1</v>
      </c>
      <c r="P3310" s="132"/>
      <c r="Q3310" s="132" t="str">
        <f>LEFT(base[[#This Row],[Evento / Mercado]],FIND("vs",base[[#This Row],[Evento / Mercado]])-2)</f>
        <v>Blooming Santa Cruz</v>
      </c>
      <c r="R33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Tomayapo</v>
      </c>
      <c r="S3310" s="132" t="str">
        <f>LEFT(base[[#This Row],[Evento / Mercado]],FIND("/",base[[#This Row],[Evento / Mercado]])-2)</f>
        <v>Blooming Santa Cruz vs Real Tomayapo</v>
      </c>
    </row>
    <row r="3311" spans="2:21" ht="15" customHeight="1">
      <c r="B3311" s="128" t="s">
        <v>3285</v>
      </c>
      <c r="C3311" s="128" t="s">
        <v>2982</v>
      </c>
      <c r="D3311" s="129">
        <v>46222.975682870368</v>
      </c>
      <c r="E3311" s="130">
        <v>6.82</v>
      </c>
      <c r="F3311" s="136">
        <v>4.4999999999999998E-2</v>
      </c>
      <c r="G3311" s="126">
        <f t="shared" si="71"/>
        <v>7.1413612565445028</v>
      </c>
      <c r="H3311" s="126" t="s">
        <v>2817</v>
      </c>
      <c r="I3311" s="127" t="s">
        <v>3199</v>
      </c>
      <c r="J3311" s="126">
        <v>9.4</v>
      </c>
      <c r="K3311" s="126">
        <v>99.96</v>
      </c>
      <c r="L3311" s="129">
        <f>INT(base[[#This Row],[Data de liquidação]])</f>
        <v>46222</v>
      </c>
      <c r="M3311" s="126">
        <f>base[[#This Row],[L/P Bruto]]-base[[#This Row],[L/P Líquido]]</f>
        <v>0.32136125654450254</v>
      </c>
      <c r="N3311" s="126">
        <f>base[[#This Row],[L/P Líquido]]/base[[#This Row],[Stake/Responsabilidade]]</f>
        <v>6.8227290916366548E-2</v>
      </c>
      <c r="O3311" s="132">
        <f>IF(base[[#This Row],[L/P Líquido]]&gt;0,1,0)</f>
        <v>1</v>
      </c>
      <c r="P3311" s="132"/>
      <c r="Q3311" s="132" t="str">
        <f>LEFT(base[[#This Row],[Evento / Mercado]],FIND("vs",base[[#This Row],[Evento / Mercado]])-2)</f>
        <v>Blooming Santa Cruz</v>
      </c>
      <c r="R33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Tomayapo</v>
      </c>
      <c r="S3311" s="132" t="str">
        <f>LEFT(base[[#This Row],[Evento / Mercado]],FIND("/",base[[#This Row],[Evento / Mercado]])-2)</f>
        <v>Blooming Santa Cruz vs Real Tomayapo</v>
      </c>
    </row>
    <row r="3312" spans="2:21" ht="15" customHeight="1">
      <c r="B3312" s="128" t="s">
        <v>3291</v>
      </c>
      <c r="C3312" s="128" t="s">
        <v>2982</v>
      </c>
      <c r="D3312" s="129">
        <v>46222.975717592592</v>
      </c>
      <c r="E3312" s="130">
        <v>-11.96</v>
      </c>
      <c r="F3312" s="136">
        <v>4.4999999999999998E-2</v>
      </c>
      <c r="G3312" s="126">
        <f t="shared" si="71"/>
        <v>-11.96</v>
      </c>
      <c r="H3312" s="126" t="s">
        <v>1339</v>
      </c>
      <c r="I3312" s="127" t="s">
        <v>1236</v>
      </c>
      <c r="J3312" s="126">
        <v>10</v>
      </c>
      <c r="K3312" s="126">
        <v>15</v>
      </c>
      <c r="L3312" s="129">
        <f>INT(base[[#This Row],[Data de liquidação]])</f>
        <v>46222</v>
      </c>
      <c r="M3312" s="126">
        <f>base[[#This Row],[L/P Bruto]]-base[[#This Row],[L/P Líquido]]</f>
        <v>0</v>
      </c>
      <c r="N3312" s="126">
        <f>base[[#This Row],[L/P Líquido]]/base[[#This Row],[Stake/Responsabilidade]]</f>
        <v>-0.79733333333333334</v>
      </c>
      <c r="O3312" s="132">
        <f>IF(base[[#This Row],[L/P Líquido]]&gt;0,1,0)</f>
        <v>0</v>
      </c>
      <c r="P3312" s="132"/>
      <c r="Q3312" s="132" t="str">
        <f>LEFT(base[[#This Row],[Evento / Mercado]],FIND("vs",base[[#This Row],[Evento / Mercado]])-2)</f>
        <v>Blooming Santa Cruz</v>
      </c>
      <c r="R33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Tomayapo</v>
      </c>
      <c r="S3312" s="132" t="str">
        <f>LEFT(base[[#This Row],[Evento / Mercado]],FIND("/",base[[#This Row],[Evento / Mercado]])-2)</f>
        <v>Blooming Santa Cruz vs Real Tomayapo</v>
      </c>
    </row>
    <row r="3313" spans="2:21" ht="15" customHeight="1">
      <c r="B3313" s="128" t="s">
        <v>3310</v>
      </c>
      <c r="C3313" s="128" t="s">
        <v>2982</v>
      </c>
      <c r="D3313" s="129">
        <v>46223.574097222219</v>
      </c>
      <c r="E3313" s="130">
        <v>7.38</v>
      </c>
      <c r="F3313" s="136">
        <v>4.4999999999999998E-2</v>
      </c>
      <c r="G3313" s="126">
        <f t="shared" si="71"/>
        <v>7.7277486910994764</v>
      </c>
      <c r="H3313" s="126" t="s">
        <v>1339</v>
      </c>
      <c r="I3313" s="127" t="s">
        <v>1933</v>
      </c>
      <c r="J3313" s="126">
        <v>1.52</v>
      </c>
      <c r="K3313" s="126">
        <v>15</v>
      </c>
      <c r="L3313" s="129">
        <f>INT(base[[#This Row],[Data de liquidação]])</f>
        <v>46223</v>
      </c>
      <c r="M3313" s="126">
        <f>base[[#This Row],[L/P Bruto]]-base[[#This Row],[L/P Líquido]]</f>
        <v>0.34774869109947648</v>
      </c>
      <c r="N3313" s="126">
        <f>base[[#This Row],[L/P Líquido]]/base[[#This Row],[Stake/Responsabilidade]]</f>
        <v>0.49199999999999999</v>
      </c>
      <c r="O3313" s="132">
        <f>IF(base[[#This Row],[L/P Líquido]]&gt;0,1,0)</f>
        <v>1</v>
      </c>
      <c r="P3313" s="132"/>
      <c r="Q3313" s="132" t="str">
        <f>LEFT(base[[#This Row],[Evento / Mercado]],FIND("vs",base[[#This Row],[Evento / Mercado]])-2)</f>
        <v>CS Hunedoara</v>
      </c>
      <c r="R33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Csikszereda Miercurea Ciuc</v>
      </c>
      <c r="S3313" s="132" t="str">
        <f>LEFT(base[[#This Row],[Evento / Mercado]],FIND("/",base[[#This Row],[Evento / Mercado]])-2)</f>
        <v>CS Hunedoara vs FC Csikszereda Miercurea Ciuc</v>
      </c>
    </row>
    <row r="3314" spans="2:21" ht="15" customHeight="1">
      <c r="B3314" s="128" t="s">
        <v>3309</v>
      </c>
      <c r="C3314" s="128" t="s">
        <v>2982</v>
      </c>
      <c r="D3314" s="129">
        <v>46223.662060185183</v>
      </c>
      <c r="E3314" s="130">
        <v>9.3303499999999993</v>
      </c>
      <c r="F3314" s="136">
        <v>4.4999999999999998E-2</v>
      </c>
      <c r="G3314" s="126">
        <f t="shared" si="71"/>
        <v>9.77</v>
      </c>
      <c r="H3314" s="126" t="s">
        <v>2821</v>
      </c>
      <c r="I3314" s="127" t="s">
        <v>542</v>
      </c>
      <c r="J3314" s="126">
        <v>44</v>
      </c>
      <c r="K3314" s="126">
        <v>420.11</v>
      </c>
      <c r="L3314" s="129">
        <f>INT(base[[#This Row],[Data de liquidação]])</f>
        <v>46223</v>
      </c>
      <c r="M3314" s="126">
        <f>base[[#This Row],[L/P Bruto]]-base[[#This Row],[L/P Líquido]]</f>
        <v>0.43965000000000032</v>
      </c>
      <c r="N3314" s="126">
        <f>base[[#This Row],[L/P Líquido]]/base[[#This Row],[Stake/Responsabilidade]]</f>
        <v>2.2209302325581392E-2</v>
      </c>
      <c r="O3314" s="132">
        <f>IF(base[[#This Row],[L/P Líquido]]&gt;0,1,0)</f>
        <v>1</v>
      </c>
      <c r="P3314" s="132"/>
      <c r="Q3314" s="132" t="str">
        <f>LEFT(base[[#This Row],[Evento / Mercado]],FIND("vs",base[[#This Row],[Evento / Mercado]])-2)</f>
        <v>Örgryte IS</v>
      </c>
      <c r="R33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Djurgårdens IF</v>
      </c>
      <c r="S3314" s="132" t="str">
        <f>LEFT(base[[#This Row],[Evento / Mercado]],FIND("/",base[[#This Row],[Evento / Mercado]])-2)</f>
        <v>Örgryte IS vs Djurgårdens IF</v>
      </c>
      <c r="T3314" s="8">
        <v>9.77</v>
      </c>
      <c r="U3314" s="9">
        <f t="shared" ref="U3314:U3315" si="73">T3314*0.955</f>
        <v>9.3303499999999993</v>
      </c>
    </row>
    <row r="3315" spans="2:21" ht="15" customHeight="1">
      <c r="B3315" s="128" t="s">
        <v>3309</v>
      </c>
      <c r="C3315" s="128" t="s">
        <v>2982</v>
      </c>
      <c r="D3315" s="129">
        <v>46223.662060185183</v>
      </c>
      <c r="E3315" s="130">
        <v>37.493299999999998</v>
      </c>
      <c r="F3315" s="136">
        <v>4.4999999999999998E-2</v>
      </c>
      <c r="G3315" s="126">
        <f t="shared" si="71"/>
        <v>39.26</v>
      </c>
      <c r="H3315" s="126" t="s">
        <v>74</v>
      </c>
      <c r="I3315" s="127" t="s">
        <v>541</v>
      </c>
      <c r="J3315" s="126">
        <v>14.5</v>
      </c>
      <c r="K3315" s="126">
        <v>530.01</v>
      </c>
      <c r="L3315" s="129">
        <f>INT(base[[#This Row],[Data de liquidação]])</f>
        <v>46223</v>
      </c>
      <c r="M3315" s="126">
        <f>base[[#This Row],[L/P Bruto]]-base[[#This Row],[L/P Líquido]]</f>
        <v>1.7667000000000002</v>
      </c>
      <c r="N3315" s="126">
        <f>base[[#This Row],[L/P Líquido]]/base[[#This Row],[Stake/Responsabilidade]]</f>
        <v>7.0740740740740743E-2</v>
      </c>
      <c r="O3315" s="132">
        <f>IF(base[[#This Row],[L/P Líquido]]&gt;0,1,0)</f>
        <v>1</v>
      </c>
      <c r="P3315" s="132"/>
      <c r="Q3315" s="132" t="str">
        <f>LEFT(base[[#This Row],[Evento / Mercado]],FIND("vs",base[[#This Row],[Evento / Mercado]])-2)</f>
        <v>Örgryte IS</v>
      </c>
      <c r="R33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Djurgårdens IF</v>
      </c>
      <c r="S3315" s="132" t="str">
        <f>LEFT(base[[#This Row],[Evento / Mercado]],FIND("/",base[[#This Row],[Evento / Mercado]])-2)</f>
        <v>Örgryte IS vs Djurgårdens IF</v>
      </c>
      <c r="T3315" s="8">
        <v>39.26</v>
      </c>
      <c r="U3315" s="9">
        <f t="shared" si="73"/>
        <v>37.493299999999998</v>
      </c>
    </row>
    <row r="3316" spans="2:21" ht="15" customHeight="1">
      <c r="B3316" s="128" t="s">
        <v>3308</v>
      </c>
      <c r="C3316" s="128" t="s">
        <v>2982</v>
      </c>
      <c r="D3316" s="129">
        <v>46223.662280092591</v>
      </c>
      <c r="E3316" s="130">
        <v>-30</v>
      </c>
      <c r="F3316" s="136">
        <v>4.4999999999999998E-2</v>
      </c>
      <c r="G3316" s="126">
        <f t="shared" si="71"/>
        <v>-30</v>
      </c>
      <c r="H3316" s="126" t="s">
        <v>3004</v>
      </c>
      <c r="I3316" s="127" t="s">
        <v>75</v>
      </c>
      <c r="J3316" s="126">
        <v>1.76</v>
      </c>
      <c r="K3316" s="126">
        <v>30</v>
      </c>
      <c r="L3316" s="129">
        <f>INT(base[[#This Row],[Data de liquidação]])</f>
        <v>46223</v>
      </c>
      <c r="M3316" s="126">
        <f>base[[#This Row],[L/P Bruto]]-base[[#This Row],[L/P Líquido]]</f>
        <v>0</v>
      </c>
      <c r="N3316" s="126">
        <f>base[[#This Row],[L/P Líquido]]/base[[#This Row],[Stake/Responsabilidade]]</f>
        <v>-1</v>
      </c>
      <c r="O3316" s="132">
        <f>IF(base[[#This Row],[L/P Líquido]]&gt;0,1,0)</f>
        <v>0</v>
      </c>
      <c r="P3316" s="132"/>
      <c r="Q3316" s="132" t="str">
        <f>LEFT(base[[#This Row],[Evento / Mercado]],FIND("vs",base[[#This Row],[Evento / Mercado]])-2)</f>
        <v>Örgryte IS</v>
      </c>
      <c r="R33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Djurgårdens IF</v>
      </c>
      <c r="S3316" s="132" t="str">
        <f>LEFT(base[[#This Row],[Evento / Mercado]],FIND("/",base[[#This Row],[Evento / Mercado]])-2)</f>
        <v>Örgryte IS vs Djurgårdens IF</v>
      </c>
    </row>
    <row r="3317" spans="2:21" ht="15" customHeight="1">
      <c r="B3317" s="128" t="s">
        <v>3307</v>
      </c>
      <c r="C3317" s="128" t="s">
        <v>2982</v>
      </c>
      <c r="D3317" s="129">
        <v>46223.701620370368</v>
      </c>
      <c r="E3317" s="130">
        <v>14.33</v>
      </c>
      <c r="F3317" s="136">
        <v>4.4999999999999998E-2</v>
      </c>
      <c r="G3317" s="126">
        <f t="shared" si="71"/>
        <v>15.005235602094242</v>
      </c>
      <c r="H3317" s="126" t="s">
        <v>1339</v>
      </c>
      <c r="I3317" s="127" t="s">
        <v>1236</v>
      </c>
      <c r="J3317" s="126">
        <v>6.8</v>
      </c>
      <c r="K3317" s="126">
        <v>15</v>
      </c>
      <c r="L3317" s="129">
        <f>INT(base[[#This Row],[Data de liquidação]])</f>
        <v>46223</v>
      </c>
      <c r="M3317" s="126">
        <f>base[[#This Row],[L/P Bruto]]-base[[#This Row],[L/P Líquido]]</f>
        <v>0.67523560209424183</v>
      </c>
      <c r="N3317" s="126">
        <f>base[[#This Row],[L/P Líquido]]/base[[#This Row],[Stake/Responsabilidade]]</f>
        <v>0.95533333333333337</v>
      </c>
      <c r="O3317" s="132">
        <f>IF(base[[#This Row],[L/P Líquido]]&gt;0,1,0)</f>
        <v>1</v>
      </c>
      <c r="P3317" s="132"/>
      <c r="Q3317" s="132" t="str">
        <f>LEFT(base[[#This Row],[Evento / Mercado]],FIND("vs",base[[#This Row],[Evento / Mercado]])-2)</f>
        <v>Mushuc Runa</v>
      </c>
      <c r="R33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Orense SC</v>
      </c>
      <c r="S3317" s="132" t="str">
        <f>LEFT(base[[#This Row],[Evento / Mercado]],FIND("/",base[[#This Row],[Evento / Mercado]])-2)</f>
        <v>Mushuc Runa vs Orense SC</v>
      </c>
    </row>
    <row r="3318" spans="2:21" ht="15" customHeight="1">
      <c r="B3318" s="128" t="s">
        <v>3306</v>
      </c>
      <c r="C3318" s="128" t="s">
        <v>2982</v>
      </c>
      <c r="D3318" s="129">
        <v>46223.75472222222</v>
      </c>
      <c r="E3318" s="130">
        <v>12.45</v>
      </c>
      <c r="F3318" s="136">
        <v>4.4999999999999998E-2</v>
      </c>
      <c r="G3318" s="126">
        <f t="shared" si="71"/>
        <v>13.036649214659686</v>
      </c>
      <c r="H3318" s="126" t="s">
        <v>74</v>
      </c>
      <c r="I3318" s="127" t="s">
        <v>542</v>
      </c>
      <c r="J3318" s="126">
        <v>24</v>
      </c>
      <c r="K3318" s="126">
        <v>299.92</v>
      </c>
      <c r="L3318" s="129">
        <f>INT(base[[#This Row],[Data de liquidação]])</f>
        <v>46223</v>
      </c>
      <c r="M3318" s="126">
        <f>base[[#This Row],[L/P Bruto]]-base[[#This Row],[L/P Líquido]]</f>
        <v>0.58664921465968689</v>
      </c>
      <c r="N3318" s="126">
        <f>base[[#This Row],[L/P Líquido]]/base[[#This Row],[Stake/Responsabilidade]]</f>
        <v>4.1511069618564947E-2</v>
      </c>
      <c r="O3318" s="132">
        <f>IF(base[[#This Row],[L/P Líquido]]&gt;0,1,0)</f>
        <v>1</v>
      </c>
      <c r="P3318" s="132"/>
      <c r="Q3318" s="132" t="str">
        <f>LEFT(base[[#This Row],[Evento / Mercado]],FIND("vs",base[[#This Row],[Evento / Mercado]])-2)</f>
        <v>FH Hafnarfjördur</v>
      </c>
      <c r="R33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Breidablik</v>
      </c>
      <c r="S3318" s="132" t="str">
        <f>LEFT(base[[#This Row],[Evento / Mercado]],FIND("/",base[[#This Row],[Evento / Mercado]])-2)</f>
        <v>FH Hafnarfjördur vs Breidablik</v>
      </c>
    </row>
    <row r="3319" spans="2:21" ht="15" customHeight="1">
      <c r="B3319" s="128" t="s">
        <v>3305</v>
      </c>
      <c r="C3319" s="128" t="s">
        <v>2982</v>
      </c>
      <c r="D3319" s="129">
        <v>46223.867372685185</v>
      </c>
      <c r="E3319" s="130">
        <v>14.33</v>
      </c>
      <c r="F3319" s="136">
        <v>4.4999999999999998E-2</v>
      </c>
      <c r="G3319" s="126">
        <f t="shared" si="71"/>
        <v>15.005235602094242</v>
      </c>
      <c r="H3319" s="126" t="s">
        <v>1339</v>
      </c>
      <c r="I3319" s="127" t="s">
        <v>1236</v>
      </c>
      <c r="J3319" s="126">
        <v>14.5</v>
      </c>
      <c r="K3319" s="126">
        <v>15</v>
      </c>
      <c r="L3319" s="129">
        <f>INT(base[[#This Row],[Data de liquidação]])</f>
        <v>46223</v>
      </c>
      <c r="M3319" s="126">
        <f>base[[#This Row],[L/P Bruto]]-base[[#This Row],[L/P Líquido]]</f>
        <v>0.67523560209424183</v>
      </c>
      <c r="N3319" s="126">
        <f>base[[#This Row],[L/P Líquido]]/base[[#This Row],[Stake/Responsabilidade]]</f>
        <v>0.95533333333333337</v>
      </c>
      <c r="O3319" s="132">
        <f>IF(base[[#This Row],[L/P Líquido]]&gt;0,1,0)</f>
        <v>1</v>
      </c>
      <c r="P3319" s="132"/>
      <c r="Q3319" s="132" t="str">
        <f>LEFT(base[[#This Row],[Evento / Mercado]],FIND("vs",base[[#This Row],[Evento / Mercado]])-2)</f>
        <v>Nacional Potosi</v>
      </c>
      <c r="R33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CDT Real Oruro</v>
      </c>
      <c r="S3319" s="132" t="str">
        <f>LEFT(base[[#This Row],[Evento / Mercado]],FIND("/",base[[#This Row],[Evento / Mercado]])-2)</f>
        <v>Nacional Potosi vs CDT Real Oruro</v>
      </c>
    </row>
    <row r="3320" spans="2:21" ht="15" customHeight="1">
      <c r="B3320" s="128" t="s">
        <v>3321</v>
      </c>
      <c r="C3320" s="128" t="s">
        <v>2982</v>
      </c>
      <c r="D3320" s="129">
        <v>46224.61954861111</v>
      </c>
      <c r="E3320" s="130">
        <v>9.74</v>
      </c>
      <c r="F3320" s="136">
        <v>4.4999999999999998E-2</v>
      </c>
      <c r="G3320" s="126">
        <f t="shared" si="71"/>
        <v>10.198952879581153</v>
      </c>
      <c r="H3320" s="126" t="s">
        <v>3261</v>
      </c>
      <c r="I3320" s="127" t="s">
        <v>3213</v>
      </c>
      <c r="J3320" s="126">
        <v>50</v>
      </c>
      <c r="K3320" s="126">
        <v>499.8</v>
      </c>
      <c r="L3320" s="129">
        <f>INT(base[[#This Row],[Data de liquidação]])</f>
        <v>46224</v>
      </c>
      <c r="M3320" s="126">
        <f>base[[#This Row],[L/P Bruto]]-base[[#This Row],[L/P Líquido]]</f>
        <v>0.45895287958115283</v>
      </c>
      <c r="N3320" s="126">
        <f>base[[#This Row],[L/P Líquido]]/base[[#This Row],[Stake/Responsabilidade]]</f>
        <v>1.948779511804722E-2</v>
      </c>
      <c r="O3320" s="132">
        <f>IF(base[[#This Row],[L/P Líquido]]&gt;0,1,0)</f>
        <v>1</v>
      </c>
      <c r="P3320" s="132"/>
      <c r="Q3320" s="132" t="str">
        <f>LEFT(base[[#This Row],[Evento / Mercado]],FIND("vs",base[[#This Row],[Evento / Mercado]])-2)</f>
        <v>Mjällby AIF</v>
      </c>
      <c r="R33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Lincoln Red Imps FC</v>
      </c>
      <c r="S3320" s="132" t="str">
        <f>LEFT(base[[#This Row],[Evento / Mercado]],FIND("/",base[[#This Row],[Evento / Mercado]])-2)</f>
        <v>Mjällby AIF vs Lincoln Red Imps FC</v>
      </c>
    </row>
    <row r="3321" spans="2:21" ht="15" customHeight="1">
      <c r="B3321" s="128" t="s">
        <v>3320</v>
      </c>
      <c r="C3321" s="128" t="s">
        <v>2982</v>
      </c>
      <c r="D3321" s="129">
        <v>46224.661597222221</v>
      </c>
      <c r="E3321" s="130">
        <v>-100</v>
      </c>
      <c r="F3321" s="136">
        <v>4.4999999999999998E-2</v>
      </c>
      <c r="G3321" s="126">
        <f t="shared" si="71"/>
        <v>-100</v>
      </c>
      <c r="H3321" s="126" t="s">
        <v>2820</v>
      </c>
      <c r="I3321" s="127" t="s">
        <v>2874</v>
      </c>
      <c r="J3321" s="126">
        <f>(1.81*25+2.2*25+2.96*50)/100</f>
        <v>2.4824999999999999</v>
      </c>
      <c r="K3321" s="126">
        <v>100</v>
      </c>
      <c r="L3321" s="129">
        <f>INT(base[[#This Row],[Data de liquidação]])</f>
        <v>46224</v>
      </c>
      <c r="M3321" s="126">
        <f>base[[#This Row],[L/P Bruto]]-base[[#This Row],[L/P Líquido]]</f>
        <v>0</v>
      </c>
      <c r="N3321" s="126">
        <f>base[[#This Row],[L/P Líquido]]/base[[#This Row],[Stake/Responsabilidade]]</f>
        <v>-1</v>
      </c>
      <c r="O3321" s="132">
        <f>IF(base[[#This Row],[L/P Líquido]]&gt;0,1,0)</f>
        <v>0</v>
      </c>
      <c r="P3321" s="132"/>
      <c r="Q3321" s="132" t="str">
        <f>LEFT(base[[#This Row],[Evento / Mercado]],FIND("vs",base[[#This Row],[Evento / Mercado]])-2)</f>
        <v>IFK Göteborg</v>
      </c>
      <c r="R33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Tallinna FC Levadia</v>
      </c>
      <c r="S3321" s="132" t="str">
        <f>LEFT(base[[#This Row],[Evento / Mercado]],FIND("/",base[[#This Row],[Evento / Mercado]])-2)</f>
        <v>IFK Göteborg vs Tallinna FC Levadia</v>
      </c>
    </row>
    <row r="3322" spans="2:21" ht="15" customHeight="1">
      <c r="B3322" s="128" t="s">
        <v>3319</v>
      </c>
      <c r="C3322" s="128" t="s">
        <v>2982</v>
      </c>
      <c r="D3322" s="129">
        <v>46224.661608796298</v>
      </c>
      <c r="E3322" s="130">
        <v>-30</v>
      </c>
      <c r="F3322" s="136">
        <v>4.4999999999999998E-2</v>
      </c>
      <c r="G3322" s="126">
        <f t="shared" si="71"/>
        <v>-30</v>
      </c>
      <c r="H3322" s="126" t="s">
        <v>1339</v>
      </c>
      <c r="I3322" s="127" t="s">
        <v>1446</v>
      </c>
      <c r="J3322" s="126">
        <v>2.4</v>
      </c>
      <c r="K3322" s="126">
        <v>30</v>
      </c>
      <c r="L3322" s="129">
        <f>INT(base[[#This Row],[Data de liquidação]])</f>
        <v>46224</v>
      </c>
      <c r="M3322" s="126">
        <f>base[[#This Row],[L/P Bruto]]-base[[#This Row],[L/P Líquido]]</f>
        <v>0</v>
      </c>
      <c r="N3322" s="126">
        <f>base[[#This Row],[L/P Líquido]]/base[[#This Row],[Stake/Responsabilidade]]</f>
        <v>-1</v>
      </c>
      <c r="O3322" s="132">
        <f>IF(base[[#This Row],[L/P Líquido]]&gt;0,1,0)</f>
        <v>0</v>
      </c>
      <c r="P3322" s="132"/>
      <c r="Q3322" s="132" t="str">
        <f>LEFT(base[[#This Row],[Evento / Mercado]],FIND("vs",base[[#This Row],[Evento / Mercado]])-2)</f>
        <v>IFK Göteborg</v>
      </c>
      <c r="R33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Tallinna FC Levadia</v>
      </c>
      <c r="S3322" s="132" t="str">
        <f>LEFT(base[[#This Row],[Evento / Mercado]],FIND("/",base[[#This Row],[Evento / Mercado]])-2)</f>
        <v>IFK Göteborg vs Tallinna FC Levadia</v>
      </c>
    </row>
    <row r="3323" spans="2:21" ht="15" customHeight="1">
      <c r="B3323" s="128" t="s">
        <v>3318</v>
      </c>
      <c r="C3323" s="128" t="s">
        <v>2982</v>
      </c>
      <c r="D3323" s="129">
        <v>46224.694236111114</v>
      </c>
      <c r="E3323" s="130">
        <v>14.33</v>
      </c>
      <c r="F3323" s="136">
        <v>4.4999999999999998E-2</v>
      </c>
      <c r="G3323" s="126">
        <f t="shared" si="71"/>
        <v>15.005235602094242</v>
      </c>
      <c r="H3323" s="126" t="s">
        <v>1339</v>
      </c>
      <c r="I3323" s="127" t="s">
        <v>1236</v>
      </c>
      <c r="J3323" s="126">
        <v>9.1999999999999993</v>
      </c>
      <c r="K3323" s="126">
        <v>15</v>
      </c>
      <c r="L3323" s="129">
        <f>INT(base[[#This Row],[Data de liquidação]])</f>
        <v>46224</v>
      </c>
      <c r="M3323" s="126">
        <f>base[[#This Row],[L/P Bruto]]-base[[#This Row],[L/P Líquido]]</f>
        <v>0.67523560209424183</v>
      </c>
      <c r="N3323" s="126">
        <f>base[[#This Row],[L/P Líquido]]/base[[#This Row],[Stake/Responsabilidade]]</f>
        <v>0.95533333333333337</v>
      </c>
      <c r="O3323" s="132">
        <f>IF(base[[#This Row],[L/P Líquido]]&gt;0,1,0)</f>
        <v>1</v>
      </c>
      <c r="P3323" s="132"/>
      <c r="Q3323" s="132" t="str">
        <f>LEFT(base[[#This Row],[Evento / Mercado]],FIND("vs",base[[#This Row],[Evento / Mercado]])-2)</f>
        <v>SK Puntigamer Sturm Graz</v>
      </c>
      <c r="R33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Hearts</v>
      </c>
      <c r="S3323" s="132" t="str">
        <f>LEFT(base[[#This Row],[Evento / Mercado]],FIND("/",base[[#This Row],[Evento / Mercado]])-2)</f>
        <v>SK Puntigamer Sturm Graz vs Hearts</v>
      </c>
    </row>
    <row r="3324" spans="2:21" ht="15" customHeight="1">
      <c r="B3324" s="128" t="s">
        <v>3317</v>
      </c>
      <c r="C3324" s="128" t="s">
        <v>2982</v>
      </c>
      <c r="D3324" s="129">
        <v>46224.697766203702</v>
      </c>
      <c r="E3324" s="130">
        <v>-11.95</v>
      </c>
      <c r="F3324" s="136">
        <v>4.4999999999999998E-2</v>
      </c>
      <c r="G3324" s="126">
        <f t="shared" si="71"/>
        <v>-11.95</v>
      </c>
      <c r="H3324" s="126" t="s">
        <v>1339</v>
      </c>
      <c r="I3324" s="127" t="s">
        <v>1236</v>
      </c>
      <c r="J3324" s="126">
        <v>11.5</v>
      </c>
      <c r="K3324" s="126">
        <v>15</v>
      </c>
      <c r="L3324" s="129">
        <f>INT(base[[#This Row],[Data de liquidação]])</f>
        <v>46224</v>
      </c>
      <c r="M3324" s="126">
        <f>base[[#This Row],[L/P Bruto]]-base[[#This Row],[L/P Líquido]]</f>
        <v>0</v>
      </c>
      <c r="N3324" s="126">
        <f>base[[#This Row],[L/P Líquido]]/base[[#This Row],[Stake/Responsabilidade]]</f>
        <v>-0.79666666666666663</v>
      </c>
      <c r="O3324" s="132">
        <f>IF(base[[#This Row],[L/P Líquido]]&gt;0,1,0)</f>
        <v>0</v>
      </c>
      <c r="P3324" s="132"/>
      <c r="Q3324" s="132" t="str">
        <f>LEFT(base[[#This Row],[Evento / Mercado]],FIND("vs",base[[#This Row],[Evento / Mercado]])-2)</f>
        <v>FC Thun</v>
      </c>
      <c r="R33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Dinamo Zagreb</v>
      </c>
      <c r="S3324" s="132" t="str">
        <f>LEFT(base[[#This Row],[Evento / Mercado]],FIND("/",base[[#This Row],[Evento / Mercado]])-2)</f>
        <v>FC Thun vs Dinamo Zagreb</v>
      </c>
    </row>
    <row r="3325" spans="2:21" ht="15" customHeight="1">
      <c r="B3325" s="128" t="s">
        <v>3316</v>
      </c>
      <c r="C3325" s="128" t="s">
        <v>2982</v>
      </c>
      <c r="D3325" s="129">
        <v>46224.703136574077</v>
      </c>
      <c r="E3325" s="130">
        <v>-5.25</v>
      </c>
      <c r="F3325" s="136">
        <v>4.4999999999999998E-2</v>
      </c>
      <c r="G3325" s="126">
        <f t="shared" si="71"/>
        <v>-5.25</v>
      </c>
      <c r="H3325" s="126" t="s">
        <v>1339</v>
      </c>
      <c r="I3325" s="127" t="s">
        <v>1236</v>
      </c>
      <c r="J3325" s="126">
        <v>7.67</v>
      </c>
      <c r="K3325" s="126">
        <v>15</v>
      </c>
      <c r="L3325" s="129">
        <f>INT(base[[#This Row],[Data de liquidação]])</f>
        <v>46224</v>
      </c>
      <c r="M3325" s="126">
        <f>base[[#This Row],[L/P Bruto]]-base[[#This Row],[L/P Líquido]]</f>
        <v>0</v>
      </c>
      <c r="N3325" s="126">
        <f>base[[#This Row],[L/P Líquido]]/base[[#This Row],[Stake/Responsabilidade]]</f>
        <v>-0.35</v>
      </c>
      <c r="O3325" s="132">
        <f>IF(base[[#This Row],[L/P Líquido]]&gt;0,1,0)</f>
        <v>0</v>
      </c>
      <c r="P3325" s="132"/>
      <c r="Q3325" s="132" t="str">
        <f>LEFT(base[[#This Row],[Evento / Mercado]],FIND("vs",base[[#This Row],[Evento / Mercado]])-2)</f>
        <v>Fenerbahçe SK</v>
      </c>
      <c r="R33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Górnik Zabrze</v>
      </c>
      <c r="S3325" s="132" t="str">
        <f>LEFT(base[[#This Row],[Evento / Mercado]],FIND("/",base[[#This Row],[Evento / Mercado]])-2)</f>
        <v>Fenerbahçe SK vs Górnik Zabrze</v>
      </c>
    </row>
    <row r="3326" spans="2:21" ht="15" customHeight="1">
      <c r="B3326" s="128" t="s">
        <v>3315</v>
      </c>
      <c r="C3326" s="128" t="s">
        <v>2982</v>
      </c>
      <c r="D3326" s="129">
        <v>46224.868101851855</v>
      </c>
      <c r="E3326" s="130">
        <v>3.87</v>
      </c>
      <c r="F3326" s="136">
        <v>4.4999999999999998E-2</v>
      </c>
      <c r="G3326" s="126">
        <f t="shared" si="71"/>
        <v>4.0523560209424083</v>
      </c>
      <c r="H3326" s="126" t="s">
        <v>1339</v>
      </c>
      <c r="I3326" s="127" t="s">
        <v>2404</v>
      </c>
      <c r="J3326" s="126">
        <v>1.81</v>
      </c>
      <c r="K3326" s="126">
        <v>5</v>
      </c>
      <c r="L3326" s="129">
        <f>INT(base[[#This Row],[Data de liquidação]])</f>
        <v>46224</v>
      </c>
      <c r="M3326" s="126">
        <f>base[[#This Row],[L/P Bruto]]-base[[#This Row],[L/P Líquido]]</f>
        <v>0.18235602094240821</v>
      </c>
      <c r="N3326" s="126">
        <f>base[[#This Row],[L/P Líquido]]/base[[#This Row],[Stake/Responsabilidade]]</f>
        <v>0.77400000000000002</v>
      </c>
      <c r="O3326" s="132">
        <f>IF(base[[#This Row],[L/P Líquido]]&gt;0,1,0)</f>
        <v>1</v>
      </c>
      <c r="P3326" s="132"/>
      <c r="Q3326" s="132" t="str">
        <f>LEFT(base[[#This Row],[Evento / Mercado]],FIND("vs",base[[#This Row],[Evento / Mercado]])-2)</f>
        <v>Atlético Mineiro</v>
      </c>
      <c r="R33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3326" s="132" t="str">
        <f>LEFT(base[[#This Row],[Evento / Mercado]],FIND("/",base[[#This Row],[Evento / Mercado]])-2)</f>
        <v>Atlético Mineiro vs Esporte Clube Bahia</v>
      </c>
    </row>
    <row r="3327" spans="2:21" ht="15" customHeight="1">
      <c r="B3327" s="128" t="s">
        <v>3314</v>
      </c>
      <c r="C3327" s="128" t="s">
        <v>2982</v>
      </c>
      <c r="D3327" s="129">
        <v>46224.885937500003</v>
      </c>
      <c r="E3327" s="130">
        <v>7.3057499999999997</v>
      </c>
      <c r="F3327" s="136">
        <v>4.4999999999999998E-2</v>
      </c>
      <c r="G3327" s="126">
        <f t="shared" si="71"/>
        <v>7.65</v>
      </c>
      <c r="H3327" s="126" t="s">
        <v>1339</v>
      </c>
      <c r="I3327" s="127" t="s">
        <v>1933</v>
      </c>
      <c r="J3327" s="126">
        <v>1.51</v>
      </c>
      <c r="K3327" s="126">
        <v>15</v>
      </c>
      <c r="L3327" s="129">
        <f>INT(base[[#This Row],[Data de liquidação]])</f>
        <v>46224</v>
      </c>
      <c r="M3327" s="126">
        <f>base[[#This Row],[L/P Bruto]]-base[[#This Row],[L/P Líquido]]</f>
        <v>0.34425000000000061</v>
      </c>
      <c r="N3327" s="126">
        <f>base[[#This Row],[L/P Líquido]]/base[[#This Row],[Stake/Responsabilidade]]</f>
        <v>0.48704999999999998</v>
      </c>
      <c r="O3327" s="132">
        <f>IF(base[[#This Row],[L/P Líquido]]&gt;0,1,0)</f>
        <v>1</v>
      </c>
      <c r="P3327" s="132"/>
      <c r="Q3327" s="132" t="str">
        <f>LEFT(base[[#This Row],[Evento / Mercado]],FIND("vs",base[[#This Row],[Evento / Mercado]])-2)</f>
        <v>Gremio Novorizontino</v>
      </c>
      <c r="R33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Criciúma EC</v>
      </c>
      <c r="S3327" s="132" t="str">
        <f>LEFT(base[[#This Row],[Evento / Mercado]],FIND("/",base[[#This Row],[Evento / Mercado]])-2)</f>
        <v>Gremio Novorizontino vs Criciúma EC</v>
      </c>
      <c r="T3327" s="8">
        <v>7.65</v>
      </c>
      <c r="U3327" s="9">
        <f t="shared" ref="U3327:U3328" si="74">T3327*0.955</f>
        <v>7.3057499999999997</v>
      </c>
    </row>
    <row r="3328" spans="2:21" ht="15" customHeight="1">
      <c r="B3328" s="128" t="s">
        <v>3314</v>
      </c>
      <c r="C3328" s="128" t="s">
        <v>2982</v>
      </c>
      <c r="D3328" s="129">
        <v>46224.885937500003</v>
      </c>
      <c r="E3328" s="130">
        <v>22.919999999999998</v>
      </c>
      <c r="F3328" s="136">
        <v>4.4999999999999998E-2</v>
      </c>
      <c r="G3328" s="126">
        <f t="shared" si="71"/>
        <v>24</v>
      </c>
      <c r="H3328" s="126" t="s">
        <v>3004</v>
      </c>
      <c r="I3328" s="127" t="s">
        <v>75</v>
      </c>
      <c r="J3328" s="126">
        <v>1.48</v>
      </c>
      <c r="K3328" s="126">
        <v>50</v>
      </c>
      <c r="L3328" s="129">
        <f>INT(base[[#This Row],[Data de liquidação]])</f>
        <v>46224</v>
      </c>
      <c r="M3328" s="126">
        <f>base[[#This Row],[L/P Bruto]]-base[[#This Row],[L/P Líquido]]</f>
        <v>1.0800000000000018</v>
      </c>
      <c r="N3328" s="126">
        <f>base[[#This Row],[L/P Líquido]]/base[[#This Row],[Stake/Responsabilidade]]</f>
        <v>0.45839999999999997</v>
      </c>
      <c r="O3328" s="132">
        <f>IF(base[[#This Row],[L/P Líquido]]&gt;0,1,0)</f>
        <v>1</v>
      </c>
      <c r="P3328" s="132"/>
      <c r="Q3328" s="132" t="str">
        <f>LEFT(base[[#This Row],[Evento / Mercado]],FIND("vs",base[[#This Row],[Evento / Mercado]])-2)</f>
        <v>Gremio Novorizontino</v>
      </c>
      <c r="R33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Criciúma EC</v>
      </c>
      <c r="S3328" s="132" t="str">
        <f>LEFT(base[[#This Row],[Evento / Mercado]],FIND("/",base[[#This Row],[Evento / Mercado]])-2)</f>
        <v>Gremio Novorizontino vs Criciúma EC</v>
      </c>
      <c r="T3328" s="8">
        <v>24</v>
      </c>
      <c r="U3328" s="9">
        <f t="shared" si="74"/>
        <v>22.919999999999998</v>
      </c>
    </row>
    <row r="3329" spans="2:19" ht="15" customHeight="1">
      <c r="B3329" s="128" t="s">
        <v>3313</v>
      </c>
      <c r="C3329" s="128" t="s">
        <v>2982</v>
      </c>
      <c r="D3329" s="129">
        <v>46224.891180555554</v>
      </c>
      <c r="E3329" s="130">
        <v>-19.77</v>
      </c>
      <c r="F3329" s="136">
        <v>4.4999999999999998E-2</v>
      </c>
      <c r="G3329" s="126">
        <f t="shared" si="71"/>
        <v>-19.77</v>
      </c>
      <c r="H3329" s="126" t="s">
        <v>2820</v>
      </c>
      <c r="I3329" s="127" t="s">
        <v>13</v>
      </c>
      <c r="J3329" s="126">
        <f>(2.52+4.1)/2</f>
        <v>3.3099999999999996</v>
      </c>
      <c r="K3329" s="126">
        <v>100</v>
      </c>
      <c r="L3329" s="129">
        <f>INT(base[[#This Row],[Data de liquidação]])</f>
        <v>46224</v>
      </c>
      <c r="M3329" s="126">
        <f>base[[#This Row],[L/P Bruto]]-base[[#This Row],[L/P Líquido]]</f>
        <v>0</v>
      </c>
      <c r="N3329" s="126">
        <f>base[[#This Row],[L/P Líquido]]/base[[#This Row],[Stake/Responsabilidade]]</f>
        <v>-0.19769999999999999</v>
      </c>
      <c r="O3329" s="132">
        <f>IF(base[[#This Row],[L/P Líquido]]&gt;0,1,0)</f>
        <v>0</v>
      </c>
      <c r="P3329" s="132"/>
      <c r="Q3329" s="132" t="str">
        <f>LEFT(base[[#This Row],[Evento / Mercado]],FIND("vs",base[[#This Row],[Evento / Mercado]])-2)</f>
        <v>Avaí FC</v>
      </c>
      <c r="R33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3329" s="132" t="str">
        <f>LEFT(base[[#This Row],[Evento / Mercado]],FIND("/",base[[#This Row],[Evento / Mercado]])-2)</f>
        <v>Avaí FC vs América-MG</v>
      </c>
    </row>
    <row r="3330" spans="2:19" ht="15" customHeight="1">
      <c r="B3330" s="128" t="s">
        <v>3312</v>
      </c>
      <c r="C3330" s="128" t="s">
        <v>2982</v>
      </c>
      <c r="D3330" s="129">
        <v>46224.896412037036</v>
      </c>
      <c r="E3330" s="130">
        <v>14.47</v>
      </c>
      <c r="F3330" s="136">
        <v>4.4999999999999998E-2</v>
      </c>
      <c r="G3330" s="126">
        <f t="shared" si="71"/>
        <v>15.151832460732985</v>
      </c>
      <c r="H3330" s="127" t="s">
        <v>3304</v>
      </c>
      <c r="I3330" s="127"/>
      <c r="J3330" s="126">
        <v>34</v>
      </c>
      <c r="K3330" s="126">
        <v>499.95</v>
      </c>
      <c r="L3330" s="129">
        <f>INT(base[[#This Row],[Data de liquidação]])</f>
        <v>46224</v>
      </c>
      <c r="M3330" s="126">
        <f>base[[#This Row],[L/P Bruto]]-base[[#This Row],[L/P Líquido]]</f>
        <v>0.6818324607329842</v>
      </c>
      <c r="N3330" s="126">
        <f>base[[#This Row],[L/P Líquido]]/base[[#This Row],[Stake/Responsabilidade]]</f>
        <v>2.8942894289428946E-2</v>
      </c>
      <c r="O3330" s="132">
        <f>IF(base[[#This Row],[L/P Líquido]]&gt;0,1,0)</f>
        <v>1</v>
      </c>
      <c r="P3330" s="132"/>
      <c r="Q3330" s="132" t="str">
        <f>LEFT(base[[#This Row],[Evento / Mercado]],FIND("vs",base[[#This Row],[Evento / Mercado]])-2)</f>
        <v>Avaí FC</v>
      </c>
      <c r="R33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3330" s="132" t="str">
        <f>LEFT(base[[#This Row],[Evento / Mercado]],FIND("/",base[[#This Row],[Evento / Mercado]])-2)</f>
        <v>Avaí FC vs América-MG</v>
      </c>
    </row>
    <row r="3331" spans="2:19" ht="15" customHeight="1">
      <c r="B3331" s="128" t="s">
        <v>3322</v>
      </c>
      <c r="C3331" s="128" t="s">
        <v>2981</v>
      </c>
      <c r="D3331" s="129">
        <v>46224.999363425923</v>
      </c>
      <c r="E3331" s="130">
        <v>-26.09</v>
      </c>
      <c r="F3331" s="136">
        <v>4.4999999999999998E-2</v>
      </c>
      <c r="G3331" s="126">
        <f t="shared" ref="G3331:G3394" si="75">IF(E3331&gt;0,E3331/(1-F3331),E3331)</f>
        <v>-26.09</v>
      </c>
      <c r="H3331" s="126" t="s">
        <v>2743</v>
      </c>
      <c r="I3331" s="127" t="s">
        <v>2744</v>
      </c>
      <c r="J3331" s="126">
        <v>12.5</v>
      </c>
      <c r="K3331" s="126">
        <v>26.09</v>
      </c>
      <c r="L3331" s="129">
        <f>INT(base[[#This Row],[Data de liquidação]])</f>
        <v>46224</v>
      </c>
      <c r="M3331" s="126">
        <f>base[[#This Row],[L/P Bruto]]-base[[#This Row],[L/P Líquido]]</f>
        <v>0</v>
      </c>
      <c r="N3331" s="126">
        <f>base[[#This Row],[L/P Líquido]]/base[[#This Row],[Stake/Responsabilidade]]</f>
        <v>-1</v>
      </c>
      <c r="O3331" s="132">
        <f>IF(base[[#This Row],[L/P Líquido]]&gt;0,1,0)</f>
        <v>0</v>
      </c>
      <c r="P3331" s="132"/>
      <c r="Q3331" s="132" t="str">
        <f>LEFT(base[[#This Row],[Evento / Mercado]],FIND("vs",base[[#This Row],[Evento / Mercado]])-2)</f>
        <v>Cruz Azul</v>
      </c>
      <c r="R33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Puebla</v>
      </c>
      <c r="S3331" s="132" t="str">
        <f>LEFT(base[[#This Row],[Evento / Mercado]],FIND("/",base[[#This Row],[Evento / Mercado]])-2)</f>
        <v>Cruz Azul vs Puebla</v>
      </c>
    </row>
    <row r="3332" spans="2:19" ht="15" customHeight="1">
      <c r="B3332" s="128" t="s">
        <v>3311</v>
      </c>
      <c r="C3332" s="128" t="s">
        <v>2982</v>
      </c>
      <c r="D3332" s="129">
        <v>46224.999479166669</v>
      </c>
      <c r="E3332" s="130">
        <v>23.67</v>
      </c>
      <c r="F3332" s="136">
        <v>4.4999999999999998E-2</v>
      </c>
      <c r="G3332" s="126">
        <f t="shared" si="75"/>
        <v>24.785340314136128</v>
      </c>
      <c r="H3332" s="126" t="s">
        <v>2817</v>
      </c>
      <c r="I3332" s="127" t="s">
        <v>2992</v>
      </c>
      <c r="J3332" s="126">
        <f>(3.25*97.83+100.04*9.2)/base[[#This Row],[Stake/Responsabilidade]]</f>
        <v>6.2582276241977048</v>
      </c>
      <c r="K3332" s="126">
        <f>100.04+97.83</f>
        <v>197.87</v>
      </c>
      <c r="L3332" s="129">
        <f>INT(base[[#This Row],[Data de liquidação]])</f>
        <v>46224</v>
      </c>
      <c r="M3332" s="126">
        <f>base[[#This Row],[L/P Bruto]]-base[[#This Row],[L/P Líquido]]</f>
        <v>1.1153403141361267</v>
      </c>
      <c r="N3332" s="126">
        <f>base[[#This Row],[L/P Líquido]]/base[[#This Row],[Stake/Responsabilidade]]</f>
        <v>0.11962399555263557</v>
      </c>
      <c r="O3332" s="132">
        <f>IF(base[[#This Row],[L/P Líquido]]&gt;0,1,0)</f>
        <v>1</v>
      </c>
      <c r="P3332" s="132"/>
      <c r="Q3332" s="132" t="str">
        <f>LEFT(base[[#This Row],[Evento / Mercado]],FIND("vs",base[[#This Row],[Evento / Mercado]])-2)</f>
        <v>Cruz Azul</v>
      </c>
      <c r="R33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Puebla</v>
      </c>
      <c r="S3332" s="132" t="str">
        <f>LEFT(base[[#This Row],[Evento / Mercado]],FIND("/",base[[#This Row],[Evento / Mercado]])-2)</f>
        <v>Cruz Azul vs Puebla</v>
      </c>
    </row>
    <row r="3333" spans="2:19" ht="15" customHeight="1">
      <c r="B3333" s="128" t="s">
        <v>3311</v>
      </c>
      <c r="C3333" s="128" t="s">
        <v>2981</v>
      </c>
      <c r="D3333" s="129">
        <v>46224.999479166669</v>
      </c>
      <c r="E3333" s="130">
        <v>35.89</v>
      </c>
      <c r="F3333" s="136">
        <v>4.4999999999999998E-2</v>
      </c>
      <c r="G3333" s="126">
        <f t="shared" si="75"/>
        <v>37.581151832460733</v>
      </c>
      <c r="H3333" s="126" t="s">
        <v>2743</v>
      </c>
      <c r="I3333" s="127" t="s">
        <v>1233</v>
      </c>
      <c r="J3333" s="126">
        <v>6.2</v>
      </c>
      <c r="K3333" s="126">
        <v>299.99</v>
      </c>
      <c r="L3333" s="129">
        <f>INT(base[[#This Row],[Data de liquidação]])</f>
        <v>46224</v>
      </c>
      <c r="M3333" s="126">
        <f>base[[#This Row],[L/P Bruto]]-base[[#This Row],[L/P Líquido]]</f>
        <v>1.6911518324607329</v>
      </c>
      <c r="N3333" s="126">
        <f>base[[#This Row],[L/P Líquido]]/base[[#This Row],[Stake/Responsabilidade]]</f>
        <v>0.11963732124404147</v>
      </c>
      <c r="O3333" s="132">
        <f>IF(base[[#This Row],[L/P Líquido]]&gt;0,1,0)</f>
        <v>1</v>
      </c>
      <c r="P3333" s="132"/>
      <c r="Q3333" s="132" t="str">
        <f>LEFT(base[[#This Row],[Evento / Mercado]],FIND("vs",base[[#This Row],[Evento / Mercado]])-2)</f>
        <v>Cruz Azul</v>
      </c>
      <c r="R33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Puebla</v>
      </c>
      <c r="S3333" s="132" t="str">
        <f>LEFT(base[[#This Row],[Evento / Mercado]],FIND("/",base[[#This Row],[Evento / Mercado]])-2)</f>
        <v>Cruz Azul vs Puebla</v>
      </c>
    </row>
    <row r="3334" spans="2:19" ht="15" customHeight="1">
      <c r="B3334" s="128" t="s">
        <v>3340</v>
      </c>
      <c r="C3334" s="128" t="s">
        <v>2982</v>
      </c>
      <c r="D3334" s="129">
        <v>46225.893217592595</v>
      </c>
      <c r="E3334" s="130">
        <v>20.76</v>
      </c>
      <c r="F3334" s="136">
        <v>4.4999999999999998E-2</v>
      </c>
      <c r="G3334" s="126">
        <f t="shared" si="75"/>
        <v>21.738219895287962</v>
      </c>
      <c r="H3334" s="127" t="s">
        <v>3304</v>
      </c>
      <c r="I3334" s="127"/>
      <c r="J3334" s="126">
        <v>24</v>
      </c>
      <c r="K3334" s="126">
        <v>500.02</v>
      </c>
      <c r="L3334" s="129">
        <f>INT(base[[#This Row],[Data de liquidação]])</f>
        <v>46225</v>
      </c>
      <c r="M3334" s="126">
        <f>base[[#This Row],[L/P Bruto]]-base[[#This Row],[L/P Líquido]]</f>
        <v>0.97821989528796038</v>
      </c>
      <c r="N3334" s="126">
        <f>base[[#This Row],[L/P Líquido]]/base[[#This Row],[Stake/Responsabilidade]]</f>
        <v>4.1518339266429345E-2</v>
      </c>
      <c r="O3334" s="132">
        <f>IF(base[[#This Row],[L/P Líquido]]&gt;0,1,0)</f>
        <v>1</v>
      </c>
      <c r="P3334" s="132"/>
      <c r="Q3334" s="132" t="str">
        <f>LEFT(base[[#This Row],[Evento / Mercado]],FIND("vs",base[[#This Row],[Evento / Mercado]])-2)</f>
        <v>Ceará SC</v>
      </c>
      <c r="R33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CRB</v>
      </c>
      <c r="S3334" s="132" t="str">
        <f>LEFT(base[[#This Row],[Evento / Mercado]],FIND("/",base[[#This Row],[Evento / Mercado]])-2)</f>
        <v>Ceará SC vs CRB</v>
      </c>
    </row>
    <row r="3335" spans="2:19" ht="15" customHeight="1">
      <c r="B3335" s="128" t="s">
        <v>3339</v>
      </c>
      <c r="C3335" s="128" t="s">
        <v>2982</v>
      </c>
      <c r="D3335" s="129">
        <v>46225.896469907406</v>
      </c>
      <c r="E3335" s="130">
        <v>39.79</v>
      </c>
      <c r="F3335" s="136">
        <v>4.4999999999999998E-2</v>
      </c>
      <c r="G3335" s="126">
        <f t="shared" si="75"/>
        <v>41.66492146596859</v>
      </c>
      <c r="H3335" s="126" t="s">
        <v>3261</v>
      </c>
      <c r="I3335" s="127" t="s">
        <v>542</v>
      </c>
      <c r="J3335" s="126">
        <v>13</v>
      </c>
      <c r="K3335" s="126">
        <v>500.04</v>
      </c>
      <c r="L3335" s="129">
        <f>INT(base[[#This Row],[Data de liquidação]])</f>
        <v>46225</v>
      </c>
      <c r="M3335" s="126">
        <f>base[[#This Row],[L/P Bruto]]-base[[#This Row],[L/P Líquido]]</f>
        <v>1.8749214659685904</v>
      </c>
      <c r="N3335" s="126">
        <f>base[[#This Row],[L/P Líquido]]/base[[#This Row],[Stake/Responsabilidade]]</f>
        <v>7.9573634109271249E-2</v>
      </c>
      <c r="O3335" s="132">
        <f>IF(base[[#This Row],[L/P Líquido]]&gt;0,1,0)</f>
        <v>1</v>
      </c>
      <c r="P3335" s="132"/>
      <c r="Q3335" s="132" t="str">
        <f>LEFT(base[[#This Row],[Evento / Mercado]],FIND("vs",base[[#This Row],[Evento / Mercado]])-2)</f>
        <v>Coritiba</v>
      </c>
      <c r="R33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Palmeiras</v>
      </c>
      <c r="S3335" s="132" t="str">
        <f>LEFT(base[[#This Row],[Evento / Mercado]],FIND("/",base[[#This Row],[Evento / Mercado]])-2)</f>
        <v>Coritiba vs Palmeiras</v>
      </c>
    </row>
    <row r="3336" spans="2:19" ht="15" customHeight="1">
      <c r="B3336" s="128" t="s">
        <v>3342</v>
      </c>
      <c r="C3336" s="128" t="s">
        <v>2981</v>
      </c>
      <c r="D3336" s="129">
        <v>46225.897766203707</v>
      </c>
      <c r="E3336" s="130">
        <v>-28.57</v>
      </c>
      <c r="F3336" s="136">
        <v>4.4999999999999998E-2</v>
      </c>
      <c r="G3336" s="126">
        <f t="shared" si="75"/>
        <v>-28.57</v>
      </c>
      <c r="H3336" s="126" t="s">
        <v>2743</v>
      </c>
      <c r="I3336" s="127" t="s">
        <v>2744</v>
      </c>
      <c r="J3336" s="126">
        <v>11.5</v>
      </c>
      <c r="K3336" s="126">
        <v>28.57</v>
      </c>
      <c r="L3336" s="129">
        <f>INT(base[[#This Row],[Data de liquidação]])</f>
        <v>46225</v>
      </c>
      <c r="M3336" s="126">
        <f>base[[#This Row],[L/P Bruto]]-base[[#This Row],[L/P Líquido]]</f>
        <v>0</v>
      </c>
      <c r="N3336" s="126">
        <f>base[[#This Row],[L/P Líquido]]/base[[#This Row],[Stake/Responsabilidade]]</f>
        <v>-1</v>
      </c>
      <c r="O3336" s="132">
        <f>IF(base[[#This Row],[L/P Líquido]]&gt;0,1,0)</f>
        <v>0</v>
      </c>
      <c r="P3336" s="132"/>
      <c r="Q3336" s="132" t="str">
        <f>LEFT(base[[#This Row],[Evento / Mercado]],FIND("vs",base[[#This Row],[Evento / Mercado]])-2)</f>
        <v>Operário Ferroviário</v>
      </c>
      <c r="R33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336" s="132" t="str">
        <f>LEFT(base[[#This Row],[Evento / Mercado]],FIND("/",base[[#This Row],[Evento / Mercado]])-2)</f>
        <v>Operário Ferroviário vs Atlética Ponte Preta</v>
      </c>
    </row>
    <row r="3337" spans="2:19" ht="15" customHeight="1">
      <c r="B3337" s="128" t="s">
        <v>3338</v>
      </c>
      <c r="C3337" s="128" t="s">
        <v>2981</v>
      </c>
      <c r="D3337" s="129">
        <v>46225.897962962961</v>
      </c>
      <c r="E3337" s="130">
        <v>-44.45</v>
      </c>
      <c r="F3337" s="136">
        <v>4.4999999999999998E-2</v>
      </c>
      <c r="G3337" s="126">
        <f t="shared" si="75"/>
        <v>-44.45</v>
      </c>
      <c r="H3337" s="126" t="s">
        <v>2743</v>
      </c>
      <c r="I3337" s="127" t="s">
        <v>1233</v>
      </c>
      <c r="J3337" s="126">
        <v>5.5</v>
      </c>
      <c r="K3337" s="126">
        <v>300.02</v>
      </c>
      <c r="L3337" s="129">
        <f>INT(base[[#This Row],[Data de liquidação]])</f>
        <v>46225</v>
      </c>
      <c r="M3337" s="126">
        <f>base[[#This Row],[L/P Bruto]]-base[[#This Row],[L/P Líquido]]</f>
        <v>0</v>
      </c>
      <c r="N3337" s="126">
        <f>base[[#This Row],[L/P Líquido]]/base[[#This Row],[Stake/Responsabilidade]]</f>
        <v>-0.14815678954736353</v>
      </c>
      <c r="O3337" s="132">
        <f>IF(base[[#This Row],[L/P Líquido]]&gt;0,1,0)</f>
        <v>0</v>
      </c>
      <c r="P3337" s="132"/>
      <c r="Q3337" s="132" t="str">
        <f>LEFT(base[[#This Row],[Evento / Mercado]],FIND("vs",base[[#This Row],[Evento / Mercado]])-2)</f>
        <v>Operário Ferroviário</v>
      </c>
      <c r="R33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337" s="132" t="str">
        <f>LEFT(base[[#This Row],[Evento / Mercado]],FIND("/",base[[#This Row],[Evento / Mercado]])-2)</f>
        <v>Operário Ferroviário vs Atlética Ponte Preta</v>
      </c>
    </row>
    <row r="3338" spans="2:19" ht="15" customHeight="1">
      <c r="B3338" s="128" t="s">
        <v>3338</v>
      </c>
      <c r="C3338" s="128" t="s">
        <v>2982</v>
      </c>
      <c r="D3338" s="129">
        <v>46225.897974537038</v>
      </c>
      <c r="E3338" s="130">
        <v>13.48</v>
      </c>
      <c r="F3338" s="136">
        <v>4.4999999999999998E-2</v>
      </c>
      <c r="G3338" s="126">
        <f t="shared" si="75"/>
        <v>14.115183246073299</v>
      </c>
      <c r="H3338" s="126" t="s">
        <v>2817</v>
      </c>
      <c r="I3338" s="127" t="s">
        <v>2992</v>
      </c>
      <c r="J3338" s="126">
        <f>(13*99.96+3.75*99.99)/base[[#This Row],[Stake/Responsabilidade]]</f>
        <v>8.3743060765191313</v>
      </c>
      <c r="K3338" s="126">
        <f>99.96+99.99</f>
        <v>199.95</v>
      </c>
      <c r="L3338" s="129">
        <f>INT(base[[#This Row],[Data de liquidação]])</f>
        <v>46225</v>
      </c>
      <c r="M3338" s="126">
        <f>base[[#This Row],[L/P Bruto]]-base[[#This Row],[L/P Líquido]]</f>
        <v>0.63518324607329824</v>
      </c>
      <c r="N3338" s="126">
        <f>base[[#This Row],[L/P Líquido]]/base[[#This Row],[Stake/Responsabilidade]]</f>
        <v>6.7416854213553395E-2</v>
      </c>
      <c r="O3338" s="132">
        <f>IF(base[[#This Row],[L/P Líquido]]&gt;0,1,0)</f>
        <v>1</v>
      </c>
      <c r="P3338" s="132"/>
      <c r="Q3338" s="132" t="str">
        <f>LEFT(base[[#This Row],[Evento / Mercado]],FIND("vs",base[[#This Row],[Evento / Mercado]])-2)</f>
        <v>Operário Ferroviário</v>
      </c>
      <c r="R33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338" s="132" t="str">
        <f>LEFT(base[[#This Row],[Evento / Mercado]],FIND("/",base[[#This Row],[Evento / Mercado]])-2)</f>
        <v>Operário Ferroviário vs Atlética Ponte Preta</v>
      </c>
    </row>
    <row r="3339" spans="2:19" ht="15" customHeight="1">
      <c r="B3339" s="128" t="s">
        <v>3337</v>
      </c>
      <c r="C3339" s="128" t="s">
        <v>2982</v>
      </c>
      <c r="D3339" s="129">
        <v>46225.939456018517</v>
      </c>
      <c r="E3339" s="130">
        <v>22.04</v>
      </c>
      <c r="F3339" s="136">
        <v>4.4999999999999998E-2</v>
      </c>
      <c r="G3339" s="126">
        <f t="shared" si="75"/>
        <v>23.078534031413614</v>
      </c>
      <c r="H3339" s="126" t="s">
        <v>2761</v>
      </c>
      <c r="I3339" s="127" t="s">
        <v>476</v>
      </c>
      <c r="J3339" s="126">
        <v>14</v>
      </c>
      <c r="K3339" s="126">
        <v>300.04000000000002</v>
      </c>
      <c r="L3339" s="129">
        <f>INT(base[[#This Row],[Data de liquidação]])</f>
        <v>46225</v>
      </c>
      <c r="M3339" s="126">
        <f>base[[#This Row],[L/P Bruto]]-base[[#This Row],[L/P Líquido]]</f>
        <v>1.0385340314136151</v>
      </c>
      <c r="N3339" s="126">
        <f>base[[#This Row],[L/P Líquido]]/base[[#This Row],[Stake/Responsabilidade]]</f>
        <v>7.3456872417011057E-2</v>
      </c>
      <c r="O3339" s="132">
        <f>IF(base[[#This Row],[L/P Líquido]]&gt;0,1,0)</f>
        <v>1</v>
      </c>
      <c r="P3339" s="132"/>
      <c r="Q3339" s="132" t="str">
        <f>LEFT(base[[#This Row],[Evento / Mercado]],FIND("vs",base[[#This Row],[Evento / Mercado]])-2)</f>
        <v>New England Revolution</v>
      </c>
      <c r="R33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3339" s="132" t="str">
        <f>LEFT(base[[#This Row],[Evento / Mercado]],FIND("/",base[[#This Row],[Evento / Mercado]])-2)</f>
        <v>New England Revolution vs Toronto FC</v>
      </c>
    </row>
    <row r="3340" spans="2:19" ht="15" customHeight="1">
      <c r="B3340" s="128" t="s">
        <v>3337</v>
      </c>
      <c r="C3340" s="128" t="s">
        <v>2981</v>
      </c>
      <c r="D3340" s="129">
        <v>46225.939456018517</v>
      </c>
      <c r="E3340" s="130">
        <v>-9.58</v>
      </c>
      <c r="F3340" s="136">
        <v>4.4999999999999998E-2</v>
      </c>
      <c r="G3340" s="126">
        <f t="shared" si="75"/>
        <v>-9.58</v>
      </c>
      <c r="H3340" s="126" t="s">
        <v>2743</v>
      </c>
      <c r="I3340" s="127" t="s">
        <v>2744</v>
      </c>
      <c r="J3340" s="126">
        <v>8.4</v>
      </c>
      <c r="K3340" s="126">
        <v>40.54</v>
      </c>
      <c r="L3340" s="129">
        <f>INT(base[[#This Row],[Data de liquidação]])</f>
        <v>46225</v>
      </c>
      <c r="M3340" s="126">
        <f>base[[#This Row],[L/P Bruto]]-base[[#This Row],[L/P Líquido]]</f>
        <v>0</v>
      </c>
      <c r="N3340" s="126">
        <f>base[[#This Row],[L/P Líquido]]/base[[#This Row],[Stake/Responsabilidade]]</f>
        <v>-0.23630981746423285</v>
      </c>
      <c r="O3340" s="132">
        <f>IF(base[[#This Row],[L/P Líquido]]&gt;0,1,0)</f>
        <v>0</v>
      </c>
      <c r="P3340" s="132"/>
      <c r="Q3340" s="132" t="str">
        <f>LEFT(base[[#This Row],[Evento / Mercado]],FIND("vs",base[[#This Row],[Evento / Mercado]])-2)</f>
        <v>New England Revolution</v>
      </c>
      <c r="R33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3340" s="132" t="str">
        <f>LEFT(base[[#This Row],[Evento / Mercado]],FIND("/",base[[#This Row],[Evento / Mercado]])-2)</f>
        <v>New England Revolution vs Toronto FC</v>
      </c>
    </row>
    <row r="3341" spans="2:19" ht="15" customHeight="1">
      <c r="B3341" s="128" t="s">
        <v>3336</v>
      </c>
      <c r="C3341" s="128" t="s">
        <v>2982</v>
      </c>
      <c r="D3341" s="129">
        <v>46225.939629629633</v>
      </c>
      <c r="E3341" s="130">
        <v>5.55</v>
      </c>
      <c r="F3341" s="136">
        <v>4.4999999999999998E-2</v>
      </c>
      <c r="G3341" s="126">
        <f t="shared" si="75"/>
        <v>5.8115183246073299</v>
      </c>
      <c r="H3341" s="126" t="s">
        <v>2817</v>
      </c>
      <c r="I3341" s="127" t="s">
        <v>2993</v>
      </c>
      <c r="J3341" s="126">
        <v>4.0999999999999996</v>
      </c>
      <c r="K3341" s="126">
        <v>100.01</v>
      </c>
      <c r="L3341" s="129">
        <f>INT(base[[#This Row],[Data de liquidação]])</f>
        <v>46225</v>
      </c>
      <c r="M3341" s="126">
        <f>base[[#This Row],[L/P Bruto]]-base[[#This Row],[L/P Líquido]]</f>
        <v>0.26151832460733004</v>
      </c>
      <c r="N3341" s="126">
        <f>base[[#This Row],[L/P Líquido]]/base[[#This Row],[Stake/Responsabilidade]]</f>
        <v>5.5494450554944501E-2</v>
      </c>
      <c r="O3341" s="132">
        <f>IF(base[[#This Row],[L/P Líquido]]&gt;0,1,0)</f>
        <v>1</v>
      </c>
      <c r="P3341" s="132"/>
      <c r="Q3341" s="132" t="str">
        <f>LEFT(base[[#This Row],[Evento / Mercado]],FIND("vs",base[[#This Row],[Evento / Mercado]])-2)</f>
        <v>New England Revolution</v>
      </c>
      <c r="R33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3341" s="132" t="str">
        <f>LEFT(base[[#This Row],[Evento / Mercado]],FIND("/",base[[#This Row],[Evento / Mercado]])-2)</f>
        <v>New England Revolution vs Toronto FC</v>
      </c>
    </row>
    <row r="3342" spans="2:19" ht="15" customHeight="1">
      <c r="B3342" s="128" t="s">
        <v>3336</v>
      </c>
      <c r="C3342" s="128" t="s">
        <v>2981</v>
      </c>
      <c r="D3342" s="129">
        <v>46225.939629629633</v>
      </c>
      <c r="E3342" s="130">
        <v>-87.48</v>
      </c>
      <c r="F3342" s="136">
        <v>4.4999999999999998E-2</v>
      </c>
      <c r="G3342" s="126">
        <f t="shared" si="75"/>
        <v>-87.48</v>
      </c>
      <c r="H3342" s="126" t="s">
        <v>2743</v>
      </c>
      <c r="I3342" s="127" t="s">
        <v>1233</v>
      </c>
      <c r="J3342" s="126">
        <v>3.95</v>
      </c>
      <c r="K3342" s="126">
        <v>299.99</v>
      </c>
      <c r="L3342" s="129">
        <f>INT(base[[#This Row],[Data de liquidação]])</f>
        <v>46225</v>
      </c>
      <c r="M3342" s="126">
        <f>base[[#This Row],[L/P Bruto]]-base[[#This Row],[L/P Líquido]]</f>
        <v>0</v>
      </c>
      <c r="N3342" s="126">
        <f>base[[#This Row],[L/P Líquido]]/base[[#This Row],[Stake/Responsabilidade]]</f>
        <v>-0.29160972032401078</v>
      </c>
      <c r="O3342" s="132">
        <f>IF(base[[#This Row],[L/P Líquido]]&gt;0,1,0)</f>
        <v>0</v>
      </c>
      <c r="P3342" s="132"/>
      <c r="Q3342" s="132" t="str">
        <f>LEFT(base[[#This Row],[Evento / Mercado]],FIND("vs",base[[#This Row],[Evento / Mercado]])-2)</f>
        <v>New England Revolution</v>
      </c>
      <c r="R33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3342" s="132" t="str">
        <f>LEFT(base[[#This Row],[Evento / Mercado]],FIND("/",base[[#This Row],[Evento / Mercado]])-2)</f>
        <v>New England Revolution vs Toronto FC</v>
      </c>
    </row>
    <row r="3343" spans="2:19" ht="15" customHeight="1">
      <c r="B3343" s="128" t="s">
        <v>3335</v>
      </c>
      <c r="C3343" s="128" t="s">
        <v>2982</v>
      </c>
      <c r="D3343" s="129">
        <v>46225.944837962961</v>
      </c>
      <c r="E3343" s="130">
        <v>18.059999999999999</v>
      </c>
      <c r="F3343" s="136">
        <v>4.4999999999999998E-2</v>
      </c>
      <c r="G3343" s="126">
        <f t="shared" si="75"/>
        <v>18.910994764397905</v>
      </c>
      <c r="H3343" s="126" t="s">
        <v>74</v>
      </c>
      <c r="I3343" s="127" t="s">
        <v>541</v>
      </c>
      <c r="J3343" s="126">
        <v>17.5</v>
      </c>
      <c r="K3343" s="126">
        <v>312.02</v>
      </c>
      <c r="L3343" s="129">
        <f>INT(base[[#This Row],[Data de liquidação]])</f>
        <v>46225</v>
      </c>
      <c r="M3343" s="126">
        <f>base[[#This Row],[L/P Bruto]]-base[[#This Row],[L/P Líquido]]</f>
        <v>0.85099476439790678</v>
      </c>
      <c r="N3343" s="126">
        <f>base[[#This Row],[L/P Líquido]]/base[[#This Row],[Stake/Responsabilidade]]</f>
        <v>5.788090507018781E-2</v>
      </c>
      <c r="O3343" s="132">
        <f>IF(base[[#This Row],[L/P Líquido]]&gt;0,1,0)</f>
        <v>1</v>
      </c>
      <c r="P3343" s="132"/>
      <c r="Q3343" s="132" t="str">
        <f>LEFT(base[[#This Row],[Evento / Mercado]],FIND("vs",base[[#This Row],[Evento / Mercado]])-2)</f>
        <v>FC Cincinnati</v>
      </c>
      <c r="R33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3343" s="132" t="str">
        <f>LEFT(base[[#This Row],[Evento / Mercado]],FIND("/",base[[#This Row],[Evento / Mercado]])-2)</f>
        <v>FC Cincinnati vs Vancouver Whitecaps</v>
      </c>
    </row>
    <row r="3344" spans="2:19" ht="15" customHeight="1">
      <c r="B3344" s="128" t="s">
        <v>3334</v>
      </c>
      <c r="C3344" s="128" t="s">
        <v>2982</v>
      </c>
      <c r="D3344" s="129">
        <v>46225.967766203707</v>
      </c>
      <c r="E3344" s="130">
        <v>2.62</v>
      </c>
      <c r="F3344" s="136">
        <v>4.4999999999999998E-2</v>
      </c>
      <c r="G3344" s="126">
        <f t="shared" si="75"/>
        <v>2.743455497382199</v>
      </c>
      <c r="H3344" s="126" t="s">
        <v>1339</v>
      </c>
      <c r="I3344" s="127" t="s">
        <v>2404</v>
      </c>
      <c r="J3344" s="126">
        <v>1.55</v>
      </c>
      <c r="K3344" s="126">
        <v>5</v>
      </c>
      <c r="L3344" s="129">
        <f>INT(base[[#This Row],[Data de liquidação]])</f>
        <v>46225</v>
      </c>
      <c r="M3344" s="126">
        <f>base[[#This Row],[L/P Bruto]]-base[[#This Row],[L/P Líquido]]</f>
        <v>0.12345549738219885</v>
      </c>
      <c r="N3344" s="126">
        <f>base[[#This Row],[L/P Líquido]]/base[[#This Row],[Stake/Responsabilidade]]</f>
        <v>0.52400000000000002</v>
      </c>
      <c r="O3344" s="132">
        <f>IF(base[[#This Row],[L/P Líquido]]&gt;0,1,0)</f>
        <v>1</v>
      </c>
      <c r="P3344" s="132"/>
      <c r="Q3344" s="132" t="str">
        <f>LEFT(base[[#This Row],[Evento / Mercado]],FIND("vs",base[[#This Row],[Evento / Mercado]])-2)</f>
        <v>Sporting Kansas City</v>
      </c>
      <c r="R33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Minnesota United</v>
      </c>
      <c r="S3344" s="132" t="str">
        <f>LEFT(base[[#This Row],[Evento / Mercado]],FIND("/",base[[#This Row],[Evento / Mercado]])-2)</f>
        <v>Sporting Kansas City vs Minnesota United</v>
      </c>
    </row>
    <row r="3345" spans="2:19" ht="15" customHeight="1">
      <c r="B3345" s="128" t="s">
        <v>3333</v>
      </c>
      <c r="C3345" s="128" t="s">
        <v>2982</v>
      </c>
      <c r="D3345" s="129">
        <v>46225.969375000001</v>
      </c>
      <c r="E3345" s="130">
        <v>83.09</v>
      </c>
      <c r="F3345" s="136">
        <v>4.4999999999999998E-2</v>
      </c>
      <c r="G3345" s="126">
        <f t="shared" si="75"/>
        <v>87.005235602094245</v>
      </c>
      <c r="H3345" s="126" t="s">
        <v>231</v>
      </c>
      <c r="I3345" s="127" t="s">
        <v>266</v>
      </c>
      <c r="J3345" s="126">
        <v>1.87</v>
      </c>
      <c r="K3345" s="126">
        <v>100</v>
      </c>
      <c r="L3345" s="129">
        <f>INT(base[[#This Row],[Data de liquidação]])</f>
        <v>46225</v>
      </c>
      <c r="M3345" s="126">
        <f>base[[#This Row],[L/P Bruto]]-base[[#This Row],[L/P Líquido]]</f>
        <v>3.915235602094242</v>
      </c>
      <c r="N3345" s="126">
        <f>base[[#This Row],[L/P Líquido]]/base[[#This Row],[Stake/Responsabilidade]]</f>
        <v>0.83090000000000008</v>
      </c>
      <c r="O3345" s="132">
        <f>IF(base[[#This Row],[L/P Líquido]]&gt;0,1,0)</f>
        <v>1</v>
      </c>
      <c r="P3345" s="132"/>
      <c r="Q3345" s="132" t="str">
        <f>LEFT(base[[#This Row],[Evento / Mercado]],FIND("vs",base[[#This Row],[Evento / Mercado]])-2)</f>
        <v>SC Internacional</v>
      </c>
      <c r="R33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3345" s="132" t="str">
        <f>LEFT(base[[#This Row],[Evento / Mercado]],FIND("/",base[[#This Row],[Evento / Mercado]])-2)</f>
        <v>SC Internacional vs Cruzeiro</v>
      </c>
    </row>
    <row r="3346" spans="2:19" ht="15" customHeight="1">
      <c r="B3346" s="128" t="s">
        <v>3332</v>
      </c>
      <c r="C3346" s="128" t="s">
        <v>2982</v>
      </c>
      <c r="D3346" s="129">
        <v>46225.974733796298</v>
      </c>
      <c r="E3346" s="130">
        <v>10.87</v>
      </c>
      <c r="F3346" s="136">
        <v>4.4999999999999998E-2</v>
      </c>
      <c r="G3346" s="126">
        <f t="shared" si="75"/>
        <v>11.38219895287958</v>
      </c>
      <c r="H3346" s="126" t="s">
        <v>74</v>
      </c>
      <c r="I3346" s="127" t="s">
        <v>542</v>
      </c>
      <c r="J3346" s="126">
        <v>30</v>
      </c>
      <c r="K3346" s="126">
        <v>330.02</v>
      </c>
      <c r="L3346" s="129">
        <f>INT(base[[#This Row],[Data de liquidação]])</f>
        <v>46225</v>
      </c>
      <c r="M3346" s="126">
        <f>base[[#This Row],[L/P Bruto]]-base[[#This Row],[L/P Líquido]]</f>
        <v>0.51219895287958117</v>
      </c>
      <c r="N3346" s="126">
        <f>base[[#This Row],[L/P Líquido]]/base[[#This Row],[Stake/Responsabilidade]]</f>
        <v>3.2937397733470701E-2</v>
      </c>
      <c r="O3346" s="132">
        <f>IF(base[[#This Row],[L/P Líquido]]&gt;0,1,0)</f>
        <v>1</v>
      </c>
      <c r="P3346" s="132"/>
      <c r="Q3346" s="132" t="str">
        <f>LEFT(base[[#This Row],[Evento / Mercado]],FIND("vs",base[[#This Row],[Evento / Mercado]])-2)</f>
        <v>Chapecoense</v>
      </c>
      <c r="R33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Flamengo</v>
      </c>
      <c r="S3346" s="132" t="str">
        <f>LEFT(base[[#This Row],[Evento / Mercado]],FIND("/",base[[#This Row],[Evento / Mercado]])-2)</f>
        <v>Chapecoense vs Flamengo</v>
      </c>
    </row>
    <row r="3347" spans="2:19" ht="15" customHeight="1">
      <c r="B3347" s="128" t="s">
        <v>3332</v>
      </c>
      <c r="C3347" s="128" t="s">
        <v>2981</v>
      </c>
      <c r="D3347" s="129">
        <v>46225.974733796298</v>
      </c>
      <c r="E3347" s="130">
        <v>-78.67</v>
      </c>
      <c r="F3347" s="136">
        <v>4.4999999999999998E-2</v>
      </c>
      <c r="G3347" s="126">
        <f t="shared" si="75"/>
        <v>-78.67</v>
      </c>
      <c r="H3347" s="127" t="s">
        <v>3304</v>
      </c>
      <c r="I3347" s="127"/>
      <c r="J3347" s="126">
        <v>7</v>
      </c>
      <c r="K3347" s="126">
        <v>300</v>
      </c>
      <c r="L3347" s="129">
        <f>INT(base[[#This Row],[Data de liquidação]])</f>
        <v>46225</v>
      </c>
      <c r="M3347" s="126">
        <f>base[[#This Row],[L/P Bruto]]-base[[#This Row],[L/P Líquido]]</f>
        <v>0</v>
      </c>
      <c r="N3347" s="126">
        <f>base[[#This Row],[L/P Líquido]]/base[[#This Row],[Stake/Responsabilidade]]</f>
        <v>-0.26223333333333332</v>
      </c>
      <c r="O3347" s="132">
        <f>IF(base[[#This Row],[L/P Líquido]]&gt;0,1,0)</f>
        <v>0</v>
      </c>
      <c r="P3347" s="132"/>
      <c r="Q3347" s="132" t="str">
        <f>LEFT(base[[#This Row],[Evento / Mercado]],FIND("vs",base[[#This Row],[Evento / Mercado]])-2)</f>
        <v>Chapecoense</v>
      </c>
      <c r="R33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Flamengo</v>
      </c>
      <c r="S3347" s="132" t="str">
        <f>LEFT(base[[#This Row],[Evento / Mercado]],FIND("/",base[[#This Row],[Evento / Mercado]])-2)</f>
        <v>Chapecoense vs Flamengo</v>
      </c>
    </row>
    <row r="3348" spans="2:19" ht="15" customHeight="1">
      <c r="B3348" s="128" t="s">
        <v>3331</v>
      </c>
      <c r="C3348" s="128" t="s">
        <v>2982</v>
      </c>
      <c r="D3348" s="129">
        <v>46225.974976851852</v>
      </c>
      <c r="E3348" s="130">
        <v>36.08</v>
      </c>
      <c r="F3348" s="136">
        <v>4.4999999999999998E-2</v>
      </c>
      <c r="G3348" s="126">
        <f t="shared" si="75"/>
        <v>37.780104712041883</v>
      </c>
      <c r="H3348" s="126" t="s">
        <v>145</v>
      </c>
      <c r="I3348" s="127" t="s">
        <v>300</v>
      </c>
      <c r="J3348" s="126">
        <v>10</v>
      </c>
      <c r="K3348" s="126">
        <v>340.02</v>
      </c>
      <c r="L3348" s="129">
        <f>INT(base[[#This Row],[Data de liquidação]])</f>
        <v>46225</v>
      </c>
      <c r="M3348" s="126">
        <f>base[[#This Row],[L/P Bruto]]-base[[#This Row],[L/P Líquido]]</f>
        <v>1.7001047120418846</v>
      </c>
      <c r="N3348" s="126">
        <f>base[[#This Row],[L/P Líquido]]/base[[#This Row],[Stake/Responsabilidade]]</f>
        <v>0.10611140521145815</v>
      </c>
      <c r="O3348" s="132">
        <f>IF(base[[#This Row],[L/P Líquido]]&gt;0,1,0)</f>
        <v>1</v>
      </c>
      <c r="P3348" s="132"/>
      <c r="Q3348" s="132" t="str">
        <f>LEFT(base[[#This Row],[Evento / Mercado]],FIND("vs",base[[#This Row],[Evento / Mercado]])-2)</f>
        <v>Chapecoense</v>
      </c>
      <c r="R33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Flamengo</v>
      </c>
      <c r="S3348" s="132" t="str">
        <f>LEFT(base[[#This Row],[Evento / Mercado]],FIND("/",base[[#This Row],[Evento / Mercado]])-2)</f>
        <v>Chapecoense vs Flamengo</v>
      </c>
    </row>
    <row r="3349" spans="2:19" ht="15" customHeight="1">
      <c r="B3349" s="128" t="s">
        <v>3330</v>
      </c>
      <c r="C3349" s="128" t="s">
        <v>2982</v>
      </c>
      <c r="D3349" s="129">
        <v>46225.978703703702</v>
      </c>
      <c r="E3349" s="130">
        <v>20.76</v>
      </c>
      <c r="F3349" s="136">
        <v>4.4999999999999998E-2</v>
      </c>
      <c r="G3349" s="126">
        <f t="shared" si="75"/>
        <v>21.738219895287962</v>
      </c>
      <c r="H3349" s="127" t="s">
        <v>3304</v>
      </c>
      <c r="I3349" s="127"/>
      <c r="J3349" s="126">
        <v>24</v>
      </c>
      <c r="K3349" s="126">
        <v>500.02</v>
      </c>
      <c r="L3349" s="129">
        <f>INT(base[[#This Row],[Data de liquidação]])</f>
        <v>46225</v>
      </c>
      <c r="M3349" s="126">
        <f>base[[#This Row],[L/P Bruto]]-base[[#This Row],[L/P Líquido]]</f>
        <v>0.97821989528796038</v>
      </c>
      <c r="N3349" s="126">
        <f>base[[#This Row],[L/P Líquido]]/base[[#This Row],[Stake/Responsabilidade]]</f>
        <v>4.1518339266429345E-2</v>
      </c>
      <c r="O3349" s="132">
        <f>IF(base[[#This Row],[L/P Líquido]]&gt;0,1,0)</f>
        <v>1</v>
      </c>
      <c r="P3349" s="132"/>
      <c r="Q3349" s="132" t="str">
        <f>LEFT(base[[#This Row],[Evento / Mercado]],FIND("vs",base[[#This Row],[Evento / Mercado]])-2)</f>
        <v>SC Internacional</v>
      </c>
      <c r="R33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3349" s="132" t="str">
        <f>LEFT(base[[#This Row],[Evento / Mercado]],FIND("/",base[[#This Row],[Evento / Mercado]])-2)</f>
        <v>SC Internacional vs Cruzeiro</v>
      </c>
    </row>
    <row r="3350" spans="2:19" ht="15" customHeight="1">
      <c r="B3350" s="128" t="s">
        <v>3329</v>
      </c>
      <c r="C3350" s="128" t="s">
        <v>2982</v>
      </c>
      <c r="D3350" s="129">
        <v>46225.979988425926</v>
      </c>
      <c r="E3350" s="130">
        <v>13.67</v>
      </c>
      <c r="F3350" s="136">
        <v>4.4999999999999998E-2</v>
      </c>
      <c r="G3350" s="126">
        <f t="shared" si="75"/>
        <v>14.31413612565445</v>
      </c>
      <c r="H3350" s="127" t="s">
        <v>3304</v>
      </c>
      <c r="I3350" s="127"/>
      <c r="J3350" s="126">
        <v>14.5</v>
      </c>
      <c r="K3350" s="126">
        <v>500.04</v>
      </c>
      <c r="L3350" s="129">
        <f>INT(base[[#This Row],[Data de liquidação]])</f>
        <v>46225</v>
      </c>
      <c r="M3350" s="126">
        <f>base[[#This Row],[L/P Bruto]]-base[[#This Row],[L/P Líquido]]</f>
        <v>0.64413612565445</v>
      </c>
      <c r="N3350" s="126">
        <f>base[[#This Row],[L/P Líquido]]/base[[#This Row],[Stake/Responsabilidade]]</f>
        <v>2.7337812974962003E-2</v>
      </c>
      <c r="O3350" s="132">
        <f>IF(base[[#This Row],[L/P Líquido]]&gt;0,1,0)</f>
        <v>1</v>
      </c>
      <c r="P3350" s="132"/>
      <c r="Q3350" s="132" t="str">
        <f>LEFT(base[[#This Row],[Evento / Mercado]],FIND("vs",base[[#This Row],[Evento / Mercado]])-2)</f>
        <v>Clube Náutico Capibaribe</v>
      </c>
      <c r="R33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Londrina</v>
      </c>
      <c r="S3350" s="132" t="str">
        <f>LEFT(base[[#This Row],[Evento / Mercado]],FIND("/",base[[#This Row],[Evento / Mercado]])-2)</f>
        <v>Clube Náutico Capibaribe vs Londrina</v>
      </c>
    </row>
    <row r="3351" spans="2:19" ht="15" customHeight="1">
      <c r="B3351" s="128" t="s">
        <v>3328</v>
      </c>
      <c r="C3351" s="128" t="s">
        <v>2982</v>
      </c>
      <c r="D3351" s="129">
        <v>46225.98096064815</v>
      </c>
      <c r="E3351" s="130">
        <v>19.100000000000001</v>
      </c>
      <c r="F3351" s="136">
        <v>4.4999999999999998E-2</v>
      </c>
      <c r="G3351" s="126">
        <f t="shared" si="75"/>
        <v>20.000000000000004</v>
      </c>
      <c r="H3351" s="126" t="s">
        <v>74</v>
      </c>
      <c r="I3351" s="127" t="s">
        <v>542</v>
      </c>
      <c r="J3351" s="126">
        <v>17.5</v>
      </c>
      <c r="K3351" s="126">
        <v>330</v>
      </c>
      <c r="L3351" s="129">
        <f>INT(base[[#This Row],[Data de liquidação]])</f>
        <v>46225</v>
      </c>
      <c r="M3351" s="126">
        <f>base[[#This Row],[L/P Bruto]]-base[[#This Row],[L/P Líquido]]</f>
        <v>0.90000000000000213</v>
      </c>
      <c r="N3351" s="126">
        <f>base[[#This Row],[L/P Líquido]]/base[[#This Row],[Stake/Responsabilidade]]</f>
        <v>5.7878787878787884E-2</v>
      </c>
      <c r="O3351" s="132">
        <f>IF(base[[#This Row],[L/P Líquido]]&gt;0,1,0)</f>
        <v>1</v>
      </c>
      <c r="P3351" s="132"/>
      <c r="Q3351" s="132" t="str">
        <f>LEFT(base[[#This Row],[Evento / Mercado]],FIND("vs",base[[#This Row],[Evento / Mercado]])-2)</f>
        <v>Sporting Kansas City</v>
      </c>
      <c r="R33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Minnesota United</v>
      </c>
      <c r="S3351" s="132" t="str">
        <f>LEFT(base[[#This Row],[Evento / Mercado]],FIND("/",base[[#This Row],[Evento / Mercado]])-2)</f>
        <v>Sporting Kansas City vs Minnesota United</v>
      </c>
    </row>
    <row r="3352" spans="2:19" ht="15" customHeight="1">
      <c r="B3352" s="128" t="s">
        <v>3341</v>
      </c>
      <c r="C3352" s="128" t="s">
        <v>2981</v>
      </c>
      <c r="D3352" s="129">
        <v>46225.981238425928</v>
      </c>
      <c r="E3352" s="130">
        <v>-42.86</v>
      </c>
      <c r="F3352" s="136">
        <v>4.4999999999999998E-2</v>
      </c>
      <c r="G3352" s="126">
        <f t="shared" si="75"/>
        <v>-42.86</v>
      </c>
      <c r="H3352" s="126" t="s">
        <v>2743</v>
      </c>
      <c r="I3352" s="127" t="s">
        <v>2744</v>
      </c>
      <c r="J3352" s="126">
        <v>8</v>
      </c>
      <c r="K3352" s="126">
        <v>42.86</v>
      </c>
      <c r="L3352" s="129">
        <f>INT(base[[#This Row],[Data de liquidação]])</f>
        <v>46225</v>
      </c>
      <c r="M3352" s="126">
        <f>base[[#This Row],[L/P Bruto]]-base[[#This Row],[L/P Líquido]]</f>
        <v>0</v>
      </c>
      <c r="N3352" s="126">
        <f>base[[#This Row],[L/P Líquido]]/base[[#This Row],[Stake/Responsabilidade]]</f>
        <v>-1</v>
      </c>
      <c r="O3352" s="132">
        <f>IF(base[[#This Row],[L/P Líquido]]&gt;0,1,0)</f>
        <v>0</v>
      </c>
      <c r="P3352" s="132"/>
      <c r="Q3352" s="132" t="str">
        <f>LEFT(base[[#This Row],[Evento / Mercado]],FIND("vs",base[[#This Row],[Evento / Mercado]])-2)</f>
        <v>Charlotte FC</v>
      </c>
      <c r="R33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3352" s="132" t="str">
        <f>LEFT(base[[#This Row],[Evento / Mercado]],FIND("/",base[[#This Row],[Evento / Mercado]])-2)</f>
        <v>Charlotte FC vs Atlanta United FC</v>
      </c>
    </row>
    <row r="3353" spans="2:19" ht="15" customHeight="1">
      <c r="B3353" s="128" t="s">
        <v>3327</v>
      </c>
      <c r="C3353" s="128" t="s">
        <v>2981</v>
      </c>
      <c r="D3353" s="129">
        <v>46225.981504629628</v>
      </c>
      <c r="E3353" s="130">
        <v>68.16</v>
      </c>
      <c r="F3353" s="136">
        <v>4.4999999999999998E-2</v>
      </c>
      <c r="G3353" s="126">
        <f t="shared" si="75"/>
        <v>71.3717277486911</v>
      </c>
      <c r="H3353" s="126" t="s">
        <v>2743</v>
      </c>
      <c r="I3353" s="127" t="s">
        <v>1233</v>
      </c>
      <c r="J3353" s="126">
        <v>3.75</v>
      </c>
      <c r="K3353" s="126">
        <v>300</v>
      </c>
      <c r="L3353" s="129">
        <f>INT(base[[#This Row],[Data de liquidação]])</f>
        <v>46225</v>
      </c>
      <c r="M3353" s="126">
        <f>base[[#This Row],[L/P Bruto]]-base[[#This Row],[L/P Líquido]]</f>
        <v>3.2117277486911036</v>
      </c>
      <c r="N3353" s="126">
        <f>base[[#This Row],[L/P Líquido]]/base[[#This Row],[Stake/Responsabilidade]]</f>
        <v>0.22719999999999999</v>
      </c>
      <c r="O3353" s="132">
        <f>IF(base[[#This Row],[L/P Líquido]]&gt;0,1,0)</f>
        <v>1</v>
      </c>
      <c r="P3353" s="132"/>
      <c r="Q3353" s="132" t="str">
        <f>LEFT(base[[#This Row],[Evento / Mercado]],FIND("vs",base[[#This Row],[Evento / Mercado]])-2)</f>
        <v>Charlotte FC</v>
      </c>
      <c r="R33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3353" s="132" t="str">
        <f>LEFT(base[[#This Row],[Evento / Mercado]],FIND("/",base[[#This Row],[Evento / Mercado]])-2)</f>
        <v>Charlotte FC vs Atlanta United FC</v>
      </c>
    </row>
    <row r="3354" spans="2:19" ht="15" customHeight="1">
      <c r="B3354" s="128" t="s">
        <v>3327</v>
      </c>
      <c r="C3354" s="128" t="s">
        <v>2982</v>
      </c>
      <c r="D3354" s="129">
        <v>46225.981516203705</v>
      </c>
      <c r="E3354" s="130">
        <v>19.329999999999998</v>
      </c>
      <c r="F3354" s="136">
        <v>4.4999999999999998E-2</v>
      </c>
      <c r="G3354" s="126">
        <f t="shared" si="75"/>
        <v>20.240837696335078</v>
      </c>
      <c r="H3354" s="126" t="s">
        <v>2817</v>
      </c>
      <c r="I3354" s="127" t="s">
        <v>2993</v>
      </c>
      <c r="J3354" s="126">
        <v>3.6</v>
      </c>
      <c r="K3354" s="126">
        <v>100</v>
      </c>
      <c r="L3354" s="129">
        <f>INT(base[[#This Row],[Data de liquidação]])</f>
        <v>46225</v>
      </c>
      <c r="M3354" s="126">
        <f>base[[#This Row],[L/P Bruto]]-base[[#This Row],[L/P Líquido]]</f>
        <v>0.91083769633507927</v>
      </c>
      <c r="N3354" s="126">
        <f>base[[#This Row],[L/P Líquido]]/base[[#This Row],[Stake/Responsabilidade]]</f>
        <v>0.19329999999999997</v>
      </c>
      <c r="O3354" s="132">
        <f>IF(base[[#This Row],[L/P Líquido]]&gt;0,1,0)</f>
        <v>1</v>
      </c>
      <c r="P3354" s="132"/>
      <c r="Q3354" s="132" t="str">
        <f>LEFT(base[[#This Row],[Evento / Mercado]],FIND("vs",base[[#This Row],[Evento / Mercado]])-2)</f>
        <v>Charlotte FC</v>
      </c>
      <c r="R33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3354" s="132" t="str">
        <f>LEFT(base[[#This Row],[Evento / Mercado]],FIND("/",base[[#This Row],[Evento / Mercado]])-2)</f>
        <v>Charlotte FC vs Atlanta United FC</v>
      </c>
    </row>
    <row r="3355" spans="2:19" ht="15" customHeight="1">
      <c r="B3355" s="128" t="s">
        <v>3326</v>
      </c>
      <c r="C3355" s="128" t="s">
        <v>2982</v>
      </c>
      <c r="D3355" s="129">
        <v>46225.982604166667</v>
      </c>
      <c r="E3355" s="130">
        <v>22.92</v>
      </c>
      <c r="F3355" s="136">
        <v>4.4999999999999998E-2</v>
      </c>
      <c r="G3355" s="126">
        <f t="shared" si="75"/>
        <v>24.000000000000004</v>
      </c>
      <c r="H3355" s="126" t="s">
        <v>2761</v>
      </c>
      <c r="I3355" s="127" t="s">
        <v>476</v>
      </c>
      <c r="J3355" s="126">
        <v>13.5</v>
      </c>
      <c r="K3355" s="126">
        <v>300</v>
      </c>
      <c r="L3355" s="129">
        <f>INT(base[[#This Row],[Data de liquidação]])</f>
        <v>46225</v>
      </c>
      <c r="M3355" s="126">
        <f>base[[#This Row],[L/P Bruto]]-base[[#This Row],[L/P Líquido]]</f>
        <v>1.0800000000000018</v>
      </c>
      <c r="N3355" s="126">
        <f>base[[#This Row],[L/P Líquido]]/base[[#This Row],[Stake/Responsabilidade]]</f>
        <v>7.640000000000001E-2</v>
      </c>
      <c r="O3355" s="132">
        <f>IF(base[[#This Row],[L/P Líquido]]&gt;0,1,0)</f>
        <v>1</v>
      </c>
      <c r="P3355" s="132"/>
      <c r="Q3355" s="132" t="str">
        <f>LEFT(base[[#This Row],[Evento / Mercado]],FIND("vs",base[[#This Row],[Evento / Mercado]])-2)</f>
        <v>Nashville Soccer Club</v>
      </c>
      <c r="R33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CF Montreal</v>
      </c>
      <c r="S3355" s="132" t="str">
        <f>LEFT(base[[#This Row],[Evento / Mercado]],FIND("/",base[[#This Row],[Evento / Mercado]])-2)</f>
        <v>Nashville Soccer Club vs CF Montreal</v>
      </c>
    </row>
    <row r="3356" spans="2:19" ht="15" customHeight="1">
      <c r="B3356" s="128" t="s">
        <v>3325</v>
      </c>
      <c r="C3356" s="128" t="s">
        <v>2982</v>
      </c>
      <c r="D3356" s="129">
        <v>46225.987280092595</v>
      </c>
      <c r="E3356" s="130">
        <v>3.7</v>
      </c>
      <c r="F3356" s="136">
        <v>4.4999999999999998E-2</v>
      </c>
      <c r="G3356" s="126">
        <f t="shared" si="75"/>
        <v>3.8743455497382202</v>
      </c>
      <c r="H3356" s="126" t="s">
        <v>1339</v>
      </c>
      <c r="I3356" s="127" t="s">
        <v>1430</v>
      </c>
      <c r="J3356" s="126">
        <v>32</v>
      </c>
      <c r="K3356" s="126">
        <v>119.97</v>
      </c>
      <c r="L3356" s="129">
        <f>INT(base[[#This Row],[Data de liquidação]])</f>
        <v>46225</v>
      </c>
      <c r="M3356" s="126">
        <f>base[[#This Row],[L/P Bruto]]-base[[#This Row],[L/P Líquido]]</f>
        <v>0.17434554973822003</v>
      </c>
      <c r="N3356" s="126">
        <f>base[[#This Row],[L/P Líquido]]/base[[#This Row],[Stake/Responsabilidade]]</f>
        <v>3.0841043594231891E-2</v>
      </c>
      <c r="O3356" s="132">
        <f>IF(base[[#This Row],[L/P Líquido]]&gt;0,1,0)</f>
        <v>1</v>
      </c>
      <c r="P3356" s="132"/>
      <c r="Q3356" s="132" t="str">
        <f>LEFT(base[[#This Row],[Evento / Mercado]],FIND("vs",base[[#This Row],[Evento / Mercado]])-2)</f>
        <v>Houston Dynamo</v>
      </c>
      <c r="R33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DC United</v>
      </c>
      <c r="S3356" s="132" t="str">
        <f>LEFT(base[[#This Row],[Evento / Mercado]],FIND("/",base[[#This Row],[Evento / Mercado]])-2)</f>
        <v>Houston Dynamo vs DC United</v>
      </c>
    </row>
    <row r="3357" spans="2:19" ht="15" customHeight="1">
      <c r="B3357" s="128" t="s">
        <v>3362</v>
      </c>
      <c r="C3357" s="128" t="s">
        <v>2982</v>
      </c>
      <c r="D3357" s="129">
        <v>46226.042349537034</v>
      </c>
      <c r="E3357" s="130">
        <v>-39.51</v>
      </c>
      <c r="F3357" s="136">
        <v>4.4999999999999998E-2</v>
      </c>
      <c r="G3357" s="126">
        <f t="shared" si="75"/>
        <v>-39.51</v>
      </c>
      <c r="H3357" s="126" t="s">
        <v>3261</v>
      </c>
      <c r="I3357" s="127" t="s">
        <v>476</v>
      </c>
      <c r="J3357" s="126">
        <v>23</v>
      </c>
      <c r="K3357" s="126">
        <v>500.06</v>
      </c>
      <c r="L3357" s="129">
        <f>INT(base[[#This Row],[Data de liquidação]])</f>
        <v>46226</v>
      </c>
      <c r="M3357" s="126">
        <f>base[[#This Row],[L/P Bruto]]-base[[#This Row],[L/P Líquido]]</f>
        <v>0</v>
      </c>
      <c r="N3357" s="126">
        <f>base[[#This Row],[L/P Líquido]]/base[[#This Row],[Stake/Responsabilidade]]</f>
        <v>-7.9010518737751459E-2</v>
      </c>
      <c r="O3357" s="132">
        <f>IF(base[[#This Row],[L/P Líquido]]&gt;0,1,0)</f>
        <v>0</v>
      </c>
      <c r="P3357" s="132"/>
      <c r="Q3357" s="132" t="str">
        <f>LEFT(base[[#This Row],[Evento / Mercado]],FIND("vs",base[[#This Row],[Evento / Mercado]])-2)</f>
        <v>Colorado Rapids</v>
      </c>
      <c r="R33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Diego FC</v>
      </c>
      <c r="S3357" s="132" t="str">
        <f>LEFT(base[[#This Row],[Evento / Mercado]],FIND("/",base[[#This Row],[Evento / Mercado]])-2)</f>
        <v>Colorado Rapids vs San Diego FC</v>
      </c>
    </row>
    <row r="3358" spans="2:19" ht="15" customHeight="1">
      <c r="B3358" s="128" t="s">
        <v>3361</v>
      </c>
      <c r="C3358" s="128" t="s">
        <v>2982</v>
      </c>
      <c r="D3358" s="129">
        <v>46226.065254629626</v>
      </c>
      <c r="E3358" s="130">
        <v>13.7</v>
      </c>
      <c r="F3358" s="136">
        <v>4.4999999999999998E-2</v>
      </c>
      <c r="G3358" s="126">
        <f t="shared" si="75"/>
        <v>14.345549738219896</v>
      </c>
      <c r="H3358" s="126" t="s">
        <v>2761</v>
      </c>
      <c r="I3358" s="127" t="s">
        <v>476</v>
      </c>
      <c r="J3358" s="126">
        <v>24</v>
      </c>
      <c r="K3358" s="126">
        <v>330.05</v>
      </c>
      <c r="L3358" s="129">
        <f>INT(base[[#This Row],[Data de liquidação]])</f>
        <v>46226</v>
      </c>
      <c r="M3358" s="126">
        <f>base[[#This Row],[L/P Bruto]]-base[[#This Row],[L/P Líquido]]</f>
        <v>0.6455497382198967</v>
      </c>
      <c r="N3358" s="126">
        <f>base[[#This Row],[L/P Líquido]]/base[[#This Row],[Stake/Responsabilidade]]</f>
        <v>4.1508862293591874E-2</v>
      </c>
      <c r="O3358" s="132">
        <f>IF(base[[#This Row],[L/P Líquido]]&gt;0,1,0)</f>
        <v>1</v>
      </c>
      <c r="P3358" s="132"/>
      <c r="Q3358" s="132" t="str">
        <f>LEFT(base[[#This Row],[Evento / Mercado]],FIND("vs",base[[#This Row],[Evento / Mercado]])-2)</f>
        <v>Los Angeles FC</v>
      </c>
      <c r="R33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Salt Lake</v>
      </c>
      <c r="S3358" s="132" t="str">
        <f>LEFT(base[[#This Row],[Evento / Mercado]],FIND("/",base[[#This Row],[Evento / Mercado]])-2)</f>
        <v>Los Angeles FC vs Real Salt Lake</v>
      </c>
    </row>
    <row r="3359" spans="2:19" ht="15" customHeight="1">
      <c r="B3359" s="128" t="s">
        <v>3361</v>
      </c>
      <c r="C3359" s="128" t="s">
        <v>2981</v>
      </c>
      <c r="D3359" s="129">
        <v>46226.065254629626</v>
      </c>
      <c r="E3359" s="130">
        <v>21.13</v>
      </c>
      <c r="F3359" s="136">
        <v>4.4999999999999998E-2</v>
      </c>
      <c r="G3359" s="126">
        <f t="shared" si="75"/>
        <v>22.125654450261781</v>
      </c>
      <c r="H3359" s="126" t="s">
        <v>3261</v>
      </c>
      <c r="I3359" s="127" t="s">
        <v>476</v>
      </c>
      <c r="J3359" s="126">
        <v>24</v>
      </c>
      <c r="K3359" s="126">
        <v>500.02</v>
      </c>
      <c r="L3359" s="129">
        <f>INT(base[[#This Row],[Data de liquidação]])</f>
        <v>46226</v>
      </c>
      <c r="M3359" s="126">
        <f>base[[#This Row],[L/P Bruto]]-base[[#This Row],[L/P Líquido]]</f>
        <v>0.99565445026178168</v>
      </c>
      <c r="N3359" s="126">
        <f>base[[#This Row],[L/P Líquido]]/base[[#This Row],[Stake/Responsabilidade]]</f>
        <v>4.2258309667613292E-2</v>
      </c>
      <c r="O3359" s="132">
        <f>IF(base[[#This Row],[L/P Líquido]]&gt;0,1,0)</f>
        <v>1</v>
      </c>
      <c r="P3359" s="132"/>
      <c r="Q3359" s="132" t="str">
        <f>LEFT(base[[#This Row],[Evento / Mercado]],FIND("vs",base[[#This Row],[Evento / Mercado]])-2)</f>
        <v>Los Angeles FC</v>
      </c>
      <c r="R33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Salt Lake</v>
      </c>
      <c r="S3359" s="132" t="str">
        <f>LEFT(base[[#This Row],[Evento / Mercado]],FIND("/",base[[#This Row],[Evento / Mercado]])-2)</f>
        <v>Los Angeles FC vs Real Salt Lake</v>
      </c>
    </row>
    <row r="3360" spans="2:19" ht="15" customHeight="1">
      <c r="B3360" s="128" t="s">
        <v>3360</v>
      </c>
      <c r="C3360" s="128" t="s">
        <v>2982</v>
      </c>
      <c r="D3360" s="129">
        <v>46226.067800925928</v>
      </c>
      <c r="E3360" s="130">
        <v>-54.57</v>
      </c>
      <c r="F3360" s="136">
        <v>4.4999999999999998E-2</v>
      </c>
      <c r="G3360" s="126">
        <f t="shared" si="75"/>
        <v>-54.57</v>
      </c>
      <c r="H3360" s="126" t="s">
        <v>3074</v>
      </c>
      <c r="I3360" s="127" t="s">
        <v>301</v>
      </c>
      <c r="J3360" s="126">
        <v>8</v>
      </c>
      <c r="K3360" s="126">
        <v>300.02</v>
      </c>
      <c r="L3360" s="129">
        <f>INT(base[[#This Row],[Data de liquidação]])</f>
        <v>46226</v>
      </c>
      <c r="M3360" s="126">
        <f>base[[#This Row],[L/P Bruto]]-base[[#This Row],[L/P Líquido]]</f>
        <v>0</v>
      </c>
      <c r="N3360" s="126">
        <f>base[[#This Row],[L/P Líquido]]/base[[#This Row],[Stake/Responsabilidade]]</f>
        <v>-0.18188787414172389</v>
      </c>
      <c r="O3360" s="132">
        <f>IF(base[[#This Row],[L/P Líquido]]&gt;0,1,0)</f>
        <v>0</v>
      </c>
      <c r="P3360" s="132"/>
      <c r="Q3360" s="132" t="str">
        <f>LEFT(base[[#This Row],[Evento / Mercado]],FIND("vs",base[[#This Row],[Evento / Mercado]])-2)</f>
        <v>San Jose Earthquakes</v>
      </c>
      <c r="R33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3360" s="132" t="str">
        <f>LEFT(base[[#This Row],[Evento / Mercado]],FIND("/",base[[#This Row],[Evento / Mercado]])-2)</f>
        <v>San Jose Earthquakes vs Orlando City</v>
      </c>
    </row>
    <row r="3361" spans="2:19" ht="15" customHeight="1">
      <c r="B3361" s="128" t="s">
        <v>3360</v>
      </c>
      <c r="C3361" s="128" t="s">
        <v>2981</v>
      </c>
      <c r="D3361" s="129">
        <v>46226.067800925928</v>
      </c>
      <c r="E3361" s="130">
        <v>-25</v>
      </c>
      <c r="F3361" s="136">
        <v>4.4999999999999998E-2</v>
      </c>
      <c r="G3361" s="126">
        <f t="shared" si="75"/>
        <v>-25</v>
      </c>
      <c r="H3361" s="126" t="s">
        <v>2743</v>
      </c>
      <c r="I3361" s="127" t="s">
        <v>2744</v>
      </c>
      <c r="J3361" s="126">
        <v>13</v>
      </c>
      <c r="K3361" s="126">
        <v>25</v>
      </c>
      <c r="L3361" s="129">
        <f>INT(base[[#This Row],[Data de liquidação]])</f>
        <v>46226</v>
      </c>
      <c r="M3361" s="126">
        <f>base[[#This Row],[L/P Bruto]]-base[[#This Row],[L/P Líquido]]</f>
        <v>0</v>
      </c>
      <c r="N3361" s="126">
        <f>base[[#This Row],[L/P Líquido]]/base[[#This Row],[Stake/Responsabilidade]]</f>
        <v>-1</v>
      </c>
      <c r="O3361" s="132">
        <f>IF(base[[#This Row],[L/P Líquido]]&gt;0,1,0)</f>
        <v>0</v>
      </c>
      <c r="P3361" s="132"/>
      <c r="Q3361" s="132" t="str">
        <f>LEFT(base[[#This Row],[Evento / Mercado]],FIND("vs",base[[#This Row],[Evento / Mercado]])-2)</f>
        <v>San Jose Earthquakes</v>
      </c>
      <c r="R33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3361" s="132" t="str">
        <f>LEFT(base[[#This Row],[Evento / Mercado]],FIND("/",base[[#This Row],[Evento / Mercado]])-2)</f>
        <v>San Jose Earthquakes vs Orlando City</v>
      </c>
    </row>
    <row r="3362" spans="2:19" ht="15" customHeight="1">
      <c r="B3362" s="128" t="s">
        <v>3359</v>
      </c>
      <c r="C3362" s="128" t="s">
        <v>2982</v>
      </c>
      <c r="D3362" s="129">
        <v>46226.068032407406</v>
      </c>
      <c r="E3362" s="130">
        <v>-200</v>
      </c>
      <c r="F3362" s="136">
        <v>4.4999999999999998E-2</v>
      </c>
      <c r="G3362" s="126">
        <f t="shared" si="75"/>
        <v>-200</v>
      </c>
      <c r="H3362" s="126" t="s">
        <v>2817</v>
      </c>
      <c r="I3362" s="127" t="s">
        <v>2992</v>
      </c>
      <c r="J3362" s="126">
        <f>(4.9+2.6)/2</f>
        <v>3.75</v>
      </c>
      <c r="K3362" s="126">
        <v>200</v>
      </c>
      <c r="L3362" s="129">
        <f>INT(base[[#This Row],[Data de liquidação]])</f>
        <v>46226</v>
      </c>
      <c r="M3362" s="126">
        <f>base[[#This Row],[L/P Bruto]]-base[[#This Row],[L/P Líquido]]</f>
        <v>0</v>
      </c>
      <c r="N3362" s="126">
        <f>base[[#This Row],[L/P Líquido]]/base[[#This Row],[Stake/Responsabilidade]]</f>
        <v>-1</v>
      </c>
      <c r="O3362" s="132">
        <f>IF(base[[#This Row],[L/P Líquido]]&gt;0,1,0)</f>
        <v>0</v>
      </c>
      <c r="P3362" s="132"/>
      <c r="Q3362" s="132" t="str">
        <f>LEFT(base[[#This Row],[Evento / Mercado]],FIND("vs",base[[#This Row],[Evento / Mercado]])-2)</f>
        <v>San Jose Earthquakes</v>
      </c>
      <c r="R33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3362" s="132" t="str">
        <f>LEFT(base[[#This Row],[Evento / Mercado]],FIND("/",base[[#This Row],[Evento / Mercado]])-2)</f>
        <v>San Jose Earthquakes vs Orlando City</v>
      </c>
    </row>
    <row r="3363" spans="2:19" ht="15" customHeight="1">
      <c r="B3363" s="128" t="s">
        <v>3359</v>
      </c>
      <c r="C3363" s="128" t="s">
        <v>2981</v>
      </c>
      <c r="D3363" s="129">
        <v>46226.068032407406</v>
      </c>
      <c r="E3363" s="130">
        <v>9.34</v>
      </c>
      <c r="F3363" s="136">
        <v>4.4999999999999998E-2</v>
      </c>
      <c r="G3363" s="126">
        <f t="shared" si="75"/>
        <v>9.7801047120418847</v>
      </c>
      <c r="H3363" s="126" t="s">
        <v>2743</v>
      </c>
      <c r="I3363" s="127" t="s">
        <v>1233</v>
      </c>
      <c r="J3363" s="126">
        <v>4.9000000000000004</v>
      </c>
      <c r="K3363" s="126">
        <v>299.99</v>
      </c>
      <c r="L3363" s="129">
        <f>INT(base[[#This Row],[Data de liquidação]])</f>
        <v>46226</v>
      </c>
      <c r="M3363" s="126">
        <f>base[[#This Row],[L/P Bruto]]-base[[#This Row],[L/P Líquido]]</f>
        <v>0.44010471204188484</v>
      </c>
      <c r="N3363" s="126">
        <f>base[[#This Row],[L/P Líquido]]/base[[#This Row],[Stake/Responsabilidade]]</f>
        <v>3.1134371145704855E-2</v>
      </c>
      <c r="O3363" s="132">
        <f>IF(base[[#This Row],[L/P Líquido]]&gt;0,1,0)</f>
        <v>1</v>
      </c>
      <c r="P3363" s="132"/>
      <c r="Q3363" s="132" t="str">
        <f>LEFT(base[[#This Row],[Evento / Mercado]],FIND("vs",base[[#This Row],[Evento / Mercado]])-2)</f>
        <v>San Jose Earthquakes</v>
      </c>
      <c r="R33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3363" s="132" t="str">
        <f>LEFT(base[[#This Row],[Evento / Mercado]],FIND("/",base[[#This Row],[Evento / Mercado]])-2)</f>
        <v>San Jose Earthquakes vs Orlando City</v>
      </c>
    </row>
    <row r="3364" spans="2:19" ht="15" customHeight="1">
      <c r="B3364" s="128" t="s">
        <v>3358</v>
      </c>
      <c r="C3364" s="128" t="s">
        <v>2982</v>
      </c>
      <c r="D3364" s="129">
        <v>46226.618344907409</v>
      </c>
      <c r="E3364" s="130">
        <v>-51.76</v>
      </c>
      <c r="F3364" s="136">
        <v>4.4999999999999998E-2</v>
      </c>
      <c r="G3364" s="126">
        <f t="shared" si="75"/>
        <v>-51.76</v>
      </c>
      <c r="H3364" s="126" t="s">
        <v>1339</v>
      </c>
      <c r="I3364" s="127" t="s">
        <v>2469</v>
      </c>
      <c r="J3364" s="126">
        <v>15.5</v>
      </c>
      <c r="K3364" s="126">
        <v>51.77</v>
      </c>
      <c r="L3364" s="129">
        <f>INT(base[[#This Row],[Data de liquidação]])</f>
        <v>46226</v>
      </c>
      <c r="M3364" s="126">
        <f>base[[#This Row],[L/P Bruto]]-base[[#This Row],[L/P Líquido]]</f>
        <v>0</v>
      </c>
      <c r="N3364" s="126">
        <f>base[[#This Row],[L/P Líquido]]/base[[#This Row],[Stake/Responsabilidade]]</f>
        <v>-0.99980683793702907</v>
      </c>
      <c r="O3364" s="132">
        <f>IF(base[[#This Row],[L/P Líquido]]&gt;0,1,0)</f>
        <v>0</v>
      </c>
      <c r="P3364" s="132"/>
      <c r="Q3364" s="132" t="str">
        <f>LEFT(base[[#This Row],[Evento / Mercado]],FIND("vs",base[[#This Row],[Evento / Mercado]])-2)</f>
        <v>Paide Linnameeskond</v>
      </c>
      <c r="R33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Zira IK</v>
      </c>
      <c r="S3364" s="132" t="str">
        <f>LEFT(base[[#This Row],[Evento / Mercado]],FIND("/",base[[#This Row],[Evento / Mercado]])-2)</f>
        <v>Paide Linnameeskond vs Zira IK</v>
      </c>
    </row>
    <row r="3365" spans="2:19" ht="15" customHeight="1">
      <c r="B3365" s="128" t="s">
        <v>3357</v>
      </c>
      <c r="C3365" s="128" t="s">
        <v>2982</v>
      </c>
      <c r="D3365" s="129">
        <v>46226.620821759258</v>
      </c>
      <c r="E3365" s="130">
        <v>4.41</v>
      </c>
      <c r="F3365" s="136">
        <v>4.4999999999999998E-2</v>
      </c>
      <c r="G3365" s="126">
        <f t="shared" si="75"/>
        <v>4.6178010471204196</v>
      </c>
      <c r="H3365" s="126" t="s">
        <v>1339</v>
      </c>
      <c r="I3365" s="127" t="s">
        <v>1430</v>
      </c>
      <c r="J3365" s="126">
        <v>27</v>
      </c>
      <c r="K3365" s="126">
        <v>120.12</v>
      </c>
      <c r="L3365" s="129">
        <f>INT(base[[#This Row],[Data de liquidação]])</f>
        <v>46226</v>
      </c>
      <c r="M3365" s="126">
        <f>base[[#This Row],[L/P Bruto]]-base[[#This Row],[L/P Líquido]]</f>
        <v>0.20780104712041947</v>
      </c>
      <c r="N3365" s="126">
        <f>base[[#This Row],[L/P Líquido]]/base[[#This Row],[Stake/Responsabilidade]]</f>
        <v>3.6713286713286712E-2</v>
      </c>
      <c r="O3365" s="132">
        <f>IF(base[[#This Row],[L/P Líquido]]&gt;0,1,0)</f>
        <v>1</v>
      </c>
      <c r="P3365" s="132"/>
      <c r="Q3365" s="132" t="str">
        <f>LEFT(base[[#This Row],[Evento / Mercado]],FIND("vs",base[[#This Row],[Evento / Mercado]])-2)</f>
        <v>Debreceni VSC</v>
      </c>
      <c r="R33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Pyunik FC</v>
      </c>
      <c r="S3365" s="132" t="str">
        <f>LEFT(base[[#This Row],[Evento / Mercado]],FIND("/",base[[#This Row],[Evento / Mercado]])-2)</f>
        <v>Debreceni VSC vs Pyunik FC</v>
      </c>
    </row>
    <row r="3366" spans="2:19" ht="15" customHeight="1">
      <c r="B3366" s="128" t="s">
        <v>3363</v>
      </c>
      <c r="C3366" s="128" t="s">
        <v>2981</v>
      </c>
      <c r="D3366" s="129">
        <v>46226.893576388888</v>
      </c>
      <c r="E3366" s="130">
        <v>-36.590000000000003</v>
      </c>
      <c r="F3366" s="136">
        <v>4.4999999999999998E-2</v>
      </c>
      <c r="G3366" s="126">
        <f t="shared" si="75"/>
        <v>-36.590000000000003</v>
      </c>
      <c r="H3366" s="126" t="s">
        <v>2743</v>
      </c>
      <c r="I3366" s="127" t="s">
        <v>2744</v>
      </c>
      <c r="J3366" s="126">
        <v>9.1999999999999993</v>
      </c>
      <c r="K3366" s="126">
        <v>36.590000000000003</v>
      </c>
      <c r="L3366" s="129">
        <f>INT(base[[#This Row],[Data de liquidação]])</f>
        <v>46226</v>
      </c>
      <c r="M3366" s="126">
        <f>base[[#This Row],[L/P Bruto]]-base[[#This Row],[L/P Líquido]]</f>
        <v>0</v>
      </c>
      <c r="N3366" s="126">
        <f>base[[#This Row],[L/P Líquido]]/base[[#This Row],[Stake/Responsabilidade]]</f>
        <v>-1</v>
      </c>
      <c r="O3366" s="132">
        <f>IF(base[[#This Row],[L/P Líquido]]&gt;0,1,0)</f>
        <v>0</v>
      </c>
      <c r="P3366" s="132"/>
      <c r="Q3366" s="132" t="str">
        <f>LEFT(base[[#This Row],[Evento / Mercado]],FIND("vs",base[[#This Row],[Evento / Mercado]])-2)</f>
        <v>Corinthians</v>
      </c>
      <c r="R33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3366" s="132" t="str">
        <f>LEFT(base[[#This Row],[Evento / Mercado]],FIND("/",base[[#This Row],[Evento / Mercado]])-2)</f>
        <v>Corinthians vs Clube do Remo</v>
      </c>
    </row>
    <row r="3367" spans="2:19" ht="15" customHeight="1">
      <c r="B3367" s="128" t="s">
        <v>3354</v>
      </c>
      <c r="C3367" s="128" t="s">
        <v>2980</v>
      </c>
      <c r="D3367" s="129">
        <v>46226.893750000003</v>
      </c>
      <c r="E3367" s="130">
        <v>0.39</v>
      </c>
      <c r="F3367" s="136">
        <v>4.4999999999999998E-2</v>
      </c>
      <c r="G3367" s="126">
        <f t="shared" si="75"/>
        <v>0.40837696335078538</v>
      </c>
      <c r="H3367" s="126" t="s">
        <v>2714</v>
      </c>
      <c r="I3367" s="127" t="s">
        <v>2716</v>
      </c>
      <c r="J3367" s="126"/>
      <c r="K3367" s="126">
        <v>100</v>
      </c>
      <c r="L3367" s="129">
        <f>INT(base[[#This Row],[Data de liquidação]])</f>
        <v>46226</v>
      </c>
      <c r="M3367" s="126">
        <f>base[[#This Row],[L/P Bruto]]-base[[#This Row],[L/P Líquido]]</f>
        <v>1.8376963350785369E-2</v>
      </c>
      <c r="N3367" s="126">
        <f>base[[#This Row],[L/P Líquido]]/base[[#This Row],[Stake/Responsabilidade]]</f>
        <v>3.9000000000000003E-3</v>
      </c>
      <c r="O3367" s="132">
        <f>IF(base[[#This Row],[L/P Líquido]]&gt;0,1,0)</f>
        <v>1</v>
      </c>
      <c r="P3367" s="132"/>
      <c r="Q3367" s="132" t="str">
        <f>LEFT(base[[#This Row],[Evento / Mercado]],FIND("vs",base[[#This Row],[Evento / Mercado]])-2)</f>
        <v>Botafogo FR</v>
      </c>
      <c r="R33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367" s="132" t="str">
        <f>LEFT(base[[#This Row],[Evento / Mercado]],FIND("/",base[[#This Row],[Evento / Mercado]])-2)</f>
        <v>Botafogo FR vs EC Vitória</v>
      </c>
    </row>
    <row r="3368" spans="2:19" ht="15" customHeight="1">
      <c r="B3368" s="128" t="s">
        <v>3356</v>
      </c>
      <c r="C3368" s="128" t="s">
        <v>2982</v>
      </c>
      <c r="D3368" s="129">
        <v>46226.893773148149</v>
      </c>
      <c r="E3368" s="130">
        <v>9.1</v>
      </c>
      <c r="F3368" s="136">
        <v>4.4999999999999998E-2</v>
      </c>
      <c r="G3368" s="126">
        <f t="shared" si="75"/>
        <v>9.5287958115183251</v>
      </c>
      <c r="H3368" s="126" t="s">
        <v>2817</v>
      </c>
      <c r="I3368" s="127" t="s">
        <v>2992</v>
      </c>
      <c r="J3368" s="126">
        <v>8</v>
      </c>
      <c r="K3368" s="126">
        <v>100.03</v>
      </c>
      <c r="L3368" s="129">
        <f>INT(base[[#This Row],[Data de liquidação]])</f>
        <v>46226</v>
      </c>
      <c r="M3368" s="126">
        <f>base[[#This Row],[L/P Bruto]]-base[[#This Row],[L/P Líquido]]</f>
        <v>0.42879581151832546</v>
      </c>
      <c r="N3368" s="126">
        <f>base[[#This Row],[L/P Líquido]]/base[[#This Row],[Stake/Responsabilidade]]</f>
        <v>9.097270818754373E-2</v>
      </c>
      <c r="O3368" s="132">
        <f>IF(base[[#This Row],[L/P Líquido]]&gt;0,1,0)</f>
        <v>1</v>
      </c>
      <c r="P3368" s="132"/>
      <c r="Q3368" s="132" t="str">
        <f>LEFT(base[[#This Row],[Evento / Mercado]],FIND("vs",base[[#This Row],[Evento / Mercado]])-2)</f>
        <v>Corinthians</v>
      </c>
      <c r="R33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3368" s="132" t="str">
        <f>LEFT(base[[#This Row],[Evento / Mercado]],FIND("/",base[[#This Row],[Evento / Mercado]])-2)</f>
        <v>Corinthians vs Clube do Remo</v>
      </c>
    </row>
    <row r="3369" spans="2:19" ht="15" customHeight="1">
      <c r="B3369" s="128" t="s">
        <v>3356</v>
      </c>
      <c r="C3369" s="128" t="s">
        <v>2981</v>
      </c>
      <c r="D3369" s="129">
        <v>46226.893773148149</v>
      </c>
      <c r="E3369" s="130">
        <v>70.67</v>
      </c>
      <c r="F3369" s="136">
        <v>4.4999999999999998E-2</v>
      </c>
      <c r="G3369" s="126">
        <f t="shared" si="75"/>
        <v>74</v>
      </c>
      <c r="H3369" s="126" t="s">
        <v>2743</v>
      </c>
      <c r="I3369" s="127" t="s">
        <v>1233</v>
      </c>
      <c r="J3369" s="126">
        <v>4.4000000000000004</v>
      </c>
      <c r="K3369" s="126">
        <v>300.02</v>
      </c>
      <c r="L3369" s="129">
        <f>INT(base[[#This Row],[Data de liquidação]])</f>
        <v>46226</v>
      </c>
      <c r="M3369" s="126">
        <f>base[[#This Row],[L/P Bruto]]-base[[#This Row],[L/P Líquido]]</f>
        <v>3.3299999999999983</v>
      </c>
      <c r="N3369" s="126">
        <f>base[[#This Row],[L/P Líquido]]/base[[#This Row],[Stake/Responsabilidade]]</f>
        <v>0.2355509632691154</v>
      </c>
      <c r="O3369" s="132">
        <f>IF(base[[#This Row],[L/P Líquido]]&gt;0,1,0)</f>
        <v>1</v>
      </c>
      <c r="P3369" s="132"/>
      <c r="Q3369" s="132" t="str">
        <f>LEFT(base[[#This Row],[Evento / Mercado]],FIND("vs",base[[#This Row],[Evento / Mercado]])-2)</f>
        <v>Corinthians</v>
      </c>
      <c r="R33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3369" s="132" t="str">
        <f>LEFT(base[[#This Row],[Evento / Mercado]],FIND("/",base[[#This Row],[Evento / Mercado]])-2)</f>
        <v>Corinthians vs Clube do Remo</v>
      </c>
    </row>
    <row r="3370" spans="2:19" ht="15" customHeight="1">
      <c r="B3370" s="128" t="s">
        <v>3355</v>
      </c>
      <c r="C3370" s="128" t="s">
        <v>2982</v>
      </c>
      <c r="D3370" s="129">
        <v>46226.893912037034</v>
      </c>
      <c r="E3370" s="130">
        <v>1.41</v>
      </c>
      <c r="F3370" s="136">
        <v>4.4999999999999998E-2</v>
      </c>
      <c r="G3370" s="126">
        <f t="shared" si="75"/>
        <v>1.4764397905759161</v>
      </c>
      <c r="H3370" s="126" t="s">
        <v>3261</v>
      </c>
      <c r="I3370" s="127" t="s">
        <v>3213</v>
      </c>
      <c r="J3370" s="126">
        <v>26</v>
      </c>
      <c r="K3370" s="126">
        <v>500</v>
      </c>
      <c r="L3370" s="129">
        <f>INT(base[[#This Row],[Data de liquidação]])</f>
        <v>46226</v>
      </c>
      <c r="M3370" s="126">
        <f>base[[#This Row],[L/P Bruto]]-base[[#This Row],[L/P Líquido]]</f>
        <v>6.6439790575916202E-2</v>
      </c>
      <c r="N3370" s="126">
        <f>base[[#This Row],[L/P Líquido]]/base[[#This Row],[Stake/Responsabilidade]]</f>
        <v>2.82E-3</v>
      </c>
      <c r="O3370" s="132">
        <f>IF(base[[#This Row],[L/P Líquido]]&gt;0,1,0)</f>
        <v>1</v>
      </c>
      <c r="P3370" s="132"/>
      <c r="Q3370" s="132" t="str">
        <f>LEFT(base[[#This Row],[Evento / Mercado]],FIND("vs",base[[#This Row],[Evento / Mercado]])-2)</f>
        <v>Belgrano</v>
      </c>
      <c r="R33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Rosario Central</v>
      </c>
      <c r="S3370" s="132" t="str">
        <f>LEFT(base[[#This Row],[Evento / Mercado]],FIND("/",base[[#This Row],[Evento / Mercado]])-2)</f>
        <v>Belgrano vs Rosario Central</v>
      </c>
    </row>
    <row r="3371" spans="2:19" ht="15" customHeight="1">
      <c r="B3371" s="128" t="s">
        <v>3354</v>
      </c>
      <c r="C3371" s="128" t="s">
        <v>2981</v>
      </c>
      <c r="D3371" s="129">
        <v>46226.893958333334</v>
      </c>
      <c r="E3371" s="130">
        <v>-13.2</v>
      </c>
      <c r="F3371" s="136">
        <v>4.4999999999999998E-2</v>
      </c>
      <c r="G3371" s="126">
        <f t="shared" si="75"/>
        <v>-13.2</v>
      </c>
      <c r="H3371" s="126" t="s">
        <v>2743</v>
      </c>
      <c r="I3371" s="127" t="s">
        <v>2744</v>
      </c>
      <c r="J3371" s="126">
        <v>8.1999999999999993</v>
      </c>
      <c r="K3371" s="126">
        <v>41.67</v>
      </c>
      <c r="L3371" s="129">
        <f>INT(base[[#This Row],[Data de liquidação]])</f>
        <v>46226</v>
      </c>
      <c r="M3371" s="126">
        <f>base[[#This Row],[L/P Bruto]]-base[[#This Row],[L/P Líquido]]</f>
        <v>0</v>
      </c>
      <c r="N3371" s="126">
        <f>base[[#This Row],[L/P Líquido]]/base[[#This Row],[Stake/Responsabilidade]]</f>
        <v>-0.31677465802735777</v>
      </c>
      <c r="O3371" s="132">
        <f>IF(base[[#This Row],[L/P Líquido]]&gt;0,1,0)</f>
        <v>0</v>
      </c>
      <c r="P3371" s="132"/>
      <c r="Q3371" s="132" t="str">
        <f>LEFT(base[[#This Row],[Evento / Mercado]],FIND("vs",base[[#This Row],[Evento / Mercado]])-2)</f>
        <v>Botafogo FR</v>
      </c>
      <c r="R33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371" s="132" t="str">
        <f>LEFT(base[[#This Row],[Evento / Mercado]],FIND("/",base[[#This Row],[Evento / Mercado]])-2)</f>
        <v>Botafogo FR vs EC Vitória</v>
      </c>
    </row>
    <row r="3372" spans="2:19" ht="15" customHeight="1">
      <c r="B3372" s="128" t="s">
        <v>3354</v>
      </c>
      <c r="C3372" s="128" t="s">
        <v>2982</v>
      </c>
      <c r="D3372" s="129">
        <v>46226.893969907411</v>
      </c>
      <c r="E3372" s="130">
        <v>21.49</v>
      </c>
      <c r="F3372" s="136">
        <v>4.4999999999999998E-2</v>
      </c>
      <c r="G3372" s="126">
        <f t="shared" si="75"/>
        <v>22.502617801047119</v>
      </c>
      <c r="H3372" s="126" t="s">
        <v>2761</v>
      </c>
      <c r="I3372" s="127" t="s">
        <v>476</v>
      </c>
      <c r="J3372" s="126">
        <v>17</v>
      </c>
      <c r="K3372" s="126">
        <v>360</v>
      </c>
      <c r="L3372" s="129">
        <f>INT(base[[#This Row],[Data de liquidação]])</f>
        <v>46226</v>
      </c>
      <c r="M3372" s="126">
        <f>base[[#This Row],[L/P Bruto]]-base[[#This Row],[L/P Líquido]]</f>
        <v>1.0126178010471207</v>
      </c>
      <c r="N3372" s="126">
        <f>base[[#This Row],[L/P Líquido]]/base[[#This Row],[Stake/Responsabilidade]]</f>
        <v>5.9694444444444439E-2</v>
      </c>
      <c r="O3372" s="132">
        <f>IF(base[[#This Row],[L/P Líquido]]&gt;0,1,0)</f>
        <v>1</v>
      </c>
      <c r="P3372" s="132"/>
      <c r="Q3372" s="132" t="str">
        <f>LEFT(base[[#This Row],[Evento / Mercado]],FIND("vs",base[[#This Row],[Evento / Mercado]])-2)</f>
        <v>Botafogo FR</v>
      </c>
      <c r="R33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372" s="132" t="str">
        <f>LEFT(base[[#This Row],[Evento / Mercado]],FIND("/",base[[#This Row],[Evento / Mercado]])-2)</f>
        <v>Botafogo FR vs EC Vitória</v>
      </c>
    </row>
    <row r="3373" spans="2:19" ht="15" customHeight="1">
      <c r="B3373" s="128" t="s">
        <v>3353</v>
      </c>
      <c r="C3373" s="128" t="s">
        <v>2982</v>
      </c>
      <c r="D3373" s="129">
        <v>46226.894085648149</v>
      </c>
      <c r="E3373" s="130">
        <v>-5</v>
      </c>
      <c r="F3373" s="136">
        <v>4.4999999999999998E-2</v>
      </c>
      <c r="G3373" s="126">
        <f t="shared" si="75"/>
        <v>-5</v>
      </c>
      <c r="H3373" s="126" t="s">
        <v>1339</v>
      </c>
      <c r="I3373" s="127" t="s">
        <v>2404</v>
      </c>
      <c r="J3373" s="126">
        <v>1.75</v>
      </c>
      <c r="K3373" s="126">
        <v>5</v>
      </c>
      <c r="L3373" s="129">
        <f>INT(base[[#This Row],[Data de liquidação]])</f>
        <v>46226</v>
      </c>
      <c r="M3373" s="126">
        <f>base[[#This Row],[L/P Bruto]]-base[[#This Row],[L/P Líquido]]</f>
        <v>0</v>
      </c>
      <c r="N3373" s="126">
        <f>base[[#This Row],[L/P Líquido]]/base[[#This Row],[Stake/Responsabilidade]]</f>
        <v>-1</v>
      </c>
      <c r="O3373" s="132">
        <f>IF(base[[#This Row],[L/P Líquido]]&gt;0,1,0)</f>
        <v>0</v>
      </c>
      <c r="P3373" s="132"/>
      <c r="Q3373" s="132" t="str">
        <f>LEFT(base[[#This Row],[Evento / Mercado]],FIND("vs",base[[#This Row],[Evento / Mercado]])-2)</f>
        <v>Botafogo FR</v>
      </c>
      <c r="R33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373" s="132" t="str">
        <f>LEFT(base[[#This Row],[Evento / Mercado]],FIND("/",base[[#This Row],[Evento / Mercado]])-2)</f>
        <v>Botafogo FR vs EC Vitória</v>
      </c>
    </row>
    <row r="3374" spans="2:19" ht="15" customHeight="1">
      <c r="B3374" s="128" t="s">
        <v>3352</v>
      </c>
      <c r="C3374" s="128" t="s">
        <v>2982</v>
      </c>
      <c r="D3374" s="129">
        <v>46226.894097222219</v>
      </c>
      <c r="E3374" s="130">
        <v>8.06</v>
      </c>
      <c r="F3374" s="136">
        <v>4.4999999999999998E-2</v>
      </c>
      <c r="G3374" s="126">
        <f t="shared" si="75"/>
        <v>8.4397905759162306</v>
      </c>
      <c r="H3374" s="126" t="s">
        <v>2817</v>
      </c>
      <c r="I3374" s="127" t="s">
        <v>2993</v>
      </c>
      <c r="J3374" s="126">
        <v>5.0999999999999996</v>
      </c>
      <c r="K3374" s="126">
        <v>100</v>
      </c>
      <c r="L3374" s="129">
        <f>INT(base[[#This Row],[Data de liquidação]])</f>
        <v>46226</v>
      </c>
      <c r="M3374" s="126">
        <f>base[[#This Row],[L/P Bruto]]-base[[#This Row],[L/P Líquido]]</f>
        <v>0.37979057591623011</v>
      </c>
      <c r="N3374" s="126">
        <f>base[[#This Row],[L/P Líquido]]/base[[#This Row],[Stake/Responsabilidade]]</f>
        <v>8.0600000000000005E-2</v>
      </c>
      <c r="O3374" s="132">
        <f>IF(base[[#This Row],[L/P Líquido]]&gt;0,1,0)</f>
        <v>1</v>
      </c>
      <c r="P3374" s="132"/>
      <c r="Q3374" s="132" t="str">
        <f>LEFT(base[[#This Row],[Evento / Mercado]],FIND("vs",base[[#This Row],[Evento / Mercado]])-2)</f>
        <v>Botafogo FR</v>
      </c>
      <c r="R33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374" s="132" t="str">
        <f>LEFT(base[[#This Row],[Evento / Mercado]],FIND("/",base[[#This Row],[Evento / Mercado]])-2)</f>
        <v>Botafogo FR vs EC Vitória</v>
      </c>
    </row>
    <row r="3375" spans="2:19" ht="15" customHeight="1">
      <c r="B3375" s="128" t="s">
        <v>3352</v>
      </c>
      <c r="C3375" s="128" t="s">
        <v>2981</v>
      </c>
      <c r="D3375" s="129">
        <v>46226.894097222219</v>
      </c>
      <c r="E3375" s="130">
        <v>-92.18</v>
      </c>
      <c r="F3375" s="136">
        <v>4.4999999999999998E-2</v>
      </c>
      <c r="G3375" s="126">
        <f t="shared" si="75"/>
        <v>-92.18</v>
      </c>
      <c r="H3375" s="126" t="s">
        <v>2743</v>
      </c>
      <c r="I3375" s="127" t="s">
        <v>1233</v>
      </c>
      <c r="J3375" s="126">
        <v>3.9</v>
      </c>
      <c r="K3375" s="126">
        <v>300.01</v>
      </c>
      <c r="L3375" s="129">
        <f>INT(base[[#This Row],[Data de liquidação]])</f>
        <v>46226</v>
      </c>
      <c r="M3375" s="126">
        <f>base[[#This Row],[L/P Bruto]]-base[[#This Row],[L/P Líquido]]</f>
        <v>0</v>
      </c>
      <c r="N3375" s="126">
        <f>base[[#This Row],[L/P Líquido]]/base[[#This Row],[Stake/Responsabilidade]]</f>
        <v>-0.30725642478584053</v>
      </c>
      <c r="O3375" s="132">
        <f>IF(base[[#This Row],[L/P Líquido]]&gt;0,1,0)</f>
        <v>0</v>
      </c>
      <c r="P3375" s="132"/>
      <c r="Q3375" s="132" t="str">
        <f>LEFT(base[[#This Row],[Evento / Mercado]],FIND("vs",base[[#This Row],[Evento / Mercado]])-2)</f>
        <v>Botafogo FR</v>
      </c>
      <c r="R33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375" s="132" t="str">
        <f>LEFT(base[[#This Row],[Evento / Mercado]],FIND("/",base[[#This Row],[Evento / Mercado]])-2)</f>
        <v>Botafogo FR vs EC Vitória</v>
      </c>
    </row>
    <row r="3376" spans="2:19" ht="15" customHeight="1">
      <c r="B3376" s="128" t="s">
        <v>3351</v>
      </c>
      <c r="C3376" s="128" t="s">
        <v>2982</v>
      </c>
      <c r="D3376" s="129">
        <v>46226.895115740743</v>
      </c>
      <c r="E3376" s="130">
        <v>-11.43</v>
      </c>
      <c r="F3376" s="136">
        <v>4.4999999999999998E-2</v>
      </c>
      <c r="G3376" s="126">
        <f t="shared" si="75"/>
        <v>-11.43</v>
      </c>
      <c r="H3376" s="127" t="s">
        <v>3304</v>
      </c>
      <c r="I3376" s="127"/>
      <c r="J3376" s="126">
        <v>36</v>
      </c>
      <c r="K3376" s="126">
        <v>500.15</v>
      </c>
      <c r="L3376" s="129">
        <f>INT(base[[#This Row],[Data de liquidação]])</f>
        <v>46226</v>
      </c>
      <c r="M3376" s="126">
        <f>base[[#This Row],[L/P Bruto]]-base[[#This Row],[L/P Líquido]]</f>
        <v>0</v>
      </c>
      <c r="N3376" s="126">
        <f>base[[#This Row],[L/P Líquido]]/base[[#This Row],[Stake/Responsabilidade]]</f>
        <v>-2.2853144056782966E-2</v>
      </c>
      <c r="O3376" s="132">
        <f>IF(base[[#This Row],[L/P Líquido]]&gt;0,1,0)</f>
        <v>0</v>
      </c>
      <c r="P3376" s="132"/>
      <c r="Q3376" s="132" t="str">
        <f>LEFT(base[[#This Row],[Evento / Mercado]],FIND("vs",base[[#This Row],[Evento / Mercado]])-2)</f>
        <v>Athletic Club MG</v>
      </c>
      <c r="R33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Bernardo FC</v>
      </c>
      <c r="S3376" s="132" t="str">
        <f>LEFT(base[[#This Row],[Evento / Mercado]],FIND("/",base[[#This Row],[Evento / Mercado]])-2)</f>
        <v>Athletic Club MG vs São Bernardo FC</v>
      </c>
    </row>
    <row r="3377" spans="2:21" ht="15" customHeight="1">
      <c r="B3377" s="128" t="s">
        <v>3350</v>
      </c>
      <c r="C3377" s="128" t="s">
        <v>2982</v>
      </c>
      <c r="D3377" s="129">
        <v>46226.896145833336</v>
      </c>
      <c r="E3377" s="130">
        <v>-17.239999999999998</v>
      </c>
      <c r="F3377" s="136">
        <v>4.4999999999999998E-2</v>
      </c>
      <c r="G3377" s="126">
        <f t="shared" si="75"/>
        <v>-17.239999999999998</v>
      </c>
      <c r="H3377" s="126" t="s">
        <v>3261</v>
      </c>
      <c r="I3377" s="127" t="s">
        <v>3213</v>
      </c>
      <c r="J3377" s="126">
        <v>30</v>
      </c>
      <c r="K3377" s="126">
        <f>351.05+149.06</f>
        <v>500.11</v>
      </c>
      <c r="L3377" s="129">
        <f>INT(base[[#This Row],[Data de liquidação]])</f>
        <v>46226</v>
      </c>
      <c r="M3377" s="126">
        <f>base[[#This Row],[L/P Bruto]]-base[[#This Row],[L/P Líquido]]</f>
        <v>0</v>
      </c>
      <c r="N3377" s="126">
        <f>base[[#This Row],[L/P Líquido]]/base[[#This Row],[Stake/Responsabilidade]]</f>
        <v>-3.4472416068464934E-2</v>
      </c>
      <c r="O3377" s="132">
        <f>IF(base[[#This Row],[L/P Líquido]]&gt;0,1,0)</f>
        <v>0</v>
      </c>
      <c r="P3377" s="132"/>
      <c r="Q3377" s="132" t="str">
        <f>LEFT(base[[#This Row],[Evento / Mercado]],FIND("vs",base[[#This Row],[Evento / Mercado]])-2)</f>
        <v>Club Atlético Sarmiento</v>
      </c>
      <c r="R33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Argentinos Juniors</v>
      </c>
      <c r="S3377" s="132" t="str">
        <f>LEFT(base[[#This Row],[Evento / Mercado]],FIND("/",base[[#This Row],[Evento / Mercado]])-2)</f>
        <v>Club Atlético Sarmiento vs Argentinos Juniors</v>
      </c>
    </row>
    <row r="3378" spans="2:21" ht="15" customHeight="1">
      <c r="B3378" s="128" t="s">
        <v>3349</v>
      </c>
      <c r="C3378" s="128" t="s">
        <v>2982</v>
      </c>
      <c r="D3378" s="129">
        <v>46226.911238425928</v>
      </c>
      <c r="E3378" s="130">
        <v>7.38</v>
      </c>
      <c r="F3378" s="136">
        <v>4.4999999999999998E-2</v>
      </c>
      <c r="G3378" s="126">
        <f t="shared" si="75"/>
        <v>7.7277486910994764</v>
      </c>
      <c r="H3378" s="126" t="s">
        <v>1339</v>
      </c>
      <c r="I3378" s="127" t="s">
        <v>1933</v>
      </c>
      <c r="J3378" s="126">
        <v>1.52</v>
      </c>
      <c r="K3378" s="126">
        <v>15</v>
      </c>
      <c r="L3378" s="129">
        <f>INT(base[[#This Row],[Data de liquidação]])</f>
        <v>46226</v>
      </c>
      <c r="M3378" s="126">
        <f>base[[#This Row],[L/P Bruto]]-base[[#This Row],[L/P Líquido]]</f>
        <v>0.34774869109947648</v>
      </c>
      <c r="N3378" s="126">
        <f>base[[#This Row],[L/P Líquido]]/base[[#This Row],[Stake/Responsabilidade]]</f>
        <v>0.49199999999999999</v>
      </c>
      <c r="O3378" s="132">
        <f>IF(base[[#This Row],[L/P Líquido]]&gt;0,1,0)</f>
        <v>1</v>
      </c>
      <c r="P3378" s="132"/>
      <c r="Q3378" s="132" t="str">
        <f>LEFT(base[[#This Row],[Evento / Mercado]],FIND("vs",base[[#This Row],[Evento / Mercado]])-2)</f>
        <v>Cuiabá EC</v>
      </c>
      <c r="R33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Goianiense</v>
      </c>
      <c r="S3378" s="132" t="str">
        <f>LEFT(base[[#This Row],[Evento / Mercado]],FIND("/",base[[#This Row],[Evento / Mercado]])-2)</f>
        <v>Cuiabá EC vs Atlético Goianiense</v>
      </c>
    </row>
    <row r="3379" spans="2:21" ht="15" customHeight="1">
      <c r="B3379" s="128" t="s">
        <v>3348</v>
      </c>
      <c r="C3379" s="128" t="s">
        <v>2982</v>
      </c>
      <c r="D3379" s="129">
        <v>46226.957951388889</v>
      </c>
      <c r="E3379" s="130">
        <v>286.52</v>
      </c>
      <c r="F3379" s="136">
        <v>4.4999999999999998E-2</v>
      </c>
      <c r="G3379" s="126">
        <f t="shared" si="75"/>
        <v>300.02094240837698</v>
      </c>
      <c r="H3379" s="126" t="s">
        <v>2743</v>
      </c>
      <c r="I3379" s="127" t="s">
        <v>2744</v>
      </c>
      <c r="J3379" s="126">
        <v>7.2</v>
      </c>
      <c r="K3379" s="126">
        <v>48.39</v>
      </c>
      <c r="L3379" s="129">
        <f>INT(base[[#This Row],[Data de liquidação]])</f>
        <v>46226</v>
      </c>
      <c r="M3379" s="126">
        <f>base[[#This Row],[L/P Bruto]]-base[[#This Row],[L/P Líquido]]</f>
        <v>13.500942408377</v>
      </c>
      <c r="N3379" s="126">
        <f>base[[#This Row],[L/P Líquido]]/base[[#This Row],[Stake/Responsabilidade]]</f>
        <v>5.921058069849142</v>
      </c>
      <c r="O3379" s="132">
        <f>IF(base[[#This Row],[L/P Líquido]]&gt;0,1,0)</f>
        <v>1</v>
      </c>
      <c r="P3379" s="132"/>
      <c r="Q3379" s="132" t="str">
        <f>LEFT(base[[#This Row],[Evento / Mercado]],FIND("vs",base[[#This Row],[Evento / Mercado]])-2)</f>
        <v>Emelec</v>
      </c>
      <c r="R33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Mushuc Runa</v>
      </c>
      <c r="S3379" s="132" t="str">
        <f>LEFT(base[[#This Row],[Evento / Mercado]],FIND("/",base[[#This Row],[Evento / Mercado]])-2)</f>
        <v>Emelec vs Mushuc Runa</v>
      </c>
    </row>
    <row r="3380" spans="2:21" ht="15" customHeight="1">
      <c r="B3380" s="128" t="s">
        <v>3347</v>
      </c>
      <c r="C3380" s="128" t="s">
        <v>2982</v>
      </c>
      <c r="D3380" s="129">
        <v>46226.958009259259</v>
      </c>
      <c r="E3380" s="130">
        <v>-300</v>
      </c>
      <c r="F3380" s="136">
        <v>4.4999999999999998E-2</v>
      </c>
      <c r="G3380" s="126">
        <f t="shared" si="75"/>
        <v>-300</v>
      </c>
      <c r="H3380" s="126" t="s">
        <v>2743</v>
      </c>
      <c r="I3380" s="127" t="s">
        <v>1233</v>
      </c>
      <c r="J3380" s="126">
        <v>3.7</v>
      </c>
      <c r="K3380" s="126">
        <v>300</v>
      </c>
      <c r="L3380" s="129">
        <f>INT(base[[#This Row],[Data de liquidação]])</f>
        <v>46226</v>
      </c>
      <c r="M3380" s="126">
        <f>base[[#This Row],[L/P Bruto]]-base[[#This Row],[L/P Líquido]]</f>
        <v>0</v>
      </c>
      <c r="N3380" s="126">
        <f>base[[#This Row],[L/P Líquido]]/base[[#This Row],[Stake/Responsabilidade]]</f>
        <v>-1</v>
      </c>
      <c r="O3380" s="132">
        <f>IF(base[[#This Row],[L/P Líquido]]&gt;0,1,0)</f>
        <v>0</v>
      </c>
      <c r="P3380" s="132"/>
      <c r="Q3380" s="132" t="str">
        <f>LEFT(base[[#This Row],[Evento / Mercado]],FIND("vs",base[[#This Row],[Evento / Mercado]])-2)</f>
        <v>Emelec</v>
      </c>
      <c r="R33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Mushuc Runa</v>
      </c>
      <c r="S3380" s="132" t="str">
        <f>LEFT(base[[#This Row],[Evento / Mercado]],FIND("/",base[[#This Row],[Evento / Mercado]])-2)</f>
        <v>Emelec vs Mushuc Runa</v>
      </c>
    </row>
    <row r="3381" spans="2:21" ht="15" customHeight="1">
      <c r="B3381" s="128" t="s">
        <v>3346</v>
      </c>
      <c r="C3381" s="128" t="s">
        <v>2982</v>
      </c>
      <c r="D3381" s="129">
        <v>46226.976111111115</v>
      </c>
      <c r="E3381" s="130">
        <v>6.79</v>
      </c>
      <c r="F3381" s="136">
        <v>4.4999999999999998E-2</v>
      </c>
      <c r="G3381" s="126">
        <f t="shared" si="75"/>
        <v>7.1099476439790577</v>
      </c>
      <c r="H3381" s="126" t="s">
        <v>2817</v>
      </c>
      <c r="I3381" s="127" t="s">
        <v>2992</v>
      </c>
      <c r="J3381" s="126">
        <v>12</v>
      </c>
      <c r="K3381" s="126">
        <v>99.99</v>
      </c>
      <c r="L3381" s="129">
        <f>INT(base[[#This Row],[Data de liquidação]])</f>
        <v>46226</v>
      </c>
      <c r="M3381" s="126">
        <f>base[[#This Row],[L/P Bruto]]-base[[#This Row],[L/P Líquido]]</f>
        <v>0.31994764397905762</v>
      </c>
      <c r="N3381" s="126">
        <f>base[[#This Row],[L/P Líquido]]/base[[#This Row],[Stake/Responsabilidade]]</f>
        <v>6.7906790679067908E-2</v>
      </c>
      <c r="O3381" s="132">
        <f>IF(base[[#This Row],[L/P Líquido]]&gt;0,1,0)</f>
        <v>1</v>
      </c>
      <c r="P3381" s="132"/>
      <c r="Q3381" s="132" t="str">
        <f>LEFT(base[[#This Row],[Evento / Mercado]],FIND("vs",base[[#This Row],[Evento / Mercado]])-2)</f>
        <v>Santa Fe</v>
      </c>
      <c r="R33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Caracas FC</v>
      </c>
      <c r="S3381" s="132" t="str">
        <f>LEFT(base[[#This Row],[Evento / Mercado]],FIND("/",base[[#This Row],[Evento / Mercado]])-2)</f>
        <v>Santa Fe vs Caracas FC</v>
      </c>
    </row>
    <row r="3382" spans="2:21" ht="15" customHeight="1">
      <c r="B3382" s="128" t="s">
        <v>3345</v>
      </c>
      <c r="C3382" s="128" t="s">
        <v>2982</v>
      </c>
      <c r="D3382" s="129">
        <v>46226.986296296294</v>
      </c>
      <c r="E3382" s="130">
        <v>18.36</v>
      </c>
      <c r="F3382" s="136">
        <v>4.4999999999999998E-2</v>
      </c>
      <c r="G3382" s="126">
        <f t="shared" si="75"/>
        <v>19.225130890052355</v>
      </c>
      <c r="H3382" s="127" t="s">
        <v>3304</v>
      </c>
      <c r="I3382" s="127"/>
      <c r="J3382" s="126">
        <v>27</v>
      </c>
      <c r="K3382" s="126">
        <v>499.98</v>
      </c>
      <c r="L3382" s="129">
        <f>INT(base[[#This Row],[Data de liquidação]])</f>
        <v>46226</v>
      </c>
      <c r="M3382" s="126">
        <f>base[[#This Row],[L/P Bruto]]-base[[#This Row],[L/P Líquido]]</f>
        <v>0.86513089005235599</v>
      </c>
      <c r="N3382" s="126">
        <f>base[[#This Row],[L/P Líquido]]/base[[#This Row],[Stake/Responsabilidade]]</f>
        <v>3.6721468858754346E-2</v>
      </c>
      <c r="O3382" s="132">
        <f>IF(base[[#This Row],[L/P Líquido]]&gt;0,1,0)</f>
        <v>1</v>
      </c>
      <c r="P3382" s="132"/>
      <c r="Q3382" s="132" t="str">
        <f>LEFT(base[[#This Row],[Evento / Mercado]],FIND("vs",base[[#This Row],[Evento / Mercado]])-2)</f>
        <v>Defensa y Justicia</v>
      </c>
      <c r="R33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Aldosivi</v>
      </c>
      <c r="S3382" s="132" t="str">
        <f>LEFT(base[[#This Row],[Evento / Mercado]],FIND("/",base[[#This Row],[Evento / Mercado]])-2)</f>
        <v>Defensa y Justicia vs Aldosivi</v>
      </c>
    </row>
    <row r="3383" spans="2:21" ht="15" customHeight="1">
      <c r="B3383" s="128" t="s">
        <v>3344</v>
      </c>
      <c r="C3383" s="128" t="s">
        <v>2982</v>
      </c>
      <c r="D3383" s="129">
        <v>46226.98642361111</v>
      </c>
      <c r="E3383" s="130">
        <v>-99.79</v>
      </c>
      <c r="F3383" s="136">
        <v>4.4999999999999998E-2</v>
      </c>
      <c r="G3383" s="126">
        <f t="shared" si="75"/>
        <v>-99.79</v>
      </c>
      <c r="H3383" s="126" t="s">
        <v>3303</v>
      </c>
      <c r="I3383" s="126"/>
      <c r="J3383" s="126">
        <v>1.52</v>
      </c>
      <c r="K3383" s="126">
        <v>300</v>
      </c>
      <c r="L3383" s="129">
        <f>INT(base[[#This Row],[Data de liquidação]])</f>
        <v>46226</v>
      </c>
      <c r="M3383" s="126">
        <f>base[[#This Row],[L/P Bruto]]-base[[#This Row],[L/P Líquido]]</f>
        <v>0</v>
      </c>
      <c r="N3383" s="126">
        <f>base[[#This Row],[L/P Líquido]]/base[[#This Row],[Stake/Responsabilidade]]</f>
        <v>-0.33263333333333334</v>
      </c>
      <c r="O3383" s="132">
        <f>IF(base[[#This Row],[L/P Líquido]]&gt;0,1,0)</f>
        <v>0</v>
      </c>
      <c r="P3383" s="132"/>
      <c r="Q3383" s="132" t="str">
        <f>LEFT(base[[#This Row],[Evento / Mercado]],FIND("vs",base[[#This Row],[Evento / Mercado]])-2)</f>
        <v>Defensa y Justicia</v>
      </c>
      <c r="R33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Aldosivi</v>
      </c>
      <c r="S3383" s="132" t="str">
        <f>LEFT(base[[#This Row],[Evento / Mercado]],FIND("/",base[[#This Row],[Evento / Mercado]])-2)</f>
        <v>Defensa y Justicia vs Aldosivi</v>
      </c>
    </row>
    <row r="3384" spans="2:21" ht="15" customHeight="1">
      <c r="B3384" s="128" t="s">
        <v>3379</v>
      </c>
      <c r="C3384" s="128" t="s">
        <v>2982</v>
      </c>
      <c r="D3384" s="129">
        <v>46227.660405092596</v>
      </c>
      <c r="E3384" s="130">
        <v>10.67</v>
      </c>
      <c r="F3384" s="136">
        <v>4.4999999999999998E-2</v>
      </c>
      <c r="G3384" s="126">
        <f t="shared" si="75"/>
        <v>11.172774869109949</v>
      </c>
      <c r="H3384" s="126" t="s">
        <v>2817</v>
      </c>
      <c r="I3384" s="127" t="s">
        <v>2992</v>
      </c>
      <c r="J3384" s="126">
        <v>5.7</v>
      </c>
      <c r="K3384" s="126">
        <v>100.02</v>
      </c>
      <c r="L3384" s="129">
        <f>INT(base[[#This Row],[Data de liquidação]])</f>
        <v>46227</v>
      </c>
      <c r="M3384" s="126">
        <f>base[[#This Row],[L/P Bruto]]-base[[#This Row],[L/P Líquido]]</f>
        <v>0.50277486910994895</v>
      </c>
      <c r="N3384" s="126">
        <f>base[[#This Row],[L/P Líquido]]/base[[#This Row],[Stake/Responsabilidade]]</f>
        <v>0.10667866426714658</v>
      </c>
      <c r="O3384" s="132">
        <f>IF(base[[#This Row],[L/P Líquido]]&gt;0,1,0)</f>
        <v>1</v>
      </c>
      <c r="P3384" s="132"/>
      <c r="Q3384" s="132" t="str">
        <f>LEFT(base[[#This Row],[Evento / Mercado]],FIND("vs",base[[#This Row],[Evento / Mercado]])-2)</f>
        <v>Västerås SK FK</v>
      </c>
      <c r="R33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3384" s="132" t="str">
        <f>LEFT(base[[#This Row],[Evento / Mercado]],FIND("/",base[[#This Row],[Evento / Mercado]])-2)</f>
        <v>Västerås SK FK vs Örgryte IS</v>
      </c>
    </row>
    <row r="3385" spans="2:21" ht="15" customHeight="1">
      <c r="B3385" s="128" t="s">
        <v>3378</v>
      </c>
      <c r="C3385" s="128" t="s">
        <v>2982</v>
      </c>
      <c r="D3385" s="129">
        <v>46227.692395833335</v>
      </c>
      <c r="E3385" s="130">
        <v>0.71</v>
      </c>
      <c r="F3385" s="136">
        <v>4.4999999999999998E-2</v>
      </c>
      <c r="G3385" s="126">
        <f t="shared" si="75"/>
        <v>0.74345549738219896</v>
      </c>
      <c r="H3385" s="126" t="s">
        <v>1339</v>
      </c>
      <c r="I3385" s="127" t="s">
        <v>1993</v>
      </c>
      <c r="J3385" s="126">
        <v>1.07</v>
      </c>
      <c r="K3385" s="126">
        <v>10</v>
      </c>
      <c r="L3385" s="129">
        <f>INT(base[[#This Row],[Data de liquidação]])</f>
        <v>46227</v>
      </c>
      <c r="M3385" s="126">
        <f>base[[#This Row],[L/P Bruto]]-base[[#This Row],[L/P Líquido]]</f>
        <v>3.3455497382198995E-2</v>
      </c>
      <c r="N3385" s="126">
        <f>base[[#This Row],[L/P Líquido]]/base[[#This Row],[Stake/Responsabilidade]]</f>
        <v>7.0999999999999994E-2</v>
      </c>
      <c r="O3385" s="132">
        <f>IF(base[[#This Row],[L/P Líquido]]&gt;0,1,0)</f>
        <v>1</v>
      </c>
      <c r="P3385" s="132"/>
      <c r="Q3385" s="132" t="str">
        <f>LEFT(base[[#This Row],[Evento / Mercado]],FIND("vs",base[[#This Row],[Evento / Mercado]])-2)</f>
        <v>St. Patrick's Athletic</v>
      </c>
      <c r="R33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3385" s="132" t="str">
        <f>LEFT(base[[#This Row],[Evento / Mercado]],FIND("/",base[[#This Row],[Evento / Mercado]])-2)</f>
        <v>St. Patrick's Athletic vs Dundalk</v>
      </c>
    </row>
    <row r="3386" spans="2:21" ht="15" customHeight="1">
      <c r="B3386" s="128" t="s">
        <v>3377</v>
      </c>
      <c r="C3386" s="128" t="s">
        <v>2982</v>
      </c>
      <c r="D3386" s="129">
        <v>46227.745162037034</v>
      </c>
      <c r="E3386" s="130">
        <v>14.668799999999999</v>
      </c>
      <c r="F3386" s="136">
        <v>4.4999999999999998E-2</v>
      </c>
      <c r="G3386" s="126">
        <f t="shared" si="75"/>
        <v>15.36</v>
      </c>
      <c r="H3386" s="126" t="s">
        <v>2821</v>
      </c>
      <c r="I3386" s="127" t="s">
        <v>476</v>
      </c>
      <c r="J3386" s="126">
        <v>29</v>
      </c>
      <c r="K3386" s="126">
        <v>430.08</v>
      </c>
      <c r="L3386" s="129">
        <f>INT(base[[#This Row],[Data de liquidação]])</f>
        <v>46227</v>
      </c>
      <c r="M3386" s="126">
        <f>base[[#This Row],[L/P Bruto]]-base[[#This Row],[L/P Líquido]]</f>
        <v>0.69120000000000026</v>
      </c>
      <c r="N3386" s="126">
        <f>base[[#This Row],[L/P Líquido]]/base[[#This Row],[Stake/Responsabilidade]]</f>
        <v>3.4107142857142857E-2</v>
      </c>
      <c r="O3386" s="132">
        <f>IF(base[[#This Row],[L/P Líquido]]&gt;0,1,0)</f>
        <v>1</v>
      </c>
      <c r="P3386" s="132"/>
      <c r="Q3386" s="132" t="str">
        <f>LEFT(base[[#This Row],[Evento / Mercado]],FIND("vs",base[[#This Row],[Evento / Mercado]])-2)</f>
        <v>St. Patrick's Athletic</v>
      </c>
      <c r="R33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3386" s="132" t="str">
        <f>LEFT(base[[#This Row],[Evento / Mercado]],FIND("/",base[[#This Row],[Evento / Mercado]])-2)</f>
        <v>St. Patrick's Athletic vs Dundalk</v>
      </c>
      <c r="T3386" s="8">
        <v>15.36</v>
      </c>
      <c r="U3386" s="9">
        <f t="shared" ref="U3386:U3387" si="76">T3386*0.955</f>
        <v>14.668799999999999</v>
      </c>
    </row>
    <row r="3387" spans="2:21" ht="15" customHeight="1">
      <c r="B3387" s="128" t="s">
        <v>3377</v>
      </c>
      <c r="C3387" s="128" t="s">
        <v>2982</v>
      </c>
      <c r="D3387" s="129">
        <v>46227.745162037034</v>
      </c>
      <c r="E3387" s="130">
        <v>49.039250000000003</v>
      </c>
      <c r="F3387" s="136">
        <v>4.4999999999999998E-2</v>
      </c>
      <c r="G3387" s="126">
        <f t="shared" si="75"/>
        <v>51.35</v>
      </c>
      <c r="H3387" s="126" t="s">
        <v>2761</v>
      </c>
      <c r="I3387" s="127" t="s">
        <v>476</v>
      </c>
      <c r="J3387" s="126">
        <v>8.4</v>
      </c>
      <c r="K3387" s="126">
        <v>379.99</v>
      </c>
      <c r="L3387" s="129">
        <f>INT(base[[#This Row],[Data de liquidação]])</f>
        <v>46227</v>
      </c>
      <c r="M3387" s="126">
        <f>base[[#This Row],[L/P Bruto]]-base[[#This Row],[L/P Líquido]]</f>
        <v>2.3107499999999987</v>
      </c>
      <c r="N3387" s="126">
        <f>base[[#This Row],[L/P Líquido]]/base[[#This Row],[Stake/Responsabilidade]]</f>
        <v>0.12905405405405407</v>
      </c>
      <c r="O3387" s="132">
        <f>IF(base[[#This Row],[L/P Líquido]]&gt;0,1,0)</f>
        <v>1</v>
      </c>
      <c r="P3387" s="132"/>
      <c r="Q3387" s="132" t="str">
        <f>LEFT(base[[#This Row],[Evento / Mercado]],FIND("vs",base[[#This Row],[Evento / Mercado]])-2)</f>
        <v>St. Patrick's Athletic</v>
      </c>
      <c r="R33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3387" s="132" t="str">
        <f>LEFT(base[[#This Row],[Evento / Mercado]],FIND("/",base[[#This Row],[Evento / Mercado]])-2)</f>
        <v>St. Patrick's Athletic vs Dundalk</v>
      </c>
      <c r="T3387" s="8">
        <v>51.35</v>
      </c>
      <c r="U3387" s="9">
        <f t="shared" si="76"/>
        <v>49.039250000000003</v>
      </c>
    </row>
    <row r="3388" spans="2:21" ht="15" customHeight="1">
      <c r="B3388" s="128" t="s">
        <v>3376</v>
      </c>
      <c r="C3388" s="128" t="s">
        <v>2982</v>
      </c>
      <c r="D3388" s="129">
        <v>46227.747175925928</v>
      </c>
      <c r="E3388" s="130">
        <v>11.95</v>
      </c>
      <c r="F3388" s="136">
        <v>4.4999999999999998E-2</v>
      </c>
      <c r="G3388" s="126">
        <f t="shared" si="75"/>
        <v>12.513089005235601</v>
      </c>
      <c r="H3388" s="127" t="s">
        <v>3304</v>
      </c>
      <c r="I3388" s="127"/>
      <c r="J3388" s="126">
        <v>38</v>
      </c>
      <c r="K3388" s="126">
        <v>499.87</v>
      </c>
      <c r="L3388" s="129">
        <f>INT(base[[#This Row],[Data de liquidação]])</f>
        <v>46227</v>
      </c>
      <c r="M3388" s="126">
        <f>base[[#This Row],[L/P Bruto]]-base[[#This Row],[L/P Líquido]]</f>
        <v>0.5630890052356019</v>
      </c>
      <c r="N3388" s="126">
        <f>base[[#This Row],[L/P Líquido]]/base[[#This Row],[Stake/Responsabilidade]]</f>
        <v>2.3906215616060173E-2</v>
      </c>
      <c r="O3388" s="132">
        <f>IF(base[[#This Row],[L/P Líquido]]&gt;0,1,0)</f>
        <v>1</v>
      </c>
      <c r="P3388" s="132"/>
      <c r="Q3388" s="132" t="str">
        <f>LEFT(base[[#This Row],[Evento / Mercado]],FIND("vs",base[[#This Row],[Evento / Mercado]])-2)</f>
        <v>Club 2 de Mayo</v>
      </c>
      <c r="R33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Rubio Ñú</v>
      </c>
      <c r="S3388" s="132" t="str">
        <f>LEFT(base[[#This Row],[Evento / Mercado]],FIND("/",base[[#This Row],[Evento / Mercado]])-2)</f>
        <v>Club 2 de Mayo vs Rubio Ñú</v>
      </c>
    </row>
    <row r="3389" spans="2:21" ht="15" customHeight="1">
      <c r="B3389" s="128" t="s">
        <v>3375</v>
      </c>
      <c r="C3389" s="128" t="s">
        <v>2982</v>
      </c>
      <c r="D3389" s="129">
        <v>46227.785057870373</v>
      </c>
      <c r="E3389" s="130">
        <v>7.69</v>
      </c>
      <c r="F3389" s="136">
        <v>4.4999999999999998E-2</v>
      </c>
      <c r="G3389" s="126">
        <f t="shared" si="75"/>
        <v>8.0523560209424083</v>
      </c>
      <c r="H3389" s="126" t="s">
        <v>2817</v>
      </c>
      <c r="I3389" s="127" t="s">
        <v>2992</v>
      </c>
      <c r="J3389" s="126">
        <v>9.6</v>
      </c>
      <c r="K3389" s="126">
        <v>100.02</v>
      </c>
      <c r="L3389" s="129">
        <f>INT(base[[#This Row],[Data de liquidação]])</f>
        <v>46227</v>
      </c>
      <c r="M3389" s="126">
        <f>base[[#This Row],[L/P Bruto]]-base[[#This Row],[L/P Líquido]]</f>
        <v>0.36235602094240793</v>
      </c>
      <c r="N3389" s="126">
        <f>base[[#This Row],[L/P Líquido]]/base[[#This Row],[Stake/Responsabilidade]]</f>
        <v>7.6884623075384934E-2</v>
      </c>
      <c r="O3389" s="132">
        <f>IF(base[[#This Row],[L/P Líquido]]&gt;0,1,0)</f>
        <v>1</v>
      </c>
      <c r="P3389" s="132"/>
      <c r="Q3389" s="132" t="str">
        <f>LEFT(base[[#This Row],[Evento / Mercado]],FIND("vs",base[[#This Row],[Evento / Mercado]])-2)</f>
        <v>Víkingur</v>
      </c>
      <c r="R33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Keflavik IF</v>
      </c>
      <c r="S3389" s="132" t="str">
        <f>LEFT(base[[#This Row],[Evento / Mercado]],FIND("/",base[[#This Row],[Evento / Mercado]])-2)</f>
        <v>Víkingur vs Keflavik IF</v>
      </c>
    </row>
    <row r="3390" spans="2:21" ht="15" customHeight="1">
      <c r="B3390" s="128" t="s">
        <v>3374</v>
      </c>
      <c r="C3390" s="128" t="s">
        <v>2982</v>
      </c>
      <c r="D3390" s="129">
        <v>46227.788773148146</v>
      </c>
      <c r="E3390" s="130">
        <v>26.53</v>
      </c>
      <c r="F3390" s="136">
        <v>4.4999999999999998E-2</v>
      </c>
      <c r="G3390" s="126">
        <f t="shared" si="75"/>
        <v>27.780104712041886</v>
      </c>
      <c r="H3390" s="126" t="s">
        <v>3261</v>
      </c>
      <c r="I3390" s="127" t="s">
        <v>476</v>
      </c>
      <c r="J3390" s="126">
        <v>19</v>
      </c>
      <c r="K3390" s="126">
        <v>500.04</v>
      </c>
      <c r="L3390" s="129">
        <f>INT(base[[#This Row],[Data de liquidação]])</f>
        <v>46227</v>
      </c>
      <c r="M3390" s="126">
        <f>base[[#This Row],[L/P Bruto]]-base[[#This Row],[L/P Líquido]]</f>
        <v>1.2501047120418853</v>
      </c>
      <c r="N3390" s="126">
        <f>base[[#This Row],[L/P Líquido]]/base[[#This Row],[Stake/Responsabilidade]]</f>
        <v>5.3055755539556833E-2</v>
      </c>
      <c r="O3390" s="132">
        <f>IF(base[[#This Row],[L/P Líquido]]&gt;0,1,0)</f>
        <v>1</v>
      </c>
      <c r="P3390" s="132"/>
      <c r="Q3390" s="132" t="str">
        <f>LEFT(base[[#This Row],[Evento / Mercado]],FIND("vs",base[[#This Row],[Evento / Mercado]])-2)</f>
        <v>Alianza Atletico</v>
      </c>
      <c r="R33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Los Chankas</v>
      </c>
      <c r="S3390" s="132" t="str">
        <f>LEFT(base[[#This Row],[Evento / Mercado]],FIND("/",base[[#This Row],[Evento / Mercado]])-2)</f>
        <v>Alianza Atletico vs CD Los Chankas</v>
      </c>
    </row>
    <row r="3391" spans="2:21" ht="15" customHeight="1">
      <c r="B3391" s="128" t="s">
        <v>3373</v>
      </c>
      <c r="C3391" s="128" t="s">
        <v>2982</v>
      </c>
      <c r="D3391" s="129">
        <v>46227.855775462966</v>
      </c>
      <c r="E3391" s="130">
        <v>-126.09</v>
      </c>
      <c r="F3391" s="136">
        <v>4.4999999999999998E-2</v>
      </c>
      <c r="G3391" s="126">
        <f t="shared" si="75"/>
        <v>-126.09</v>
      </c>
      <c r="H3391" s="126" t="s">
        <v>3303</v>
      </c>
      <c r="I3391" s="127"/>
      <c r="J3391" s="126">
        <v>1.6</v>
      </c>
      <c r="K3391" s="126">
        <v>300</v>
      </c>
      <c r="L3391" s="129">
        <f>INT(base[[#This Row],[Data de liquidação]])</f>
        <v>46227</v>
      </c>
      <c r="M3391" s="126">
        <f>base[[#This Row],[L/P Bruto]]-base[[#This Row],[L/P Líquido]]</f>
        <v>0</v>
      </c>
      <c r="N3391" s="126">
        <f>base[[#This Row],[L/P Líquido]]/base[[#This Row],[Stake/Responsabilidade]]</f>
        <v>-0.42030000000000001</v>
      </c>
      <c r="O3391" s="132">
        <f>IF(base[[#This Row],[L/P Líquido]]&gt;0,1,0)</f>
        <v>0</v>
      </c>
      <c r="P3391" s="132"/>
      <c r="Q3391" s="132" t="str">
        <f>LEFT(base[[#This Row],[Evento / Mercado]],FIND("vs",base[[#This Row],[Evento / Mercado]])-2)</f>
        <v>Racing Club</v>
      </c>
      <c r="R33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Gimnasia y Esgrima La Plata</v>
      </c>
      <c r="S3391" s="132" t="str">
        <f>LEFT(base[[#This Row],[Evento / Mercado]],FIND("/",base[[#This Row],[Evento / Mercado]])-2)</f>
        <v>Racing Club vs Gimnasia y Esgrima La Plata</v>
      </c>
    </row>
    <row r="3392" spans="2:21" ht="15" customHeight="1">
      <c r="B3392" s="128" t="s">
        <v>3372</v>
      </c>
      <c r="C3392" s="128" t="s">
        <v>2982</v>
      </c>
      <c r="D3392" s="129">
        <v>46227.858506944445</v>
      </c>
      <c r="E3392" s="130">
        <v>2.88</v>
      </c>
      <c r="F3392" s="136">
        <v>4.4999999999999998E-2</v>
      </c>
      <c r="G3392" s="126">
        <f t="shared" si="75"/>
        <v>3.0157068062827226</v>
      </c>
      <c r="H3392" s="126" t="s">
        <v>1339</v>
      </c>
      <c r="I3392" s="127" t="s">
        <v>2404</v>
      </c>
      <c r="J3392" s="126">
        <v>1.6</v>
      </c>
      <c r="K3392" s="126">
        <v>5</v>
      </c>
      <c r="L3392" s="129">
        <f>INT(base[[#This Row],[Data de liquidação]])</f>
        <v>46227</v>
      </c>
      <c r="M3392" s="126">
        <f>base[[#This Row],[L/P Bruto]]-base[[#This Row],[L/P Líquido]]</f>
        <v>0.13570680628272269</v>
      </c>
      <c r="N3392" s="126">
        <f>base[[#This Row],[L/P Líquido]]/base[[#This Row],[Stake/Responsabilidade]]</f>
        <v>0.57599999999999996</v>
      </c>
      <c r="O3392" s="132">
        <f>IF(base[[#This Row],[L/P Líquido]]&gt;0,1,0)</f>
        <v>1</v>
      </c>
      <c r="P3392" s="132"/>
      <c r="Q3392" s="132" t="str">
        <f>LEFT(base[[#This Row],[Evento / Mercado]],FIND("vs",base[[#This Row],[Evento / Mercado]])-2)</f>
        <v>Club Aurora</v>
      </c>
      <c r="R33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Academia de Balompie Boliviano</v>
      </c>
      <c r="S3392" s="132" t="str">
        <f>LEFT(base[[#This Row],[Evento / Mercado]],FIND("/",base[[#This Row],[Evento / Mercado]])-2)</f>
        <v>Club Aurora vs Academia de Balompie Boliviano</v>
      </c>
    </row>
    <row r="3393" spans="2:19" ht="15" customHeight="1">
      <c r="B3393" s="128" t="s">
        <v>3371</v>
      </c>
      <c r="C3393" s="128" t="s">
        <v>2982</v>
      </c>
      <c r="D3393" s="129">
        <v>46227.872743055559</v>
      </c>
      <c r="E3393" s="130">
        <v>1.03</v>
      </c>
      <c r="F3393" s="136">
        <v>4.4999999999999998E-2</v>
      </c>
      <c r="G3393" s="126">
        <f t="shared" si="75"/>
        <v>1.0785340314136127</v>
      </c>
      <c r="H3393" s="127" t="s">
        <v>3304</v>
      </c>
      <c r="I3393" s="127"/>
      <c r="J3393" s="126">
        <v>22</v>
      </c>
      <c r="K3393" s="126">
        <v>500.01</v>
      </c>
      <c r="L3393" s="129">
        <f>INT(base[[#This Row],[Data de liquidação]])</f>
        <v>46227</v>
      </c>
      <c r="M3393" s="126">
        <f>base[[#This Row],[L/P Bruto]]-base[[#This Row],[L/P Líquido]]</f>
        <v>4.8534031413612677E-2</v>
      </c>
      <c r="N3393" s="126">
        <f>base[[#This Row],[L/P Líquido]]/base[[#This Row],[Stake/Responsabilidade]]</f>
        <v>2.0599588008239837E-3</v>
      </c>
      <c r="O3393" s="132">
        <f>IF(base[[#This Row],[L/P Líquido]]&gt;0,1,0)</f>
        <v>1</v>
      </c>
      <c r="P3393" s="132"/>
      <c r="Q3393" s="132" t="str">
        <f>LEFT(base[[#This Row],[Evento / Mercado]],FIND("vs",base[[#This Row],[Evento / Mercado]])-2)</f>
        <v>Racing Club</v>
      </c>
      <c r="R33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Gimnasia y Esgrima La Plata</v>
      </c>
      <c r="S3393" s="132" t="str">
        <f>LEFT(base[[#This Row],[Evento / Mercado]],FIND("/",base[[#This Row],[Evento / Mercado]])-2)</f>
        <v>Racing Club vs Gimnasia y Esgrima La Plata</v>
      </c>
    </row>
    <row r="3394" spans="2:19" ht="15" customHeight="1">
      <c r="B3394" s="128" t="s">
        <v>3370</v>
      </c>
      <c r="C3394" s="128" t="s">
        <v>2982</v>
      </c>
      <c r="D3394" s="129">
        <v>46227.874374999999</v>
      </c>
      <c r="E3394" s="130">
        <v>-51.72</v>
      </c>
      <c r="F3394" s="136">
        <v>4.4999999999999998E-2</v>
      </c>
      <c r="G3394" s="126">
        <f t="shared" si="75"/>
        <v>-51.72</v>
      </c>
      <c r="H3394" s="126" t="s">
        <v>2743</v>
      </c>
      <c r="I3394" s="127" t="s">
        <v>2744</v>
      </c>
      <c r="J3394" s="126">
        <v>6.8</v>
      </c>
      <c r="K3394" s="126">
        <v>51.72</v>
      </c>
      <c r="L3394" s="129">
        <f>INT(base[[#This Row],[Data de liquidação]])</f>
        <v>46227</v>
      </c>
      <c r="M3394" s="126">
        <f>base[[#This Row],[L/P Bruto]]-base[[#This Row],[L/P Líquido]]</f>
        <v>0</v>
      </c>
      <c r="N3394" s="126">
        <f>base[[#This Row],[L/P Líquido]]/base[[#This Row],[Stake/Responsabilidade]]</f>
        <v>-1</v>
      </c>
      <c r="O3394" s="132">
        <f>IF(base[[#This Row],[L/P Líquido]]&gt;0,1,0)</f>
        <v>0</v>
      </c>
      <c r="P3394" s="132"/>
      <c r="Q3394" s="132" t="str">
        <f>LEFT(base[[#This Row],[Evento / Mercado]],FIND("vs",base[[#This Row],[Evento / Mercado]])-2)</f>
        <v>Vélez Sársfield</v>
      </c>
      <c r="R33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Instituto de Córdoba</v>
      </c>
      <c r="S3394" s="132" t="str">
        <f>LEFT(base[[#This Row],[Evento / Mercado]],FIND("/",base[[#This Row],[Evento / Mercado]])-2)</f>
        <v>Vélez Sársfield vs Instituto de Córdoba</v>
      </c>
    </row>
    <row r="3395" spans="2:19" ht="15" customHeight="1">
      <c r="B3395" s="128" t="s">
        <v>3369</v>
      </c>
      <c r="C3395" s="128" t="s">
        <v>2982</v>
      </c>
      <c r="D3395" s="129">
        <v>46227.874525462961</v>
      </c>
      <c r="E3395" s="130">
        <v>136.43</v>
      </c>
      <c r="F3395" s="136">
        <v>4.4999999999999998E-2</v>
      </c>
      <c r="G3395" s="126">
        <f t="shared" ref="G3395:G3458" si="77">IF(E3395&gt;0,E3395/(1-F3395),E3395)</f>
        <v>142.85863874345551</v>
      </c>
      <c r="H3395" s="126" t="s">
        <v>2743</v>
      </c>
      <c r="I3395" s="127" t="s">
        <v>1233</v>
      </c>
      <c r="J3395" s="126">
        <v>3.1</v>
      </c>
      <c r="K3395" s="126">
        <v>300.01</v>
      </c>
      <c r="L3395" s="129">
        <f>INT(base[[#This Row],[Data de liquidação]])</f>
        <v>46227</v>
      </c>
      <c r="M3395" s="126">
        <f>base[[#This Row],[L/P Bruto]]-base[[#This Row],[L/P Líquido]]</f>
        <v>6.4286387434555081</v>
      </c>
      <c r="N3395" s="126">
        <f>base[[#This Row],[L/P Líquido]]/base[[#This Row],[Stake/Responsabilidade]]</f>
        <v>0.45475150828305727</v>
      </c>
      <c r="O3395" s="132">
        <f>IF(base[[#This Row],[L/P Líquido]]&gt;0,1,0)</f>
        <v>1</v>
      </c>
      <c r="P3395" s="132"/>
      <c r="Q3395" s="132" t="str">
        <f>LEFT(base[[#This Row],[Evento / Mercado]],FIND("vs",base[[#This Row],[Evento / Mercado]])-2)</f>
        <v>Vélez Sársfield</v>
      </c>
      <c r="R33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Instituto de Córdoba</v>
      </c>
      <c r="S3395" s="132" t="str">
        <f>LEFT(base[[#This Row],[Evento / Mercado]],FIND("/",base[[#This Row],[Evento / Mercado]])-2)</f>
        <v>Vélez Sársfield vs Instituto de Córdoba</v>
      </c>
    </row>
    <row r="3396" spans="2:19" ht="15" customHeight="1">
      <c r="B3396" s="128" t="s">
        <v>3368</v>
      </c>
      <c r="C3396" s="128" t="s">
        <v>2982</v>
      </c>
      <c r="D3396" s="129">
        <v>46227.922129629631</v>
      </c>
      <c r="E3396" s="130">
        <v>11.02</v>
      </c>
      <c r="F3396" s="136">
        <v>4.4999999999999998E-2</v>
      </c>
      <c r="G3396" s="126">
        <f t="shared" si="77"/>
        <v>11.539267015706807</v>
      </c>
      <c r="H3396" s="126" t="s">
        <v>3261</v>
      </c>
      <c r="I3396" s="127" t="s">
        <v>3213</v>
      </c>
      <c r="J3396" s="126">
        <v>32</v>
      </c>
      <c r="K3396" s="126">
        <v>500.03</v>
      </c>
      <c r="L3396" s="129">
        <f>INT(base[[#This Row],[Data de liquidação]])</f>
        <v>46227</v>
      </c>
      <c r="M3396" s="126">
        <f>base[[#This Row],[L/P Bruto]]-base[[#This Row],[L/P Líquido]]</f>
        <v>0.51926701570680756</v>
      </c>
      <c r="N3396" s="126">
        <f>base[[#This Row],[L/P Líquido]]/base[[#This Row],[Stake/Responsabilidade]]</f>
        <v>2.2038677679339241E-2</v>
      </c>
      <c r="O3396" s="132">
        <f>IF(base[[#This Row],[L/P Líquido]]&gt;0,1,0)</f>
        <v>1</v>
      </c>
      <c r="P3396" s="132"/>
      <c r="Q3396" s="132" t="str">
        <f>LEFT(base[[#This Row],[Evento / Mercado]],FIND("vs",base[[#This Row],[Evento / Mercado]])-2)</f>
        <v>Llaneros FC Villavicencio</v>
      </c>
      <c r="R33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Pereira</v>
      </c>
      <c r="S3396" s="132" t="str">
        <f>LEFT(base[[#This Row],[Evento / Mercado]],FIND("/",base[[#This Row],[Evento / Mercado]])-2)</f>
        <v>Llaneros FC Villavicencio vs Deportivo Pereira</v>
      </c>
    </row>
    <row r="3397" spans="2:19" ht="15" customHeight="1">
      <c r="B3397" s="128" t="s">
        <v>3367</v>
      </c>
      <c r="C3397" s="128" t="s">
        <v>2982</v>
      </c>
      <c r="D3397" s="129">
        <v>46227.967673611114</v>
      </c>
      <c r="E3397" s="130">
        <v>11.38</v>
      </c>
      <c r="F3397" s="136">
        <v>4.4999999999999998E-2</v>
      </c>
      <c r="G3397" s="126">
        <f t="shared" si="77"/>
        <v>11.916230366492147</v>
      </c>
      <c r="H3397" s="126" t="s">
        <v>3261</v>
      </c>
      <c r="I3397" s="127" t="s">
        <v>3213</v>
      </c>
      <c r="J3397" s="126">
        <v>30</v>
      </c>
      <c r="K3397" s="126">
        <v>499.96</v>
      </c>
      <c r="L3397" s="129">
        <f>INT(base[[#This Row],[Data de liquidação]])</f>
        <v>46227</v>
      </c>
      <c r="M3397" s="126">
        <f>base[[#This Row],[L/P Bruto]]-base[[#This Row],[L/P Líquido]]</f>
        <v>0.53623036649214662</v>
      </c>
      <c r="N3397" s="126">
        <f>base[[#This Row],[L/P Líquido]]/base[[#This Row],[Stake/Responsabilidade]]</f>
        <v>2.2761820945675658E-2</v>
      </c>
      <c r="O3397" s="132">
        <f>IF(base[[#This Row],[L/P Líquido]]&gt;0,1,0)</f>
        <v>1</v>
      </c>
      <c r="P3397" s="132"/>
      <c r="Q3397" s="132" t="str">
        <f>LEFT(base[[#This Row],[Evento / Mercado]],FIND("vs",base[[#This Row],[Evento / Mercado]])-2)</f>
        <v>CA Huracan</v>
      </c>
      <c r="R33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Banfield</v>
      </c>
      <c r="S3397" s="132" t="str">
        <f>LEFT(base[[#This Row],[Evento / Mercado]],FIND("/",base[[#This Row],[Evento / Mercado]])-2)</f>
        <v>CA Huracan vs Banfield</v>
      </c>
    </row>
    <row r="3398" spans="2:19" ht="15" customHeight="1">
      <c r="B3398" s="128" t="s">
        <v>3366</v>
      </c>
      <c r="C3398" s="128" t="s">
        <v>2982</v>
      </c>
      <c r="D3398" s="129">
        <v>46227.967766203707</v>
      </c>
      <c r="E3398" s="130">
        <v>10.61</v>
      </c>
      <c r="F3398" s="136">
        <v>4.4999999999999998E-2</v>
      </c>
      <c r="G3398" s="126">
        <f t="shared" si="77"/>
        <v>11.109947643979057</v>
      </c>
      <c r="H3398" s="127" t="s">
        <v>3304</v>
      </c>
      <c r="I3398" s="127"/>
      <c r="J3398" s="126">
        <v>46</v>
      </c>
      <c r="K3398" s="126">
        <v>499.95</v>
      </c>
      <c r="L3398" s="129">
        <f>INT(base[[#This Row],[Data de liquidação]])</f>
        <v>46227</v>
      </c>
      <c r="M3398" s="126">
        <f>base[[#This Row],[L/P Bruto]]-base[[#This Row],[L/P Líquido]]</f>
        <v>0.49994764397905733</v>
      </c>
      <c r="N3398" s="126">
        <f>base[[#This Row],[L/P Líquido]]/base[[#This Row],[Stake/Responsabilidade]]</f>
        <v>2.1222122212221223E-2</v>
      </c>
      <c r="O3398" s="132">
        <f>IF(base[[#This Row],[L/P Líquido]]&gt;0,1,0)</f>
        <v>1</v>
      </c>
      <c r="P3398" s="132"/>
      <c r="Q3398" s="132" t="str">
        <f>LEFT(base[[#This Row],[Evento / Mercado]],FIND("vs",base[[#This Row],[Evento / Mercado]])-2)</f>
        <v>Platense</v>
      </c>
      <c r="R33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Unión de Santa Fe</v>
      </c>
      <c r="S3398" s="132" t="str">
        <f>LEFT(base[[#This Row],[Evento / Mercado]],FIND("/",base[[#This Row],[Evento / Mercado]])-2)</f>
        <v>Platense vs Unión de Santa Fe</v>
      </c>
    </row>
    <row r="3399" spans="2:19" ht="15" customHeight="1">
      <c r="B3399" s="128" t="s">
        <v>3365</v>
      </c>
      <c r="C3399" s="128" t="s">
        <v>2982</v>
      </c>
      <c r="D3399" s="129">
        <v>46227.976226851853</v>
      </c>
      <c r="E3399" s="130">
        <v>-5</v>
      </c>
      <c r="F3399" s="136">
        <v>4.4999999999999998E-2</v>
      </c>
      <c r="G3399" s="126">
        <f t="shared" si="77"/>
        <v>-5</v>
      </c>
      <c r="H3399" s="126" t="s">
        <v>1339</v>
      </c>
      <c r="I3399" s="127" t="s">
        <v>2404</v>
      </c>
      <c r="J3399" s="126">
        <v>1.69</v>
      </c>
      <c r="K3399" s="126">
        <v>5</v>
      </c>
      <c r="L3399" s="129">
        <f>INT(base[[#This Row],[Data de liquidação]])</f>
        <v>46227</v>
      </c>
      <c r="M3399" s="126">
        <f>base[[#This Row],[L/P Bruto]]-base[[#This Row],[L/P Líquido]]</f>
        <v>0</v>
      </c>
      <c r="N3399" s="126">
        <f>base[[#This Row],[L/P Líquido]]/base[[#This Row],[Stake/Responsabilidade]]</f>
        <v>-1</v>
      </c>
      <c r="O3399" s="132">
        <f>IF(base[[#This Row],[L/P Líquido]]&gt;0,1,0)</f>
        <v>0</v>
      </c>
      <c r="P3399" s="132"/>
      <c r="Q3399" s="132" t="str">
        <f>LEFT(base[[#This Row],[Evento / Mercado]],FIND("vs",base[[#This Row],[Evento / Mercado]])-2)</f>
        <v>Deportes Iquique</v>
      </c>
      <c r="R33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Temuco</v>
      </c>
      <c r="S3399" s="132" t="str">
        <f>LEFT(base[[#This Row],[Evento / Mercado]],FIND("/",base[[#This Row],[Evento / Mercado]])-2)</f>
        <v>Deportes Iquique vs Deportes Temuco</v>
      </c>
    </row>
    <row r="3400" spans="2:19" ht="15" customHeight="1">
      <c r="B3400" s="128" t="s">
        <v>3364</v>
      </c>
      <c r="C3400" s="128" t="s">
        <v>2982</v>
      </c>
      <c r="D3400" s="129">
        <v>46227.981678240743</v>
      </c>
      <c r="E3400" s="130">
        <v>15.17</v>
      </c>
      <c r="F3400" s="136">
        <v>4.4999999999999998E-2</v>
      </c>
      <c r="G3400" s="126">
        <f t="shared" si="77"/>
        <v>15.884816753926701</v>
      </c>
      <c r="H3400" s="126" t="s">
        <v>2821</v>
      </c>
      <c r="I3400" s="127" t="s">
        <v>476</v>
      </c>
      <c r="J3400" s="126">
        <v>29</v>
      </c>
      <c r="K3400" s="126">
        <v>444.92</v>
      </c>
      <c r="L3400" s="129">
        <f>INT(base[[#This Row],[Data de liquidação]])</f>
        <v>46227</v>
      </c>
      <c r="M3400" s="126">
        <f>base[[#This Row],[L/P Bruto]]-base[[#This Row],[L/P Líquido]]</f>
        <v>0.71481675392670141</v>
      </c>
      <c r="N3400" s="126">
        <f>base[[#This Row],[L/P Líquido]]/base[[#This Row],[Stake/Responsabilidade]]</f>
        <v>3.4096017261530158E-2</v>
      </c>
      <c r="O3400" s="132">
        <f>IF(base[[#This Row],[L/P Líquido]]&gt;0,1,0)</f>
        <v>1</v>
      </c>
      <c r="P3400" s="132"/>
      <c r="Q3400" s="132" t="str">
        <f>LEFT(base[[#This Row],[Evento / Mercado]],FIND("vs",base[[#This Row],[Evento / Mercado]])-2)</f>
        <v>Colo-Colo</v>
      </c>
      <c r="R34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Limache</v>
      </c>
      <c r="S3400" s="132" t="str">
        <f>LEFT(base[[#This Row],[Evento / Mercado]],FIND("/",base[[#This Row],[Evento / Mercado]])-2)</f>
        <v>Colo-Colo vs Deportes Limache</v>
      </c>
    </row>
    <row r="3401" spans="2:19" ht="15" customHeight="1">
      <c r="B3401" s="128" t="s">
        <v>3364</v>
      </c>
      <c r="C3401" s="128" t="s">
        <v>2981</v>
      </c>
      <c r="D3401" s="129">
        <v>46227.981678240743</v>
      </c>
      <c r="E3401" s="130">
        <v>-33.33</v>
      </c>
      <c r="F3401" s="136">
        <v>4.4999999999999998E-2</v>
      </c>
      <c r="G3401" s="126">
        <f t="shared" si="77"/>
        <v>-33.33</v>
      </c>
      <c r="H3401" s="126" t="s">
        <v>2743</v>
      </c>
      <c r="I3401" s="127" t="s">
        <v>2744</v>
      </c>
      <c r="J3401" s="126">
        <v>10</v>
      </c>
      <c r="K3401" s="126">
        <v>33.33</v>
      </c>
      <c r="L3401" s="129">
        <f>INT(base[[#This Row],[Data de liquidação]])</f>
        <v>46227</v>
      </c>
      <c r="M3401" s="126">
        <f>base[[#This Row],[L/P Bruto]]-base[[#This Row],[L/P Líquido]]</f>
        <v>0</v>
      </c>
      <c r="N3401" s="126">
        <f>base[[#This Row],[L/P Líquido]]/base[[#This Row],[Stake/Responsabilidade]]</f>
        <v>-1</v>
      </c>
      <c r="O3401" s="132">
        <f>IF(base[[#This Row],[L/P Líquido]]&gt;0,1,0)</f>
        <v>0</v>
      </c>
      <c r="P3401" s="132"/>
      <c r="Q3401" s="132" t="str">
        <f>LEFT(base[[#This Row],[Evento / Mercado]],FIND("vs",base[[#This Row],[Evento / Mercado]])-2)</f>
        <v>Colo-Colo</v>
      </c>
      <c r="R34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Limache</v>
      </c>
      <c r="S3401" s="132" t="str">
        <f>LEFT(base[[#This Row],[Evento / Mercado]],FIND("/",base[[#This Row],[Evento / Mercado]])-2)</f>
        <v>Colo-Colo vs Deportes Limache</v>
      </c>
    </row>
    <row r="3402" spans="2:19" ht="15" customHeight="1">
      <c r="B3402" s="128" t="s">
        <v>3380</v>
      </c>
      <c r="C3402" s="128" t="s">
        <v>2981</v>
      </c>
      <c r="D3402" s="129">
        <v>46227.981793981482</v>
      </c>
      <c r="E3402" s="130">
        <v>59.19</v>
      </c>
      <c r="F3402" s="136">
        <v>4.4999999999999998E-2</v>
      </c>
      <c r="G3402" s="126">
        <f t="shared" si="77"/>
        <v>61.97905759162304</v>
      </c>
      <c r="H3402" s="126" t="s">
        <v>2743</v>
      </c>
      <c r="I3402" s="127" t="s">
        <v>1233</v>
      </c>
      <c r="J3402" s="126">
        <v>4.8</v>
      </c>
      <c r="K3402" s="126">
        <v>300.01</v>
      </c>
      <c r="L3402" s="129">
        <f>INT(base[[#This Row],[Data de liquidação]])</f>
        <v>46227</v>
      </c>
      <c r="M3402" s="126">
        <f>base[[#This Row],[L/P Bruto]]-base[[#This Row],[L/P Líquido]]</f>
        <v>2.7890575916230418</v>
      </c>
      <c r="N3402" s="126">
        <f>base[[#This Row],[L/P Líquido]]/base[[#This Row],[Stake/Responsabilidade]]</f>
        <v>0.19729342355254825</v>
      </c>
      <c r="O3402" s="132">
        <f>IF(base[[#This Row],[L/P Líquido]]&gt;0,1,0)</f>
        <v>1</v>
      </c>
      <c r="P3402" s="132"/>
      <c r="Q3402" s="132" t="str">
        <f>LEFT(base[[#This Row],[Evento / Mercado]],FIND("vs",base[[#This Row],[Evento / Mercado]])-2)</f>
        <v>Colo-Colo</v>
      </c>
      <c r="R34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Limache</v>
      </c>
      <c r="S3402" s="132" t="str">
        <f>LEFT(base[[#This Row],[Evento / Mercado]],FIND("/",base[[#This Row],[Evento / Mercado]])-2)</f>
        <v>Colo-Colo vs Deportes Limache</v>
      </c>
    </row>
    <row r="3403" spans="2:19" ht="15" customHeight="1">
      <c r="B3403" s="128" t="s">
        <v>3422</v>
      </c>
      <c r="C3403" s="128" t="s">
        <v>2982</v>
      </c>
      <c r="D3403" s="129">
        <v>46228.006041666667</v>
      </c>
      <c r="E3403" s="130">
        <v>-22.69</v>
      </c>
      <c r="F3403" s="136">
        <v>4.4999999999999998E-2</v>
      </c>
      <c r="G3403" s="126">
        <f t="shared" si="77"/>
        <v>-22.69</v>
      </c>
      <c r="H3403" s="126" t="s">
        <v>2743</v>
      </c>
      <c r="I3403" s="127" t="s">
        <v>2744</v>
      </c>
      <c r="J3403" s="126">
        <v>8.1999999999999993</v>
      </c>
      <c r="K3403" s="126">
        <v>41.67</v>
      </c>
      <c r="L3403" s="129">
        <f>INT(base[[#This Row],[Data de liquidação]])</f>
        <v>46228</v>
      </c>
      <c r="M3403" s="126">
        <f>base[[#This Row],[L/P Bruto]]-base[[#This Row],[L/P Líquido]]</f>
        <v>0</v>
      </c>
      <c r="N3403" s="126">
        <f>base[[#This Row],[L/P Líquido]]/base[[#This Row],[Stake/Responsabilidade]]</f>
        <v>-0.54451643868490518</v>
      </c>
      <c r="O3403" s="132">
        <f>IF(base[[#This Row],[L/P Líquido]]&gt;0,1,0)</f>
        <v>0</v>
      </c>
      <c r="P3403" s="132"/>
      <c r="Q3403" s="132" t="str">
        <f>LEFT(base[[#This Row],[Evento / Mercado]],FIND("vs",base[[#This Row],[Evento / Mercado]])-2)</f>
        <v>Deportivo Cali</v>
      </c>
      <c r="R34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Jaguares de Córdoba</v>
      </c>
      <c r="S3403" s="132" t="str">
        <f>LEFT(base[[#This Row],[Evento / Mercado]],FIND("/",base[[#This Row],[Evento / Mercado]])-2)</f>
        <v>Deportivo Cali vs Jaguares de Córdoba</v>
      </c>
    </row>
    <row r="3404" spans="2:19" ht="15" customHeight="1">
      <c r="B3404" s="128" t="s">
        <v>3422</v>
      </c>
      <c r="C3404" s="128" t="s">
        <v>2981</v>
      </c>
      <c r="D3404" s="129">
        <v>46228.006041666667</v>
      </c>
      <c r="E3404" s="130">
        <v>-18.72</v>
      </c>
      <c r="F3404" s="136">
        <v>4.4999999999999998E-2</v>
      </c>
      <c r="G3404" s="126">
        <f t="shared" si="77"/>
        <v>-18.72</v>
      </c>
      <c r="H3404" s="126" t="s">
        <v>3261</v>
      </c>
      <c r="I3404" s="127" t="s">
        <v>476</v>
      </c>
      <c r="J3404" s="126">
        <v>18</v>
      </c>
      <c r="K3404" s="126">
        <v>499.97</v>
      </c>
      <c r="L3404" s="129">
        <f>INT(base[[#This Row],[Data de liquidação]])</f>
        <v>46228</v>
      </c>
      <c r="M3404" s="126">
        <f>base[[#This Row],[L/P Bruto]]-base[[#This Row],[L/P Líquido]]</f>
        <v>0</v>
      </c>
      <c r="N3404" s="126">
        <f>base[[#This Row],[L/P Líquido]]/base[[#This Row],[Stake/Responsabilidade]]</f>
        <v>-3.7442246534792084E-2</v>
      </c>
      <c r="O3404" s="132">
        <f>IF(base[[#This Row],[L/P Líquido]]&gt;0,1,0)</f>
        <v>0</v>
      </c>
      <c r="P3404" s="132"/>
      <c r="Q3404" s="132" t="str">
        <f>LEFT(base[[#This Row],[Evento / Mercado]],FIND("vs",base[[#This Row],[Evento / Mercado]])-2)</f>
        <v>Deportivo Cali</v>
      </c>
      <c r="R34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Jaguares de Córdoba</v>
      </c>
      <c r="S3404" s="132" t="str">
        <f>LEFT(base[[#This Row],[Evento / Mercado]],FIND("/",base[[#This Row],[Evento / Mercado]])-2)</f>
        <v>Deportivo Cali vs Jaguares de Córdoba</v>
      </c>
    </row>
    <row r="3405" spans="2:19" ht="15" customHeight="1">
      <c r="B3405" s="128" t="s">
        <v>3421</v>
      </c>
      <c r="C3405" s="128" t="s">
        <v>2982</v>
      </c>
      <c r="D3405" s="129">
        <v>46228.006157407406</v>
      </c>
      <c r="E3405" s="130">
        <v>-89.57</v>
      </c>
      <c r="F3405" s="136">
        <v>4.4999999999999998E-2</v>
      </c>
      <c r="G3405" s="126">
        <f t="shared" si="77"/>
        <v>-89.57</v>
      </c>
      <c r="H3405" s="126" t="s">
        <v>2743</v>
      </c>
      <c r="I3405" s="127" t="s">
        <v>1233</v>
      </c>
      <c r="J3405" s="126">
        <v>3.85</v>
      </c>
      <c r="K3405" s="126">
        <v>299.99</v>
      </c>
      <c r="L3405" s="129">
        <f>INT(base[[#This Row],[Data de liquidação]])</f>
        <v>46228</v>
      </c>
      <c r="M3405" s="126">
        <f>base[[#This Row],[L/P Bruto]]-base[[#This Row],[L/P Líquido]]</f>
        <v>0</v>
      </c>
      <c r="N3405" s="126">
        <f>base[[#This Row],[L/P Líquido]]/base[[#This Row],[Stake/Responsabilidade]]</f>
        <v>-0.29857661922064066</v>
      </c>
      <c r="O3405" s="132">
        <f>IF(base[[#This Row],[L/P Líquido]]&gt;0,1,0)</f>
        <v>0</v>
      </c>
      <c r="P3405" s="132"/>
      <c r="Q3405" s="132" t="str">
        <f>LEFT(base[[#This Row],[Evento / Mercado]],FIND("vs",base[[#This Row],[Evento / Mercado]])-2)</f>
        <v>Deportivo Cali</v>
      </c>
      <c r="R34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Jaguares de Córdoba</v>
      </c>
      <c r="S3405" s="132" t="str">
        <f>LEFT(base[[#This Row],[Evento / Mercado]],FIND("/",base[[#This Row],[Evento / Mercado]])-2)</f>
        <v>Deportivo Cali vs Jaguares de Córdoba</v>
      </c>
    </row>
    <row r="3406" spans="2:19" ht="15" customHeight="1">
      <c r="B3406" s="128" t="s">
        <v>3420</v>
      </c>
      <c r="C3406" s="128" t="s">
        <v>2980</v>
      </c>
      <c r="D3406" s="129">
        <v>46228.020138888889</v>
      </c>
      <c r="E3406" s="130">
        <v>5.4</v>
      </c>
      <c r="F3406" s="136">
        <v>4.4999999999999998E-2</v>
      </c>
      <c r="G3406" s="126">
        <f t="shared" si="77"/>
        <v>5.6544502617801049</v>
      </c>
      <c r="H3406" s="126" t="s">
        <v>2817</v>
      </c>
      <c r="I3406" s="127" t="s">
        <v>2992</v>
      </c>
      <c r="J3406" s="126">
        <v>9.4</v>
      </c>
      <c r="K3406" s="126">
        <v>99.96</v>
      </c>
      <c r="L3406" s="129">
        <f>INT(base[[#This Row],[Data de liquidação]])</f>
        <v>46228</v>
      </c>
      <c r="M3406" s="126">
        <f>base[[#This Row],[L/P Bruto]]-base[[#This Row],[L/P Líquido]]</f>
        <v>0.25445026178010455</v>
      </c>
      <c r="N3406" s="126">
        <f>base[[#This Row],[L/P Líquido]]/base[[#This Row],[Stake/Responsabilidade]]</f>
        <v>5.402160864345739E-2</v>
      </c>
      <c r="O3406" s="132">
        <f>IF(base[[#This Row],[L/P Líquido]]&gt;0,1,0)</f>
        <v>1</v>
      </c>
      <c r="P3406" s="132"/>
      <c r="Q3406" s="132" t="str">
        <f>LEFT(base[[#This Row],[Evento / Mercado]],FIND("vs",base[[#This Row],[Evento / Mercado]])-2)</f>
        <v>Universitario de Deportes</v>
      </c>
      <c r="R34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Cusco FC</v>
      </c>
      <c r="S3406" s="132" t="str">
        <f>LEFT(base[[#This Row],[Evento / Mercado]],FIND("/",base[[#This Row],[Evento / Mercado]])-2)</f>
        <v>Universitario de Deportes vs Cusco FC</v>
      </c>
    </row>
    <row r="3407" spans="2:19" ht="15" customHeight="1">
      <c r="B3407" s="128" t="s">
        <v>3420</v>
      </c>
      <c r="C3407" s="128" t="s">
        <v>2982</v>
      </c>
      <c r="D3407" s="129">
        <v>46228.020543981482</v>
      </c>
      <c r="E3407" s="130">
        <v>71.63</v>
      </c>
      <c r="F3407" s="136">
        <v>4.4999999999999998E-2</v>
      </c>
      <c r="G3407" s="126">
        <f t="shared" si="77"/>
        <v>75.005235602094245</v>
      </c>
      <c r="H3407" s="126" t="s">
        <v>2743</v>
      </c>
      <c r="I3407" s="127" t="s">
        <v>1233</v>
      </c>
      <c r="J3407" s="126">
        <v>5</v>
      </c>
      <c r="K3407" s="126">
        <v>300</v>
      </c>
      <c r="L3407" s="129">
        <f>INT(base[[#This Row],[Data de liquidação]])</f>
        <v>46228</v>
      </c>
      <c r="M3407" s="126">
        <f>base[[#This Row],[L/P Bruto]]-base[[#This Row],[L/P Líquido]]</f>
        <v>3.37523560209425</v>
      </c>
      <c r="N3407" s="126">
        <f>base[[#This Row],[L/P Líquido]]/base[[#This Row],[Stake/Responsabilidade]]</f>
        <v>0.23876666666666665</v>
      </c>
      <c r="O3407" s="132">
        <f>IF(base[[#This Row],[L/P Líquido]]&gt;0,1,0)</f>
        <v>1</v>
      </c>
      <c r="P3407" s="132"/>
      <c r="Q3407" s="132" t="str">
        <f>LEFT(base[[#This Row],[Evento / Mercado]],FIND("vs",base[[#This Row],[Evento / Mercado]])-2)</f>
        <v>Universitario de Deportes</v>
      </c>
      <c r="R34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Cusco FC</v>
      </c>
      <c r="S3407" s="132" t="str">
        <f>LEFT(base[[#This Row],[Evento / Mercado]],FIND("/",base[[#This Row],[Evento / Mercado]])-2)</f>
        <v>Universitario de Deportes vs Cusco FC</v>
      </c>
    </row>
    <row r="3408" spans="2:19" ht="15" customHeight="1">
      <c r="B3408" s="128" t="s">
        <v>3419</v>
      </c>
      <c r="C3408" s="128" t="s">
        <v>2982</v>
      </c>
      <c r="D3408" s="129">
        <v>46228.020601851851</v>
      </c>
      <c r="E3408" s="130">
        <v>-33.33</v>
      </c>
      <c r="F3408" s="136">
        <v>4.4999999999999998E-2</v>
      </c>
      <c r="G3408" s="126">
        <f t="shared" si="77"/>
        <v>-33.33</v>
      </c>
      <c r="H3408" s="126" t="s">
        <v>2743</v>
      </c>
      <c r="I3408" s="127" t="s">
        <v>2744</v>
      </c>
      <c r="J3408" s="126">
        <v>10</v>
      </c>
      <c r="K3408" s="126">
        <v>33.33</v>
      </c>
      <c r="L3408" s="129">
        <f>INT(base[[#This Row],[Data de liquidação]])</f>
        <v>46228</v>
      </c>
      <c r="M3408" s="126">
        <f>base[[#This Row],[L/P Bruto]]-base[[#This Row],[L/P Líquido]]</f>
        <v>0</v>
      </c>
      <c r="N3408" s="126">
        <f>base[[#This Row],[L/P Líquido]]/base[[#This Row],[Stake/Responsabilidade]]</f>
        <v>-1</v>
      </c>
      <c r="O3408" s="132">
        <f>IF(base[[#This Row],[L/P Líquido]]&gt;0,1,0)</f>
        <v>0</v>
      </c>
      <c r="P3408" s="132"/>
      <c r="Q3408" s="132" t="str">
        <f>LEFT(base[[#This Row],[Evento / Mercado]],FIND("vs",base[[#This Row],[Evento / Mercado]])-2)</f>
        <v>Universitario de Deportes</v>
      </c>
      <c r="R34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Cusco FC</v>
      </c>
      <c r="S3408" s="132" t="str">
        <f>LEFT(base[[#This Row],[Evento / Mercado]],FIND("/",base[[#This Row],[Evento / Mercado]])-2)</f>
        <v>Universitario de Deportes vs Cusco FC</v>
      </c>
    </row>
    <row r="3409" spans="2:19" ht="15" customHeight="1">
      <c r="B3409" s="128" t="s">
        <v>3418</v>
      </c>
      <c r="C3409" s="128" t="s">
        <v>2982</v>
      </c>
      <c r="D3409" s="129">
        <v>46228.050671296296</v>
      </c>
      <c r="E3409" s="130">
        <v>3.09</v>
      </c>
      <c r="F3409" s="136">
        <v>4.4999999999999998E-2</v>
      </c>
      <c r="G3409" s="126">
        <f t="shared" si="77"/>
        <v>3.2356020942408379</v>
      </c>
      <c r="H3409" s="126" t="s">
        <v>1339</v>
      </c>
      <c r="I3409" s="127" t="s">
        <v>1430</v>
      </c>
      <c r="J3409" s="126">
        <v>38</v>
      </c>
      <c r="K3409" s="126">
        <v>119.88</v>
      </c>
      <c r="L3409" s="129">
        <f>INT(base[[#This Row],[Data de liquidação]])</f>
        <v>46228</v>
      </c>
      <c r="M3409" s="126">
        <f>base[[#This Row],[L/P Bruto]]-base[[#This Row],[L/P Líquido]]</f>
        <v>0.14560209424083803</v>
      </c>
      <c r="N3409" s="126">
        <f>base[[#This Row],[L/P Líquido]]/base[[#This Row],[Stake/Responsabilidade]]</f>
        <v>2.5775775775775774E-2</v>
      </c>
      <c r="O3409" s="132">
        <f>IF(base[[#This Row],[L/P Líquido]]&gt;0,1,0)</f>
        <v>1</v>
      </c>
      <c r="P3409" s="132"/>
      <c r="Q3409" s="132" t="str">
        <f>LEFT(base[[#This Row],[Evento / Mercado]],FIND("vs",base[[#This Row],[Evento / Mercado]])-2)</f>
        <v>Vancouver FC</v>
      </c>
      <c r="R34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Cavalry</v>
      </c>
      <c r="S3409" s="132" t="str">
        <f>LEFT(base[[#This Row],[Evento / Mercado]],FIND("/",base[[#This Row],[Evento / Mercado]])-2)</f>
        <v>Vancouver FC vs Cavalry</v>
      </c>
    </row>
    <row r="3410" spans="2:19" ht="15" customHeight="1">
      <c r="B3410" s="128" t="s">
        <v>3417</v>
      </c>
      <c r="C3410" s="128" t="s">
        <v>2982</v>
      </c>
      <c r="D3410" s="129">
        <v>46228.436597222222</v>
      </c>
      <c r="E3410" s="130">
        <v>5.56</v>
      </c>
      <c r="F3410" s="136">
        <v>4.4999999999999998E-2</v>
      </c>
      <c r="G3410" s="126">
        <f t="shared" si="77"/>
        <v>5.821989528795811</v>
      </c>
      <c r="H3410" s="126" t="s">
        <v>3261</v>
      </c>
      <c r="I3410" s="127" t="s">
        <v>3213</v>
      </c>
      <c r="J3410" s="126">
        <v>14</v>
      </c>
      <c r="K3410" s="126">
        <v>499.98</v>
      </c>
      <c r="L3410" s="129">
        <f>INT(base[[#This Row],[Data de liquidação]])</f>
        <v>46228</v>
      </c>
      <c r="M3410" s="126">
        <f>base[[#This Row],[L/P Bruto]]-base[[#This Row],[L/P Líquido]]</f>
        <v>0.26198952879581139</v>
      </c>
      <c r="N3410" s="126">
        <f>base[[#This Row],[L/P Líquido]]/base[[#This Row],[Stake/Responsabilidade]]</f>
        <v>1.112044481779271E-2</v>
      </c>
      <c r="O3410" s="132">
        <f>IF(base[[#This Row],[L/P Líquido]]&gt;0,1,0)</f>
        <v>1</v>
      </c>
      <c r="P3410" s="132"/>
      <c r="Q3410" s="132" t="str">
        <f>LEFT(base[[#This Row],[Evento / Mercado]],FIND("vs",base[[#This Row],[Evento / Mercado]])-2)</f>
        <v>Shanghai Port</v>
      </c>
      <c r="R34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Shenhua</v>
      </c>
      <c r="S3410" s="132" t="str">
        <f>LEFT(base[[#This Row],[Evento / Mercado]],FIND("/",base[[#This Row],[Evento / Mercado]])-2)</f>
        <v>Shanghai Port vs Shanghai Shenhua</v>
      </c>
    </row>
    <row r="3411" spans="2:19" ht="15" customHeight="1">
      <c r="B3411" s="128" t="s">
        <v>3416</v>
      </c>
      <c r="C3411" s="128" t="s">
        <v>2982</v>
      </c>
      <c r="D3411" s="129">
        <v>46228.438194444447</v>
      </c>
      <c r="E3411" s="130">
        <v>14.2</v>
      </c>
      <c r="F3411" s="136">
        <v>4.4999999999999998E-2</v>
      </c>
      <c r="G3411" s="126">
        <f t="shared" si="77"/>
        <v>14.869109947643979</v>
      </c>
      <c r="H3411" s="126" t="s">
        <v>3261</v>
      </c>
      <c r="I3411" s="127" t="s">
        <v>3213</v>
      </c>
      <c r="J3411" s="126">
        <v>15</v>
      </c>
      <c r="K3411" s="126">
        <v>499.94</v>
      </c>
      <c r="L3411" s="129">
        <f>INT(base[[#This Row],[Data de liquidação]])</f>
        <v>46228</v>
      </c>
      <c r="M3411" s="126">
        <f>base[[#This Row],[L/P Bruto]]-base[[#This Row],[L/P Líquido]]</f>
        <v>0.66910994764397991</v>
      </c>
      <c r="N3411" s="126">
        <f>base[[#This Row],[L/P Líquido]]/base[[#This Row],[Stake/Responsabilidade]]</f>
        <v>2.8403408409009078E-2</v>
      </c>
      <c r="O3411" s="132">
        <f>IF(base[[#This Row],[L/P Líquido]]&gt;0,1,0)</f>
        <v>1</v>
      </c>
      <c r="P3411" s="132"/>
      <c r="Q3411" s="132" t="str">
        <f>LEFT(base[[#This Row],[Evento / Mercado]],FIND("vs",base[[#This Row],[Evento / Mercado]])-2)</f>
        <v>Liaoning Tieren F.C.</v>
      </c>
      <c r="R34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West Coast</v>
      </c>
      <c r="S3411" s="132" t="str">
        <f>LEFT(base[[#This Row],[Evento / Mercado]],FIND("/",base[[#This Row],[Evento / Mercado]])-2)</f>
        <v>Liaoning Tieren F.C. vs Qingdao West Coast</v>
      </c>
    </row>
    <row r="3412" spans="2:19" ht="15" customHeight="1">
      <c r="B3412" s="128" t="s">
        <v>3415</v>
      </c>
      <c r="C3412" s="128" t="s">
        <v>2982</v>
      </c>
      <c r="D3412" s="129">
        <v>46228.438449074078</v>
      </c>
      <c r="E3412" s="130">
        <v>-5</v>
      </c>
      <c r="F3412" s="136">
        <v>4.4999999999999998E-2</v>
      </c>
      <c r="G3412" s="126">
        <f t="shared" si="77"/>
        <v>-5</v>
      </c>
      <c r="H3412" s="126" t="s">
        <v>1339</v>
      </c>
      <c r="I3412" s="127" t="s">
        <v>2404</v>
      </c>
      <c r="J3412" s="126">
        <v>1.51</v>
      </c>
      <c r="K3412" s="126">
        <v>5</v>
      </c>
      <c r="L3412" s="129">
        <f>INT(base[[#This Row],[Data de liquidação]])</f>
        <v>46228</v>
      </c>
      <c r="M3412" s="126">
        <f>base[[#This Row],[L/P Bruto]]-base[[#This Row],[L/P Líquido]]</f>
        <v>0</v>
      </c>
      <c r="N3412" s="126">
        <f>base[[#This Row],[L/P Líquido]]/base[[#This Row],[Stake/Responsabilidade]]</f>
        <v>-1</v>
      </c>
      <c r="O3412" s="132">
        <f>IF(base[[#This Row],[L/P Líquido]]&gt;0,1,0)</f>
        <v>0</v>
      </c>
      <c r="P3412" s="132"/>
      <c r="Q3412" s="132" t="str">
        <f>LEFT(base[[#This Row],[Evento / Mercado]],FIND("vs",base[[#This Row],[Evento / Mercado]])-2)</f>
        <v>Liaoning Tieren F.C.</v>
      </c>
      <c r="R34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West Coast</v>
      </c>
      <c r="S3412" s="132" t="str">
        <f>LEFT(base[[#This Row],[Evento / Mercado]],FIND("/",base[[#This Row],[Evento / Mercado]])-2)</f>
        <v>Liaoning Tieren F.C. vs Qingdao West Coast</v>
      </c>
    </row>
    <row r="3413" spans="2:19" ht="15" customHeight="1">
      <c r="B3413" s="128" t="s">
        <v>3414</v>
      </c>
      <c r="C3413" s="128" t="s">
        <v>2982</v>
      </c>
      <c r="D3413" s="129">
        <v>46228.458240740743</v>
      </c>
      <c r="E3413" s="130">
        <v>39.79</v>
      </c>
      <c r="F3413" s="136">
        <v>4.4999999999999998E-2</v>
      </c>
      <c r="G3413" s="126">
        <f t="shared" si="77"/>
        <v>41.66492146596859</v>
      </c>
      <c r="H3413" s="126" t="s">
        <v>3261</v>
      </c>
      <c r="I3413" s="127" t="s">
        <v>476</v>
      </c>
      <c r="J3413" s="126">
        <v>13</v>
      </c>
      <c r="K3413" s="126">
        <v>500.04</v>
      </c>
      <c r="L3413" s="129">
        <f>INT(base[[#This Row],[Data de liquidação]])</f>
        <v>46228</v>
      </c>
      <c r="M3413" s="126">
        <f>base[[#This Row],[L/P Bruto]]-base[[#This Row],[L/P Líquido]]</f>
        <v>1.8749214659685904</v>
      </c>
      <c r="N3413" s="126">
        <f>base[[#This Row],[L/P Líquido]]/base[[#This Row],[Stake/Responsabilidade]]</f>
        <v>7.9573634109271249E-2</v>
      </c>
      <c r="O3413" s="132">
        <f>IF(base[[#This Row],[L/P Líquido]]&gt;0,1,0)</f>
        <v>1</v>
      </c>
      <c r="P3413" s="132"/>
      <c r="Q3413" s="132" t="str">
        <f>LEFT(base[[#This Row],[Evento / Mercado]],FIND("vs",base[[#This Row],[Evento / Mercado]])-2)</f>
        <v>Wuhan Three Towns</v>
      </c>
      <c r="R34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3413" s="132" t="str">
        <f>LEFT(base[[#This Row],[Evento / Mercado]],FIND("/",base[[#This Row],[Evento / Mercado]])-2)</f>
        <v>Wuhan Three Towns vs Chongqing Tonglianglong</v>
      </c>
    </row>
    <row r="3414" spans="2:19" ht="15" customHeight="1">
      <c r="B3414" s="128" t="s">
        <v>3413</v>
      </c>
      <c r="C3414" s="128" t="s">
        <v>2982</v>
      </c>
      <c r="D3414" s="129">
        <v>46228.458356481482</v>
      </c>
      <c r="E3414" s="130">
        <v>8.81</v>
      </c>
      <c r="F3414" s="136">
        <v>4.4999999999999998E-2</v>
      </c>
      <c r="G3414" s="126">
        <f t="shared" si="77"/>
        <v>9.2251308900523572</v>
      </c>
      <c r="H3414" s="126" t="s">
        <v>1339</v>
      </c>
      <c r="I3414" s="127" t="s">
        <v>1430</v>
      </c>
      <c r="J3414" s="126">
        <v>14</v>
      </c>
      <c r="K3414" s="126">
        <v>119.99</v>
      </c>
      <c r="L3414" s="129">
        <f>INT(base[[#This Row],[Data de liquidação]])</f>
        <v>46228</v>
      </c>
      <c r="M3414" s="126">
        <f>base[[#This Row],[L/P Bruto]]-base[[#This Row],[L/P Líquido]]</f>
        <v>0.4151308900523567</v>
      </c>
      <c r="N3414" s="126">
        <f>base[[#This Row],[L/P Líquido]]/base[[#This Row],[Stake/Responsabilidade]]</f>
        <v>7.3422785232102689E-2</v>
      </c>
      <c r="O3414" s="132">
        <f>IF(base[[#This Row],[L/P Líquido]]&gt;0,1,0)</f>
        <v>1</v>
      </c>
      <c r="P3414" s="132"/>
      <c r="Q3414" s="132" t="str">
        <f>LEFT(base[[#This Row],[Evento / Mercado]],FIND("vs",base[[#This Row],[Evento / Mercado]])-2)</f>
        <v>Wuhan Three Towns</v>
      </c>
      <c r="R34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3414" s="132" t="str">
        <f>LEFT(base[[#This Row],[Evento / Mercado]],FIND("/",base[[#This Row],[Evento / Mercado]])-2)</f>
        <v>Wuhan Three Towns vs Chongqing Tonglianglong</v>
      </c>
    </row>
    <row r="3415" spans="2:19" ht="15" customHeight="1">
      <c r="B3415" s="128" t="s">
        <v>3412</v>
      </c>
      <c r="C3415" s="128" t="s">
        <v>2982</v>
      </c>
      <c r="D3415" s="129">
        <v>46228.484282407408</v>
      </c>
      <c r="E3415" s="130">
        <v>-21.78</v>
      </c>
      <c r="F3415" s="136">
        <v>4.4999999999999998E-2</v>
      </c>
      <c r="G3415" s="126">
        <f t="shared" si="77"/>
        <v>-21.78</v>
      </c>
      <c r="H3415" s="126" t="s">
        <v>2743</v>
      </c>
      <c r="I3415" s="127" t="s">
        <v>2744</v>
      </c>
      <c r="J3415" s="126">
        <v>7.2</v>
      </c>
      <c r="K3415" s="126">
        <v>48.39</v>
      </c>
      <c r="L3415" s="129">
        <f>INT(base[[#This Row],[Data de liquidação]])</f>
        <v>46228</v>
      </c>
      <c r="M3415" s="126">
        <f>base[[#This Row],[L/P Bruto]]-base[[#This Row],[L/P Líquido]]</f>
        <v>0</v>
      </c>
      <c r="N3415" s="126">
        <f>base[[#This Row],[L/P Líquido]]/base[[#This Row],[Stake/Responsabilidade]]</f>
        <v>-0.45009299442033479</v>
      </c>
      <c r="O3415" s="132">
        <f>IF(base[[#This Row],[L/P Líquido]]&gt;0,1,0)</f>
        <v>0</v>
      </c>
      <c r="P3415" s="132"/>
      <c r="Q3415" s="132" t="str">
        <f>LEFT(base[[#This Row],[Evento / Mercado]],FIND("vs",base[[#This Row],[Evento / Mercado]])-2)</f>
        <v>Jagiellonia Bialystok</v>
      </c>
      <c r="R34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Korona Kielce</v>
      </c>
      <c r="S3415" s="132" t="str">
        <f>LEFT(base[[#This Row],[Evento / Mercado]],FIND("/",base[[#This Row],[Evento / Mercado]])-2)</f>
        <v>Jagiellonia Bialystok vs Korona Kielce</v>
      </c>
    </row>
    <row r="3416" spans="2:19" ht="15" customHeight="1">
      <c r="B3416" s="128" t="s">
        <v>3411</v>
      </c>
      <c r="C3416" s="128" t="s">
        <v>2982</v>
      </c>
      <c r="D3416" s="129">
        <v>46228.484375</v>
      </c>
      <c r="E3416" s="130">
        <v>-103.33</v>
      </c>
      <c r="F3416" s="136">
        <v>4.4999999999999998E-2</v>
      </c>
      <c r="G3416" s="126">
        <f t="shared" si="77"/>
        <v>-103.33</v>
      </c>
      <c r="H3416" s="126" t="s">
        <v>2743</v>
      </c>
      <c r="I3416" s="127" t="s">
        <v>1233</v>
      </c>
      <c r="J3416" s="126">
        <v>3.55</v>
      </c>
      <c r="K3416" s="126">
        <v>300.01</v>
      </c>
      <c r="L3416" s="129">
        <f>INT(base[[#This Row],[Data de liquidação]])</f>
        <v>46228</v>
      </c>
      <c r="M3416" s="126">
        <f>base[[#This Row],[L/P Bruto]]-base[[#This Row],[L/P Líquido]]</f>
        <v>0</v>
      </c>
      <c r="N3416" s="126">
        <f>base[[#This Row],[L/P Líquido]]/base[[#This Row],[Stake/Responsabilidade]]</f>
        <v>-0.34442185260491315</v>
      </c>
      <c r="O3416" s="132">
        <f>IF(base[[#This Row],[L/P Líquido]]&gt;0,1,0)</f>
        <v>0</v>
      </c>
      <c r="P3416" s="132"/>
      <c r="Q3416" s="132" t="str">
        <f>LEFT(base[[#This Row],[Evento / Mercado]],FIND("vs",base[[#This Row],[Evento / Mercado]])-2)</f>
        <v>Jagiellonia Bialystok</v>
      </c>
      <c r="R34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Korona Kielce</v>
      </c>
      <c r="S3416" s="132" t="str">
        <f>LEFT(base[[#This Row],[Evento / Mercado]],FIND("/",base[[#This Row],[Evento / Mercado]])-2)</f>
        <v>Jagiellonia Bialystok vs Korona Kielce</v>
      </c>
    </row>
    <row r="3417" spans="2:19" ht="15" customHeight="1">
      <c r="B3417" s="128" t="s">
        <v>3411</v>
      </c>
      <c r="C3417" s="128" t="s">
        <v>2981</v>
      </c>
      <c r="D3417" s="129">
        <v>46228.484375</v>
      </c>
      <c r="E3417" s="130">
        <v>3.6</v>
      </c>
      <c r="F3417" s="136">
        <v>4.4999999999999998E-2</v>
      </c>
      <c r="G3417" s="126">
        <f t="shared" si="77"/>
        <v>3.7696335078534036</v>
      </c>
      <c r="H3417" s="126" t="s">
        <v>2817</v>
      </c>
      <c r="I3417" s="127" t="s">
        <v>2993</v>
      </c>
      <c r="J3417" s="126">
        <v>4</v>
      </c>
      <c r="K3417" s="126">
        <v>99.99</v>
      </c>
      <c r="L3417" s="129">
        <f>INT(base[[#This Row],[Data de liquidação]])</f>
        <v>46228</v>
      </c>
      <c r="M3417" s="126">
        <f>base[[#This Row],[L/P Bruto]]-base[[#This Row],[L/P Líquido]]</f>
        <v>0.16963350785340348</v>
      </c>
      <c r="N3417" s="126">
        <f>base[[#This Row],[L/P Líquido]]/base[[#This Row],[Stake/Responsabilidade]]</f>
        <v>3.6003600360036005E-2</v>
      </c>
      <c r="O3417" s="132">
        <f>IF(base[[#This Row],[L/P Líquido]]&gt;0,1,0)</f>
        <v>1</v>
      </c>
      <c r="P3417" s="132"/>
      <c r="Q3417" s="132" t="str">
        <f>LEFT(base[[#This Row],[Evento / Mercado]],FIND("vs",base[[#This Row],[Evento / Mercado]])-2)</f>
        <v>Jagiellonia Bialystok</v>
      </c>
      <c r="R34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Korona Kielce</v>
      </c>
      <c r="S3417" s="132" t="str">
        <f>LEFT(base[[#This Row],[Evento / Mercado]],FIND("/",base[[#This Row],[Evento / Mercado]])-2)</f>
        <v>Jagiellonia Bialystok vs Korona Kielce</v>
      </c>
    </row>
    <row r="3418" spans="2:19" ht="15" customHeight="1">
      <c r="B3418" s="128" t="s">
        <v>3410</v>
      </c>
      <c r="C3418" s="128" t="s">
        <v>2982</v>
      </c>
      <c r="D3418" s="129">
        <v>46228.494108796294</v>
      </c>
      <c r="E3418" s="130">
        <v>23.12</v>
      </c>
      <c r="F3418" s="136">
        <v>4.4999999999999998E-2</v>
      </c>
      <c r="G3418" s="126">
        <f t="shared" si="77"/>
        <v>24.209424083769637</v>
      </c>
      <c r="H3418" s="126" t="s">
        <v>2821</v>
      </c>
      <c r="I3418" s="127" t="s">
        <v>542</v>
      </c>
      <c r="J3418" s="126">
        <v>20</v>
      </c>
      <c r="K3418" s="126">
        <v>459.09</v>
      </c>
      <c r="L3418" s="129">
        <f>INT(base[[#This Row],[Data de liquidação]])</f>
        <v>46228</v>
      </c>
      <c r="M3418" s="126">
        <f>base[[#This Row],[L/P Bruto]]-base[[#This Row],[L/P Líquido]]</f>
        <v>1.0894240837696358</v>
      </c>
      <c r="N3418" s="126">
        <f>base[[#This Row],[L/P Líquido]]/base[[#This Row],[Stake/Responsabilidade]]</f>
        <v>5.0360495763357951E-2</v>
      </c>
      <c r="O3418" s="132">
        <f>IF(base[[#This Row],[L/P Líquido]]&gt;0,1,0)</f>
        <v>1</v>
      </c>
      <c r="P3418" s="132"/>
      <c r="Q3418" s="132" t="str">
        <f>LEFT(base[[#This Row],[Evento / Mercado]],FIND("vs",base[[#This Row],[Evento / Mercado]])-2)</f>
        <v>Degerfors IF</v>
      </c>
      <c r="R34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Djurgårdens IF</v>
      </c>
      <c r="S3418" s="132" t="str">
        <f>LEFT(base[[#This Row],[Evento / Mercado]],FIND("/",base[[#This Row],[Evento / Mercado]])-2)</f>
        <v>Degerfors IF vs Djurgårdens IF</v>
      </c>
    </row>
    <row r="3419" spans="2:19" ht="15" customHeight="1">
      <c r="B3419" s="128" t="s">
        <v>3410</v>
      </c>
      <c r="C3419" s="128" t="s">
        <v>2981</v>
      </c>
      <c r="D3419" s="129">
        <v>46228.494108796294</v>
      </c>
      <c r="E3419" s="130">
        <v>6.75</v>
      </c>
      <c r="F3419" s="136">
        <v>4.4999999999999998E-2</v>
      </c>
      <c r="G3419" s="126">
        <f t="shared" si="77"/>
        <v>7.0680628272251314</v>
      </c>
      <c r="H3419" s="126" t="s">
        <v>3261</v>
      </c>
      <c r="I3419" s="127" t="s">
        <v>3213</v>
      </c>
      <c r="J3419" s="126">
        <v>19</v>
      </c>
      <c r="K3419" s="126">
        <v>500.04</v>
      </c>
      <c r="L3419" s="129">
        <f>INT(base[[#This Row],[Data de liquidação]])</f>
        <v>46228</v>
      </c>
      <c r="M3419" s="126">
        <f>base[[#This Row],[L/P Bruto]]-base[[#This Row],[L/P Líquido]]</f>
        <v>0.31806282722513135</v>
      </c>
      <c r="N3419" s="126">
        <f>base[[#This Row],[L/P Líquido]]/base[[#This Row],[Stake/Responsabilidade]]</f>
        <v>1.3498920086393088E-2</v>
      </c>
      <c r="O3419" s="132">
        <f>IF(base[[#This Row],[L/P Líquido]]&gt;0,1,0)</f>
        <v>1</v>
      </c>
      <c r="P3419" s="132"/>
      <c r="Q3419" s="132" t="str">
        <f>LEFT(base[[#This Row],[Evento / Mercado]],FIND("vs",base[[#This Row],[Evento / Mercado]])-2)</f>
        <v>Degerfors IF</v>
      </c>
      <c r="R34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Djurgårdens IF</v>
      </c>
      <c r="S3419" s="132" t="str">
        <f>LEFT(base[[#This Row],[Evento / Mercado]],FIND("/",base[[#This Row],[Evento / Mercado]])-2)</f>
        <v>Degerfors IF vs Djurgårdens IF</v>
      </c>
    </row>
    <row r="3420" spans="2:19" ht="15" customHeight="1">
      <c r="B3420" s="128" t="s">
        <v>3409</v>
      </c>
      <c r="C3420" s="128" t="s">
        <v>2982</v>
      </c>
      <c r="D3420" s="129">
        <v>46228.513692129629</v>
      </c>
      <c r="E3420" s="130">
        <v>-32.15</v>
      </c>
      <c r="F3420" s="136">
        <v>4.4999999999999998E-2</v>
      </c>
      <c r="G3420" s="126">
        <f t="shared" si="77"/>
        <v>-32.15</v>
      </c>
      <c r="H3420" s="126" t="s">
        <v>3261</v>
      </c>
      <c r="I3420" s="127" t="s">
        <v>3213</v>
      </c>
      <c r="J3420" s="126">
        <v>18</v>
      </c>
      <c r="K3420" s="126">
        <v>499.97</v>
      </c>
      <c r="L3420" s="129">
        <f>INT(base[[#This Row],[Data de liquidação]])</f>
        <v>46228</v>
      </c>
      <c r="M3420" s="126">
        <f>base[[#This Row],[L/P Bruto]]-base[[#This Row],[L/P Líquido]]</f>
        <v>0</v>
      </c>
      <c r="N3420" s="126">
        <f>base[[#This Row],[L/P Líquido]]/base[[#This Row],[Stake/Responsabilidade]]</f>
        <v>-6.4303858231493885E-2</v>
      </c>
      <c r="O3420" s="132">
        <f>IF(base[[#This Row],[L/P Líquido]]&gt;0,1,0)</f>
        <v>0</v>
      </c>
      <c r="P3420" s="132"/>
      <c r="Q3420" s="132" t="str">
        <f>LEFT(base[[#This Row],[Evento / Mercado]],FIND("vs",base[[#This Row],[Evento / Mercado]])-2)</f>
        <v>IFK Mariehamn</v>
      </c>
      <c r="R34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Oulu</v>
      </c>
      <c r="S3420" s="132" t="str">
        <f>LEFT(base[[#This Row],[Evento / Mercado]],FIND("/",base[[#This Row],[Evento / Mercado]])-2)</f>
        <v>IFK Mariehamn vs AC Oulu</v>
      </c>
    </row>
    <row r="3421" spans="2:19" ht="15" customHeight="1">
      <c r="B3421" s="128" t="s">
        <v>3408</v>
      </c>
      <c r="C3421" s="128" t="s">
        <v>2982</v>
      </c>
      <c r="D3421" s="129">
        <v>46228.535868055558</v>
      </c>
      <c r="E3421" s="130">
        <v>-39.47</v>
      </c>
      <c r="F3421" s="136">
        <v>4.4999999999999998E-2</v>
      </c>
      <c r="G3421" s="126">
        <f t="shared" si="77"/>
        <v>-39.47</v>
      </c>
      <c r="H3421" s="126" t="s">
        <v>2743</v>
      </c>
      <c r="I3421" s="127" t="s">
        <v>2744</v>
      </c>
      <c r="J3421" s="126">
        <v>8.6</v>
      </c>
      <c r="K3421" s="126">
        <v>39.47</v>
      </c>
      <c r="L3421" s="129">
        <f>INT(base[[#This Row],[Data de liquidação]])</f>
        <v>46228</v>
      </c>
      <c r="M3421" s="126">
        <f>base[[#This Row],[L/P Bruto]]-base[[#This Row],[L/P Líquido]]</f>
        <v>0</v>
      </c>
      <c r="N3421" s="126">
        <f>base[[#This Row],[L/P Líquido]]/base[[#This Row],[Stake/Responsabilidade]]</f>
        <v>-1</v>
      </c>
      <c r="O3421" s="132">
        <f>IF(base[[#This Row],[L/P Líquido]]&gt;0,1,0)</f>
        <v>0</v>
      </c>
      <c r="P3421" s="132"/>
      <c r="Q3421" s="132" t="str">
        <f>LEFT(base[[#This Row],[Evento / Mercado]],FIND("vs",base[[#This Row],[Evento / Mercado]])-2)</f>
        <v>FC Fredericia</v>
      </c>
      <c r="R34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HB Køge</v>
      </c>
      <c r="S3421" s="132" t="str">
        <f>LEFT(base[[#This Row],[Evento / Mercado]],FIND("/",base[[#This Row],[Evento / Mercado]])-2)</f>
        <v>FC Fredericia vs HB Køge</v>
      </c>
    </row>
    <row r="3422" spans="2:19" ht="15" customHeight="1">
      <c r="B3422" s="128" t="s">
        <v>3407</v>
      </c>
      <c r="C3422" s="128" t="s">
        <v>2982</v>
      </c>
      <c r="D3422" s="129">
        <v>46228.535960648151</v>
      </c>
      <c r="E3422" s="130">
        <v>67.12</v>
      </c>
      <c r="F3422" s="136">
        <v>4.4999999999999998E-2</v>
      </c>
      <c r="G3422" s="126">
        <f t="shared" si="77"/>
        <v>70.282722513089013</v>
      </c>
      <c r="H3422" s="126" t="s">
        <v>2743</v>
      </c>
      <c r="I3422" s="127" t="s">
        <v>1233</v>
      </c>
      <c r="J3422" s="126">
        <v>4.5</v>
      </c>
      <c r="K3422" s="126">
        <v>299.98</v>
      </c>
      <c r="L3422" s="129">
        <f>INT(base[[#This Row],[Data de liquidação]])</f>
        <v>46228</v>
      </c>
      <c r="M3422" s="126">
        <f>base[[#This Row],[L/P Bruto]]-base[[#This Row],[L/P Líquido]]</f>
        <v>3.1627225130890082</v>
      </c>
      <c r="N3422" s="126">
        <f>base[[#This Row],[L/P Líquido]]/base[[#This Row],[Stake/Responsabilidade]]</f>
        <v>0.22374824988332556</v>
      </c>
      <c r="O3422" s="132">
        <f>IF(base[[#This Row],[L/P Líquido]]&gt;0,1,0)</f>
        <v>1</v>
      </c>
      <c r="P3422" s="132"/>
      <c r="Q3422" s="132" t="str">
        <f>LEFT(base[[#This Row],[Evento / Mercado]],FIND("vs",base[[#This Row],[Evento / Mercado]])-2)</f>
        <v>FC Fredericia</v>
      </c>
      <c r="R34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HB Køge</v>
      </c>
      <c r="S3422" s="132" t="str">
        <f>LEFT(base[[#This Row],[Evento / Mercado]],FIND("/",base[[#This Row],[Evento / Mercado]])-2)</f>
        <v>FC Fredericia vs HB Køge</v>
      </c>
    </row>
    <row r="3423" spans="2:19" ht="15" customHeight="1">
      <c r="B3423" s="128" t="s">
        <v>3407</v>
      </c>
      <c r="C3423" s="128" t="s">
        <v>2981</v>
      </c>
      <c r="D3423" s="129">
        <v>46228.535960648151</v>
      </c>
      <c r="E3423" s="130">
        <v>19.84</v>
      </c>
      <c r="F3423" s="136">
        <v>4.4999999999999998E-2</v>
      </c>
      <c r="G3423" s="126">
        <f t="shared" si="77"/>
        <v>20.774869109947645</v>
      </c>
      <c r="H3423" s="126" t="s">
        <v>2817</v>
      </c>
      <c r="I3423" s="127" t="s">
        <v>2992</v>
      </c>
      <c r="J3423" s="126">
        <v>5</v>
      </c>
      <c r="K3423" s="126">
        <v>100</v>
      </c>
      <c r="L3423" s="129">
        <f>INT(base[[#This Row],[Data de liquidação]])</f>
        <v>46228</v>
      </c>
      <c r="M3423" s="126">
        <f>base[[#This Row],[L/P Bruto]]-base[[#This Row],[L/P Líquido]]</f>
        <v>0.93486910994764472</v>
      </c>
      <c r="N3423" s="126">
        <f>base[[#This Row],[L/P Líquido]]/base[[#This Row],[Stake/Responsabilidade]]</f>
        <v>0.19839999999999999</v>
      </c>
      <c r="O3423" s="132">
        <f>IF(base[[#This Row],[L/P Líquido]]&gt;0,1,0)</f>
        <v>1</v>
      </c>
      <c r="P3423" s="132"/>
      <c r="Q3423" s="132" t="str">
        <f>LEFT(base[[#This Row],[Evento / Mercado]],FIND("vs",base[[#This Row],[Evento / Mercado]])-2)</f>
        <v>FC Fredericia</v>
      </c>
      <c r="R34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HB Køge</v>
      </c>
      <c r="S3423" s="132" t="str">
        <f>LEFT(base[[#This Row],[Evento / Mercado]],FIND("/",base[[#This Row],[Evento / Mercado]])-2)</f>
        <v>FC Fredericia vs HB Køge</v>
      </c>
    </row>
    <row r="3424" spans="2:19" ht="15" customHeight="1">
      <c r="B3424" s="128" t="s">
        <v>3406</v>
      </c>
      <c r="C3424" s="128" t="s">
        <v>2982</v>
      </c>
      <c r="D3424" s="129">
        <v>46228.579421296294</v>
      </c>
      <c r="E3424" s="130">
        <v>-37.5</v>
      </c>
      <c r="F3424" s="136">
        <v>4.4999999999999998E-2</v>
      </c>
      <c r="G3424" s="126">
        <f t="shared" si="77"/>
        <v>-37.5</v>
      </c>
      <c r="H3424" s="126" t="s">
        <v>2743</v>
      </c>
      <c r="I3424" s="127" t="s">
        <v>2744</v>
      </c>
      <c r="J3424" s="126">
        <v>9</v>
      </c>
      <c r="K3424" s="126">
        <v>37.5</v>
      </c>
      <c r="L3424" s="129">
        <f>INT(base[[#This Row],[Data de liquidação]])</f>
        <v>46228</v>
      </c>
      <c r="M3424" s="126">
        <f>base[[#This Row],[L/P Bruto]]-base[[#This Row],[L/P Líquido]]</f>
        <v>0</v>
      </c>
      <c r="N3424" s="126">
        <f>base[[#This Row],[L/P Líquido]]/base[[#This Row],[Stake/Responsabilidade]]</f>
        <v>-1</v>
      </c>
      <c r="O3424" s="132">
        <f>IF(base[[#This Row],[L/P Líquido]]&gt;0,1,0)</f>
        <v>0</v>
      </c>
      <c r="P3424" s="132"/>
      <c r="Q3424" s="132" t="str">
        <f>LEFT(base[[#This Row],[Evento / Mercado]],FIND("vs",base[[#This Row],[Evento / Mercado]])-2)</f>
        <v>FC Viktoria Plzen</v>
      </c>
      <c r="R34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Slovan Liberec</v>
      </c>
      <c r="S3424" s="132" t="str">
        <f>LEFT(base[[#This Row],[Evento / Mercado]],FIND("/",base[[#This Row],[Evento / Mercado]])-2)</f>
        <v>FC Viktoria Plzen vs FC Slovan Liberec</v>
      </c>
    </row>
    <row r="3425" spans="2:19" ht="15" customHeight="1">
      <c r="B3425" s="128" t="s">
        <v>3405</v>
      </c>
      <c r="C3425" s="128" t="s">
        <v>2982</v>
      </c>
      <c r="D3425" s="129">
        <v>46228.579513888886</v>
      </c>
      <c r="E3425" s="130">
        <v>-5.81</v>
      </c>
      <c r="F3425" s="136">
        <v>4.4999999999999998E-2</v>
      </c>
      <c r="G3425" s="126">
        <f t="shared" si="77"/>
        <v>-5.81</v>
      </c>
      <c r="H3425" s="126" t="s">
        <v>2743</v>
      </c>
      <c r="I3425" s="127" t="s">
        <v>1233</v>
      </c>
      <c r="J3425" s="126">
        <v>4.5999999999999996</v>
      </c>
      <c r="K3425" s="126">
        <v>299.99</v>
      </c>
      <c r="L3425" s="129">
        <f>INT(base[[#This Row],[Data de liquidação]])</f>
        <v>46228</v>
      </c>
      <c r="M3425" s="126">
        <f>base[[#This Row],[L/P Bruto]]-base[[#This Row],[L/P Líquido]]</f>
        <v>0</v>
      </c>
      <c r="N3425" s="126">
        <f>base[[#This Row],[L/P Líquido]]/base[[#This Row],[Stake/Responsabilidade]]</f>
        <v>-1.9367312243741455E-2</v>
      </c>
      <c r="O3425" s="132">
        <f>IF(base[[#This Row],[L/P Líquido]]&gt;0,1,0)</f>
        <v>0</v>
      </c>
      <c r="P3425" s="132"/>
      <c r="Q3425" s="132" t="str">
        <f>LEFT(base[[#This Row],[Evento / Mercado]],FIND("vs",base[[#This Row],[Evento / Mercado]])-2)</f>
        <v>FC Viktoria Plzen</v>
      </c>
      <c r="R34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Slovan Liberec</v>
      </c>
      <c r="S3425" s="132" t="str">
        <f>LEFT(base[[#This Row],[Evento / Mercado]],FIND("/",base[[#This Row],[Evento / Mercado]])-2)</f>
        <v>FC Viktoria Plzen vs FC Slovan Liberec</v>
      </c>
    </row>
    <row r="3426" spans="2:19" ht="15" customHeight="1">
      <c r="B3426" s="128" t="s">
        <v>3405</v>
      </c>
      <c r="C3426" s="128" t="s">
        <v>2981</v>
      </c>
      <c r="D3426" s="129">
        <v>46228.579513888886</v>
      </c>
      <c r="E3426" s="130">
        <v>20.59</v>
      </c>
      <c r="F3426" s="136">
        <v>4.4999999999999998E-2</v>
      </c>
      <c r="G3426" s="126">
        <f t="shared" si="77"/>
        <v>21.560209424083769</v>
      </c>
      <c r="H3426" s="126" t="s">
        <v>2817</v>
      </c>
      <c r="I3426" s="127" t="s">
        <v>2992</v>
      </c>
      <c r="J3426" s="126">
        <f>(6.4+2.34)/2</f>
        <v>4.37</v>
      </c>
      <c r="K3426" s="126">
        <f>100.01+100</f>
        <v>200.01</v>
      </c>
      <c r="L3426" s="129">
        <f>INT(base[[#This Row],[Data de liquidação]])</f>
        <v>46228</v>
      </c>
      <c r="M3426" s="126">
        <f>base[[#This Row],[L/P Bruto]]-base[[#This Row],[L/P Líquido]]</f>
        <v>0.97020942408376953</v>
      </c>
      <c r="N3426" s="126">
        <f>base[[#This Row],[L/P Líquido]]/base[[#This Row],[Stake/Responsabilidade]]</f>
        <v>0.10294485275736213</v>
      </c>
      <c r="O3426" s="132">
        <f>IF(base[[#This Row],[L/P Líquido]]&gt;0,1,0)</f>
        <v>1</v>
      </c>
      <c r="P3426" s="132"/>
      <c r="Q3426" s="132" t="str">
        <f>LEFT(base[[#This Row],[Evento / Mercado]],FIND("vs",base[[#This Row],[Evento / Mercado]])-2)</f>
        <v>FC Viktoria Plzen</v>
      </c>
      <c r="R34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Slovan Liberec</v>
      </c>
      <c r="S3426" s="132" t="str">
        <f>LEFT(base[[#This Row],[Evento / Mercado]],FIND("/",base[[#This Row],[Evento / Mercado]])-2)</f>
        <v>FC Viktoria Plzen vs FC Slovan Liberec</v>
      </c>
    </row>
    <row r="3427" spans="2:19" ht="15" customHeight="1">
      <c r="B3427" s="128" t="s">
        <v>3404</v>
      </c>
      <c r="C3427" s="128" t="s">
        <v>2982</v>
      </c>
      <c r="D3427" s="129">
        <v>46228.620381944442</v>
      </c>
      <c r="E3427" s="130">
        <v>-5</v>
      </c>
      <c r="F3427" s="136">
        <v>4.4999999999999998E-2</v>
      </c>
      <c r="G3427" s="126">
        <f t="shared" si="77"/>
        <v>-5</v>
      </c>
      <c r="H3427" s="126" t="s">
        <v>1339</v>
      </c>
      <c r="I3427" s="127" t="s">
        <v>2404</v>
      </c>
      <c r="J3427" s="126">
        <v>1.54</v>
      </c>
      <c r="K3427" s="126">
        <v>5</v>
      </c>
      <c r="L3427" s="129">
        <f>INT(base[[#This Row],[Data de liquidação]])</f>
        <v>46228</v>
      </c>
      <c r="M3427" s="126">
        <f>base[[#This Row],[L/P Bruto]]-base[[#This Row],[L/P Líquido]]</f>
        <v>0</v>
      </c>
      <c r="N3427" s="126">
        <f>base[[#This Row],[L/P Líquido]]/base[[#This Row],[Stake/Responsabilidade]]</f>
        <v>-1</v>
      </c>
      <c r="O3427" s="132">
        <f>IF(base[[#This Row],[L/P Líquido]]&gt;0,1,0)</f>
        <v>0</v>
      </c>
      <c r="P3427" s="132"/>
      <c r="Q3427" s="132" t="str">
        <f>LEFT(base[[#This Row],[Evento / Mercado]],FIND("vs",base[[#This Row],[Evento / Mercado]])-2)</f>
        <v>Galway United</v>
      </c>
      <c r="R34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Waterford FC</v>
      </c>
      <c r="S3427" s="132" t="str">
        <f>LEFT(base[[#This Row],[Evento / Mercado]],FIND("/",base[[#This Row],[Evento / Mercado]])-2)</f>
        <v>Galway United vs Waterford FC</v>
      </c>
    </row>
    <row r="3428" spans="2:19" ht="15" customHeight="1">
      <c r="B3428" s="128" t="s">
        <v>3403</v>
      </c>
      <c r="C3428" s="128" t="s">
        <v>2982</v>
      </c>
      <c r="D3428" s="129">
        <v>46228.621192129627</v>
      </c>
      <c r="E3428" s="130">
        <v>4.8499999999999996</v>
      </c>
      <c r="F3428" s="136">
        <v>4.4999999999999998E-2</v>
      </c>
      <c r="G3428" s="126">
        <f t="shared" si="77"/>
        <v>5.0785340314136125</v>
      </c>
      <c r="H3428" s="126" t="s">
        <v>2821</v>
      </c>
      <c r="I3428" s="127" t="s">
        <v>476</v>
      </c>
      <c r="J3428" s="126">
        <v>60</v>
      </c>
      <c r="K3428" s="126">
        <v>299.72000000000003</v>
      </c>
      <c r="L3428" s="129">
        <f>INT(base[[#This Row],[Data de liquidação]])</f>
        <v>46228</v>
      </c>
      <c r="M3428" s="126">
        <f>base[[#This Row],[L/P Bruto]]-base[[#This Row],[L/P Líquido]]</f>
        <v>0.22853403141361284</v>
      </c>
      <c r="N3428" s="126">
        <f>base[[#This Row],[L/P Líquido]]/base[[#This Row],[Stake/Responsabilidade]]</f>
        <v>1.6181769651674893E-2</v>
      </c>
      <c r="O3428" s="132">
        <f>IF(base[[#This Row],[L/P Líquido]]&gt;0,1,0)</f>
        <v>1</v>
      </c>
      <c r="P3428" s="132"/>
      <c r="Q3428" s="132" t="str">
        <f>LEFT(base[[#This Row],[Evento / Mercado]],FIND("vs",base[[#This Row],[Evento / Mercado]])-2)</f>
        <v>Strømsgodset</v>
      </c>
      <c r="R34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Lyn</v>
      </c>
      <c r="S3428" s="132" t="str">
        <f>LEFT(base[[#This Row],[Evento / Mercado]],FIND("/",base[[#This Row],[Evento / Mercado]])-2)</f>
        <v>Strømsgodset vs FK Lyn</v>
      </c>
    </row>
    <row r="3429" spans="2:19" ht="15" customHeight="1">
      <c r="B3429" s="128" t="s">
        <v>3424</v>
      </c>
      <c r="C3429" s="128" t="s">
        <v>2981</v>
      </c>
      <c r="D3429" s="129">
        <v>46228.704826388886</v>
      </c>
      <c r="E3429" s="130">
        <v>-30</v>
      </c>
      <c r="F3429" s="136">
        <v>4.4999999999999998E-2</v>
      </c>
      <c r="G3429" s="126">
        <f t="shared" si="77"/>
        <v>-30</v>
      </c>
      <c r="H3429" s="126" t="s">
        <v>2743</v>
      </c>
      <c r="I3429" s="127" t="s">
        <v>2744</v>
      </c>
      <c r="J3429" s="126">
        <v>11</v>
      </c>
      <c r="K3429" s="126">
        <v>30</v>
      </c>
      <c r="L3429" s="129">
        <f>INT(base[[#This Row],[Data de liquidação]])</f>
        <v>46228</v>
      </c>
      <c r="M3429" s="126">
        <f>base[[#This Row],[L/P Bruto]]-base[[#This Row],[L/P Líquido]]</f>
        <v>0</v>
      </c>
      <c r="N3429" s="126">
        <f>base[[#This Row],[L/P Líquido]]/base[[#This Row],[Stake/Responsabilidade]]</f>
        <v>-1</v>
      </c>
      <c r="O3429" s="132">
        <f>IF(base[[#This Row],[L/P Líquido]]&gt;0,1,0)</f>
        <v>0</v>
      </c>
      <c r="P3429" s="132"/>
      <c r="Q3429" s="132" t="str">
        <f>LEFT(base[[#This Row],[Evento / Mercado]],FIND("vs",base[[#This Row],[Evento / Mercado]])-2)</f>
        <v>Haugesund</v>
      </c>
      <c r="R34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Bryne</v>
      </c>
      <c r="S3429" s="132" t="str">
        <f>LEFT(base[[#This Row],[Evento / Mercado]],FIND("/",base[[#This Row],[Evento / Mercado]])-2)</f>
        <v>Haugesund vs Bryne</v>
      </c>
    </row>
    <row r="3430" spans="2:19" ht="15" customHeight="1">
      <c r="B3430" s="128" t="s">
        <v>3402</v>
      </c>
      <c r="C3430" s="128" t="s">
        <v>2980</v>
      </c>
      <c r="D3430" s="129">
        <v>46228.704861111109</v>
      </c>
      <c r="E3430" s="130">
        <v>0.68</v>
      </c>
      <c r="F3430" s="136">
        <v>4.4999999999999998E-2</v>
      </c>
      <c r="G3430" s="126">
        <f t="shared" si="77"/>
        <v>0.71204188481675401</v>
      </c>
      <c r="H3430" s="126" t="s">
        <v>2817</v>
      </c>
      <c r="I3430" s="127" t="s">
        <v>2993</v>
      </c>
      <c r="J3430" s="126">
        <v>5.0999999999999996</v>
      </c>
      <c r="K3430" s="126">
        <v>99.32</v>
      </c>
      <c r="L3430" s="129">
        <f>INT(base[[#This Row],[Data de liquidação]])</f>
        <v>46228</v>
      </c>
      <c r="M3430" s="126">
        <f>base[[#This Row],[L/P Bruto]]-base[[#This Row],[L/P Líquido]]</f>
        <v>3.2041884816753963E-2</v>
      </c>
      <c r="N3430" s="126">
        <f>base[[#This Row],[L/P Líquido]]/base[[#This Row],[Stake/Responsabilidade]]</f>
        <v>6.8465565847764809E-3</v>
      </c>
      <c r="O3430" s="132">
        <f>IF(base[[#This Row],[L/P Líquido]]&gt;0,1,0)</f>
        <v>1</v>
      </c>
      <c r="P3430" s="132"/>
      <c r="Q3430" s="132" t="str">
        <f>LEFT(base[[#This Row],[Evento / Mercado]],FIND("vs",base[[#This Row],[Evento / Mercado]])-2)</f>
        <v>Haugesund</v>
      </c>
      <c r="R34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Bryne</v>
      </c>
      <c r="S3430" s="132" t="str">
        <f>LEFT(base[[#This Row],[Evento / Mercado]],FIND("/",base[[#This Row],[Evento / Mercado]])-2)</f>
        <v>Haugesund vs Bryne</v>
      </c>
    </row>
    <row r="3431" spans="2:19" ht="15" customHeight="1">
      <c r="B3431" s="128" t="s">
        <v>3402</v>
      </c>
      <c r="C3431" s="128" t="s">
        <v>2982</v>
      </c>
      <c r="D3431" s="129">
        <v>46228.704918981479</v>
      </c>
      <c r="E3431" s="130">
        <v>-300.01</v>
      </c>
      <c r="F3431" s="136">
        <v>4.4999999999999998E-2</v>
      </c>
      <c r="G3431" s="126">
        <f t="shared" si="77"/>
        <v>-300.01</v>
      </c>
      <c r="H3431" s="126" t="s">
        <v>145</v>
      </c>
      <c r="I3431" s="127" t="s">
        <v>301</v>
      </c>
      <c r="J3431" s="126">
        <v>5.2</v>
      </c>
      <c r="K3431" s="126">
        <v>300.01</v>
      </c>
      <c r="L3431" s="129">
        <f>INT(base[[#This Row],[Data de liquidação]])</f>
        <v>46228</v>
      </c>
      <c r="M3431" s="126">
        <f>base[[#This Row],[L/P Bruto]]-base[[#This Row],[L/P Líquido]]</f>
        <v>0</v>
      </c>
      <c r="N3431" s="126">
        <f>base[[#This Row],[L/P Líquido]]/base[[#This Row],[Stake/Responsabilidade]]</f>
        <v>-1</v>
      </c>
      <c r="O3431" s="132">
        <f>IF(base[[#This Row],[L/P Líquido]]&gt;0,1,0)</f>
        <v>0</v>
      </c>
      <c r="P3431" s="132"/>
      <c r="Q3431" s="132" t="str">
        <f>LEFT(base[[#This Row],[Evento / Mercado]],FIND("vs",base[[#This Row],[Evento / Mercado]])-2)</f>
        <v>Haugesund</v>
      </c>
      <c r="R34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Bryne</v>
      </c>
      <c r="S3431" s="132" t="str">
        <f>LEFT(base[[#This Row],[Evento / Mercado]],FIND("/",base[[#This Row],[Evento / Mercado]])-2)</f>
        <v>Haugesund vs Bryne</v>
      </c>
    </row>
    <row r="3432" spans="2:19" ht="15" customHeight="1">
      <c r="B3432" s="128" t="s">
        <v>3402</v>
      </c>
      <c r="C3432" s="128" t="s">
        <v>2981</v>
      </c>
      <c r="D3432" s="129">
        <v>46228.704918981479</v>
      </c>
      <c r="E3432" s="130">
        <v>78.81</v>
      </c>
      <c r="F3432" s="136">
        <v>4.4999999999999998E-2</v>
      </c>
      <c r="G3432" s="126">
        <f t="shared" si="77"/>
        <v>82.52356020942409</v>
      </c>
      <c r="H3432" s="126" t="s">
        <v>2743</v>
      </c>
      <c r="I3432" s="127" t="s">
        <v>1233</v>
      </c>
      <c r="J3432" s="126">
        <v>4.7</v>
      </c>
      <c r="K3432" s="126">
        <v>300</v>
      </c>
      <c r="L3432" s="129">
        <f>INT(base[[#This Row],[Data de liquidação]])</f>
        <v>46228</v>
      </c>
      <c r="M3432" s="126">
        <f>base[[#This Row],[L/P Bruto]]-base[[#This Row],[L/P Líquido]]</f>
        <v>3.713560209424088</v>
      </c>
      <c r="N3432" s="126">
        <f>base[[#This Row],[L/P Líquido]]/base[[#This Row],[Stake/Responsabilidade]]</f>
        <v>0.26269999999999999</v>
      </c>
      <c r="O3432" s="132">
        <f>IF(base[[#This Row],[L/P Líquido]]&gt;0,1,0)</f>
        <v>1</v>
      </c>
      <c r="P3432" s="132"/>
      <c r="Q3432" s="132" t="str">
        <f>LEFT(base[[#This Row],[Evento / Mercado]],FIND("vs",base[[#This Row],[Evento / Mercado]])-2)</f>
        <v>Haugesund</v>
      </c>
      <c r="R34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Bryne</v>
      </c>
      <c r="S3432" s="132" t="str">
        <f>LEFT(base[[#This Row],[Evento / Mercado]],FIND("/",base[[#This Row],[Evento / Mercado]])-2)</f>
        <v>Haugesund vs Bryne</v>
      </c>
    </row>
    <row r="3433" spans="2:19" ht="15" customHeight="1">
      <c r="B3433" s="128" t="s">
        <v>3401</v>
      </c>
      <c r="C3433" s="128" t="s">
        <v>2982</v>
      </c>
      <c r="D3433" s="129">
        <v>46228.716863425929</v>
      </c>
      <c r="E3433" s="130">
        <v>-5.36</v>
      </c>
      <c r="F3433" s="136">
        <v>4.4999999999999998E-2</v>
      </c>
      <c r="G3433" s="126">
        <f t="shared" si="77"/>
        <v>-5.36</v>
      </c>
      <c r="H3433" s="126" t="s">
        <v>2743</v>
      </c>
      <c r="I3433" s="127" t="s">
        <v>2744</v>
      </c>
      <c r="J3433" s="126">
        <v>9</v>
      </c>
      <c r="K3433" s="126">
        <v>37.5</v>
      </c>
      <c r="L3433" s="129">
        <f>INT(base[[#This Row],[Data de liquidação]])</f>
        <v>46228</v>
      </c>
      <c r="M3433" s="126">
        <f>base[[#This Row],[L/P Bruto]]-base[[#This Row],[L/P Líquido]]</f>
        <v>0</v>
      </c>
      <c r="N3433" s="126">
        <f>base[[#This Row],[L/P Líquido]]/base[[#This Row],[Stake/Responsabilidade]]</f>
        <v>-0.14293333333333333</v>
      </c>
      <c r="O3433" s="132">
        <f>IF(base[[#This Row],[L/P Líquido]]&gt;0,1,0)</f>
        <v>0</v>
      </c>
      <c r="P3433" s="132"/>
      <c r="Q3433" s="132" t="str">
        <f>LEFT(base[[#This Row],[Evento / Mercado]],FIND("vs",base[[#This Row],[Evento / Mercado]])-2)</f>
        <v>Lech Poznan</v>
      </c>
      <c r="R34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Cracovia Kraków</v>
      </c>
      <c r="S3433" s="132" t="str">
        <f>LEFT(base[[#This Row],[Evento / Mercado]],FIND("/",base[[#This Row],[Evento / Mercado]])-2)</f>
        <v>Lech Poznan vs Cracovia Kraków</v>
      </c>
    </row>
    <row r="3434" spans="2:19" ht="15" customHeight="1">
      <c r="B3434" s="128" t="s">
        <v>3400</v>
      </c>
      <c r="C3434" s="128" t="s">
        <v>2982</v>
      </c>
      <c r="D3434" s="129">
        <v>46228.716990740744</v>
      </c>
      <c r="E3434" s="130">
        <v>-61.03</v>
      </c>
      <c r="F3434" s="136">
        <v>4.4999999999999998E-2</v>
      </c>
      <c r="G3434" s="126">
        <f t="shared" si="77"/>
        <v>-61.03</v>
      </c>
      <c r="H3434" s="126" t="s">
        <v>2743</v>
      </c>
      <c r="I3434" s="127" t="s">
        <v>1233</v>
      </c>
      <c r="J3434" s="126">
        <v>4.5</v>
      </c>
      <c r="K3434" s="126">
        <v>299.98</v>
      </c>
      <c r="L3434" s="129">
        <f>INT(base[[#This Row],[Data de liquidação]])</f>
        <v>46228</v>
      </c>
      <c r="M3434" s="126">
        <f>base[[#This Row],[L/P Bruto]]-base[[#This Row],[L/P Líquido]]</f>
        <v>0</v>
      </c>
      <c r="N3434" s="126">
        <f>base[[#This Row],[L/P Líquido]]/base[[#This Row],[Stake/Responsabilidade]]</f>
        <v>-0.20344689645976397</v>
      </c>
      <c r="O3434" s="132">
        <f>IF(base[[#This Row],[L/P Líquido]]&gt;0,1,0)</f>
        <v>0</v>
      </c>
      <c r="P3434" s="132"/>
      <c r="Q3434" s="132" t="str">
        <f>LEFT(base[[#This Row],[Evento / Mercado]],FIND("vs",base[[#This Row],[Evento / Mercado]])-2)</f>
        <v>Lech Poznan</v>
      </c>
      <c r="R34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Cracovia Kraków</v>
      </c>
      <c r="S3434" s="132" t="str">
        <f>LEFT(base[[#This Row],[Evento / Mercado]],FIND("/",base[[#This Row],[Evento / Mercado]])-2)</f>
        <v>Lech Poznan vs Cracovia Kraków</v>
      </c>
    </row>
    <row r="3435" spans="2:19" ht="15" customHeight="1">
      <c r="B3435" s="128" t="s">
        <v>3400</v>
      </c>
      <c r="C3435" s="128" t="s">
        <v>2981</v>
      </c>
      <c r="D3435" s="129">
        <v>46228.716990740744</v>
      </c>
      <c r="E3435" s="130">
        <v>2.14</v>
      </c>
      <c r="F3435" s="136">
        <v>4.4999999999999998E-2</v>
      </c>
      <c r="G3435" s="126">
        <f t="shared" si="77"/>
        <v>2.2408376963350789</v>
      </c>
      <c r="H3435" s="126" t="s">
        <v>2817</v>
      </c>
      <c r="I3435" s="127" t="s">
        <v>2992</v>
      </c>
      <c r="J3435" s="126">
        <v>6.2</v>
      </c>
      <c r="K3435" s="126">
        <v>100</v>
      </c>
      <c r="L3435" s="129">
        <f>INT(base[[#This Row],[Data de liquidação]])</f>
        <v>46228</v>
      </c>
      <c r="M3435" s="126">
        <f>base[[#This Row],[L/P Bruto]]-base[[#This Row],[L/P Líquido]]</f>
        <v>0.10083769633507877</v>
      </c>
      <c r="N3435" s="126">
        <f>base[[#This Row],[L/P Líquido]]/base[[#This Row],[Stake/Responsabilidade]]</f>
        <v>2.1400000000000002E-2</v>
      </c>
      <c r="O3435" s="132">
        <f>IF(base[[#This Row],[L/P Líquido]]&gt;0,1,0)</f>
        <v>1</v>
      </c>
      <c r="P3435" s="132"/>
      <c r="Q3435" s="132" t="str">
        <f>LEFT(base[[#This Row],[Evento / Mercado]],FIND("vs",base[[#This Row],[Evento / Mercado]])-2)</f>
        <v>Lech Poznan</v>
      </c>
      <c r="R34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Cracovia Kraków</v>
      </c>
      <c r="S3435" s="132" t="str">
        <f>LEFT(base[[#This Row],[Evento / Mercado]],FIND("/",base[[#This Row],[Evento / Mercado]])-2)</f>
        <v>Lech Poznan vs Cracovia Kraków</v>
      </c>
    </row>
    <row r="3436" spans="2:19" ht="15" customHeight="1">
      <c r="B3436" s="128" t="s">
        <v>3399</v>
      </c>
      <c r="C3436" s="128" t="s">
        <v>2982</v>
      </c>
      <c r="D3436" s="129">
        <v>46228.821192129632</v>
      </c>
      <c r="E3436" s="130">
        <v>4.1500000000000004</v>
      </c>
      <c r="F3436" s="136">
        <v>4.4999999999999998E-2</v>
      </c>
      <c r="G3436" s="126">
        <f t="shared" si="77"/>
        <v>4.345549738219896</v>
      </c>
      <c r="H3436" s="126" t="s">
        <v>1339</v>
      </c>
      <c r="I3436" s="127" t="s">
        <v>2404</v>
      </c>
      <c r="J3436" s="126">
        <v>1.87</v>
      </c>
      <c r="K3436" s="126">
        <v>5</v>
      </c>
      <c r="L3436" s="129">
        <f>INT(base[[#This Row],[Data de liquidação]])</f>
        <v>46228</v>
      </c>
      <c r="M3436" s="126">
        <f>base[[#This Row],[L/P Bruto]]-base[[#This Row],[L/P Líquido]]</f>
        <v>0.19554973821989563</v>
      </c>
      <c r="N3436" s="126">
        <f>base[[#This Row],[L/P Líquido]]/base[[#This Row],[Stake/Responsabilidade]]</f>
        <v>0.83000000000000007</v>
      </c>
      <c r="O3436" s="132">
        <f>IF(base[[#This Row],[L/P Líquido]]&gt;0,1,0)</f>
        <v>1</v>
      </c>
      <c r="P3436" s="132"/>
      <c r="Q3436" s="132" t="str">
        <f>LEFT(base[[#This Row],[Evento / Mercado]],FIND("vs",base[[#This Row],[Evento / Mercado]])-2)</f>
        <v>Huachipato</v>
      </c>
      <c r="R34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Cobresal</v>
      </c>
      <c r="S3436" s="132" t="str">
        <f>LEFT(base[[#This Row],[Evento / Mercado]],FIND("/",base[[#This Row],[Evento / Mercado]])-2)</f>
        <v>Huachipato vs Cobresal</v>
      </c>
    </row>
    <row r="3437" spans="2:19" ht="15" customHeight="1">
      <c r="B3437" s="128" t="s">
        <v>3398</v>
      </c>
      <c r="C3437" s="128" t="s">
        <v>2982</v>
      </c>
      <c r="D3437" s="129">
        <v>46228.833298611113</v>
      </c>
      <c r="E3437" s="130">
        <v>-87.86</v>
      </c>
      <c r="F3437" s="136">
        <v>4.4999999999999998E-2</v>
      </c>
      <c r="G3437" s="126">
        <f t="shared" si="77"/>
        <v>-87.86</v>
      </c>
      <c r="H3437" s="127" t="s">
        <v>3304</v>
      </c>
      <c r="I3437" s="127"/>
      <c r="J3437" s="126">
        <v>14.5</v>
      </c>
      <c r="K3437" s="126">
        <v>500.04</v>
      </c>
      <c r="L3437" s="129">
        <f>INT(base[[#This Row],[Data de liquidação]])</f>
        <v>46228</v>
      </c>
      <c r="M3437" s="126">
        <f>base[[#This Row],[L/P Bruto]]-base[[#This Row],[L/P Líquido]]</f>
        <v>0</v>
      </c>
      <c r="N3437" s="126">
        <f>base[[#This Row],[L/P Líquido]]/base[[#This Row],[Stake/Responsabilidade]]</f>
        <v>-0.17570594352451804</v>
      </c>
      <c r="O3437" s="132">
        <f>IF(base[[#This Row],[L/P Líquido]]&gt;0,1,0)</f>
        <v>0</v>
      </c>
      <c r="P3437" s="132"/>
      <c r="Q3437" s="132" t="str">
        <f>LEFT(base[[#This Row],[Evento / Mercado]],FIND("vs",base[[#This Row],[Evento / Mercado]])-2)</f>
        <v>Independiente Medellín</v>
      </c>
      <c r="R34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Pasto</v>
      </c>
      <c r="S3437" s="132" t="str">
        <f>LEFT(base[[#This Row],[Evento / Mercado]],FIND("/",base[[#This Row],[Evento / Mercado]])-2)</f>
        <v>Independiente Medellín vs Deportivo Pasto</v>
      </c>
    </row>
    <row r="3438" spans="2:19" ht="15" customHeight="1">
      <c r="B3438" s="128" t="s">
        <v>3398</v>
      </c>
      <c r="C3438" s="128" t="s">
        <v>2981</v>
      </c>
      <c r="D3438" s="129">
        <v>46228.833298611113</v>
      </c>
      <c r="E3438" s="130">
        <v>-53.22</v>
      </c>
      <c r="F3438" s="136">
        <v>4.4999999999999998E-2</v>
      </c>
      <c r="G3438" s="126">
        <f t="shared" si="77"/>
        <v>-53.22</v>
      </c>
      <c r="H3438" s="126" t="s">
        <v>3261</v>
      </c>
      <c r="I3438" s="127" t="s">
        <v>3213</v>
      </c>
      <c r="J3438" s="126">
        <v>22</v>
      </c>
      <c r="K3438" s="126">
        <v>500.01</v>
      </c>
      <c r="L3438" s="129">
        <f>INT(base[[#This Row],[Data de liquidação]])</f>
        <v>46228</v>
      </c>
      <c r="M3438" s="126">
        <f>base[[#This Row],[L/P Bruto]]-base[[#This Row],[L/P Líquido]]</f>
        <v>0</v>
      </c>
      <c r="N3438" s="126">
        <f>base[[#This Row],[L/P Líquido]]/base[[#This Row],[Stake/Responsabilidade]]</f>
        <v>-0.10643787124257514</v>
      </c>
      <c r="O3438" s="132">
        <f>IF(base[[#This Row],[L/P Líquido]]&gt;0,1,0)</f>
        <v>0</v>
      </c>
      <c r="P3438" s="132"/>
      <c r="Q3438" s="132" t="str">
        <f>LEFT(base[[#This Row],[Evento / Mercado]],FIND("vs",base[[#This Row],[Evento / Mercado]])-2)</f>
        <v>Independiente Medellín</v>
      </c>
      <c r="R34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Pasto</v>
      </c>
      <c r="S3438" s="132" t="str">
        <f>LEFT(base[[#This Row],[Evento / Mercado]],FIND("/",base[[#This Row],[Evento / Mercado]])-2)</f>
        <v>Independiente Medellín vs Deportivo Pasto</v>
      </c>
    </row>
    <row r="3439" spans="2:19" ht="15" customHeight="1">
      <c r="B3439" s="128" t="s">
        <v>3396</v>
      </c>
      <c r="C3439" s="128" t="s">
        <v>2980</v>
      </c>
      <c r="D3439" s="129">
        <v>46228.85</v>
      </c>
      <c r="E3439" s="130">
        <v>17.84</v>
      </c>
      <c r="F3439" s="136">
        <v>4.4999999999999998E-2</v>
      </c>
      <c r="G3439" s="126">
        <f t="shared" si="77"/>
        <v>18.680628272251308</v>
      </c>
      <c r="H3439" s="126" t="s">
        <v>2817</v>
      </c>
      <c r="I3439" s="127" t="s">
        <v>2993</v>
      </c>
      <c r="J3439" s="126">
        <v>4.5</v>
      </c>
      <c r="K3439" s="126">
        <v>100</v>
      </c>
      <c r="L3439" s="129">
        <f>INT(base[[#This Row],[Data de liquidação]])</f>
        <v>46228</v>
      </c>
      <c r="M3439" s="126">
        <f>base[[#This Row],[L/P Bruto]]-base[[#This Row],[L/P Líquido]]</f>
        <v>0.84062827225130832</v>
      </c>
      <c r="N3439" s="126">
        <f>base[[#This Row],[L/P Líquido]]/base[[#This Row],[Stake/Responsabilidade]]</f>
        <v>0.1784</v>
      </c>
      <c r="O3439" s="132">
        <f>IF(base[[#This Row],[L/P Líquido]]&gt;0,1,0)</f>
        <v>1</v>
      </c>
      <c r="P3439" s="132"/>
      <c r="Q3439" s="132" t="str">
        <f>LEFT(base[[#This Row],[Evento / Mercado]],FIND("vs",base[[#This Row],[Evento / Mercado]])-2)</f>
        <v>Athlético Paranaense</v>
      </c>
      <c r="R34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3439" s="132" t="str">
        <f>LEFT(base[[#This Row],[Evento / Mercado]],FIND("/",base[[#This Row],[Evento / Mercado]])-2)</f>
        <v>Athlético Paranaense vs SC Internacional</v>
      </c>
    </row>
    <row r="3440" spans="2:19" ht="15" customHeight="1">
      <c r="B3440" s="128" t="s">
        <v>3397</v>
      </c>
      <c r="C3440" s="128" t="s">
        <v>2980</v>
      </c>
      <c r="D3440" s="129">
        <v>46228.85</v>
      </c>
      <c r="E3440" s="130">
        <v>31.82</v>
      </c>
      <c r="F3440" s="136">
        <v>4.4999999999999998E-2</v>
      </c>
      <c r="G3440" s="126">
        <f t="shared" si="77"/>
        <v>33.319371727748695</v>
      </c>
      <c r="H3440" s="126" t="s">
        <v>2714</v>
      </c>
      <c r="I3440" s="127" t="s">
        <v>2716</v>
      </c>
      <c r="J3440" s="126"/>
      <c r="K3440" s="126">
        <v>100</v>
      </c>
      <c r="L3440" s="129">
        <f>INT(base[[#This Row],[Data de liquidação]])</f>
        <v>46228</v>
      </c>
      <c r="M3440" s="126">
        <f>base[[#This Row],[L/P Bruto]]-base[[#This Row],[L/P Líquido]]</f>
        <v>1.4993717277486951</v>
      </c>
      <c r="N3440" s="126">
        <f>base[[#This Row],[L/P Líquido]]/base[[#This Row],[Stake/Responsabilidade]]</f>
        <v>0.31819999999999998</v>
      </c>
      <c r="O3440" s="132">
        <f>IF(base[[#This Row],[L/P Líquido]]&gt;0,1,0)</f>
        <v>1</v>
      </c>
      <c r="P3440" s="132"/>
      <c r="Q3440" s="132" t="str">
        <f>LEFT(base[[#This Row],[Evento / Mercado]],FIND("vs",base[[#This Row],[Evento / Mercado]])-2)</f>
        <v>Athlético Paranaense</v>
      </c>
      <c r="R34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3440" s="132" t="str">
        <f>LEFT(base[[#This Row],[Evento / Mercado]],FIND("/",base[[#This Row],[Evento / Mercado]])-2)</f>
        <v>Athlético Paranaense vs SC Internacional</v>
      </c>
    </row>
    <row r="3441" spans="2:19" ht="15" customHeight="1">
      <c r="B3441" s="128" t="s">
        <v>3397</v>
      </c>
      <c r="C3441" s="128" t="s">
        <v>2982</v>
      </c>
      <c r="D3441" s="129">
        <v>46228.850023148145</v>
      </c>
      <c r="E3441" s="130">
        <v>-50</v>
      </c>
      <c r="F3441" s="136">
        <v>4.4999999999999998E-2</v>
      </c>
      <c r="G3441" s="126">
        <f t="shared" si="77"/>
        <v>-50</v>
      </c>
      <c r="H3441" s="126" t="s">
        <v>2743</v>
      </c>
      <c r="I3441" s="127" t="s">
        <v>2744</v>
      </c>
      <c r="J3441" s="126">
        <v>7</v>
      </c>
      <c r="K3441" s="126">
        <v>50</v>
      </c>
      <c r="L3441" s="129">
        <f>INT(base[[#This Row],[Data de liquidação]])</f>
        <v>46228</v>
      </c>
      <c r="M3441" s="126">
        <f>base[[#This Row],[L/P Bruto]]-base[[#This Row],[L/P Líquido]]</f>
        <v>0</v>
      </c>
      <c r="N3441" s="126">
        <f>base[[#This Row],[L/P Líquido]]/base[[#This Row],[Stake/Responsabilidade]]</f>
        <v>-1</v>
      </c>
      <c r="O3441" s="132">
        <f>IF(base[[#This Row],[L/P Líquido]]&gt;0,1,0)</f>
        <v>0</v>
      </c>
      <c r="P3441" s="132"/>
      <c r="Q3441" s="132" t="str">
        <f>LEFT(base[[#This Row],[Evento / Mercado]],FIND("vs",base[[#This Row],[Evento / Mercado]])-2)</f>
        <v>Athlético Paranaense</v>
      </c>
      <c r="R34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3441" s="132" t="str">
        <f>LEFT(base[[#This Row],[Evento / Mercado]],FIND("/",base[[#This Row],[Evento / Mercado]])-2)</f>
        <v>Athlético Paranaense vs SC Internacional</v>
      </c>
    </row>
    <row r="3442" spans="2:19" ht="15" customHeight="1">
      <c r="B3442" s="128" t="s">
        <v>3397</v>
      </c>
      <c r="C3442" s="128" t="s">
        <v>2981</v>
      </c>
      <c r="D3442" s="129">
        <v>46228.850023148145</v>
      </c>
      <c r="E3442" s="130">
        <v>38.880000000000003</v>
      </c>
      <c r="F3442" s="136">
        <v>4.4999999999999998E-2</v>
      </c>
      <c r="G3442" s="126">
        <f t="shared" si="77"/>
        <v>40.712041884816756</v>
      </c>
      <c r="H3442" s="126" t="s">
        <v>3261</v>
      </c>
      <c r="I3442" s="127" t="s">
        <v>476</v>
      </c>
      <c r="J3442" s="126">
        <v>13.5</v>
      </c>
      <c r="K3442" s="126">
        <v>500</v>
      </c>
      <c r="L3442" s="129">
        <f>INT(base[[#This Row],[Data de liquidação]])</f>
        <v>46228</v>
      </c>
      <c r="M3442" s="126">
        <f>base[[#This Row],[L/P Bruto]]-base[[#This Row],[L/P Líquido]]</f>
        <v>1.8320418848167535</v>
      </c>
      <c r="N3442" s="126">
        <f>base[[#This Row],[L/P Líquido]]/base[[#This Row],[Stake/Responsabilidade]]</f>
        <v>7.776000000000001E-2</v>
      </c>
      <c r="O3442" s="132">
        <f>IF(base[[#This Row],[L/P Líquido]]&gt;0,1,0)</f>
        <v>1</v>
      </c>
      <c r="P3442" s="132"/>
      <c r="Q3442" s="132" t="str">
        <f>LEFT(base[[#This Row],[Evento / Mercado]],FIND("vs",base[[#This Row],[Evento / Mercado]])-2)</f>
        <v>Athlético Paranaense</v>
      </c>
      <c r="R34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3442" s="132" t="str">
        <f>LEFT(base[[#This Row],[Evento / Mercado]],FIND("/",base[[#This Row],[Evento / Mercado]])-2)</f>
        <v>Athlético Paranaense vs SC Internacional</v>
      </c>
    </row>
    <row r="3443" spans="2:19" ht="15" customHeight="1">
      <c r="B3443" s="128" t="s">
        <v>3396</v>
      </c>
      <c r="C3443" s="128" t="s">
        <v>2982</v>
      </c>
      <c r="D3443" s="129">
        <v>46228.850127314814</v>
      </c>
      <c r="E3443" s="130">
        <v>96.77</v>
      </c>
      <c r="F3443" s="136">
        <v>4.4999999999999998E-2</v>
      </c>
      <c r="G3443" s="126">
        <f t="shared" si="77"/>
        <v>101.32984293193718</v>
      </c>
      <c r="H3443" s="126" t="s">
        <v>2743</v>
      </c>
      <c r="I3443" s="127" t="s">
        <v>1233</v>
      </c>
      <c r="J3443" s="126">
        <v>3.45</v>
      </c>
      <c r="K3443" s="126">
        <v>300</v>
      </c>
      <c r="L3443" s="129">
        <f>INT(base[[#This Row],[Data de liquidação]])</f>
        <v>46228</v>
      </c>
      <c r="M3443" s="126">
        <f>base[[#This Row],[L/P Bruto]]-base[[#This Row],[L/P Líquido]]</f>
        <v>4.5598429319371832</v>
      </c>
      <c r="N3443" s="126">
        <f>base[[#This Row],[L/P Líquido]]/base[[#This Row],[Stake/Responsabilidade]]</f>
        <v>0.32256666666666667</v>
      </c>
      <c r="O3443" s="132">
        <f>IF(base[[#This Row],[L/P Líquido]]&gt;0,1,0)</f>
        <v>1</v>
      </c>
      <c r="P3443" s="132"/>
      <c r="Q3443" s="132" t="str">
        <f>LEFT(base[[#This Row],[Evento / Mercado]],FIND("vs",base[[#This Row],[Evento / Mercado]])-2)</f>
        <v>Athlético Paranaense</v>
      </c>
      <c r="R34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3443" s="132" t="str">
        <f>LEFT(base[[#This Row],[Evento / Mercado]],FIND("/",base[[#This Row],[Evento / Mercado]])-2)</f>
        <v>Athlético Paranaense vs SC Internacional</v>
      </c>
    </row>
    <row r="3444" spans="2:19" ht="15" customHeight="1">
      <c r="B3444" s="128" t="s">
        <v>3395</v>
      </c>
      <c r="C3444" s="128" t="s">
        <v>2982</v>
      </c>
      <c r="D3444" s="129">
        <v>46228.852418981478</v>
      </c>
      <c r="E3444" s="130">
        <v>6.82</v>
      </c>
      <c r="F3444" s="136">
        <v>4.4999999999999998E-2</v>
      </c>
      <c r="G3444" s="126">
        <f t="shared" si="77"/>
        <v>7.1413612565445028</v>
      </c>
      <c r="H3444" s="126" t="s">
        <v>2817</v>
      </c>
      <c r="I3444" s="127" t="s">
        <v>2992</v>
      </c>
      <c r="J3444" s="126">
        <v>11</v>
      </c>
      <c r="K3444" s="126">
        <v>100</v>
      </c>
      <c r="L3444" s="129">
        <f>INT(base[[#This Row],[Data de liquidação]])</f>
        <v>46228</v>
      </c>
      <c r="M3444" s="126">
        <f>base[[#This Row],[L/P Bruto]]-base[[#This Row],[L/P Líquido]]</f>
        <v>0.32136125654450254</v>
      </c>
      <c r="N3444" s="126">
        <f>base[[#This Row],[L/P Líquido]]/base[[#This Row],[Stake/Responsabilidade]]</f>
        <v>6.8199999999999997E-2</v>
      </c>
      <c r="O3444" s="132">
        <f>IF(base[[#This Row],[L/P Líquido]]&gt;0,1,0)</f>
        <v>1</v>
      </c>
      <c r="P3444" s="132"/>
      <c r="Q3444" s="132" t="str">
        <f>LEFT(base[[#This Row],[Evento / Mercado]],FIND("vs",base[[#This Row],[Evento / Mercado]])-2)</f>
        <v>Santos FC</v>
      </c>
      <c r="R34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3444" s="132" t="str">
        <f>LEFT(base[[#This Row],[Evento / Mercado]],FIND("/",base[[#This Row],[Evento / Mercado]])-2)</f>
        <v>Santos FC vs Chapecoense</v>
      </c>
    </row>
    <row r="3445" spans="2:19" ht="15" customHeight="1">
      <c r="B3445" s="128" t="s">
        <v>3394</v>
      </c>
      <c r="C3445" s="128" t="s">
        <v>2982</v>
      </c>
      <c r="D3445" s="129">
        <v>46228.854178240741</v>
      </c>
      <c r="E3445" s="130">
        <v>1.03</v>
      </c>
      <c r="F3445" s="136">
        <v>4.4999999999999998E-2</v>
      </c>
      <c r="G3445" s="126">
        <f t="shared" si="77"/>
        <v>1.0785340314136127</v>
      </c>
      <c r="H3445" s="126" t="s">
        <v>3261</v>
      </c>
      <c r="I3445" s="127" t="s">
        <v>3213</v>
      </c>
      <c r="J3445" s="126">
        <v>22</v>
      </c>
      <c r="K3445" s="126">
        <v>500.01</v>
      </c>
      <c r="L3445" s="129">
        <f>INT(base[[#This Row],[Data de liquidação]])</f>
        <v>46228</v>
      </c>
      <c r="M3445" s="126">
        <f>base[[#This Row],[L/P Bruto]]-base[[#This Row],[L/P Líquido]]</f>
        <v>4.8534031413612677E-2</v>
      </c>
      <c r="N3445" s="126">
        <f>base[[#This Row],[L/P Líquido]]/base[[#This Row],[Stake/Responsabilidade]]</f>
        <v>2.0599588008239837E-3</v>
      </c>
      <c r="O3445" s="132">
        <f>IF(base[[#This Row],[L/P Líquido]]&gt;0,1,0)</f>
        <v>1</v>
      </c>
      <c r="P3445" s="132"/>
      <c r="Q3445" s="132" t="str">
        <f>LEFT(base[[#This Row],[Evento / Mercado]],FIND("vs",base[[#This Row],[Evento / Mercado]])-2)</f>
        <v>Huachipato</v>
      </c>
      <c r="R34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Cobresal</v>
      </c>
      <c r="S3445" s="132" t="str">
        <f>LEFT(base[[#This Row],[Evento / Mercado]],FIND("/",base[[#This Row],[Evento / Mercado]])-2)</f>
        <v>Huachipato vs Cobresal</v>
      </c>
    </row>
    <row r="3446" spans="2:19" ht="15" customHeight="1">
      <c r="B3446" s="128" t="s">
        <v>3394</v>
      </c>
      <c r="C3446" s="128" t="s">
        <v>2981</v>
      </c>
      <c r="D3446" s="129">
        <v>46228.854178240741</v>
      </c>
      <c r="E3446" s="130">
        <v>-40.54</v>
      </c>
      <c r="F3446" s="136">
        <v>4.4999999999999998E-2</v>
      </c>
      <c r="G3446" s="126">
        <f t="shared" si="77"/>
        <v>-40.54</v>
      </c>
      <c r="H3446" s="126" t="s">
        <v>2743</v>
      </c>
      <c r="I3446" s="127" t="s">
        <v>2744</v>
      </c>
      <c r="J3446" s="126">
        <v>8.4</v>
      </c>
      <c r="K3446" s="126">
        <v>40.54</v>
      </c>
      <c r="L3446" s="129">
        <f>INT(base[[#This Row],[Data de liquidação]])</f>
        <v>46228</v>
      </c>
      <c r="M3446" s="126">
        <f>base[[#This Row],[L/P Bruto]]-base[[#This Row],[L/P Líquido]]</f>
        <v>0</v>
      </c>
      <c r="N3446" s="126">
        <f>base[[#This Row],[L/P Líquido]]/base[[#This Row],[Stake/Responsabilidade]]</f>
        <v>-1</v>
      </c>
      <c r="O3446" s="132">
        <f>IF(base[[#This Row],[L/P Líquido]]&gt;0,1,0)</f>
        <v>0</v>
      </c>
      <c r="P3446" s="132"/>
      <c r="Q3446" s="132" t="str">
        <f>LEFT(base[[#This Row],[Evento / Mercado]],FIND("vs",base[[#This Row],[Evento / Mercado]])-2)</f>
        <v>Huachipato</v>
      </c>
      <c r="R34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Cobresal</v>
      </c>
      <c r="S3446" s="132" t="str">
        <f>LEFT(base[[#This Row],[Evento / Mercado]],FIND("/",base[[#This Row],[Evento / Mercado]])-2)</f>
        <v>Huachipato vs Cobresal</v>
      </c>
    </row>
    <row r="3447" spans="2:19" ht="15" customHeight="1">
      <c r="B3447" s="128" t="s">
        <v>3423</v>
      </c>
      <c r="C3447" s="128" t="s">
        <v>2981</v>
      </c>
      <c r="D3447" s="129">
        <v>46228.854351851849</v>
      </c>
      <c r="E3447" s="130">
        <v>-40.520000000000003</v>
      </c>
      <c r="F3447" s="136">
        <v>4.4999999999999998E-2</v>
      </c>
      <c r="G3447" s="126">
        <f t="shared" si="77"/>
        <v>-40.520000000000003</v>
      </c>
      <c r="H3447" s="126" t="s">
        <v>2743</v>
      </c>
      <c r="I3447" s="127" t="s">
        <v>1233</v>
      </c>
      <c r="J3447" s="126">
        <v>4.5999999999999996</v>
      </c>
      <c r="K3447" s="126">
        <v>299.99</v>
      </c>
      <c r="L3447" s="129">
        <f>INT(base[[#This Row],[Data de liquidação]])</f>
        <v>46228</v>
      </c>
      <c r="M3447" s="126">
        <f>base[[#This Row],[L/P Bruto]]-base[[#This Row],[L/P Líquido]]</f>
        <v>0</v>
      </c>
      <c r="N3447" s="126">
        <f>base[[#This Row],[L/P Líquido]]/base[[#This Row],[Stake/Responsabilidade]]</f>
        <v>-0.13507116903896796</v>
      </c>
      <c r="O3447" s="132">
        <f>IF(base[[#This Row],[L/P Líquido]]&gt;0,1,0)</f>
        <v>0</v>
      </c>
      <c r="P3447" s="132"/>
      <c r="Q3447" s="132" t="str">
        <f>LEFT(base[[#This Row],[Evento / Mercado]],FIND("vs",base[[#This Row],[Evento / Mercado]])-2)</f>
        <v>Huachipato</v>
      </c>
      <c r="R34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Cobresal</v>
      </c>
      <c r="S3447" s="132" t="str">
        <f>LEFT(base[[#This Row],[Evento / Mercado]],FIND("/",base[[#This Row],[Evento / Mercado]])-2)</f>
        <v>Huachipato vs Cobresal</v>
      </c>
    </row>
    <row r="3448" spans="2:19" ht="15" customHeight="1">
      <c r="B3448" s="128" t="s">
        <v>3393</v>
      </c>
      <c r="C3448" s="128" t="s">
        <v>2982</v>
      </c>
      <c r="D3448" s="129">
        <v>46228.89947916667</v>
      </c>
      <c r="E3448" s="130">
        <v>-18.7</v>
      </c>
      <c r="F3448" s="136">
        <v>4.4999999999999998E-2</v>
      </c>
      <c r="G3448" s="126">
        <f t="shared" si="77"/>
        <v>-18.7</v>
      </c>
      <c r="H3448" s="126" t="s">
        <v>3261</v>
      </c>
      <c r="I3448" s="127" t="s">
        <v>3213</v>
      </c>
      <c r="J3448" s="126">
        <v>13.5</v>
      </c>
      <c r="K3448" s="126">
        <v>500</v>
      </c>
      <c r="L3448" s="129">
        <f>INT(base[[#This Row],[Data de liquidação]])</f>
        <v>46228</v>
      </c>
      <c r="M3448" s="126">
        <f>base[[#This Row],[L/P Bruto]]-base[[#This Row],[L/P Líquido]]</f>
        <v>0</v>
      </c>
      <c r="N3448" s="126">
        <f>base[[#This Row],[L/P Líquido]]/base[[#This Row],[Stake/Responsabilidade]]</f>
        <v>-3.7399999999999996E-2</v>
      </c>
      <c r="O3448" s="132">
        <f>IF(base[[#This Row],[L/P Líquido]]&gt;0,1,0)</f>
        <v>0</v>
      </c>
      <c r="P3448" s="132"/>
      <c r="Q3448" s="132" t="str">
        <f>LEFT(base[[#This Row],[Evento / Mercado]],FIND("vs",base[[#This Row],[Evento / Mercado]])-2)</f>
        <v>New York Red Bulls</v>
      </c>
      <c r="R344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Charlotte FC</v>
      </c>
      <c r="S3448" s="132" t="str">
        <f>LEFT(base[[#This Row],[Evento / Mercado]],FIND("/",base[[#This Row],[Evento / Mercado]])-2)</f>
        <v>New York Red Bulls vs Charlotte FC</v>
      </c>
    </row>
    <row r="3449" spans="2:19" ht="15" customHeight="1">
      <c r="B3449" s="128" t="s">
        <v>3392</v>
      </c>
      <c r="C3449" s="128" t="s">
        <v>2982</v>
      </c>
      <c r="D3449" s="129">
        <v>46228.920578703706</v>
      </c>
      <c r="E3449" s="130">
        <v>11.87</v>
      </c>
      <c r="F3449" s="136">
        <v>4.4999999999999998E-2</v>
      </c>
      <c r="G3449" s="126">
        <f t="shared" si="77"/>
        <v>12.429319371727749</v>
      </c>
      <c r="H3449" s="126" t="s">
        <v>3261</v>
      </c>
      <c r="I3449" s="127" t="s">
        <v>3213</v>
      </c>
      <c r="J3449" s="126">
        <f>(26*430+24*70.15)/base[[#This Row],[Stake/Responsabilidade]]</f>
        <v>25.719484154753577</v>
      </c>
      <c r="K3449" s="126">
        <f>430+70.15</f>
        <v>500.15</v>
      </c>
      <c r="L3449" s="129">
        <f>INT(base[[#This Row],[Data de liquidação]])</f>
        <v>46228</v>
      </c>
      <c r="M3449" s="126">
        <f>base[[#This Row],[L/P Bruto]]-base[[#This Row],[L/P Líquido]]</f>
        <v>0.55931937172774937</v>
      </c>
      <c r="N3449" s="126">
        <f>base[[#This Row],[L/P Líquido]]/base[[#This Row],[Stake/Responsabilidade]]</f>
        <v>2.3732880135959211E-2</v>
      </c>
      <c r="O3449" s="132">
        <f>IF(base[[#This Row],[L/P Líquido]]&gt;0,1,0)</f>
        <v>1</v>
      </c>
      <c r="P3449" s="132"/>
      <c r="Q3449" s="132" t="str">
        <f>LEFT(base[[#This Row],[Evento / Mercado]],FIND("vs",base[[#This Row],[Evento / Mercado]])-2)</f>
        <v>Millonarios</v>
      </c>
      <c r="R344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Bucaramanga</v>
      </c>
      <c r="S3449" s="132" t="str">
        <f>LEFT(base[[#This Row],[Evento / Mercado]],FIND("/",base[[#This Row],[Evento / Mercado]])-2)</f>
        <v>Millonarios vs Atlético Bucaramanga</v>
      </c>
    </row>
    <row r="3450" spans="2:19" ht="15" customHeight="1">
      <c r="B3450" s="128" t="s">
        <v>3391</v>
      </c>
      <c r="C3450" s="128" t="s">
        <v>2982</v>
      </c>
      <c r="D3450" s="129">
        <v>46228.924756944441</v>
      </c>
      <c r="E3450" s="130">
        <v>90.09</v>
      </c>
      <c r="F3450" s="136">
        <v>4.4999999999999998E-2</v>
      </c>
      <c r="G3450" s="126">
        <f t="shared" si="77"/>
        <v>94.335078534031425</v>
      </c>
      <c r="H3450" s="126" t="s">
        <v>231</v>
      </c>
      <c r="I3450" s="127" t="s">
        <v>266</v>
      </c>
      <c r="J3450" s="126">
        <v>1.94</v>
      </c>
      <c r="K3450" s="126">
        <v>100</v>
      </c>
      <c r="L3450" s="129">
        <f>INT(base[[#This Row],[Data de liquidação]])</f>
        <v>46228</v>
      </c>
      <c r="M3450" s="126">
        <f>base[[#This Row],[L/P Bruto]]-base[[#This Row],[L/P Líquido]]</f>
        <v>4.2450785340314212</v>
      </c>
      <c r="N3450" s="126">
        <f>base[[#This Row],[L/P Líquido]]/base[[#This Row],[Stake/Responsabilidade]]</f>
        <v>0.90090000000000003</v>
      </c>
      <c r="O3450" s="132">
        <f>IF(base[[#This Row],[L/P Líquido]]&gt;0,1,0)</f>
        <v>1</v>
      </c>
      <c r="P3450" s="132"/>
      <c r="Q3450" s="132" t="str">
        <f>LEFT(base[[#This Row],[Evento / Mercado]],FIND("vs",base[[#This Row],[Evento / Mercado]])-2)</f>
        <v>Vasco da Gama</v>
      </c>
      <c r="R345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3450" s="132" t="str">
        <f>LEFT(base[[#This Row],[Evento / Mercado]],FIND("/",base[[#This Row],[Evento / Mercado]])-2)</f>
        <v>Vasco da Gama vs Mirassol FC</v>
      </c>
    </row>
    <row r="3451" spans="2:19" ht="15" customHeight="1">
      <c r="B3451" s="128" t="s">
        <v>3390</v>
      </c>
      <c r="C3451" s="128" t="s">
        <v>2982</v>
      </c>
      <c r="D3451" s="129">
        <v>46228.930127314816</v>
      </c>
      <c r="E3451" s="130">
        <v>0.5</v>
      </c>
      <c r="F3451" s="136">
        <v>4.4999999999999998E-2</v>
      </c>
      <c r="G3451" s="126">
        <f t="shared" si="77"/>
        <v>0.52356020942408377</v>
      </c>
      <c r="H3451" s="126" t="s">
        <v>1339</v>
      </c>
      <c r="I3451" s="127" t="s">
        <v>1993</v>
      </c>
      <c r="J3451" s="126">
        <v>1.05</v>
      </c>
      <c r="K3451" s="126">
        <v>10</v>
      </c>
      <c r="L3451" s="129">
        <f>INT(base[[#This Row],[Data de liquidação]])</f>
        <v>46228</v>
      </c>
      <c r="M3451" s="126">
        <f>base[[#This Row],[L/P Bruto]]-base[[#This Row],[L/P Líquido]]</f>
        <v>2.3560209424083767E-2</v>
      </c>
      <c r="N3451" s="126">
        <f>base[[#This Row],[L/P Líquido]]/base[[#This Row],[Stake/Responsabilidade]]</f>
        <v>0.05</v>
      </c>
      <c r="O3451" s="132">
        <f>IF(base[[#This Row],[L/P Líquido]]&gt;0,1,0)</f>
        <v>1</v>
      </c>
      <c r="P3451" s="132"/>
      <c r="Q3451" s="132" t="str">
        <f>LEFT(base[[#This Row],[Evento / Mercado]],FIND("vs",base[[#This Row],[Evento / Mercado]])-2)</f>
        <v>CF Montreal</v>
      </c>
      <c r="R345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 Miami CF</v>
      </c>
      <c r="S3451" s="132" t="str">
        <f>LEFT(base[[#This Row],[Evento / Mercado]],FIND("/",base[[#This Row],[Evento / Mercado]])-2)</f>
        <v>CF Montreal vs Inter Miami CF</v>
      </c>
    </row>
    <row r="3452" spans="2:19" ht="15" customHeight="1">
      <c r="B3452" s="128" t="s">
        <v>3389</v>
      </c>
      <c r="C3452" s="128" t="s">
        <v>2982</v>
      </c>
      <c r="D3452" s="129">
        <v>46228.938993055555</v>
      </c>
      <c r="E3452" s="130">
        <v>3.28</v>
      </c>
      <c r="F3452" s="136">
        <v>4.4999999999999998E-2</v>
      </c>
      <c r="G3452" s="126">
        <f t="shared" si="77"/>
        <v>3.4345549738219896</v>
      </c>
      <c r="H3452" s="126" t="s">
        <v>1339</v>
      </c>
      <c r="I3452" s="127" t="s">
        <v>1430</v>
      </c>
      <c r="J3452" s="126">
        <v>36</v>
      </c>
      <c r="K3452" s="126">
        <v>120.05</v>
      </c>
      <c r="L3452" s="129">
        <f>INT(base[[#This Row],[Data de liquidação]])</f>
        <v>46228</v>
      </c>
      <c r="M3452" s="126">
        <f>base[[#This Row],[L/P Bruto]]-base[[#This Row],[L/P Líquido]]</f>
        <v>0.15455497382198979</v>
      </c>
      <c r="N3452" s="126">
        <f>base[[#This Row],[L/P Líquido]]/base[[#This Row],[Stake/Responsabilidade]]</f>
        <v>2.7321949187838399E-2</v>
      </c>
      <c r="O3452" s="132">
        <f>IF(base[[#This Row],[L/P Líquido]]&gt;0,1,0)</f>
        <v>1</v>
      </c>
      <c r="P3452" s="132"/>
      <c r="Q3452" s="132" t="str">
        <f>LEFT(base[[#This Row],[Evento / Mercado]],FIND("vs",base[[#This Row],[Evento / Mercado]])-2)</f>
        <v>Philadelphia Union</v>
      </c>
      <c r="R345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Seattle Sounders</v>
      </c>
      <c r="S3452" s="132" t="str">
        <f>LEFT(base[[#This Row],[Evento / Mercado]],FIND("/",base[[#This Row],[Evento / Mercado]])-2)</f>
        <v>Philadelphia Union vs Seattle Sounders</v>
      </c>
    </row>
    <row r="3453" spans="2:19" ht="15" customHeight="1">
      <c r="B3453" s="128" t="s">
        <v>3388</v>
      </c>
      <c r="C3453" s="128" t="s">
        <v>2982</v>
      </c>
      <c r="D3453" s="129">
        <v>46228.94158564815</v>
      </c>
      <c r="E3453" s="130">
        <v>-42.86</v>
      </c>
      <c r="F3453" s="136">
        <v>4.4999999999999998E-2</v>
      </c>
      <c r="G3453" s="126">
        <f t="shared" si="77"/>
        <v>-42.86</v>
      </c>
      <c r="H3453" s="126" t="s">
        <v>2743</v>
      </c>
      <c r="I3453" s="127" t="s">
        <v>2744</v>
      </c>
      <c r="J3453" s="126">
        <v>8</v>
      </c>
      <c r="K3453" s="126">
        <v>42.86</v>
      </c>
      <c r="L3453" s="129">
        <f>INT(base[[#This Row],[Data de liquidação]])</f>
        <v>46228</v>
      </c>
      <c r="M3453" s="126">
        <f>base[[#This Row],[L/P Bruto]]-base[[#This Row],[L/P Líquido]]</f>
        <v>0</v>
      </c>
      <c r="N3453" s="126">
        <f>base[[#This Row],[L/P Líquido]]/base[[#This Row],[Stake/Responsabilidade]]</f>
        <v>-1</v>
      </c>
      <c r="O3453" s="132">
        <f>IF(base[[#This Row],[L/P Líquido]]&gt;0,1,0)</f>
        <v>0</v>
      </c>
      <c r="P3453" s="132"/>
      <c r="Q3453" s="132" t="str">
        <f>LEFT(base[[#This Row],[Evento / Mercado]],FIND("vs",base[[#This Row],[Evento / Mercado]])-2)</f>
        <v>New England Revolution</v>
      </c>
      <c r="R345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3453" s="132" t="str">
        <f>LEFT(base[[#This Row],[Evento / Mercado]],FIND("/",base[[#This Row],[Evento / Mercado]])-2)</f>
        <v>New England Revolution vs Atlanta United FC</v>
      </c>
    </row>
    <row r="3454" spans="2:19" ht="15" customHeight="1">
      <c r="B3454" s="128" t="s">
        <v>3387</v>
      </c>
      <c r="C3454" s="128" t="s">
        <v>2982</v>
      </c>
      <c r="D3454" s="129">
        <v>46228.941759259258</v>
      </c>
      <c r="E3454" s="130">
        <v>58.46</v>
      </c>
      <c r="F3454" s="136">
        <v>4.4999999999999998E-2</v>
      </c>
      <c r="G3454" s="126">
        <f t="shared" si="77"/>
        <v>61.214659685863879</v>
      </c>
      <c r="H3454" s="126" t="s">
        <v>2743</v>
      </c>
      <c r="I3454" s="127" t="s">
        <v>1233</v>
      </c>
      <c r="J3454" s="126">
        <v>3.85</v>
      </c>
      <c r="K3454" s="126">
        <v>299.99</v>
      </c>
      <c r="L3454" s="129">
        <f>INT(base[[#This Row],[Data de liquidação]])</f>
        <v>46228</v>
      </c>
      <c r="M3454" s="126">
        <f>base[[#This Row],[L/P Bruto]]-base[[#This Row],[L/P Líquido]]</f>
        <v>2.7546596858638779</v>
      </c>
      <c r="N3454" s="126">
        <f>base[[#This Row],[L/P Líquido]]/base[[#This Row],[Stake/Responsabilidade]]</f>
        <v>0.19487316243874794</v>
      </c>
      <c r="O3454" s="132">
        <f>IF(base[[#This Row],[L/P Líquido]]&gt;0,1,0)</f>
        <v>1</v>
      </c>
      <c r="P3454" s="132"/>
      <c r="Q3454" s="132" t="str">
        <f>LEFT(base[[#This Row],[Evento / Mercado]],FIND("vs",base[[#This Row],[Evento / Mercado]])-2)</f>
        <v>New England Revolution</v>
      </c>
      <c r="R345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3454" s="132" t="str">
        <f>LEFT(base[[#This Row],[Evento / Mercado]],FIND("/",base[[#This Row],[Evento / Mercado]])-2)</f>
        <v>New England Revolution vs Atlanta United FC</v>
      </c>
    </row>
    <row r="3455" spans="2:19" ht="15" customHeight="1">
      <c r="B3455" s="128" t="s">
        <v>3386</v>
      </c>
      <c r="C3455" s="128" t="s">
        <v>2982</v>
      </c>
      <c r="D3455" s="129">
        <v>46228.945891203701</v>
      </c>
      <c r="E3455" s="130">
        <v>9.17</v>
      </c>
      <c r="F3455" s="136">
        <v>4.4999999999999998E-2</v>
      </c>
      <c r="G3455" s="126">
        <f t="shared" si="77"/>
        <v>9.6020942408376975</v>
      </c>
      <c r="H3455" s="126" t="s">
        <v>1339</v>
      </c>
      <c r="I3455" s="127" t="s">
        <v>1430</v>
      </c>
      <c r="J3455" s="126">
        <v>13.29</v>
      </c>
      <c r="K3455" s="126">
        <v>117.98</v>
      </c>
      <c r="L3455" s="129">
        <f>INT(base[[#This Row],[Data de liquidação]])</f>
        <v>46228</v>
      </c>
      <c r="M3455" s="126">
        <f>base[[#This Row],[L/P Bruto]]-base[[#This Row],[L/P Líquido]]</f>
        <v>0.43209424083769754</v>
      </c>
      <c r="N3455" s="126">
        <f>base[[#This Row],[L/P Líquido]]/base[[#This Row],[Stake/Responsabilidade]]</f>
        <v>7.7725038142057973E-2</v>
      </c>
      <c r="O3455" s="132">
        <f>IF(base[[#This Row],[L/P Líquido]]&gt;0,1,0)</f>
        <v>1</v>
      </c>
      <c r="P3455" s="132"/>
      <c r="Q3455" s="132" t="str">
        <f>LEFT(base[[#This Row],[Evento / Mercado]],FIND("vs",base[[#This Row],[Evento / Mercado]])-2)</f>
        <v>DC United</v>
      </c>
      <c r="R345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3455" s="132" t="str">
        <f>LEFT(base[[#This Row],[Evento / Mercado]],FIND("/",base[[#This Row],[Evento / Mercado]])-2)</f>
        <v>DC United vs Toronto FC</v>
      </c>
    </row>
    <row r="3456" spans="2:19" ht="15" customHeight="1">
      <c r="B3456" s="128" t="s">
        <v>3385</v>
      </c>
      <c r="C3456" s="128" t="s">
        <v>2982</v>
      </c>
      <c r="D3456" s="129">
        <v>46228.945983796293</v>
      </c>
      <c r="E3456" s="130">
        <v>5.83</v>
      </c>
      <c r="F3456" s="136">
        <v>4.4999999999999998E-2</v>
      </c>
      <c r="G3456" s="126">
        <f t="shared" si="77"/>
        <v>6.1047120418848166</v>
      </c>
      <c r="H3456" s="126" t="s">
        <v>1339</v>
      </c>
      <c r="I3456" s="127" t="s">
        <v>2469</v>
      </c>
      <c r="J3456" s="126">
        <v>9.1999999999999993</v>
      </c>
      <c r="K3456" s="126">
        <v>50.02</v>
      </c>
      <c r="L3456" s="129">
        <f>INT(base[[#This Row],[Data de liquidação]])</f>
        <v>46228</v>
      </c>
      <c r="M3456" s="126">
        <f>base[[#This Row],[L/P Bruto]]-base[[#This Row],[L/P Líquido]]</f>
        <v>0.27471204188481657</v>
      </c>
      <c r="N3456" s="126">
        <f>base[[#This Row],[L/P Líquido]]/base[[#This Row],[Stake/Responsabilidade]]</f>
        <v>0.11655337864854058</v>
      </c>
      <c r="O3456" s="132">
        <f>IF(base[[#This Row],[L/P Líquido]]&gt;0,1,0)</f>
        <v>1</v>
      </c>
      <c r="P3456" s="132"/>
      <c r="Q3456" s="132" t="str">
        <f>LEFT(base[[#This Row],[Evento / Mercado]],FIND("vs",base[[#This Row],[Evento / Mercado]])-2)</f>
        <v>CF Montreal</v>
      </c>
      <c r="R345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 Miami CF</v>
      </c>
      <c r="S3456" s="132" t="str">
        <f>LEFT(base[[#This Row],[Evento / Mercado]],FIND("/",base[[#This Row],[Evento / Mercado]])-2)</f>
        <v>CF Montreal vs Inter Miami CF</v>
      </c>
    </row>
    <row r="3457" spans="2:21" ht="15" customHeight="1">
      <c r="B3457" s="128" t="s">
        <v>3384</v>
      </c>
      <c r="C3457" s="128" t="s">
        <v>2982</v>
      </c>
      <c r="D3457" s="129">
        <v>46228.960277777776</v>
      </c>
      <c r="E3457" s="130">
        <v>-31.58</v>
      </c>
      <c r="F3457" s="136">
        <v>4.4999999999999998E-2</v>
      </c>
      <c r="G3457" s="126">
        <f t="shared" si="77"/>
        <v>-31.58</v>
      </c>
      <c r="H3457" s="126" t="s">
        <v>2743</v>
      </c>
      <c r="I3457" s="127" t="s">
        <v>2744</v>
      </c>
      <c r="J3457" s="126">
        <v>10.5</v>
      </c>
      <c r="K3457" s="126">
        <v>31.58</v>
      </c>
      <c r="L3457" s="129">
        <f>INT(base[[#This Row],[Data de liquidação]])</f>
        <v>46228</v>
      </c>
      <c r="M3457" s="126">
        <f>base[[#This Row],[L/P Bruto]]-base[[#This Row],[L/P Líquido]]</f>
        <v>0</v>
      </c>
      <c r="N3457" s="126">
        <f>base[[#This Row],[L/P Líquido]]/base[[#This Row],[Stake/Responsabilidade]]</f>
        <v>-1</v>
      </c>
      <c r="O3457" s="132">
        <f>IF(base[[#This Row],[L/P Líquido]]&gt;0,1,0)</f>
        <v>0</v>
      </c>
      <c r="P3457" s="132"/>
      <c r="Q3457" s="132" t="str">
        <f>LEFT(base[[#This Row],[Evento / Mercado]],FIND("vs",base[[#This Row],[Evento / Mercado]])-2)</f>
        <v>Universidad Católica</v>
      </c>
      <c r="R345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 Serena</v>
      </c>
      <c r="S3457" s="132" t="str">
        <f>LEFT(base[[#This Row],[Evento / Mercado]],FIND("/",base[[#This Row],[Evento / Mercado]])-2)</f>
        <v>Universidad Católica vs La Serena</v>
      </c>
    </row>
    <row r="3458" spans="2:21" ht="15" customHeight="1">
      <c r="B3458" s="128" t="s">
        <v>3383</v>
      </c>
      <c r="C3458" s="128" t="s">
        <v>2982</v>
      </c>
      <c r="D3458" s="129">
        <v>46228.960439814815</v>
      </c>
      <c r="E3458" s="130">
        <v>40.22</v>
      </c>
      <c r="F3458" s="136">
        <v>4.4999999999999998E-2</v>
      </c>
      <c r="G3458" s="126">
        <f t="shared" si="77"/>
        <v>42.1151832460733</v>
      </c>
      <c r="H3458" s="126" t="s">
        <v>2743</v>
      </c>
      <c r="I3458" s="127" t="s">
        <v>1233</v>
      </c>
      <c r="J3458" s="126">
        <v>5.2</v>
      </c>
      <c r="K3458" s="126">
        <v>300.01</v>
      </c>
      <c r="L3458" s="129">
        <f>INT(base[[#This Row],[Data de liquidação]])</f>
        <v>46228</v>
      </c>
      <c r="M3458" s="126">
        <f>base[[#This Row],[L/P Bruto]]-base[[#This Row],[L/P Líquido]]</f>
        <v>1.8951832460733016</v>
      </c>
      <c r="N3458" s="126">
        <f>base[[#This Row],[L/P Líquido]]/base[[#This Row],[Stake/Responsabilidade]]</f>
        <v>0.13406219792673577</v>
      </c>
      <c r="O3458" s="132">
        <f>IF(base[[#This Row],[L/P Líquido]]&gt;0,1,0)</f>
        <v>1</v>
      </c>
      <c r="P3458" s="132"/>
      <c r="Q3458" s="132" t="str">
        <f>LEFT(base[[#This Row],[Evento / Mercado]],FIND("vs",base[[#This Row],[Evento / Mercado]])-2)</f>
        <v>Universidad Católica</v>
      </c>
      <c r="R345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 Serena</v>
      </c>
      <c r="S3458" s="132" t="str">
        <f>LEFT(base[[#This Row],[Evento / Mercado]],FIND("/",base[[#This Row],[Evento / Mercado]])-2)</f>
        <v>Universidad Católica vs La Serena</v>
      </c>
    </row>
    <row r="3459" spans="2:21" ht="15" customHeight="1">
      <c r="B3459" s="128" t="s">
        <v>3383</v>
      </c>
      <c r="C3459" s="128" t="s">
        <v>2981</v>
      </c>
      <c r="D3459" s="129">
        <v>46228.960439814815</v>
      </c>
      <c r="E3459" s="130">
        <v>8.3800000000000008</v>
      </c>
      <c r="F3459" s="136">
        <v>4.4999999999999998E-2</v>
      </c>
      <c r="G3459" s="126">
        <f t="shared" ref="G3459:G3522" si="78">IF(E3459&gt;0,E3459/(1-F3459),E3459)</f>
        <v>8.7748691099476446</v>
      </c>
      <c r="H3459" s="126" t="s">
        <v>2817</v>
      </c>
      <c r="I3459" s="127" t="s">
        <v>2992</v>
      </c>
      <c r="J3459" s="126">
        <v>8.1999999999999993</v>
      </c>
      <c r="K3459" s="126">
        <v>100.01</v>
      </c>
      <c r="L3459" s="129">
        <f>INT(base[[#This Row],[Data de liquidação]])</f>
        <v>46228</v>
      </c>
      <c r="M3459" s="126">
        <f>base[[#This Row],[L/P Bruto]]-base[[#This Row],[L/P Líquido]]</f>
        <v>0.39486910994764379</v>
      </c>
      <c r="N3459" s="126">
        <f>base[[#This Row],[L/P Líquido]]/base[[#This Row],[Stake/Responsabilidade]]</f>
        <v>8.3791620837916206E-2</v>
      </c>
      <c r="O3459" s="132">
        <f>IF(base[[#This Row],[L/P Líquido]]&gt;0,1,0)</f>
        <v>1</v>
      </c>
      <c r="P3459" s="132"/>
      <c r="Q3459" s="132" t="str">
        <f>LEFT(base[[#This Row],[Evento / Mercado]],FIND("vs",base[[#This Row],[Evento / Mercado]])-2)</f>
        <v>Universidad Católica</v>
      </c>
      <c r="R345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 Serena</v>
      </c>
      <c r="S3459" s="132" t="str">
        <f>LEFT(base[[#This Row],[Evento / Mercado]],FIND("/",base[[#This Row],[Evento / Mercado]])-2)</f>
        <v>Universidad Católica vs La Serena</v>
      </c>
    </row>
    <row r="3460" spans="2:21" ht="15" customHeight="1">
      <c r="B3460" s="128" t="s">
        <v>3382</v>
      </c>
      <c r="C3460" s="128" t="s">
        <v>2982</v>
      </c>
      <c r="D3460" s="129">
        <v>46228.98265046296</v>
      </c>
      <c r="E3460" s="130">
        <v>5.97</v>
      </c>
      <c r="F3460" s="136">
        <v>4.4999999999999998E-2</v>
      </c>
      <c r="G3460" s="126">
        <f t="shared" si="78"/>
        <v>6.2513089005235605</v>
      </c>
      <c r="H3460" s="126" t="s">
        <v>1339</v>
      </c>
      <c r="I3460" s="127" t="s">
        <v>2469</v>
      </c>
      <c r="J3460" s="126">
        <v>8.6</v>
      </c>
      <c r="K3460" s="126">
        <v>47.5</v>
      </c>
      <c r="L3460" s="129">
        <f>INT(base[[#This Row],[Data de liquidação]])</f>
        <v>46228</v>
      </c>
      <c r="M3460" s="126">
        <f>base[[#This Row],[L/P Bruto]]-base[[#This Row],[L/P Líquido]]</f>
        <v>0.28130890052356072</v>
      </c>
      <c r="N3460" s="126">
        <f>base[[#This Row],[L/P Líquido]]/base[[#This Row],[Stake/Responsabilidade]]</f>
        <v>0.12568421052631579</v>
      </c>
      <c r="O3460" s="132">
        <f>IF(base[[#This Row],[L/P Líquido]]&gt;0,1,0)</f>
        <v>1</v>
      </c>
      <c r="P3460" s="132"/>
      <c r="Q3460" s="132" t="str">
        <f>LEFT(base[[#This Row],[Evento / Mercado]],FIND("vs",base[[#This Row],[Evento / Mercado]])-2)</f>
        <v>Minnesota United</v>
      </c>
      <c r="R346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3460" s="132" t="str">
        <f>LEFT(base[[#This Row],[Evento / Mercado]],FIND("/",base[[#This Row],[Evento / Mercado]])-2)</f>
        <v>Minnesota United vs Vancouver Whitecaps</v>
      </c>
    </row>
    <row r="3461" spans="2:21" ht="15" customHeight="1">
      <c r="B3461" s="128" t="s">
        <v>3381</v>
      </c>
      <c r="C3461" s="128" t="s">
        <v>2982</v>
      </c>
      <c r="D3461" s="129">
        <v>46228.983842592592</v>
      </c>
      <c r="E3461" s="130">
        <v>26.82</v>
      </c>
      <c r="F3461" s="136">
        <v>4.4999999999999998E-2</v>
      </c>
      <c r="G3461" s="126">
        <f t="shared" si="78"/>
        <v>28.083769633507856</v>
      </c>
      <c r="H3461" s="126" t="s">
        <v>3261</v>
      </c>
      <c r="I3461" s="127" t="s">
        <v>3213</v>
      </c>
      <c r="J3461" s="126">
        <v>16</v>
      </c>
      <c r="K3461" s="126">
        <v>499.95</v>
      </c>
      <c r="L3461" s="129">
        <f>INT(base[[#This Row],[Data de liquidação]])</f>
        <v>46228</v>
      </c>
      <c r="M3461" s="126">
        <f>base[[#This Row],[L/P Bruto]]-base[[#This Row],[L/P Líquido]]</f>
        <v>1.2637696335078559</v>
      </c>
      <c r="N3461" s="126">
        <f>base[[#This Row],[L/P Líquido]]/base[[#This Row],[Stake/Responsabilidade]]</f>
        <v>5.3645364536453646E-2</v>
      </c>
      <c r="O3461" s="132">
        <f>IF(base[[#This Row],[L/P Líquido]]&gt;0,1,0)</f>
        <v>1</v>
      </c>
      <c r="P3461" s="132"/>
      <c r="Q3461" s="132" t="str">
        <f>LEFT(base[[#This Row],[Evento / Mercado]],FIND("vs",base[[#This Row],[Evento / Mercado]])-2)</f>
        <v>Saint Louis City SC</v>
      </c>
      <c r="R346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Colorado Rapids</v>
      </c>
      <c r="S3461" s="132" t="str">
        <f>LEFT(base[[#This Row],[Evento / Mercado]],FIND("/",base[[#This Row],[Evento / Mercado]])-2)</f>
        <v>Saint Louis City SC vs Colorado Rapids</v>
      </c>
    </row>
    <row r="3462" spans="2:21" ht="15" customHeight="1">
      <c r="B3462" s="128" t="s">
        <v>3381</v>
      </c>
      <c r="C3462" s="128" t="s">
        <v>2981</v>
      </c>
      <c r="D3462" s="129">
        <v>46228.983842592592</v>
      </c>
      <c r="E3462" s="130">
        <v>17.670000000000002</v>
      </c>
      <c r="F3462" s="136">
        <v>4.4999999999999998E-2</v>
      </c>
      <c r="G3462" s="126">
        <f t="shared" si="78"/>
        <v>18.502617801047123</v>
      </c>
      <c r="H3462" s="126" t="s">
        <v>2821</v>
      </c>
      <c r="I3462" s="127" t="s">
        <v>476</v>
      </c>
      <c r="J3462" s="126">
        <v>17.5</v>
      </c>
      <c r="K3462" s="126">
        <v>299.87</v>
      </c>
      <c r="L3462" s="129">
        <f>INT(base[[#This Row],[Data de liquidação]])</f>
        <v>46228</v>
      </c>
      <c r="M3462" s="126">
        <f>base[[#This Row],[L/P Bruto]]-base[[#This Row],[L/P Líquido]]</f>
        <v>0.83261780104712102</v>
      </c>
      <c r="N3462" s="126">
        <f>base[[#This Row],[L/P Líquido]]/base[[#This Row],[Stake/Responsabilidade]]</f>
        <v>5.8925534398239242E-2</v>
      </c>
      <c r="O3462" s="132">
        <f>IF(base[[#This Row],[L/P Líquido]]&gt;0,1,0)</f>
        <v>1</v>
      </c>
      <c r="P3462" s="132"/>
      <c r="Q3462" s="132" t="str">
        <f>LEFT(base[[#This Row],[Evento / Mercado]],FIND("vs",base[[#This Row],[Evento / Mercado]])-2)</f>
        <v>Saint Louis City SC</v>
      </c>
      <c r="R346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Colorado Rapids</v>
      </c>
      <c r="S3462" s="132" t="str">
        <f>LEFT(base[[#This Row],[Evento / Mercado]],FIND("/",base[[#This Row],[Evento / Mercado]])-2)</f>
        <v>Saint Louis City SC vs Colorado Rapids</v>
      </c>
    </row>
    <row r="3463" spans="2:21" ht="15" customHeight="1">
      <c r="B3463" s="128" t="s">
        <v>3462</v>
      </c>
      <c r="C3463" s="128" t="s">
        <v>2982</v>
      </c>
      <c r="D3463" s="129">
        <v>46229.025393518517</v>
      </c>
      <c r="E3463" s="130">
        <v>2.7504</v>
      </c>
      <c r="F3463" s="136">
        <v>4.4999999999999998E-2</v>
      </c>
      <c r="G3463" s="126">
        <f t="shared" si="78"/>
        <v>2.88</v>
      </c>
      <c r="H3463" s="126" t="s">
        <v>1339</v>
      </c>
      <c r="I3463" s="127" t="s">
        <v>1391</v>
      </c>
      <c r="J3463" s="126">
        <v>3.85</v>
      </c>
      <c r="K3463" s="126">
        <v>30.01</v>
      </c>
      <c r="L3463" s="129">
        <f>INT(base[[#This Row],[Data de liquidação]])</f>
        <v>46229</v>
      </c>
      <c r="M3463" s="126">
        <f>base[[#This Row],[L/P Bruto]]-base[[#This Row],[L/P Líquido]]</f>
        <v>0.12959999999999994</v>
      </c>
      <c r="N3463" s="126">
        <f>base[[#This Row],[L/P Líquido]]/base[[#This Row],[Stake/Responsabilidade]]</f>
        <v>9.1649450183272238E-2</v>
      </c>
      <c r="O3463" s="132">
        <f>IF(base[[#This Row],[L/P Líquido]]&gt;0,1,0)</f>
        <v>1</v>
      </c>
      <c r="P3463" s="132"/>
      <c r="Q3463" s="132" t="str">
        <f>LEFT(base[[#This Row],[Evento / Mercado]],FIND("vs",base[[#This Row],[Evento / Mercado]])-2)</f>
        <v>San Diego FC</v>
      </c>
      <c r="R346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Dallas</v>
      </c>
      <c r="S3463" s="132" t="str">
        <f>LEFT(base[[#This Row],[Evento / Mercado]],FIND("/",base[[#This Row],[Evento / Mercado]])-2)</f>
        <v>San Diego FC vs FC Dallas</v>
      </c>
      <c r="T3463" s="8">
        <v>2.88</v>
      </c>
      <c r="U3463" s="9">
        <f t="shared" ref="U3463:U3464" si="79">T3463*0.955</f>
        <v>2.7504</v>
      </c>
    </row>
    <row r="3464" spans="2:21" ht="15" customHeight="1">
      <c r="B3464" s="128" t="s">
        <v>3462</v>
      </c>
      <c r="C3464" s="128" t="s">
        <v>2982</v>
      </c>
      <c r="D3464" s="129">
        <v>46229.025393518517</v>
      </c>
      <c r="E3464" s="130">
        <v>4.5839999999999996</v>
      </c>
      <c r="F3464" s="136">
        <v>4.4999999999999998E-2</v>
      </c>
      <c r="G3464" s="126">
        <f t="shared" si="78"/>
        <v>4.8</v>
      </c>
      <c r="H3464" s="126" t="s">
        <v>1339</v>
      </c>
      <c r="I3464" s="127" t="s">
        <v>1430</v>
      </c>
      <c r="J3464" s="126">
        <v>28</v>
      </c>
      <c r="K3464" s="126">
        <v>129.6</v>
      </c>
      <c r="L3464" s="129">
        <f>INT(base[[#This Row],[Data de liquidação]])</f>
        <v>46229</v>
      </c>
      <c r="M3464" s="126">
        <f>base[[#This Row],[L/P Bruto]]-base[[#This Row],[L/P Líquido]]</f>
        <v>0.21600000000000019</v>
      </c>
      <c r="N3464" s="126">
        <f>base[[#This Row],[L/P Líquido]]/base[[#This Row],[Stake/Responsabilidade]]</f>
        <v>3.5370370370370371E-2</v>
      </c>
      <c r="O3464" s="132">
        <f>IF(base[[#This Row],[L/P Líquido]]&gt;0,1,0)</f>
        <v>1</v>
      </c>
      <c r="P3464" s="132"/>
      <c r="Q3464" s="132" t="str">
        <f>LEFT(base[[#This Row],[Evento / Mercado]],FIND("vs",base[[#This Row],[Evento / Mercado]])-2)</f>
        <v>San Diego FC</v>
      </c>
      <c r="R346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Dallas</v>
      </c>
      <c r="S3464" s="132" t="str">
        <f>LEFT(base[[#This Row],[Evento / Mercado]],FIND("/",base[[#This Row],[Evento / Mercado]])-2)</f>
        <v>San Diego FC vs FC Dallas</v>
      </c>
      <c r="T3464" s="8">
        <v>4.8</v>
      </c>
      <c r="U3464" s="9">
        <f t="shared" si="79"/>
        <v>4.5839999999999996</v>
      </c>
    </row>
    <row r="3465" spans="2:21" ht="15" customHeight="1">
      <c r="B3465" s="128" t="s">
        <v>3461</v>
      </c>
      <c r="C3465" s="128" t="s">
        <v>2982</v>
      </c>
      <c r="D3465" s="129">
        <v>46229.067256944443</v>
      </c>
      <c r="E3465" s="130">
        <v>28.65</v>
      </c>
      <c r="F3465" s="136">
        <v>4.4999999999999998E-2</v>
      </c>
      <c r="G3465" s="126">
        <f t="shared" si="78"/>
        <v>30</v>
      </c>
      <c r="H3465" s="126" t="s">
        <v>145</v>
      </c>
      <c r="I3465" s="127" t="s">
        <v>301</v>
      </c>
      <c r="J3465" s="126">
        <v>11</v>
      </c>
      <c r="K3465" s="126">
        <v>300</v>
      </c>
      <c r="L3465" s="129">
        <f>INT(base[[#This Row],[Data de liquidação]])</f>
        <v>46229</v>
      </c>
      <c r="M3465" s="126">
        <f>base[[#This Row],[L/P Bruto]]-base[[#This Row],[L/P Líquido]]</f>
        <v>1.3500000000000014</v>
      </c>
      <c r="N3465" s="126">
        <f>base[[#This Row],[L/P Líquido]]/base[[#This Row],[Stake/Responsabilidade]]</f>
        <v>9.5500000000000002E-2</v>
      </c>
      <c r="O3465" s="132">
        <f>IF(base[[#This Row],[L/P Líquido]]&gt;0,1,0)</f>
        <v>1</v>
      </c>
      <c r="P3465" s="132"/>
      <c r="Q3465" s="132" t="str">
        <f>LEFT(base[[#This Row],[Evento / Mercado]],FIND("vs",base[[#This Row],[Evento / Mercado]])-2)</f>
        <v>Los Angeles FC</v>
      </c>
      <c r="R346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Kansas City</v>
      </c>
      <c r="S3465" s="132" t="str">
        <f>LEFT(base[[#This Row],[Evento / Mercado]],FIND("/",base[[#This Row],[Evento / Mercado]])-2)</f>
        <v>Los Angeles FC vs Sporting Kansas City</v>
      </c>
      <c r="U3465" s="9"/>
    </row>
    <row r="3466" spans="2:21" ht="15" customHeight="1">
      <c r="B3466" s="128" t="s">
        <v>3460</v>
      </c>
      <c r="C3466" s="128" t="s">
        <v>2982</v>
      </c>
      <c r="D3466" s="129">
        <v>46229.068148148152</v>
      </c>
      <c r="E3466" s="130">
        <v>14.46</v>
      </c>
      <c r="F3466" s="136">
        <v>4.4999999999999998E-2</v>
      </c>
      <c r="G3466" s="126">
        <f t="shared" si="78"/>
        <v>15.141361256544505</v>
      </c>
      <c r="H3466" s="126" t="s">
        <v>2821</v>
      </c>
      <c r="I3466" s="127" t="s">
        <v>476</v>
      </c>
      <c r="J3466" s="126">
        <v>22</v>
      </c>
      <c r="K3466" s="126">
        <v>317.94</v>
      </c>
      <c r="L3466" s="129">
        <f>INT(base[[#This Row],[Data de liquidação]])</f>
        <v>46229</v>
      </c>
      <c r="M3466" s="126">
        <f>base[[#This Row],[L/P Bruto]]-base[[#This Row],[L/P Líquido]]</f>
        <v>0.68136125654450375</v>
      </c>
      <c r="N3466" s="126">
        <f>base[[#This Row],[L/P Líquido]]/base[[#This Row],[Stake/Responsabilidade]]</f>
        <v>4.5480279297980757E-2</v>
      </c>
      <c r="O3466" s="132">
        <f>IF(base[[#This Row],[L/P Líquido]]&gt;0,1,0)</f>
        <v>1</v>
      </c>
      <c r="P3466" s="132"/>
      <c r="Q3466" s="132" t="str">
        <f>LEFT(base[[#This Row],[Evento / Mercado]],FIND("vs",base[[#This Row],[Evento / Mercado]])-2)</f>
        <v>San Jose Earthquakes</v>
      </c>
      <c r="R346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Galaxy</v>
      </c>
      <c r="S3466" s="132" t="str">
        <f>LEFT(base[[#This Row],[Evento / Mercado]],FIND("/",base[[#This Row],[Evento / Mercado]])-2)</f>
        <v>San Jose Earthquakes vs Los Angeles Galaxy</v>
      </c>
    </row>
    <row r="3467" spans="2:21" ht="15" customHeight="1">
      <c r="B3467" s="128" t="s">
        <v>3460</v>
      </c>
      <c r="C3467" s="128" t="s">
        <v>2981</v>
      </c>
      <c r="D3467" s="129">
        <v>46229.068148148152</v>
      </c>
      <c r="E3467" s="130">
        <v>-53.16</v>
      </c>
      <c r="F3467" s="136">
        <v>4.4999999999999998E-2</v>
      </c>
      <c r="G3467" s="126">
        <f t="shared" si="78"/>
        <v>-53.16</v>
      </c>
      <c r="H3467" s="126" t="s">
        <v>3261</v>
      </c>
      <c r="I3467" s="127" t="s">
        <v>476</v>
      </c>
      <c r="J3467" s="126">
        <v>22</v>
      </c>
      <c r="K3467" s="126">
        <v>500.01</v>
      </c>
      <c r="L3467" s="129">
        <f>INT(base[[#This Row],[Data de liquidação]])</f>
        <v>46229</v>
      </c>
      <c r="M3467" s="126">
        <f>base[[#This Row],[L/P Bruto]]-base[[#This Row],[L/P Líquido]]</f>
        <v>0</v>
      </c>
      <c r="N3467" s="126">
        <f>base[[#This Row],[L/P Líquido]]/base[[#This Row],[Stake/Responsabilidade]]</f>
        <v>-0.10631787364252715</v>
      </c>
      <c r="O3467" s="132">
        <f>IF(base[[#This Row],[L/P Líquido]]&gt;0,1,0)</f>
        <v>0</v>
      </c>
      <c r="P3467" s="132"/>
      <c r="Q3467" s="132" t="str">
        <f>LEFT(base[[#This Row],[Evento / Mercado]],FIND("vs",base[[#This Row],[Evento / Mercado]])-2)</f>
        <v>San Jose Earthquakes</v>
      </c>
      <c r="R346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Galaxy</v>
      </c>
      <c r="S3467" s="132" t="str">
        <f>LEFT(base[[#This Row],[Evento / Mercado]],FIND("/",base[[#This Row],[Evento / Mercado]])-2)</f>
        <v>San Jose Earthquakes vs Los Angeles Galaxy</v>
      </c>
    </row>
    <row r="3468" spans="2:21" ht="15" customHeight="1">
      <c r="B3468" s="128" t="s">
        <v>3459</v>
      </c>
      <c r="C3468" s="128" t="s">
        <v>2982</v>
      </c>
      <c r="D3468" s="129">
        <v>46229.356828703705</v>
      </c>
      <c r="E3468" s="130">
        <v>3.36</v>
      </c>
      <c r="F3468" s="136">
        <v>4.4999999999999998E-2</v>
      </c>
      <c r="G3468" s="126">
        <f t="shared" si="78"/>
        <v>3.5183246073298431</v>
      </c>
      <c r="H3468" s="126" t="s">
        <v>1339</v>
      </c>
      <c r="I3468" s="127" t="s">
        <v>2404</v>
      </c>
      <c r="J3468" s="126">
        <v>1.7</v>
      </c>
      <c r="K3468" s="126">
        <v>5</v>
      </c>
      <c r="L3468" s="129">
        <f>INT(base[[#This Row],[Data de liquidação]])</f>
        <v>46229</v>
      </c>
      <c r="M3468" s="126">
        <f>base[[#This Row],[L/P Bruto]]-base[[#This Row],[L/P Líquido]]</f>
        <v>0.15832460732984321</v>
      </c>
      <c r="N3468" s="126">
        <f>base[[#This Row],[L/P Líquido]]/base[[#This Row],[Stake/Responsabilidade]]</f>
        <v>0.67199999999999993</v>
      </c>
      <c r="O3468" s="132">
        <f>IF(base[[#This Row],[L/P Líquido]]&gt;0,1,0)</f>
        <v>1</v>
      </c>
      <c r="P3468" s="132"/>
      <c r="Q3468" s="132" t="str">
        <f>LEFT(base[[#This Row],[Evento / Mercado]],FIND("vs",base[[#This Row],[Evento / Mercado]])-2)</f>
        <v>GIF Sundsvall</v>
      </c>
      <c r="R346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Falkenbergs FF</v>
      </c>
      <c r="S3468" s="132" t="str">
        <f>LEFT(base[[#This Row],[Evento / Mercado]],FIND("/",base[[#This Row],[Evento / Mercado]])-2)</f>
        <v>GIF Sundsvall vs Falkenbergs FF</v>
      </c>
    </row>
    <row r="3469" spans="2:21" ht="15" customHeight="1">
      <c r="B3469" s="128" t="s">
        <v>3458</v>
      </c>
      <c r="C3469" s="128" t="s">
        <v>2982</v>
      </c>
      <c r="D3469" s="129">
        <v>46229.409594907411</v>
      </c>
      <c r="E3469" s="130">
        <v>0.75</v>
      </c>
      <c r="F3469" s="136">
        <v>4.4999999999999998E-2</v>
      </c>
      <c r="G3469" s="126">
        <f t="shared" si="78"/>
        <v>0.78534031413612571</v>
      </c>
      <c r="H3469" s="126" t="s">
        <v>1339</v>
      </c>
      <c r="I3469" s="127" t="s">
        <v>2820</v>
      </c>
      <c r="J3469" s="126">
        <v>1.39</v>
      </c>
      <c r="K3469" s="126">
        <v>2</v>
      </c>
      <c r="L3469" s="129">
        <f>INT(base[[#This Row],[Data de liquidação]])</f>
        <v>46229</v>
      </c>
      <c r="M3469" s="126">
        <f>base[[#This Row],[L/P Bruto]]-base[[#This Row],[L/P Líquido]]</f>
        <v>3.5340314136125706E-2</v>
      </c>
      <c r="N3469" s="126">
        <f>base[[#This Row],[L/P Líquido]]/base[[#This Row],[Stake/Responsabilidade]]</f>
        <v>0.375</v>
      </c>
      <c r="O3469" s="132">
        <f>IF(base[[#This Row],[L/P Líquido]]&gt;0,1,0)</f>
        <v>1</v>
      </c>
      <c r="P3469" s="132"/>
      <c r="Q3469" s="132" t="str">
        <f>LEFT(base[[#This Row],[Evento / Mercado]],FIND("vs",base[[#This Row],[Evento / Mercado]])-2)</f>
        <v>Shandong Taishan</v>
      </c>
      <c r="R346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Henan Songshan Longmen</v>
      </c>
      <c r="S3469" s="132" t="str">
        <f>LEFT(base[[#This Row],[Evento / Mercado]],FIND("/",base[[#This Row],[Evento / Mercado]])-2)</f>
        <v>Shandong Taishan vs Henan Songshan Longmen</v>
      </c>
    </row>
    <row r="3470" spans="2:21" ht="15" customHeight="1">
      <c r="B3470" s="128" t="s">
        <v>3455</v>
      </c>
      <c r="C3470" s="128" t="s">
        <v>2980</v>
      </c>
      <c r="D3470" s="129">
        <v>46229.450694444444</v>
      </c>
      <c r="E3470" s="130">
        <v>10.61</v>
      </c>
      <c r="F3470" s="136">
        <v>4.4999999999999998E-2</v>
      </c>
      <c r="G3470" s="126">
        <f t="shared" si="78"/>
        <v>11.109947643979057</v>
      </c>
      <c r="H3470" s="126" t="s">
        <v>2817</v>
      </c>
      <c r="I3470" s="127" t="s">
        <v>2992</v>
      </c>
      <c r="J3470" s="126">
        <v>6.4</v>
      </c>
      <c r="K3470" s="126">
        <v>100.01</v>
      </c>
      <c r="L3470" s="129">
        <f>INT(base[[#This Row],[Data de liquidação]])</f>
        <v>46229</v>
      </c>
      <c r="M3470" s="126">
        <f>base[[#This Row],[L/P Bruto]]-base[[#This Row],[L/P Líquido]]</f>
        <v>0.49994764397905733</v>
      </c>
      <c r="N3470" s="126">
        <f>base[[#This Row],[L/P Líquido]]/base[[#This Row],[Stake/Responsabilidade]]</f>
        <v>0.10608939106089391</v>
      </c>
      <c r="O3470" s="132">
        <f>IF(base[[#This Row],[L/P Líquido]]&gt;0,1,0)</f>
        <v>1</v>
      </c>
      <c r="P3470" s="132"/>
      <c r="Q3470" s="132" t="str">
        <f>LEFT(base[[#This Row],[Evento / Mercado]],FIND("vs",base[[#This Row],[Evento / Mercado]])-2)</f>
        <v>IK Sirius</v>
      </c>
      <c r="R347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470" s="132" t="str">
        <f>LEFT(base[[#This Row],[Evento / Mercado]],FIND("/",base[[#This Row],[Evento / Mercado]])-2)</f>
        <v>IK Sirius vs IFK Göteborg</v>
      </c>
    </row>
    <row r="3471" spans="2:21" ht="15" customHeight="1">
      <c r="B3471" s="128" t="s">
        <v>3456</v>
      </c>
      <c r="C3471" s="128" t="s">
        <v>2982</v>
      </c>
      <c r="D3471" s="129">
        <v>46229.451238425929</v>
      </c>
      <c r="E3471" s="130">
        <v>23.88</v>
      </c>
      <c r="F3471" s="136">
        <v>4.4999999999999998E-2</v>
      </c>
      <c r="G3471" s="126">
        <f t="shared" si="78"/>
        <v>25.005235602094242</v>
      </c>
      <c r="H3471" s="126" t="s">
        <v>2761</v>
      </c>
      <c r="I3471" s="127" t="s">
        <v>542</v>
      </c>
      <c r="J3471" s="126">
        <v>17</v>
      </c>
      <c r="K3471" s="126">
        <v>400</v>
      </c>
      <c r="L3471" s="129">
        <f>INT(base[[#This Row],[Data de liquidação]])</f>
        <v>46229</v>
      </c>
      <c r="M3471" s="126">
        <f>base[[#This Row],[L/P Bruto]]-base[[#This Row],[L/P Líquido]]</f>
        <v>1.1252356020942429</v>
      </c>
      <c r="N3471" s="126">
        <f>base[[#This Row],[L/P Líquido]]/base[[#This Row],[Stake/Responsabilidade]]</f>
        <v>5.9699999999999996E-2</v>
      </c>
      <c r="O3471" s="132">
        <f>IF(base[[#This Row],[L/P Líquido]]&gt;0,1,0)</f>
        <v>1</v>
      </c>
      <c r="P3471" s="132"/>
      <c r="Q3471" s="132" t="str">
        <f>LEFT(base[[#This Row],[Evento / Mercado]],FIND("vs",base[[#This Row],[Evento / Mercado]])-2)</f>
        <v>IF Brommapojkarna</v>
      </c>
      <c r="R347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Hammarby IF</v>
      </c>
      <c r="S3471" s="132" t="str">
        <f>LEFT(base[[#This Row],[Evento / Mercado]],FIND("/",base[[#This Row],[Evento / Mercado]])-2)</f>
        <v>IF Brommapojkarna vs Hammarby IF</v>
      </c>
    </row>
    <row r="3472" spans="2:21" ht="15" customHeight="1">
      <c r="B3472" s="128" t="s">
        <v>3457</v>
      </c>
      <c r="C3472" s="128" t="s">
        <v>2982</v>
      </c>
      <c r="D3472" s="129">
        <v>46229.451238425929</v>
      </c>
      <c r="E3472" s="130">
        <v>8.17</v>
      </c>
      <c r="F3472" s="136">
        <v>4.4999999999999998E-2</v>
      </c>
      <c r="G3472" s="126">
        <f t="shared" si="78"/>
        <v>8.5549738219895293</v>
      </c>
      <c r="H3472" s="126" t="s">
        <v>2821</v>
      </c>
      <c r="I3472" s="127" t="s">
        <v>476</v>
      </c>
      <c r="J3472" s="126">
        <v>40</v>
      </c>
      <c r="K3472" s="126">
        <v>333.45</v>
      </c>
      <c r="L3472" s="129">
        <f>INT(base[[#This Row],[Data de liquidação]])</f>
        <v>46229</v>
      </c>
      <c r="M3472" s="126">
        <f>base[[#This Row],[L/P Bruto]]-base[[#This Row],[L/P Líquido]]</f>
        <v>0.38497382198952934</v>
      </c>
      <c r="N3472" s="126">
        <f>base[[#This Row],[L/P Líquido]]/base[[#This Row],[Stake/Responsabilidade]]</f>
        <v>2.4501424501424503E-2</v>
      </c>
      <c r="O3472" s="132">
        <f>IF(base[[#This Row],[L/P Líquido]]&gt;0,1,0)</f>
        <v>1</v>
      </c>
      <c r="P3472" s="132"/>
      <c r="Q3472" s="132" t="str">
        <f>LEFT(base[[#This Row],[Evento / Mercado]],FIND("vs",base[[#This Row],[Evento / Mercado]])-2)</f>
        <v>IK Sirius</v>
      </c>
      <c r="R347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472" s="132" t="str">
        <f>LEFT(base[[#This Row],[Evento / Mercado]],FIND("/",base[[#This Row],[Evento / Mercado]])-2)</f>
        <v>IK Sirius vs IFK Göteborg</v>
      </c>
    </row>
    <row r="3473" spans="2:19" ht="15" customHeight="1">
      <c r="B3473" s="128" t="s">
        <v>3457</v>
      </c>
      <c r="C3473" s="128" t="s">
        <v>2981</v>
      </c>
      <c r="D3473" s="129">
        <v>46229.451238425929</v>
      </c>
      <c r="E3473" s="130">
        <v>-27.27</v>
      </c>
      <c r="F3473" s="136">
        <v>4.4999999999999998E-2</v>
      </c>
      <c r="G3473" s="126">
        <f t="shared" si="78"/>
        <v>-27.27</v>
      </c>
      <c r="H3473" s="126" t="s">
        <v>2743</v>
      </c>
      <c r="I3473" s="127" t="s">
        <v>2744</v>
      </c>
      <c r="J3473" s="126">
        <v>12</v>
      </c>
      <c r="K3473" s="126">
        <v>27.27</v>
      </c>
      <c r="L3473" s="129">
        <f>INT(base[[#This Row],[Data de liquidação]])</f>
        <v>46229</v>
      </c>
      <c r="M3473" s="126">
        <f>base[[#This Row],[L/P Bruto]]-base[[#This Row],[L/P Líquido]]</f>
        <v>0</v>
      </c>
      <c r="N3473" s="126">
        <f>base[[#This Row],[L/P Líquido]]/base[[#This Row],[Stake/Responsabilidade]]</f>
        <v>-1</v>
      </c>
      <c r="O3473" s="132">
        <f>IF(base[[#This Row],[L/P Líquido]]&gt;0,1,0)</f>
        <v>0</v>
      </c>
      <c r="P3473" s="132"/>
      <c r="Q3473" s="132" t="str">
        <f>LEFT(base[[#This Row],[Evento / Mercado]],FIND("vs",base[[#This Row],[Evento / Mercado]])-2)</f>
        <v>IK Sirius</v>
      </c>
      <c r="R347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473" s="132" t="str">
        <f>LEFT(base[[#This Row],[Evento / Mercado]],FIND("/",base[[#This Row],[Evento / Mercado]])-2)</f>
        <v>IK Sirius vs IFK Göteborg</v>
      </c>
    </row>
    <row r="3474" spans="2:19" ht="15" customHeight="1">
      <c r="B3474" s="128" t="s">
        <v>3455</v>
      </c>
      <c r="C3474" s="128" t="s">
        <v>2982</v>
      </c>
      <c r="D3474" s="129">
        <v>46229.451365740744</v>
      </c>
      <c r="E3474" s="130">
        <v>57.73</v>
      </c>
      <c r="F3474" s="136">
        <v>4.4999999999999998E-2</v>
      </c>
      <c r="G3474" s="126">
        <f t="shared" si="78"/>
        <v>60.450261780104711</v>
      </c>
      <c r="H3474" s="126" t="s">
        <v>145</v>
      </c>
      <c r="I3474" s="127" t="s">
        <v>301</v>
      </c>
      <c r="J3474" s="126">
        <f>(6.4*229.99+6.6*100.02)/base[[#This Row],[Stake/Responsabilidade]]</f>
        <v>6.4606163449592442</v>
      </c>
      <c r="K3474" s="126">
        <f>229.99+100.02</f>
        <v>330.01</v>
      </c>
      <c r="L3474" s="129">
        <f>INT(base[[#This Row],[Data de liquidação]])</f>
        <v>46229</v>
      </c>
      <c r="M3474" s="126">
        <f>base[[#This Row],[L/P Bruto]]-base[[#This Row],[L/P Líquido]]</f>
        <v>2.720261780104714</v>
      </c>
      <c r="N3474" s="126">
        <f>base[[#This Row],[L/P Líquido]]/base[[#This Row],[Stake/Responsabilidade]]</f>
        <v>0.17493409290627557</v>
      </c>
      <c r="O3474" s="132">
        <f>IF(base[[#This Row],[L/P Líquido]]&gt;0,1,0)</f>
        <v>1</v>
      </c>
      <c r="P3474" s="132"/>
      <c r="Q3474" s="132" t="str">
        <f>LEFT(base[[#This Row],[Evento / Mercado]],FIND("vs",base[[#This Row],[Evento / Mercado]])-2)</f>
        <v>IK Sirius</v>
      </c>
      <c r="R347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474" s="132" t="str">
        <f>LEFT(base[[#This Row],[Evento / Mercado]],FIND("/",base[[#This Row],[Evento / Mercado]])-2)</f>
        <v>IK Sirius vs IFK Göteborg</v>
      </c>
    </row>
    <row r="3475" spans="2:19" ht="15" customHeight="1">
      <c r="B3475" s="128" t="s">
        <v>3455</v>
      </c>
      <c r="C3475" s="128" t="s">
        <v>2981</v>
      </c>
      <c r="D3475" s="129">
        <v>46229.451365740744</v>
      </c>
      <c r="E3475" s="130">
        <v>47.28</v>
      </c>
      <c r="F3475" s="136">
        <v>4.4999999999999998E-2</v>
      </c>
      <c r="G3475" s="126">
        <f t="shared" si="78"/>
        <v>49.507853403141361</v>
      </c>
      <c r="H3475" s="126" t="s">
        <v>2743</v>
      </c>
      <c r="I3475" s="127" t="s">
        <v>1233</v>
      </c>
      <c r="J3475" s="126">
        <v>5.3</v>
      </c>
      <c r="K3475" s="126">
        <v>300.01</v>
      </c>
      <c r="L3475" s="129">
        <f>INT(base[[#This Row],[Data de liquidação]])</f>
        <v>46229</v>
      </c>
      <c r="M3475" s="126">
        <f>base[[#This Row],[L/P Bruto]]-base[[#This Row],[L/P Líquido]]</f>
        <v>2.2278534031413599</v>
      </c>
      <c r="N3475" s="126">
        <f>base[[#This Row],[L/P Líquido]]/base[[#This Row],[Stake/Responsabilidade]]</f>
        <v>0.15759474684177194</v>
      </c>
      <c r="O3475" s="132">
        <f>IF(base[[#This Row],[L/P Líquido]]&gt;0,1,0)</f>
        <v>1</v>
      </c>
      <c r="P3475" s="132"/>
      <c r="Q3475" s="132" t="str">
        <f>LEFT(base[[#This Row],[Evento / Mercado]],FIND("vs",base[[#This Row],[Evento / Mercado]])-2)</f>
        <v>IK Sirius</v>
      </c>
      <c r="R347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475" s="132" t="str">
        <f>LEFT(base[[#This Row],[Evento / Mercado]],FIND("/",base[[#This Row],[Evento / Mercado]])-2)</f>
        <v>IK Sirius vs IFK Göteborg</v>
      </c>
    </row>
    <row r="3476" spans="2:19" ht="15" customHeight="1">
      <c r="B3476" s="128" t="s">
        <v>3454</v>
      </c>
      <c r="C3476" s="128" t="s">
        <v>2982</v>
      </c>
      <c r="D3476" s="129">
        <v>46229.454710648148</v>
      </c>
      <c r="E3476" s="130">
        <v>21.99</v>
      </c>
      <c r="F3476" s="136">
        <v>4.4999999999999998E-2</v>
      </c>
      <c r="G3476" s="126">
        <f t="shared" si="78"/>
        <v>23.026178010471202</v>
      </c>
      <c r="H3476" s="126" t="s">
        <v>2761</v>
      </c>
      <c r="I3476" s="127" t="s">
        <v>476</v>
      </c>
      <c r="J3476" s="126">
        <v>17</v>
      </c>
      <c r="K3476" s="126">
        <v>368.48</v>
      </c>
      <c r="L3476" s="129">
        <f>INT(base[[#This Row],[Data de liquidação]])</f>
        <v>46229</v>
      </c>
      <c r="M3476" s="126">
        <f>base[[#This Row],[L/P Bruto]]-base[[#This Row],[L/P Líquido]]</f>
        <v>1.0361780104712039</v>
      </c>
      <c r="N3476" s="126">
        <f>base[[#This Row],[L/P Líquido]]/base[[#This Row],[Stake/Responsabilidade]]</f>
        <v>5.9677594442032127E-2</v>
      </c>
      <c r="O3476" s="132">
        <f>IF(base[[#This Row],[L/P Líquido]]&gt;0,1,0)</f>
        <v>1</v>
      </c>
      <c r="P3476" s="132"/>
      <c r="Q3476" s="132" t="str">
        <f>LEFT(base[[#This Row],[Evento / Mercado]],FIND("vs",base[[#This Row],[Evento / Mercado]])-2)</f>
        <v>FC Inter Turku</v>
      </c>
      <c r="R347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Gnistan</v>
      </c>
      <c r="S3476" s="132" t="str">
        <f>LEFT(base[[#This Row],[Evento / Mercado]],FIND("/",base[[#This Row],[Evento / Mercado]])-2)</f>
        <v>FC Inter Turku vs IF Gnistan</v>
      </c>
    </row>
    <row r="3477" spans="2:19" ht="15" customHeight="1">
      <c r="B3477" s="128" t="s">
        <v>3453</v>
      </c>
      <c r="C3477" s="128" t="s">
        <v>2982</v>
      </c>
      <c r="D3477" s="129">
        <v>46229.476817129631</v>
      </c>
      <c r="E3477" s="130">
        <v>-30</v>
      </c>
      <c r="F3477" s="136">
        <v>4.4999999999999998E-2</v>
      </c>
      <c r="G3477" s="126">
        <f t="shared" si="78"/>
        <v>-30</v>
      </c>
      <c r="H3477" s="126" t="s">
        <v>2743</v>
      </c>
      <c r="I3477" s="127" t="s">
        <v>2744</v>
      </c>
      <c r="J3477" s="126">
        <v>11</v>
      </c>
      <c r="K3477" s="126">
        <v>30</v>
      </c>
      <c r="L3477" s="129">
        <f>INT(base[[#This Row],[Data de liquidação]])</f>
        <v>46229</v>
      </c>
      <c r="M3477" s="126">
        <f>base[[#This Row],[L/P Bruto]]-base[[#This Row],[L/P Líquido]]</f>
        <v>0</v>
      </c>
      <c r="N3477" s="126">
        <f>base[[#This Row],[L/P Líquido]]/base[[#This Row],[Stake/Responsabilidade]]</f>
        <v>-1</v>
      </c>
      <c r="O3477" s="132">
        <f>IF(base[[#This Row],[L/P Líquido]]&gt;0,1,0)</f>
        <v>0</v>
      </c>
      <c r="P3477" s="132"/>
      <c r="Q3477" s="132" t="str">
        <f>LEFT(base[[#This Row],[Evento / Mercado]],FIND("vs",base[[#This Row],[Evento / Mercado]])-2)</f>
        <v>Brann</v>
      </c>
      <c r="R347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3477" s="132" t="str">
        <f>LEFT(base[[#This Row],[Evento / Mercado]],FIND("/",base[[#This Row],[Evento / Mercado]])-2)</f>
        <v>Brann vs Vålerenga</v>
      </c>
    </row>
    <row r="3478" spans="2:19" ht="15" customHeight="1">
      <c r="B3478" s="128" t="s">
        <v>3452</v>
      </c>
      <c r="C3478" s="128" t="s">
        <v>2982</v>
      </c>
      <c r="D3478" s="129">
        <v>46229.477060185185</v>
      </c>
      <c r="E3478" s="130">
        <v>23.91</v>
      </c>
      <c r="F3478" s="136">
        <v>4.4999999999999998E-2</v>
      </c>
      <c r="G3478" s="126">
        <f t="shared" si="78"/>
        <v>25.036649214659686</v>
      </c>
      <c r="H3478" s="126" t="s">
        <v>2743</v>
      </c>
      <c r="I3478" s="127" t="s">
        <v>1233</v>
      </c>
      <c r="J3478" s="126">
        <v>4.7</v>
      </c>
      <c r="K3478" s="126">
        <v>300</v>
      </c>
      <c r="L3478" s="129">
        <f>INT(base[[#This Row],[Data de liquidação]])</f>
        <v>46229</v>
      </c>
      <c r="M3478" s="126">
        <f>base[[#This Row],[L/P Bruto]]-base[[#This Row],[L/P Líquido]]</f>
        <v>1.126649214659686</v>
      </c>
      <c r="N3478" s="126">
        <f>base[[#This Row],[L/P Líquido]]/base[[#This Row],[Stake/Responsabilidade]]</f>
        <v>7.9700000000000007E-2</v>
      </c>
      <c r="O3478" s="132">
        <f>IF(base[[#This Row],[L/P Líquido]]&gt;0,1,0)</f>
        <v>1</v>
      </c>
      <c r="P3478" s="132"/>
      <c r="Q3478" s="132" t="str">
        <f>LEFT(base[[#This Row],[Evento / Mercado]],FIND("vs",base[[#This Row],[Evento / Mercado]])-2)</f>
        <v>Brann</v>
      </c>
      <c r="R347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3478" s="132" t="str">
        <f>LEFT(base[[#This Row],[Evento / Mercado]],FIND("/",base[[#This Row],[Evento / Mercado]])-2)</f>
        <v>Brann vs Vålerenga</v>
      </c>
    </row>
    <row r="3479" spans="2:19" ht="15" customHeight="1">
      <c r="B3479" s="128" t="s">
        <v>3452</v>
      </c>
      <c r="C3479" s="128" t="s">
        <v>2981</v>
      </c>
      <c r="D3479" s="129">
        <v>46229.477060185185</v>
      </c>
      <c r="E3479" s="130">
        <v>-198.8</v>
      </c>
      <c r="F3479" s="136">
        <v>4.4999999999999998E-2</v>
      </c>
      <c r="G3479" s="126">
        <f t="shared" si="78"/>
        <v>-198.8</v>
      </c>
      <c r="H3479" s="126" t="s">
        <v>2817</v>
      </c>
      <c r="I3479" s="127" t="s">
        <v>2993</v>
      </c>
      <c r="J3479" s="126">
        <f>(1.82*98.79+4.6*100.01)/base[[#This Row],[Stake/Responsabilidade]]</f>
        <v>3.218530181086519</v>
      </c>
      <c r="K3479" s="126">
        <f>98.79+100.01</f>
        <v>198.8</v>
      </c>
      <c r="L3479" s="129">
        <f>INT(base[[#This Row],[Data de liquidação]])</f>
        <v>46229</v>
      </c>
      <c r="M3479" s="126">
        <f>base[[#This Row],[L/P Bruto]]-base[[#This Row],[L/P Líquido]]</f>
        <v>0</v>
      </c>
      <c r="N3479" s="126">
        <f>base[[#This Row],[L/P Líquido]]/base[[#This Row],[Stake/Responsabilidade]]</f>
        <v>-1</v>
      </c>
      <c r="O3479" s="132">
        <f>IF(base[[#This Row],[L/P Líquido]]&gt;0,1,0)</f>
        <v>0</v>
      </c>
      <c r="P3479" s="132"/>
      <c r="Q3479" s="132" t="str">
        <f>LEFT(base[[#This Row],[Evento / Mercado]],FIND("vs",base[[#This Row],[Evento / Mercado]])-2)</f>
        <v>Brann</v>
      </c>
      <c r="R347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3479" s="132" t="str">
        <f>LEFT(base[[#This Row],[Evento / Mercado]],FIND("/",base[[#This Row],[Evento / Mercado]])-2)</f>
        <v>Brann vs Vålerenga</v>
      </c>
    </row>
    <row r="3480" spans="2:19" ht="15" customHeight="1">
      <c r="B3480" s="128" t="s">
        <v>3451</v>
      </c>
      <c r="C3480" s="128" t="s">
        <v>2982</v>
      </c>
      <c r="D3480" s="129">
        <v>46229.556030092594</v>
      </c>
      <c r="E3480" s="130">
        <v>23.88</v>
      </c>
      <c r="F3480" s="136">
        <v>4.4999999999999998E-2</v>
      </c>
      <c r="G3480" s="126">
        <f t="shared" si="78"/>
        <v>25.005235602094242</v>
      </c>
      <c r="H3480" s="126" t="s">
        <v>2761</v>
      </c>
      <c r="I3480" s="127" t="s">
        <v>476</v>
      </c>
      <c r="J3480" s="126">
        <v>18</v>
      </c>
      <c r="K3480" s="126">
        <v>425</v>
      </c>
      <c r="L3480" s="129">
        <f>INT(base[[#This Row],[Data de liquidação]])</f>
        <v>46229</v>
      </c>
      <c r="M3480" s="126">
        <f>base[[#This Row],[L/P Bruto]]-base[[#This Row],[L/P Líquido]]</f>
        <v>1.1252356020942429</v>
      </c>
      <c r="N3480" s="126">
        <f>base[[#This Row],[L/P Líquido]]/base[[#This Row],[Stake/Responsabilidade]]</f>
        <v>5.6188235294117643E-2</v>
      </c>
      <c r="O3480" s="132">
        <f>IF(base[[#This Row],[L/P Líquido]]&gt;0,1,0)</f>
        <v>1</v>
      </c>
      <c r="P3480" s="132"/>
      <c r="Q3480" s="132" t="str">
        <f>LEFT(base[[#This Row],[Evento / Mercado]],FIND("vs",base[[#This Row],[Evento / Mercado]])-2)</f>
        <v>GAIS</v>
      </c>
      <c r="R348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3480" s="132" t="str">
        <f>LEFT(base[[#This Row],[Evento / Mercado]],FIND("/",base[[#This Row],[Evento / Mercado]])-2)</f>
        <v>GAIS vs Halmstads BK</v>
      </c>
    </row>
    <row r="3481" spans="2:19" ht="15" customHeight="1">
      <c r="B3481" s="128" t="s">
        <v>3450</v>
      </c>
      <c r="C3481" s="128" t="s">
        <v>2982</v>
      </c>
      <c r="D3481" s="129">
        <v>46229.557905092595</v>
      </c>
      <c r="E3481" s="130">
        <v>18.57</v>
      </c>
      <c r="F3481" s="136">
        <v>4.4999999999999998E-2</v>
      </c>
      <c r="G3481" s="126">
        <f t="shared" si="78"/>
        <v>19.445026178010473</v>
      </c>
      <c r="H3481" s="126" t="s">
        <v>2821</v>
      </c>
      <c r="I3481" s="127" t="s">
        <v>476</v>
      </c>
      <c r="J3481" s="126">
        <v>19</v>
      </c>
      <c r="K3481" s="126">
        <v>349.92</v>
      </c>
      <c r="L3481" s="129">
        <f>INT(base[[#This Row],[Data de liquidação]])</f>
        <v>46229</v>
      </c>
      <c r="M3481" s="126">
        <f>base[[#This Row],[L/P Bruto]]-base[[#This Row],[L/P Líquido]]</f>
        <v>0.87502617801047222</v>
      </c>
      <c r="N3481" s="126">
        <f>base[[#This Row],[L/P Líquido]]/base[[#This Row],[Stake/Responsabilidade]]</f>
        <v>5.3069272976680383E-2</v>
      </c>
      <c r="O3481" s="132">
        <f>IF(base[[#This Row],[L/P Líquido]]&gt;0,1,0)</f>
        <v>1</v>
      </c>
      <c r="P3481" s="132"/>
      <c r="Q3481" s="132" t="str">
        <f>LEFT(base[[#This Row],[Evento / Mercado]],FIND("vs",base[[#This Row],[Evento / Mercado]])-2)</f>
        <v>Malmö FF</v>
      </c>
      <c r="R348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Elfsborg</v>
      </c>
      <c r="S3481" s="132" t="str">
        <f>LEFT(base[[#This Row],[Evento / Mercado]],FIND("/",base[[#This Row],[Evento / Mercado]])-2)</f>
        <v>Malmö FF vs IF Elfsborg</v>
      </c>
    </row>
    <row r="3482" spans="2:19" ht="15" customHeight="1">
      <c r="B3482" s="128" t="s">
        <v>3450</v>
      </c>
      <c r="C3482" s="128" t="s">
        <v>2981</v>
      </c>
      <c r="D3482" s="129">
        <v>46229.557905092595</v>
      </c>
      <c r="E3482" s="130">
        <v>27</v>
      </c>
      <c r="F3482" s="136">
        <v>4.4999999999999998E-2</v>
      </c>
      <c r="G3482" s="126">
        <f t="shared" si="78"/>
        <v>28.272251308900525</v>
      </c>
      <c r="H3482" s="126" t="s">
        <v>3261</v>
      </c>
      <c r="I3482" s="127" t="s">
        <v>476</v>
      </c>
      <c r="J3482" s="126">
        <v>19</v>
      </c>
      <c r="K3482" s="126">
        <v>500.04</v>
      </c>
      <c r="L3482" s="129">
        <f>INT(base[[#This Row],[Data de liquidação]])</f>
        <v>46229</v>
      </c>
      <c r="M3482" s="126">
        <f>base[[#This Row],[L/P Bruto]]-base[[#This Row],[L/P Líquido]]</f>
        <v>1.2722513089005254</v>
      </c>
      <c r="N3482" s="126">
        <f>base[[#This Row],[L/P Líquido]]/base[[#This Row],[Stake/Responsabilidade]]</f>
        <v>5.3995680345572353E-2</v>
      </c>
      <c r="O3482" s="132">
        <f>IF(base[[#This Row],[L/P Líquido]]&gt;0,1,0)</f>
        <v>1</v>
      </c>
      <c r="P3482" s="132"/>
      <c r="Q3482" s="132" t="str">
        <f>LEFT(base[[#This Row],[Evento / Mercado]],FIND("vs",base[[#This Row],[Evento / Mercado]])-2)</f>
        <v>Malmö FF</v>
      </c>
      <c r="R348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Elfsborg</v>
      </c>
      <c r="S3482" s="132" t="str">
        <f>LEFT(base[[#This Row],[Evento / Mercado]],FIND("/",base[[#This Row],[Evento / Mercado]])-2)</f>
        <v>Malmö FF vs IF Elfsborg</v>
      </c>
    </row>
    <row r="3483" spans="2:19" ht="15" customHeight="1">
      <c r="B3483" s="128" t="s">
        <v>3449</v>
      </c>
      <c r="C3483" s="128" t="s">
        <v>2982</v>
      </c>
      <c r="D3483" s="129">
        <v>46229.578206018516</v>
      </c>
      <c r="E3483" s="130">
        <v>21.56</v>
      </c>
      <c r="F3483" s="136">
        <v>4.4999999999999998E-2</v>
      </c>
      <c r="G3483" s="126">
        <f t="shared" si="78"/>
        <v>22.575916230366492</v>
      </c>
      <c r="H3483" s="126" t="s">
        <v>74</v>
      </c>
      <c r="I3483" s="127" t="s">
        <v>541</v>
      </c>
      <c r="J3483" s="126">
        <v>16.5</v>
      </c>
      <c r="K3483" s="126">
        <v>349.99</v>
      </c>
      <c r="L3483" s="129">
        <f>INT(base[[#This Row],[Data de liquidação]])</f>
        <v>46229</v>
      </c>
      <c r="M3483" s="126">
        <f>base[[#This Row],[L/P Bruto]]-base[[#This Row],[L/P Líquido]]</f>
        <v>1.0159162303664928</v>
      </c>
      <c r="N3483" s="126">
        <f>base[[#This Row],[L/P Líquido]]/base[[#This Row],[Stake/Responsabilidade]]</f>
        <v>6.1601760050287148E-2</v>
      </c>
      <c r="O3483" s="132">
        <f>IF(base[[#This Row],[L/P Líquido]]&gt;0,1,0)</f>
        <v>1</v>
      </c>
      <c r="P3483" s="132"/>
      <c r="Q3483" s="132" t="str">
        <f>LEFT(base[[#This Row],[Evento / Mercado]],FIND("vs",base[[#This Row],[Evento / Mercado]])-2)</f>
        <v>Åsane</v>
      </c>
      <c r="R348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Egersund</v>
      </c>
      <c r="S3483" s="132" t="str">
        <f>LEFT(base[[#This Row],[Evento / Mercado]],FIND("/",base[[#This Row],[Evento / Mercado]])-2)</f>
        <v>Åsane vs Egersund</v>
      </c>
    </row>
    <row r="3484" spans="2:19" ht="15" customHeight="1">
      <c r="B3484" s="128" t="s">
        <v>3448</v>
      </c>
      <c r="C3484" s="128" t="s">
        <v>2982</v>
      </c>
      <c r="D3484" s="129">
        <v>46229.578912037039</v>
      </c>
      <c r="E3484" s="130">
        <v>23.05</v>
      </c>
      <c r="F3484" s="136">
        <v>4.4999999999999998E-2</v>
      </c>
      <c r="G3484" s="126">
        <f t="shared" si="78"/>
        <v>24.136125654450264</v>
      </c>
      <c r="H3484" s="126" t="s">
        <v>74</v>
      </c>
      <c r="I3484" s="127" t="s">
        <v>541</v>
      </c>
      <c r="J3484" s="126">
        <v>15.5</v>
      </c>
      <c r="K3484" s="126">
        <v>350.03</v>
      </c>
      <c r="L3484" s="129">
        <f>INT(base[[#This Row],[Data de liquidação]])</f>
        <v>46229</v>
      </c>
      <c r="M3484" s="126">
        <f>base[[#This Row],[L/P Bruto]]-base[[#This Row],[L/P Líquido]]</f>
        <v>1.0861256544502638</v>
      </c>
      <c r="N3484" s="126">
        <f>base[[#This Row],[L/P Líquido]]/base[[#This Row],[Stake/Responsabilidade]]</f>
        <v>6.5851498442990611E-2</v>
      </c>
      <c r="O3484" s="132">
        <f>IF(base[[#This Row],[L/P Líquido]]&gt;0,1,0)</f>
        <v>1</v>
      </c>
      <c r="P3484" s="132"/>
      <c r="Q3484" s="132" t="str">
        <f>LEFT(base[[#This Row],[Evento / Mercado]],FIND("vs",base[[#This Row],[Evento / Mercado]])-2)</f>
        <v>Strømmen</v>
      </c>
      <c r="R348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Odds Ballklubb</v>
      </c>
      <c r="S3484" s="132" t="str">
        <f>LEFT(base[[#This Row],[Evento / Mercado]],FIND("/",base[[#This Row],[Evento / Mercado]])-2)</f>
        <v>Strømmen vs Odds Ballklubb</v>
      </c>
    </row>
    <row r="3485" spans="2:19" ht="15" customHeight="1">
      <c r="B3485" s="128" t="s">
        <v>3445</v>
      </c>
      <c r="C3485" s="128" t="s">
        <v>2980</v>
      </c>
      <c r="D3485" s="129">
        <v>46229.57916666667</v>
      </c>
      <c r="E3485" s="130">
        <v>81.849999999999994</v>
      </c>
      <c r="F3485" s="136">
        <v>4.4999999999999998E-2</v>
      </c>
      <c r="G3485" s="126">
        <f t="shared" si="78"/>
        <v>85.706806282722511</v>
      </c>
      <c r="H3485" s="126" t="s">
        <v>2743</v>
      </c>
      <c r="I3485" s="127" t="s">
        <v>1233</v>
      </c>
      <c r="J3485" s="126">
        <v>4.5</v>
      </c>
      <c r="K3485" s="126">
        <v>299.98</v>
      </c>
      <c r="L3485" s="129">
        <f>INT(base[[#This Row],[Data de liquidação]])</f>
        <v>46229</v>
      </c>
      <c r="M3485" s="126">
        <f>base[[#This Row],[L/P Bruto]]-base[[#This Row],[L/P Líquido]]</f>
        <v>3.8568062827225162</v>
      </c>
      <c r="N3485" s="126">
        <f>base[[#This Row],[L/P Líquido]]/base[[#This Row],[Stake/Responsabilidade]]</f>
        <v>0.2728515234348956</v>
      </c>
      <c r="O3485" s="132">
        <f>IF(base[[#This Row],[L/P Líquido]]&gt;0,1,0)</f>
        <v>1</v>
      </c>
      <c r="P3485" s="132"/>
      <c r="Q3485" s="132" t="str">
        <f>LEFT(base[[#This Row],[Evento / Mercado]],FIND("vs",base[[#This Row],[Evento / Mercado]])-2)</f>
        <v>Sarpsborg 08</v>
      </c>
      <c r="R348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3485" s="132" t="str">
        <f>LEFT(base[[#This Row],[Evento / Mercado]],FIND("/",base[[#This Row],[Evento / Mercado]])-2)</f>
        <v>Sarpsborg 08 vs Hamarkameratene</v>
      </c>
    </row>
    <row r="3486" spans="2:19" ht="15" customHeight="1">
      <c r="B3486" s="128" t="s">
        <v>3447</v>
      </c>
      <c r="C3486" s="128" t="s">
        <v>2980</v>
      </c>
      <c r="D3486" s="129">
        <v>46229.57916666667</v>
      </c>
      <c r="E3486" s="130">
        <v>-34.880000000000003</v>
      </c>
      <c r="F3486" s="136">
        <v>4.4999999999999998E-2</v>
      </c>
      <c r="G3486" s="126">
        <f t="shared" si="78"/>
        <v>-34.880000000000003</v>
      </c>
      <c r="H3486" s="126" t="s">
        <v>2743</v>
      </c>
      <c r="I3486" s="127" t="s">
        <v>2744</v>
      </c>
      <c r="J3486" s="126">
        <v>9.6</v>
      </c>
      <c r="K3486" s="126">
        <v>34.880000000000003</v>
      </c>
      <c r="L3486" s="129">
        <f>INT(base[[#This Row],[Data de liquidação]])</f>
        <v>46229</v>
      </c>
      <c r="M3486" s="126">
        <f>base[[#This Row],[L/P Bruto]]-base[[#This Row],[L/P Líquido]]</f>
        <v>0</v>
      </c>
      <c r="N3486" s="126">
        <f>base[[#This Row],[L/P Líquido]]/base[[#This Row],[Stake/Responsabilidade]]</f>
        <v>-1</v>
      </c>
      <c r="O3486" s="132">
        <f>IF(base[[#This Row],[L/P Líquido]]&gt;0,1,0)</f>
        <v>0</v>
      </c>
      <c r="P3486" s="132"/>
      <c r="Q3486" s="132" t="str">
        <f>LEFT(base[[#This Row],[Evento / Mercado]],FIND("vs",base[[#This Row],[Evento / Mercado]])-2)</f>
        <v>Sarpsborg 08</v>
      </c>
      <c r="R348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3486" s="132" t="str">
        <f>LEFT(base[[#This Row],[Evento / Mercado]],FIND("/",base[[#This Row],[Evento / Mercado]])-2)</f>
        <v>Sarpsborg 08 vs Hamarkameratene</v>
      </c>
    </row>
    <row r="3487" spans="2:19" ht="15" customHeight="1">
      <c r="B3487" s="128" t="s">
        <v>3447</v>
      </c>
      <c r="C3487" s="128" t="s">
        <v>2982</v>
      </c>
      <c r="D3487" s="129">
        <v>46229.579282407409</v>
      </c>
      <c r="E3487" s="130">
        <v>21.71</v>
      </c>
      <c r="F3487" s="136">
        <v>4.4999999999999998E-2</v>
      </c>
      <c r="G3487" s="126">
        <f t="shared" si="78"/>
        <v>22.73298429319372</v>
      </c>
      <c r="H3487" s="126" t="s">
        <v>3261</v>
      </c>
      <c r="I3487" s="127" t="s">
        <v>476</v>
      </c>
      <c r="J3487" s="126">
        <v>23</v>
      </c>
      <c r="K3487" s="126">
        <v>500.06</v>
      </c>
      <c r="L3487" s="129">
        <f>INT(base[[#This Row],[Data de liquidação]])</f>
        <v>46229</v>
      </c>
      <c r="M3487" s="126">
        <f>base[[#This Row],[L/P Bruto]]-base[[#This Row],[L/P Líquido]]</f>
        <v>1.0229842931937192</v>
      </c>
      <c r="N3487" s="126">
        <f>base[[#This Row],[L/P Líquido]]/base[[#This Row],[Stake/Responsabilidade]]</f>
        <v>4.3414790225172979E-2</v>
      </c>
      <c r="O3487" s="132">
        <f>IF(base[[#This Row],[L/P Líquido]]&gt;0,1,0)</f>
        <v>1</v>
      </c>
      <c r="P3487" s="132"/>
      <c r="Q3487" s="132" t="str">
        <f>LEFT(base[[#This Row],[Evento / Mercado]],FIND("vs",base[[#This Row],[Evento / Mercado]])-2)</f>
        <v>Sarpsborg 08</v>
      </c>
      <c r="R348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3487" s="132" t="str">
        <f>LEFT(base[[#This Row],[Evento / Mercado]],FIND("/",base[[#This Row],[Evento / Mercado]])-2)</f>
        <v>Sarpsborg 08 vs Hamarkameratene</v>
      </c>
    </row>
    <row r="3488" spans="2:19" ht="15" customHeight="1">
      <c r="B3488" s="128" t="s">
        <v>3446</v>
      </c>
      <c r="C3488" s="128" t="s">
        <v>2982</v>
      </c>
      <c r="D3488" s="129">
        <v>46229.579467592594</v>
      </c>
      <c r="E3488" s="130">
        <v>-100</v>
      </c>
      <c r="F3488" s="136">
        <v>4.4999999999999998E-2</v>
      </c>
      <c r="G3488" s="126">
        <f t="shared" si="78"/>
        <v>-100</v>
      </c>
      <c r="H3488" s="126" t="s">
        <v>231</v>
      </c>
      <c r="I3488" s="127" t="s">
        <v>266</v>
      </c>
      <c r="J3488" s="126">
        <v>1.68</v>
      </c>
      <c r="K3488" s="126">
        <v>100</v>
      </c>
      <c r="L3488" s="129">
        <f>INT(base[[#This Row],[Data de liquidação]])</f>
        <v>46229</v>
      </c>
      <c r="M3488" s="126">
        <f>base[[#This Row],[L/P Bruto]]-base[[#This Row],[L/P Líquido]]</f>
        <v>0</v>
      </c>
      <c r="N3488" s="126">
        <f>base[[#This Row],[L/P Líquido]]/base[[#This Row],[Stake/Responsabilidade]]</f>
        <v>-1</v>
      </c>
      <c r="O3488" s="132">
        <f>IF(base[[#This Row],[L/P Líquido]]&gt;0,1,0)</f>
        <v>0</v>
      </c>
      <c r="P3488" s="132"/>
      <c r="Q3488" s="132" t="str">
        <f>LEFT(base[[#This Row],[Evento / Mercado]],FIND("vs",base[[#This Row],[Evento / Mercado]])-2)</f>
        <v>Sarpsborg 08</v>
      </c>
      <c r="R348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3488" s="132" t="str">
        <f>LEFT(base[[#This Row],[Evento / Mercado]],FIND("/",base[[#This Row],[Evento / Mercado]])-2)</f>
        <v>Sarpsborg 08 vs Hamarkameratene</v>
      </c>
    </row>
    <row r="3489" spans="2:19" ht="15" customHeight="1">
      <c r="B3489" s="128" t="s">
        <v>3445</v>
      </c>
      <c r="C3489" s="128" t="s">
        <v>2982</v>
      </c>
      <c r="D3489" s="129">
        <v>46229.57949074074</v>
      </c>
      <c r="E3489" s="130">
        <v>12.96</v>
      </c>
      <c r="F3489" s="136">
        <v>4.4999999999999998E-2</v>
      </c>
      <c r="G3489" s="126">
        <f t="shared" si="78"/>
        <v>13.570680628272253</v>
      </c>
      <c r="H3489" s="126" t="s">
        <v>2817</v>
      </c>
      <c r="I3489" s="127" t="s">
        <v>2993</v>
      </c>
      <c r="J3489" s="126">
        <v>5.0999999999999996</v>
      </c>
      <c r="K3489" s="126">
        <v>100</v>
      </c>
      <c r="L3489" s="129">
        <f>INT(base[[#This Row],[Data de liquidação]])</f>
        <v>46229</v>
      </c>
      <c r="M3489" s="126">
        <f>base[[#This Row],[L/P Bruto]]-base[[#This Row],[L/P Líquido]]</f>
        <v>0.61068062827225233</v>
      </c>
      <c r="N3489" s="126">
        <f>base[[#This Row],[L/P Líquido]]/base[[#This Row],[Stake/Responsabilidade]]</f>
        <v>0.12960000000000002</v>
      </c>
      <c r="O3489" s="132">
        <f>IF(base[[#This Row],[L/P Líquido]]&gt;0,1,0)</f>
        <v>1</v>
      </c>
      <c r="P3489" s="132"/>
      <c r="Q3489" s="132" t="str">
        <f>LEFT(base[[#This Row],[Evento / Mercado]],FIND("vs",base[[#This Row],[Evento / Mercado]])-2)</f>
        <v>Sarpsborg 08</v>
      </c>
      <c r="R348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3489" s="132" t="str">
        <f>LEFT(base[[#This Row],[Evento / Mercado]],FIND("/",base[[#This Row],[Evento / Mercado]])-2)</f>
        <v>Sarpsborg 08 vs Hamarkameratene</v>
      </c>
    </row>
    <row r="3490" spans="2:19" ht="15" customHeight="1">
      <c r="B3490" s="128" t="s">
        <v>3444</v>
      </c>
      <c r="C3490" s="128" t="s">
        <v>2982</v>
      </c>
      <c r="D3490" s="129">
        <v>46229.637731481482</v>
      </c>
      <c r="E3490" s="130">
        <v>1.22</v>
      </c>
      <c r="F3490" s="136">
        <v>4.4999999999999998E-2</v>
      </c>
      <c r="G3490" s="126">
        <f t="shared" si="78"/>
        <v>1.2774869109947644</v>
      </c>
      <c r="H3490" s="126" t="s">
        <v>1339</v>
      </c>
      <c r="I3490" s="127" t="s">
        <v>2193</v>
      </c>
      <c r="J3490" s="126">
        <v>1.64</v>
      </c>
      <c r="K3490" s="126">
        <v>2</v>
      </c>
      <c r="L3490" s="129">
        <f>INT(base[[#This Row],[Data de liquidação]])</f>
        <v>46229</v>
      </c>
      <c r="M3490" s="126">
        <f>base[[#This Row],[L/P Bruto]]-base[[#This Row],[L/P Líquido]]</f>
        <v>5.748691099476444E-2</v>
      </c>
      <c r="N3490" s="126">
        <f>base[[#This Row],[L/P Líquido]]/base[[#This Row],[Stake/Responsabilidade]]</f>
        <v>0.61</v>
      </c>
      <c r="O3490" s="132">
        <f>IF(base[[#This Row],[L/P Líquido]]&gt;0,1,0)</f>
        <v>1</v>
      </c>
      <c r="P3490" s="132"/>
      <c r="Q3490" s="132" t="str">
        <f>LEFT(base[[#This Row],[Evento / Mercado]],FIND("vs",base[[#This Row],[Evento / Mercado]])-2)</f>
        <v>Aalesunds FK</v>
      </c>
      <c r="R349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Viking FK</v>
      </c>
      <c r="S3490" s="132" t="str">
        <f>LEFT(base[[#This Row],[Evento / Mercado]],FIND("/",base[[#This Row],[Evento / Mercado]])-2)</f>
        <v>Aalesunds FK vs Viking FK</v>
      </c>
    </row>
    <row r="3491" spans="2:19" ht="15" customHeight="1">
      <c r="B3491" s="128" t="s">
        <v>3443</v>
      </c>
      <c r="C3491" s="128" t="s">
        <v>2982</v>
      </c>
      <c r="D3491" s="129">
        <v>46229.695868055554</v>
      </c>
      <c r="E3491" s="130">
        <v>0.96</v>
      </c>
      <c r="F3491" s="136">
        <v>4.4999999999999998E-2</v>
      </c>
      <c r="G3491" s="126">
        <f t="shared" si="78"/>
        <v>1.0052356020942408</v>
      </c>
      <c r="H3491" s="126" t="s">
        <v>1339</v>
      </c>
      <c r="I3491" s="127" t="s">
        <v>1993</v>
      </c>
      <c r="J3491" s="126">
        <v>1.1000000000000001</v>
      </c>
      <c r="K3491" s="126">
        <v>10</v>
      </c>
      <c r="L3491" s="129">
        <f>INT(base[[#This Row],[Data de liquidação]])</f>
        <v>46229</v>
      </c>
      <c r="M3491" s="126">
        <f>base[[#This Row],[L/P Bruto]]-base[[#This Row],[L/P Líquido]]</f>
        <v>4.5235602094240823E-2</v>
      </c>
      <c r="N3491" s="126">
        <f>base[[#This Row],[L/P Líquido]]/base[[#This Row],[Stake/Responsabilidade]]</f>
        <v>9.6000000000000002E-2</v>
      </c>
      <c r="O3491" s="132">
        <f>IF(base[[#This Row],[L/P Líquido]]&gt;0,1,0)</f>
        <v>1</v>
      </c>
      <c r="P3491" s="132"/>
      <c r="Q3491" s="132" t="str">
        <f>LEFT(base[[#This Row],[Evento / Mercado]],FIND("vs",base[[#This Row],[Evento / Mercado]])-2)</f>
        <v>Cruzeiro</v>
      </c>
      <c r="R349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3491" s="132" t="str">
        <f>LEFT(base[[#This Row],[Evento / Mercado]],FIND("/",base[[#This Row],[Evento / Mercado]])-2)</f>
        <v>Cruzeiro vs Botafogo FR</v>
      </c>
    </row>
    <row r="3492" spans="2:19" ht="15" customHeight="1">
      <c r="B3492" s="128" t="s">
        <v>3442</v>
      </c>
      <c r="C3492" s="128" t="s">
        <v>2982</v>
      </c>
      <c r="D3492" s="129">
        <v>46229.702928240738</v>
      </c>
      <c r="E3492" s="130">
        <v>4.42</v>
      </c>
      <c r="F3492" s="136">
        <v>4.4999999999999998E-2</v>
      </c>
      <c r="G3492" s="126">
        <f t="shared" si="78"/>
        <v>4.6282722513089007</v>
      </c>
      <c r="H3492" s="126" t="s">
        <v>1339</v>
      </c>
      <c r="I3492" s="127" t="s">
        <v>2404</v>
      </c>
      <c r="J3492" s="126">
        <v>1.93</v>
      </c>
      <c r="K3492" s="126">
        <v>5</v>
      </c>
      <c r="L3492" s="129">
        <f>INT(base[[#This Row],[Data de liquidação]])</f>
        <v>46229</v>
      </c>
      <c r="M3492" s="126">
        <f>base[[#This Row],[L/P Bruto]]-base[[#This Row],[L/P Líquido]]</f>
        <v>0.20827225130890081</v>
      </c>
      <c r="N3492" s="126">
        <f>base[[#This Row],[L/P Líquido]]/base[[#This Row],[Stake/Responsabilidade]]</f>
        <v>0.88400000000000001</v>
      </c>
      <c r="O3492" s="132">
        <f>IF(base[[#This Row],[L/P Líquido]]&gt;0,1,0)</f>
        <v>1</v>
      </c>
      <c r="P3492" s="132"/>
      <c r="Q3492" s="132" t="str">
        <f>LEFT(base[[#This Row],[Evento / Mercado]],FIND("vs",base[[#This Row],[Evento / Mercado]])-2)</f>
        <v>Esporte Clube Bahia</v>
      </c>
      <c r="R349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Corinthians</v>
      </c>
      <c r="S3492" s="132" t="str">
        <f>LEFT(base[[#This Row],[Evento / Mercado]],FIND("/",base[[#This Row],[Evento / Mercado]])-2)</f>
        <v>Esporte Clube Bahia vs Corinthians</v>
      </c>
    </row>
    <row r="3493" spans="2:19" ht="15" customHeight="1">
      <c r="B3493" s="128" t="s">
        <v>3441</v>
      </c>
      <c r="C3493" s="128" t="s">
        <v>2982</v>
      </c>
      <c r="D3493" s="129">
        <v>46229.750543981485</v>
      </c>
      <c r="E3493" s="130">
        <v>-76.34</v>
      </c>
      <c r="F3493" s="136">
        <v>4.4999999999999998E-2</v>
      </c>
      <c r="G3493" s="126">
        <f t="shared" si="78"/>
        <v>-76.34</v>
      </c>
      <c r="H3493" s="126" t="s">
        <v>2761</v>
      </c>
      <c r="I3493" s="127" t="s">
        <v>476</v>
      </c>
      <c r="J3493" s="126">
        <v>14</v>
      </c>
      <c r="K3493" s="126">
        <v>300.04000000000002</v>
      </c>
      <c r="L3493" s="129">
        <f>INT(base[[#This Row],[Data de liquidação]])</f>
        <v>46229</v>
      </c>
      <c r="M3493" s="126">
        <f>base[[#This Row],[L/P Bruto]]-base[[#This Row],[L/P Líquido]]</f>
        <v>0</v>
      </c>
      <c r="N3493" s="126">
        <f>base[[#This Row],[L/P Líquido]]/base[[#This Row],[Stake/Responsabilidade]]</f>
        <v>-0.25443274230102653</v>
      </c>
      <c r="O3493" s="132">
        <f>IF(base[[#This Row],[L/P Líquido]]&gt;0,1,0)</f>
        <v>0</v>
      </c>
      <c r="P3493" s="132"/>
      <c r="Q3493" s="132" t="str">
        <f>LEFT(base[[#This Row],[Evento / Mercado]],FIND("vs",base[[#This Row],[Evento / Mercado]])-2)</f>
        <v>Cruzeiro</v>
      </c>
      <c r="R349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3493" s="132" t="str">
        <f>LEFT(base[[#This Row],[Evento / Mercado]],FIND("/",base[[#This Row],[Evento / Mercado]])-2)</f>
        <v>Cruzeiro vs Botafogo FR</v>
      </c>
    </row>
    <row r="3494" spans="2:19" ht="15" customHeight="1">
      <c r="B3494" s="128" t="s">
        <v>3440</v>
      </c>
      <c r="C3494" s="128" t="s">
        <v>2982</v>
      </c>
      <c r="D3494" s="129">
        <v>46229.750949074078</v>
      </c>
      <c r="E3494" s="130">
        <v>-100</v>
      </c>
      <c r="F3494" s="136">
        <v>4.4999999999999998E-2</v>
      </c>
      <c r="G3494" s="126">
        <f t="shared" si="78"/>
        <v>-100</v>
      </c>
      <c r="H3494" s="126" t="s">
        <v>231</v>
      </c>
      <c r="I3494" s="127" t="s">
        <v>266</v>
      </c>
      <c r="J3494" s="126">
        <v>1.83</v>
      </c>
      <c r="K3494" s="126">
        <v>100</v>
      </c>
      <c r="L3494" s="129">
        <f>INT(base[[#This Row],[Data de liquidação]])</f>
        <v>46229</v>
      </c>
      <c r="M3494" s="126">
        <f>base[[#This Row],[L/P Bruto]]-base[[#This Row],[L/P Líquido]]</f>
        <v>0</v>
      </c>
      <c r="N3494" s="126">
        <f>base[[#This Row],[L/P Líquido]]/base[[#This Row],[Stake/Responsabilidade]]</f>
        <v>-1</v>
      </c>
      <c r="O3494" s="132">
        <f>IF(base[[#This Row],[L/P Líquido]]&gt;0,1,0)</f>
        <v>0</v>
      </c>
      <c r="P3494" s="132"/>
      <c r="Q3494" s="132" t="str">
        <f>LEFT(base[[#This Row],[Evento / Mercado]],FIND("vs",base[[#This Row],[Evento / Mercado]])-2)</f>
        <v>Cruzeiro</v>
      </c>
      <c r="R349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3494" s="132" t="str">
        <f>LEFT(base[[#This Row],[Evento / Mercado]],FIND("/",base[[#This Row],[Evento / Mercado]])-2)</f>
        <v>Cruzeiro vs Botafogo FR</v>
      </c>
    </row>
    <row r="3495" spans="2:19" ht="15" customHeight="1">
      <c r="B3495" s="128" t="s">
        <v>3438</v>
      </c>
      <c r="C3495" s="128" t="s">
        <v>2980</v>
      </c>
      <c r="D3495" s="129">
        <v>46229.752083333333</v>
      </c>
      <c r="E3495" s="130">
        <v>2.0299999999999998</v>
      </c>
      <c r="F3495" s="136">
        <v>4.4999999999999998E-2</v>
      </c>
      <c r="G3495" s="126">
        <f t="shared" si="78"/>
        <v>2.1256544502617798</v>
      </c>
      <c r="H3495" s="126" t="s">
        <v>2817</v>
      </c>
      <c r="I3495" s="127" t="s">
        <v>2992</v>
      </c>
      <c r="J3495" s="126">
        <v>8</v>
      </c>
      <c r="K3495" s="126">
        <v>100.03</v>
      </c>
      <c r="L3495" s="129">
        <f>INT(base[[#This Row],[Data de liquidação]])</f>
        <v>46229</v>
      </c>
      <c r="M3495" s="126">
        <f>base[[#This Row],[L/P Bruto]]-base[[#This Row],[L/P Líquido]]</f>
        <v>9.5654450261779989E-2</v>
      </c>
      <c r="N3495" s="126">
        <f>base[[#This Row],[L/P Líquido]]/base[[#This Row],[Stake/Responsabilidade]]</f>
        <v>2.0293911826452061E-2</v>
      </c>
      <c r="O3495" s="132">
        <f>IF(base[[#This Row],[L/P Líquido]]&gt;0,1,0)</f>
        <v>1</v>
      </c>
      <c r="P3495" s="132"/>
      <c r="Q3495" s="132" t="str">
        <f>LEFT(base[[#This Row],[Evento / Mercado]],FIND("vs",base[[#This Row],[Evento / Mercado]])-2)</f>
        <v>Criciúma EC</v>
      </c>
      <c r="R349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3495" s="132" t="str">
        <f>LEFT(base[[#This Row],[Evento / Mercado]],FIND("/",base[[#This Row],[Evento / Mercado]])-2)</f>
        <v>Criciúma EC vs Clube Náutico Capibaribe</v>
      </c>
    </row>
    <row r="3496" spans="2:19" ht="15" customHeight="1">
      <c r="B3496" s="128" t="s">
        <v>3440</v>
      </c>
      <c r="C3496" s="128" t="s">
        <v>2982</v>
      </c>
      <c r="D3496" s="129">
        <v>46229.750949074078</v>
      </c>
      <c r="E3496" s="130">
        <v>-5</v>
      </c>
      <c r="F3496" s="136">
        <v>4.4999999999999998E-2</v>
      </c>
      <c r="G3496" s="126">
        <f t="shared" si="78"/>
        <v>-5</v>
      </c>
      <c r="H3496" s="126" t="s">
        <v>1339</v>
      </c>
      <c r="I3496" s="127" t="s">
        <v>2404</v>
      </c>
      <c r="J3496" s="126">
        <v>1.79</v>
      </c>
      <c r="K3496" s="126">
        <v>5</v>
      </c>
      <c r="L3496" s="129">
        <f>INT(base[[#This Row],[Data de liquidação]])</f>
        <v>46229</v>
      </c>
      <c r="M3496" s="126">
        <f>base[[#This Row],[L/P Bruto]]-base[[#This Row],[L/P Líquido]]</f>
        <v>0</v>
      </c>
      <c r="N3496" s="126">
        <f>base[[#This Row],[L/P Líquido]]/base[[#This Row],[Stake/Responsabilidade]]</f>
        <v>-1</v>
      </c>
      <c r="O3496" s="132">
        <f>IF(base[[#This Row],[L/P Líquido]]&gt;0,1,0)</f>
        <v>0</v>
      </c>
      <c r="P3496" s="132"/>
      <c r="Q3496" s="132" t="str">
        <f>LEFT(base[[#This Row],[Evento / Mercado]],FIND("vs",base[[#This Row],[Evento / Mercado]])-2)</f>
        <v>Cruzeiro</v>
      </c>
      <c r="R349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3496" s="132" t="str">
        <f>LEFT(base[[#This Row],[Evento / Mercado]],FIND("/",base[[#This Row],[Evento / Mercado]])-2)</f>
        <v>Cruzeiro vs Botafogo FR</v>
      </c>
    </row>
    <row r="3497" spans="2:19" ht="15" customHeight="1">
      <c r="B3497" s="128" t="s">
        <v>3439</v>
      </c>
      <c r="C3497" s="128" t="s">
        <v>2982</v>
      </c>
      <c r="D3497" s="129">
        <v>46229.752592592595</v>
      </c>
      <c r="E3497" s="130">
        <v>29.77</v>
      </c>
      <c r="F3497" s="136">
        <v>4.4999999999999998E-2</v>
      </c>
      <c r="G3497" s="126">
        <f t="shared" si="78"/>
        <v>31.172774869109947</v>
      </c>
      <c r="H3497" s="126" t="s">
        <v>2743</v>
      </c>
      <c r="I3497" s="127" t="s">
        <v>2744</v>
      </c>
      <c r="J3497" s="126">
        <v>6.4</v>
      </c>
      <c r="K3497" s="126">
        <v>55.56</v>
      </c>
      <c r="L3497" s="129">
        <f>INT(base[[#This Row],[Data de liquidação]])</f>
        <v>46229</v>
      </c>
      <c r="M3497" s="126">
        <f>base[[#This Row],[L/P Bruto]]-base[[#This Row],[L/P Líquido]]</f>
        <v>1.4027748691099475</v>
      </c>
      <c r="N3497" s="126">
        <f>base[[#This Row],[L/P Líquido]]/base[[#This Row],[Stake/Responsabilidade]]</f>
        <v>0.53581713462922964</v>
      </c>
      <c r="O3497" s="132">
        <f>IF(base[[#This Row],[L/P Líquido]]&gt;0,1,0)</f>
        <v>1</v>
      </c>
      <c r="P3497" s="132"/>
      <c r="Q3497" s="132" t="str">
        <f>LEFT(base[[#This Row],[Evento / Mercado]],FIND("vs",base[[#This Row],[Evento / Mercado]])-2)</f>
        <v>Criciúma EC</v>
      </c>
      <c r="R349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3497" s="132" t="str">
        <f>LEFT(base[[#This Row],[Evento / Mercado]],FIND("/",base[[#This Row],[Evento / Mercado]])-2)</f>
        <v>Criciúma EC vs Clube Náutico Capibaribe</v>
      </c>
    </row>
    <row r="3498" spans="2:19" ht="15" customHeight="1">
      <c r="B3498" s="128" t="s">
        <v>3439</v>
      </c>
      <c r="C3498" s="128" t="s">
        <v>2981</v>
      </c>
      <c r="D3498" s="129">
        <v>46229.752592592595</v>
      </c>
      <c r="E3498" s="130">
        <v>16.559999999999999</v>
      </c>
      <c r="F3498" s="136">
        <v>4.4999999999999998E-2</v>
      </c>
      <c r="G3498" s="126">
        <f t="shared" si="78"/>
        <v>17.340314136125652</v>
      </c>
      <c r="H3498" s="126" t="s">
        <v>3261</v>
      </c>
      <c r="I3498" s="127" t="s">
        <v>3213</v>
      </c>
      <c r="J3498" s="126">
        <v>26</v>
      </c>
      <c r="K3498" s="126">
        <v>500</v>
      </c>
      <c r="L3498" s="129">
        <f>INT(base[[#This Row],[Data de liquidação]])</f>
        <v>46229</v>
      </c>
      <c r="M3498" s="126">
        <f>base[[#This Row],[L/P Bruto]]-base[[#This Row],[L/P Líquido]]</f>
        <v>0.78031413612565359</v>
      </c>
      <c r="N3498" s="126">
        <f>base[[#This Row],[L/P Líquido]]/base[[#This Row],[Stake/Responsabilidade]]</f>
        <v>3.3119999999999997E-2</v>
      </c>
      <c r="O3498" s="132">
        <f>IF(base[[#This Row],[L/P Líquido]]&gt;0,1,0)</f>
        <v>1</v>
      </c>
      <c r="P3498" s="132"/>
      <c r="Q3498" s="132" t="str">
        <f>LEFT(base[[#This Row],[Evento / Mercado]],FIND("vs",base[[#This Row],[Evento / Mercado]])-2)</f>
        <v>Criciúma EC</v>
      </c>
      <c r="R349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3498" s="132" t="str">
        <f>LEFT(base[[#This Row],[Evento / Mercado]],FIND("/",base[[#This Row],[Evento / Mercado]])-2)</f>
        <v>Criciúma EC vs Clube Náutico Capibaribe</v>
      </c>
    </row>
    <row r="3499" spans="2:19" ht="15" customHeight="1">
      <c r="B3499" s="128" t="s">
        <v>3438</v>
      </c>
      <c r="C3499" s="128" t="s">
        <v>2982</v>
      </c>
      <c r="D3499" s="129">
        <v>46229.75271990741</v>
      </c>
      <c r="E3499" s="130">
        <v>-98.89</v>
      </c>
      <c r="F3499" s="136">
        <v>4.4999999999999998E-2</v>
      </c>
      <c r="G3499" s="126">
        <f t="shared" si="78"/>
        <v>-98.89</v>
      </c>
      <c r="H3499" s="126" t="s">
        <v>2743</v>
      </c>
      <c r="I3499" s="127" t="s">
        <v>1233</v>
      </c>
      <c r="J3499" s="126">
        <v>4.2</v>
      </c>
      <c r="K3499" s="126">
        <v>300</v>
      </c>
      <c r="L3499" s="129">
        <f>INT(base[[#This Row],[Data de liquidação]])</f>
        <v>46229</v>
      </c>
      <c r="M3499" s="126">
        <f>base[[#This Row],[L/P Bruto]]-base[[#This Row],[L/P Líquido]]</f>
        <v>0</v>
      </c>
      <c r="N3499" s="126">
        <f>base[[#This Row],[L/P Líquido]]/base[[#This Row],[Stake/Responsabilidade]]</f>
        <v>-0.32963333333333333</v>
      </c>
      <c r="O3499" s="132">
        <f>IF(base[[#This Row],[L/P Líquido]]&gt;0,1,0)</f>
        <v>0</v>
      </c>
      <c r="P3499" s="132"/>
      <c r="Q3499" s="132" t="str">
        <f>LEFT(base[[#This Row],[Evento / Mercado]],FIND("vs",base[[#This Row],[Evento / Mercado]])-2)</f>
        <v>Criciúma EC</v>
      </c>
      <c r="R349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3499" s="132" t="str">
        <f>LEFT(base[[#This Row],[Evento / Mercado]],FIND("/",base[[#This Row],[Evento / Mercado]])-2)</f>
        <v>Criciúma EC vs Clube Náutico Capibaribe</v>
      </c>
    </row>
    <row r="3500" spans="2:19" ht="15" customHeight="1">
      <c r="B3500" s="128" t="s">
        <v>3437</v>
      </c>
      <c r="C3500" s="128" t="s">
        <v>2982</v>
      </c>
      <c r="D3500" s="129">
        <v>46229.754305555558</v>
      </c>
      <c r="E3500" s="130">
        <v>7.02</v>
      </c>
      <c r="F3500" s="136">
        <v>4.4999999999999998E-2</v>
      </c>
      <c r="G3500" s="126">
        <f t="shared" si="78"/>
        <v>7.3507853403141361</v>
      </c>
      <c r="H3500" s="126" t="s">
        <v>2743</v>
      </c>
      <c r="I3500" s="127" t="s">
        <v>2744</v>
      </c>
      <c r="J3500" s="126">
        <v>14</v>
      </c>
      <c r="K3500" s="126">
        <v>23.08</v>
      </c>
      <c r="L3500" s="129">
        <f>INT(base[[#This Row],[Data de liquidação]])</f>
        <v>46229</v>
      </c>
      <c r="M3500" s="126">
        <f>base[[#This Row],[L/P Bruto]]-base[[#This Row],[L/P Líquido]]</f>
        <v>0.33078534031413653</v>
      </c>
      <c r="N3500" s="126">
        <f>base[[#This Row],[L/P Líquido]]/base[[#This Row],[Stake/Responsabilidade]]</f>
        <v>0.30415944540727902</v>
      </c>
      <c r="O3500" s="132">
        <f>IF(base[[#This Row],[L/P Líquido]]&gt;0,1,0)</f>
        <v>1</v>
      </c>
      <c r="P3500" s="132"/>
      <c r="Q3500" s="132" t="str">
        <f>LEFT(base[[#This Row],[Evento / Mercado]],FIND("vs",base[[#This Row],[Evento / Mercado]])-2)</f>
        <v>Fram Reykjavik</v>
      </c>
      <c r="R350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FH Hafnarfjördur</v>
      </c>
      <c r="S3500" s="132" t="str">
        <f>LEFT(base[[#This Row],[Evento / Mercado]],FIND("/",base[[#This Row],[Evento / Mercado]])-2)</f>
        <v>Fram Reykjavik vs FH Hafnarfjördur</v>
      </c>
    </row>
    <row r="3501" spans="2:19" ht="15" customHeight="1">
      <c r="B3501" s="128" t="s">
        <v>3436</v>
      </c>
      <c r="C3501" s="128" t="s">
        <v>2982</v>
      </c>
      <c r="D3501" s="129">
        <v>46229.754432870373</v>
      </c>
      <c r="E3501" s="130">
        <v>-76.150000000000006</v>
      </c>
      <c r="F3501" s="136">
        <v>4.4999999999999998E-2</v>
      </c>
      <c r="G3501" s="126">
        <f t="shared" si="78"/>
        <v>-76.150000000000006</v>
      </c>
      <c r="H3501" s="126" t="s">
        <v>2743</v>
      </c>
      <c r="I3501" s="127" t="s">
        <v>1233</v>
      </c>
      <c r="J3501" s="126">
        <v>5.6</v>
      </c>
      <c r="K3501" s="126">
        <v>300.01</v>
      </c>
      <c r="L3501" s="129">
        <f>INT(base[[#This Row],[Data de liquidação]])</f>
        <v>46229</v>
      </c>
      <c r="M3501" s="126">
        <f>base[[#This Row],[L/P Bruto]]-base[[#This Row],[L/P Líquido]]</f>
        <v>0</v>
      </c>
      <c r="N3501" s="126">
        <f>base[[#This Row],[L/P Líquido]]/base[[#This Row],[Stake/Responsabilidade]]</f>
        <v>-0.2538248725042499</v>
      </c>
      <c r="O3501" s="132">
        <f>IF(base[[#This Row],[L/P Líquido]]&gt;0,1,0)</f>
        <v>0</v>
      </c>
      <c r="P3501" s="132"/>
      <c r="Q3501" s="132" t="str">
        <f>LEFT(base[[#This Row],[Evento / Mercado]],FIND("vs",base[[#This Row],[Evento / Mercado]])-2)</f>
        <v>Fram Reykjavik</v>
      </c>
      <c r="R350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FH Hafnarfjördur</v>
      </c>
      <c r="S3501" s="132" t="str">
        <f>LEFT(base[[#This Row],[Evento / Mercado]],FIND("/",base[[#This Row],[Evento / Mercado]])-2)</f>
        <v>Fram Reykjavik vs FH Hafnarfjördur</v>
      </c>
    </row>
    <row r="3502" spans="2:19" ht="15" customHeight="1">
      <c r="B3502" s="128" t="s">
        <v>3436</v>
      </c>
      <c r="C3502" s="128" t="s">
        <v>2981</v>
      </c>
      <c r="D3502" s="129">
        <v>46229.754432870373</v>
      </c>
      <c r="E3502" s="130">
        <v>3.2</v>
      </c>
      <c r="F3502" s="136">
        <v>4.4999999999999998E-2</v>
      </c>
      <c r="G3502" s="126">
        <f t="shared" si="78"/>
        <v>3.3507853403141366</v>
      </c>
      <c r="H3502" s="126" t="s">
        <v>2817</v>
      </c>
      <c r="I3502" s="127" t="s">
        <v>2992</v>
      </c>
      <c r="J3502" s="126">
        <v>5.2</v>
      </c>
      <c r="K3502" s="126">
        <v>100</v>
      </c>
      <c r="L3502" s="129">
        <f>INT(base[[#This Row],[Data de liquidação]])</f>
        <v>46229</v>
      </c>
      <c r="M3502" s="126">
        <f>base[[#This Row],[L/P Bruto]]-base[[#This Row],[L/P Líquido]]</f>
        <v>0.15078534031413637</v>
      </c>
      <c r="N3502" s="126">
        <f>base[[#This Row],[L/P Líquido]]/base[[#This Row],[Stake/Responsabilidade]]</f>
        <v>3.2000000000000001E-2</v>
      </c>
      <c r="O3502" s="132">
        <f>IF(base[[#This Row],[L/P Líquido]]&gt;0,1,0)</f>
        <v>1</v>
      </c>
      <c r="P3502" s="132"/>
      <c r="Q3502" s="132" t="str">
        <f>LEFT(base[[#This Row],[Evento / Mercado]],FIND("vs",base[[#This Row],[Evento / Mercado]])-2)</f>
        <v>Fram Reykjavik</v>
      </c>
      <c r="R350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FH Hafnarfjördur</v>
      </c>
      <c r="S3502" s="132" t="str">
        <f>LEFT(base[[#This Row],[Evento / Mercado]],FIND("/",base[[#This Row],[Evento / Mercado]])-2)</f>
        <v>Fram Reykjavik vs FH Hafnarfjördur</v>
      </c>
    </row>
    <row r="3503" spans="2:19" ht="15" customHeight="1">
      <c r="B3503" s="128" t="s">
        <v>3435</v>
      </c>
      <c r="C3503" s="128" t="s">
        <v>2982</v>
      </c>
      <c r="D3503" s="129">
        <v>46229.823611111111</v>
      </c>
      <c r="E3503" s="130">
        <v>21.41</v>
      </c>
      <c r="F3503" s="136">
        <v>4.4999999999999998E-2</v>
      </c>
      <c r="G3503" s="126">
        <f t="shared" si="78"/>
        <v>22.418848167539267</v>
      </c>
      <c r="H3503" s="126" t="s">
        <v>2821</v>
      </c>
      <c r="I3503" s="127" t="s">
        <v>542</v>
      </c>
      <c r="J3503" s="126">
        <v>17.5</v>
      </c>
      <c r="K3503" s="126">
        <v>369.93</v>
      </c>
      <c r="L3503" s="129">
        <f>INT(base[[#This Row],[Data de liquidação]])</f>
        <v>46229</v>
      </c>
      <c r="M3503" s="126">
        <f>base[[#This Row],[L/P Bruto]]-base[[#This Row],[L/P Líquido]]</f>
        <v>1.0088481675392664</v>
      </c>
      <c r="N3503" s="126">
        <f>base[[#This Row],[L/P Líquido]]/base[[#This Row],[Stake/Responsabilidade]]</f>
        <v>5.7875814343254131E-2</v>
      </c>
      <c r="O3503" s="132">
        <f>IF(base[[#This Row],[L/P Líquido]]&gt;0,1,0)</f>
        <v>1</v>
      </c>
      <c r="P3503" s="132"/>
      <c r="Q3503" s="132" t="str">
        <f>LEFT(base[[#This Row],[Evento / Mercado]],FIND("vs",base[[#This Row],[Evento / Mercado]])-2)</f>
        <v>Orense SC</v>
      </c>
      <c r="R350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Independiente del Valle</v>
      </c>
      <c r="S3503" s="132" t="str">
        <f>LEFT(base[[#This Row],[Evento / Mercado]],FIND("/",base[[#This Row],[Evento / Mercado]])-2)</f>
        <v>Orense SC vs Independiente del Valle</v>
      </c>
    </row>
    <row r="3504" spans="2:19" ht="15" customHeight="1">
      <c r="B3504" s="128" t="s">
        <v>3434</v>
      </c>
      <c r="C3504" s="128" t="s">
        <v>2982</v>
      </c>
      <c r="D3504" s="129">
        <v>46229.824479166666</v>
      </c>
      <c r="E3504" s="130">
        <v>78.19</v>
      </c>
      <c r="F3504" s="136">
        <v>4.4999999999999998E-2</v>
      </c>
      <c r="G3504" s="126">
        <f t="shared" si="78"/>
        <v>81.874345549738223</v>
      </c>
      <c r="H3504" s="126" t="s">
        <v>231</v>
      </c>
      <c r="I3504" s="127" t="s">
        <v>266</v>
      </c>
      <c r="J3504" s="126">
        <v>1.82</v>
      </c>
      <c r="K3504" s="126">
        <v>99.85</v>
      </c>
      <c r="L3504" s="129">
        <f>INT(base[[#This Row],[Data de liquidação]])</f>
        <v>46229</v>
      </c>
      <c r="M3504" s="126">
        <f>base[[#This Row],[L/P Bruto]]-base[[#This Row],[L/P Líquido]]</f>
        <v>3.6843455497382251</v>
      </c>
      <c r="N3504" s="126">
        <f>base[[#This Row],[L/P Líquido]]/base[[#This Row],[Stake/Responsabilidade]]</f>
        <v>0.78307461191787686</v>
      </c>
      <c r="O3504" s="132">
        <f>IF(base[[#This Row],[L/P Líquido]]&gt;0,1,0)</f>
        <v>1</v>
      </c>
      <c r="P3504" s="132"/>
      <c r="Q3504" s="132" t="str">
        <f>LEFT(base[[#This Row],[Evento / Mercado]],FIND("vs",base[[#This Row],[Evento / Mercado]])-2)</f>
        <v>Audax Italiano</v>
      </c>
      <c r="R350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de Chile</v>
      </c>
      <c r="S3504" s="132" t="str">
        <f>LEFT(base[[#This Row],[Evento / Mercado]],FIND("/",base[[#This Row],[Evento / Mercado]])-2)</f>
        <v>Audax Italiano vs Universidad de Chile</v>
      </c>
    </row>
    <row r="3505" spans="2:21" ht="15" customHeight="1">
      <c r="B3505" s="128" t="s">
        <v>3433</v>
      </c>
      <c r="C3505" s="128" t="s">
        <v>2982</v>
      </c>
      <c r="D3505" s="129">
        <v>46229.852916666663</v>
      </c>
      <c r="E3505" s="130">
        <v>-29.26</v>
      </c>
      <c r="F3505" s="136">
        <v>4.4999999999999998E-2</v>
      </c>
      <c r="G3505" s="126">
        <f t="shared" si="78"/>
        <v>-29.26</v>
      </c>
      <c r="H3505" s="126" t="s">
        <v>3261</v>
      </c>
      <c r="I3505" s="127" t="s">
        <v>3213</v>
      </c>
      <c r="J3505" s="126">
        <f>(183.6*20+21*316.4)/base[[#This Row],[Stake/Responsabilidade]]</f>
        <v>20.6328</v>
      </c>
      <c r="K3505" s="126">
        <f>183.6+316.4</f>
        <v>500</v>
      </c>
      <c r="L3505" s="129">
        <f>INT(base[[#This Row],[Data de liquidação]])</f>
        <v>46229</v>
      </c>
      <c r="M3505" s="126">
        <f>base[[#This Row],[L/P Bruto]]-base[[#This Row],[L/P Líquido]]</f>
        <v>0</v>
      </c>
      <c r="N3505" s="126">
        <f>base[[#This Row],[L/P Líquido]]/base[[#This Row],[Stake/Responsabilidade]]</f>
        <v>-5.8520000000000003E-2</v>
      </c>
      <c r="O3505" s="132">
        <f>IF(base[[#This Row],[L/P Líquido]]&gt;0,1,0)</f>
        <v>0</v>
      </c>
      <c r="P3505" s="132"/>
      <c r="Q3505" s="132" t="str">
        <f>LEFT(base[[#This Row],[Evento / Mercado]],FIND("vs",base[[#This Row],[Evento / Mercado]])-2)</f>
        <v>Londrina</v>
      </c>
      <c r="R350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Gremio Novorizontino</v>
      </c>
      <c r="S3505" s="132" t="str">
        <f>LEFT(base[[#This Row],[Evento / Mercado]],FIND("/",base[[#This Row],[Evento / Mercado]])-2)</f>
        <v>Londrina vs Gremio Novorizontino</v>
      </c>
    </row>
    <row r="3506" spans="2:21" ht="15" customHeight="1">
      <c r="B3506" s="128" t="s">
        <v>3432</v>
      </c>
      <c r="C3506" s="128" t="s">
        <v>2982</v>
      </c>
      <c r="D3506" s="129">
        <v>46229.854710648149</v>
      </c>
      <c r="E3506" s="130">
        <v>9.74</v>
      </c>
      <c r="F3506" s="136">
        <v>4.4999999999999998E-2</v>
      </c>
      <c r="G3506" s="126">
        <f t="shared" si="78"/>
        <v>10.198952879581153</v>
      </c>
      <c r="H3506" s="127" t="s">
        <v>3304</v>
      </c>
      <c r="I3506" s="127"/>
      <c r="J3506" s="126">
        <v>50</v>
      </c>
      <c r="K3506" s="126">
        <v>499.8</v>
      </c>
      <c r="L3506" s="129">
        <f>INT(base[[#This Row],[Data de liquidação]])</f>
        <v>46229</v>
      </c>
      <c r="M3506" s="126">
        <f>base[[#This Row],[L/P Bruto]]-base[[#This Row],[L/P Líquido]]</f>
        <v>0.45895287958115283</v>
      </c>
      <c r="N3506" s="126">
        <f>base[[#This Row],[L/P Líquido]]/base[[#This Row],[Stake/Responsabilidade]]</f>
        <v>1.948779511804722E-2</v>
      </c>
      <c r="O3506" s="132">
        <f>IF(base[[#This Row],[L/P Líquido]]&gt;0,1,0)</f>
        <v>1</v>
      </c>
      <c r="P3506" s="132"/>
      <c r="Q3506" s="132" t="str">
        <f>LEFT(base[[#This Row],[Evento / Mercado]],FIND("vs",base[[#This Row],[Evento / Mercado]])-2)</f>
        <v>América-MG</v>
      </c>
      <c r="R350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Goiás EC</v>
      </c>
      <c r="S3506" s="132" t="str">
        <f>LEFT(base[[#This Row],[Evento / Mercado]],FIND("/",base[[#This Row],[Evento / Mercado]])-2)</f>
        <v>América-MG vs Goiás EC</v>
      </c>
    </row>
    <row r="3507" spans="2:21" ht="15" customHeight="1">
      <c r="B3507" s="128" t="s">
        <v>3430</v>
      </c>
      <c r="C3507" s="128" t="s">
        <v>2980</v>
      </c>
      <c r="D3507" s="129">
        <v>46229.855555555558</v>
      </c>
      <c r="E3507" s="130">
        <v>-299.99</v>
      </c>
      <c r="F3507" s="136">
        <v>4.4999999999999998E-2</v>
      </c>
      <c r="G3507" s="126">
        <f t="shared" si="78"/>
        <v>-299.99</v>
      </c>
      <c r="H3507" s="126" t="s">
        <v>2743</v>
      </c>
      <c r="I3507" s="127" t="s">
        <v>1233</v>
      </c>
      <c r="J3507" s="126">
        <v>4.5999999999999996</v>
      </c>
      <c r="K3507" s="126">
        <v>299.99</v>
      </c>
      <c r="L3507" s="129">
        <f>INT(base[[#This Row],[Data de liquidação]])</f>
        <v>46229</v>
      </c>
      <c r="M3507" s="126">
        <f>base[[#This Row],[L/P Bruto]]-base[[#This Row],[L/P Líquido]]</f>
        <v>0</v>
      </c>
      <c r="N3507" s="126">
        <f>base[[#This Row],[L/P Líquido]]/base[[#This Row],[Stake/Responsabilidade]]</f>
        <v>-1</v>
      </c>
      <c r="O3507" s="132">
        <f>IF(base[[#This Row],[L/P Líquido]]&gt;0,1,0)</f>
        <v>0</v>
      </c>
      <c r="P3507" s="132"/>
      <c r="Q3507" s="132" t="str">
        <f>LEFT(base[[#This Row],[Evento / Mercado]],FIND("vs",base[[#This Row],[Evento / Mercado]])-2)</f>
        <v>Flamengo</v>
      </c>
      <c r="R350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507" s="132" t="str">
        <f>LEFT(base[[#This Row],[Evento / Mercado]],FIND("/",base[[#This Row],[Evento / Mercado]])-2)</f>
        <v>Flamengo vs São Paulo</v>
      </c>
    </row>
    <row r="3508" spans="2:21" ht="15" customHeight="1">
      <c r="B3508" s="128" t="s">
        <v>3431</v>
      </c>
      <c r="C3508" s="128" t="s">
        <v>2980</v>
      </c>
      <c r="D3508" s="129">
        <v>46229.855555555558</v>
      </c>
      <c r="E3508" s="130">
        <v>286.47000000000003</v>
      </c>
      <c r="F3508" s="136">
        <v>4.4999999999999998E-2</v>
      </c>
      <c r="G3508" s="126">
        <f t="shared" si="78"/>
        <v>299.96858638743458</v>
      </c>
      <c r="H3508" s="126" t="s">
        <v>2743</v>
      </c>
      <c r="I3508" s="127" t="s">
        <v>2744</v>
      </c>
      <c r="J3508" s="126">
        <v>9.4</v>
      </c>
      <c r="K3508" s="126">
        <v>35.71</v>
      </c>
      <c r="L3508" s="129">
        <f>INT(base[[#This Row],[Data de liquidação]])</f>
        <v>46229</v>
      </c>
      <c r="M3508" s="126">
        <f>base[[#This Row],[L/P Bruto]]-base[[#This Row],[L/P Líquido]]</f>
        <v>13.498586387434557</v>
      </c>
      <c r="N3508" s="126">
        <f>base[[#This Row],[L/P Líquido]]/base[[#This Row],[Stake/Responsabilidade]]</f>
        <v>8.0221226547185669</v>
      </c>
      <c r="O3508" s="132">
        <f>IF(base[[#This Row],[L/P Líquido]]&gt;0,1,0)</f>
        <v>1</v>
      </c>
      <c r="P3508" s="132"/>
      <c r="Q3508" s="132" t="str">
        <f>LEFT(base[[#This Row],[Evento / Mercado]],FIND("vs",base[[#This Row],[Evento / Mercado]])-2)</f>
        <v>Flamengo</v>
      </c>
      <c r="R350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508" s="132" t="str">
        <f>LEFT(base[[#This Row],[Evento / Mercado]],FIND("/",base[[#This Row],[Evento / Mercado]])-2)</f>
        <v>Flamengo vs São Paulo</v>
      </c>
    </row>
    <row r="3509" spans="2:21" ht="15" customHeight="1">
      <c r="B3509" s="128" t="s">
        <v>3431</v>
      </c>
      <c r="C3509" s="128" t="s">
        <v>2981</v>
      </c>
      <c r="D3509" s="129">
        <v>46229.855706018519</v>
      </c>
      <c r="E3509" s="130">
        <v>14.98</v>
      </c>
      <c r="F3509" s="136">
        <v>4.4999999999999998E-2</v>
      </c>
      <c r="G3509" s="126">
        <f t="shared" si="78"/>
        <v>15.68586387434555</v>
      </c>
      <c r="H3509" s="126" t="s">
        <v>3261</v>
      </c>
      <c r="I3509" s="127" t="s">
        <v>3213</v>
      </c>
      <c r="J3509" s="126">
        <v>24</v>
      </c>
      <c r="K3509" s="126">
        <v>500.02</v>
      </c>
      <c r="L3509" s="129">
        <f>INT(base[[#This Row],[Data de liquidação]])</f>
        <v>46229</v>
      </c>
      <c r="M3509" s="126">
        <f>base[[#This Row],[L/P Bruto]]-base[[#This Row],[L/P Líquido]]</f>
        <v>0.70586387434554965</v>
      </c>
      <c r="N3509" s="126">
        <f>base[[#This Row],[L/P Líquido]]/base[[#This Row],[Stake/Responsabilidade]]</f>
        <v>2.9958801647934085E-2</v>
      </c>
      <c r="O3509" s="132">
        <f>IF(base[[#This Row],[L/P Líquido]]&gt;0,1,0)</f>
        <v>1</v>
      </c>
      <c r="P3509" s="132"/>
      <c r="Q3509" s="132" t="str">
        <f>LEFT(base[[#This Row],[Evento / Mercado]],FIND("vs",base[[#This Row],[Evento / Mercado]])-2)</f>
        <v>Flamengo</v>
      </c>
      <c r="R350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509" s="132" t="str">
        <f>LEFT(base[[#This Row],[Evento / Mercado]],FIND("/",base[[#This Row],[Evento / Mercado]])-2)</f>
        <v>Flamengo vs São Paulo</v>
      </c>
    </row>
    <row r="3510" spans="2:21" ht="15" customHeight="1">
      <c r="B3510" s="128" t="s">
        <v>3431</v>
      </c>
      <c r="C3510" s="128" t="s">
        <v>2982</v>
      </c>
      <c r="D3510" s="129">
        <v>46229.855717592596</v>
      </c>
      <c r="E3510" s="130">
        <v>13.790199999999999</v>
      </c>
      <c r="F3510" s="136">
        <v>4.4999999999999998E-2</v>
      </c>
      <c r="G3510" s="126">
        <f t="shared" si="78"/>
        <v>14.44</v>
      </c>
      <c r="H3510" s="126" t="s">
        <v>2821</v>
      </c>
      <c r="I3510" s="127" t="s">
        <v>476</v>
      </c>
      <c r="J3510" s="126">
        <v>28</v>
      </c>
      <c r="K3510" s="126">
        <v>389.88</v>
      </c>
      <c r="L3510" s="129">
        <f>INT(base[[#This Row],[Data de liquidação]])</f>
        <v>46229</v>
      </c>
      <c r="M3510" s="126">
        <f>base[[#This Row],[L/P Bruto]]-base[[#This Row],[L/P Líquido]]</f>
        <v>0.64980000000000082</v>
      </c>
      <c r="N3510" s="126">
        <f>base[[#This Row],[L/P Líquido]]/base[[#This Row],[Stake/Responsabilidade]]</f>
        <v>3.5370370370370365E-2</v>
      </c>
      <c r="O3510" s="132">
        <f>IF(base[[#This Row],[L/P Líquido]]&gt;0,1,0)</f>
        <v>1</v>
      </c>
      <c r="P3510" s="132"/>
      <c r="Q3510" s="132" t="str">
        <f>LEFT(base[[#This Row],[Evento / Mercado]],FIND("vs",base[[#This Row],[Evento / Mercado]])-2)</f>
        <v>Flamengo</v>
      </c>
      <c r="R351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510" s="132" t="str">
        <f>LEFT(base[[#This Row],[Evento / Mercado]],FIND("/",base[[#This Row],[Evento / Mercado]])-2)</f>
        <v>Flamengo vs São Paulo</v>
      </c>
      <c r="T3510" s="8">
        <v>14.44</v>
      </c>
      <c r="U3510" s="9">
        <f t="shared" ref="U3510:U3511" si="80">T3510*0.955</f>
        <v>13.790199999999999</v>
      </c>
    </row>
    <row r="3511" spans="2:21" ht="15" customHeight="1">
      <c r="B3511" s="128" t="s">
        <v>3431</v>
      </c>
      <c r="C3511" s="128" t="s">
        <v>2982</v>
      </c>
      <c r="D3511" s="129">
        <v>46229.855717592596</v>
      </c>
      <c r="E3511" s="130">
        <v>28.65</v>
      </c>
      <c r="F3511" s="136">
        <v>4.4999999999999998E-2</v>
      </c>
      <c r="G3511" s="126">
        <f t="shared" si="78"/>
        <v>30</v>
      </c>
      <c r="H3511" s="126" t="s">
        <v>2761</v>
      </c>
      <c r="I3511" s="127" t="s">
        <v>476</v>
      </c>
      <c r="J3511" s="126">
        <v>11</v>
      </c>
      <c r="K3511" s="126">
        <v>300</v>
      </c>
      <c r="L3511" s="129">
        <f>INT(base[[#This Row],[Data de liquidação]])</f>
        <v>46229</v>
      </c>
      <c r="M3511" s="126">
        <f>base[[#This Row],[L/P Bruto]]-base[[#This Row],[L/P Líquido]]</f>
        <v>1.3500000000000014</v>
      </c>
      <c r="N3511" s="126">
        <f>base[[#This Row],[L/P Líquido]]/base[[#This Row],[Stake/Responsabilidade]]</f>
        <v>9.5500000000000002E-2</v>
      </c>
      <c r="O3511" s="132">
        <f>IF(base[[#This Row],[L/P Líquido]]&gt;0,1,0)</f>
        <v>1</v>
      </c>
      <c r="P3511" s="132"/>
      <c r="Q3511" s="132" t="str">
        <f>LEFT(base[[#This Row],[Evento / Mercado]],FIND("vs",base[[#This Row],[Evento / Mercado]])-2)</f>
        <v>Flamengo</v>
      </c>
      <c r="R351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511" s="132" t="str">
        <f>LEFT(base[[#This Row],[Evento / Mercado]],FIND("/",base[[#This Row],[Evento / Mercado]])-2)</f>
        <v>Flamengo vs São Paulo</v>
      </c>
      <c r="T3511" s="8">
        <v>30</v>
      </c>
      <c r="U3511" s="9">
        <f t="shared" si="80"/>
        <v>28.65</v>
      </c>
    </row>
    <row r="3512" spans="2:21" ht="15" customHeight="1">
      <c r="B3512" s="128" t="s">
        <v>3430</v>
      </c>
      <c r="C3512" s="128" t="s">
        <v>2982</v>
      </c>
      <c r="D3512" s="129">
        <v>46229.855856481481</v>
      </c>
      <c r="E3512" s="130">
        <v>47.75</v>
      </c>
      <c r="F3512" s="136">
        <v>4.4999999999999998E-2</v>
      </c>
      <c r="G3512" s="126">
        <f t="shared" si="78"/>
        <v>50</v>
      </c>
      <c r="H3512" s="126" t="s">
        <v>145</v>
      </c>
      <c r="I3512" s="127" t="s">
        <v>301</v>
      </c>
      <c r="J3512" s="126">
        <v>8.8000000000000007</v>
      </c>
      <c r="K3512" s="126">
        <v>390</v>
      </c>
      <c r="L3512" s="129">
        <f>INT(base[[#This Row],[Data de liquidação]])</f>
        <v>46229</v>
      </c>
      <c r="M3512" s="126">
        <f>base[[#This Row],[L/P Bruto]]-base[[#This Row],[L/P Líquido]]</f>
        <v>2.25</v>
      </c>
      <c r="N3512" s="126">
        <f>base[[#This Row],[L/P Líquido]]/base[[#This Row],[Stake/Responsabilidade]]</f>
        <v>0.12243589743589743</v>
      </c>
      <c r="O3512" s="132">
        <f>IF(base[[#This Row],[L/P Líquido]]&gt;0,1,0)</f>
        <v>1</v>
      </c>
      <c r="P3512" s="132"/>
      <c r="Q3512" s="132" t="str">
        <f>LEFT(base[[#This Row],[Evento / Mercado]],FIND("vs",base[[#This Row],[Evento / Mercado]])-2)</f>
        <v>Flamengo</v>
      </c>
      <c r="R351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512" s="132" t="str">
        <f>LEFT(base[[#This Row],[Evento / Mercado]],FIND("/",base[[#This Row],[Evento / Mercado]])-2)</f>
        <v>Flamengo vs São Paulo</v>
      </c>
    </row>
    <row r="3513" spans="2:21" ht="15" customHeight="1">
      <c r="B3513" s="128" t="s">
        <v>3430</v>
      </c>
      <c r="C3513" s="128" t="s">
        <v>2981</v>
      </c>
      <c r="D3513" s="129">
        <v>46229.855856481481</v>
      </c>
      <c r="E3513" s="130">
        <v>9.74</v>
      </c>
      <c r="F3513" s="136">
        <v>4.4999999999999998E-2</v>
      </c>
      <c r="G3513" s="126">
        <f t="shared" si="78"/>
        <v>10.198952879581153</v>
      </c>
      <c r="H3513" s="126" t="s">
        <v>2817</v>
      </c>
      <c r="I3513" s="127" t="s">
        <v>2992</v>
      </c>
      <c r="J3513" s="126">
        <v>8.6</v>
      </c>
      <c r="K3513" s="126">
        <v>100.02</v>
      </c>
      <c r="L3513" s="129">
        <f>INT(base[[#This Row],[Data de liquidação]])</f>
        <v>46229</v>
      </c>
      <c r="M3513" s="126">
        <f>base[[#This Row],[L/P Bruto]]-base[[#This Row],[L/P Líquido]]</f>
        <v>0.45895287958115283</v>
      </c>
      <c r="N3513" s="126">
        <f>base[[#This Row],[L/P Líquido]]/base[[#This Row],[Stake/Responsabilidade]]</f>
        <v>9.7380523895220963E-2</v>
      </c>
      <c r="O3513" s="132">
        <f>IF(base[[#This Row],[L/P Líquido]]&gt;0,1,0)</f>
        <v>1</v>
      </c>
      <c r="P3513" s="132"/>
      <c r="Q3513" s="132" t="str">
        <f>LEFT(base[[#This Row],[Evento / Mercado]],FIND("vs",base[[#This Row],[Evento / Mercado]])-2)</f>
        <v>Flamengo</v>
      </c>
      <c r="R351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513" s="132" t="str">
        <f>LEFT(base[[#This Row],[Evento / Mercado]],FIND("/",base[[#This Row],[Evento / Mercado]])-2)</f>
        <v>Flamengo vs São Paulo</v>
      </c>
    </row>
    <row r="3514" spans="2:21" ht="15" customHeight="1">
      <c r="B3514" s="128" t="s">
        <v>3429</v>
      </c>
      <c r="C3514" s="128" t="s">
        <v>2980</v>
      </c>
      <c r="D3514" s="129">
        <v>46229.892361111109</v>
      </c>
      <c r="E3514" s="130">
        <v>-100</v>
      </c>
      <c r="F3514" s="136">
        <v>4.4999999999999998E-2</v>
      </c>
      <c r="G3514" s="126">
        <f t="shared" si="78"/>
        <v>-100</v>
      </c>
      <c r="H3514" s="126" t="s">
        <v>2714</v>
      </c>
      <c r="I3514" s="127" t="s">
        <v>2715</v>
      </c>
      <c r="J3514" s="126"/>
      <c r="K3514" s="126">
        <v>100</v>
      </c>
      <c r="L3514" s="129">
        <f>INT(base[[#This Row],[Data de liquidação]])</f>
        <v>46229</v>
      </c>
      <c r="M3514" s="126">
        <f>base[[#This Row],[L/P Bruto]]-base[[#This Row],[L/P Líquido]]</f>
        <v>0</v>
      </c>
      <c r="N3514" s="126">
        <f>base[[#This Row],[L/P Líquido]]/base[[#This Row],[Stake/Responsabilidade]]</f>
        <v>-1</v>
      </c>
      <c r="O3514" s="132">
        <f>IF(base[[#This Row],[L/P Líquido]]&gt;0,1,0)</f>
        <v>0</v>
      </c>
      <c r="P3514" s="132"/>
      <c r="Q3514" s="132" t="str">
        <f>LEFT(base[[#This Row],[Evento / Mercado]],FIND("vs",base[[#This Row],[Evento / Mercado]])-2)</f>
        <v>Palmeiras</v>
      </c>
      <c r="R351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3514" s="132" t="str">
        <f>LEFT(base[[#This Row],[Evento / Mercado]],FIND("/",base[[#This Row],[Evento / Mercado]])-2)</f>
        <v>Palmeiras vs Atlético Mineiro</v>
      </c>
    </row>
    <row r="3515" spans="2:21" ht="15" customHeight="1">
      <c r="B3515" s="128" t="s">
        <v>3429</v>
      </c>
      <c r="C3515" s="128" t="s">
        <v>2982</v>
      </c>
      <c r="D3515" s="129">
        <v>46229.89267361111</v>
      </c>
      <c r="E3515" s="130">
        <v>-41.67</v>
      </c>
      <c r="F3515" s="136">
        <v>4.4999999999999998E-2</v>
      </c>
      <c r="G3515" s="126">
        <f t="shared" si="78"/>
        <v>-41.67</v>
      </c>
      <c r="H3515" s="126" t="s">
        <v>2743</v>
      </c>
      <c r="I3515" s="127" t="s">
        <v>2744</v>
      </c>
      <c r="J3515" s="126">
        <v>8.1999999999999993</v>
      </c>
      <c r="K3515" s="126">
        <v>41.67</v>
      </c>
      <c r="L3515" s="129">
        <f>INT(base[[#This Row],[Data de liquidação]])</f>
        <v>46229</v>
      </c>
      <c r="M3515" s="126">
        <f>base[[#This Row],[L/P Bruto]]-base[[#This Row],[L/P Líquido]]</f>
        <v>0</v>
      </c>
      <c r="N3515" s="126">
        <f>base[[#This Row],[L/P Líquido]]/base[[#This Row],[Stake/Responsabilidade]]</f>
        <v>-1</v>
      </c>
      <c r="O3515" s="132">
        <f>IF(base[[#This Row],[L/P Líquido]]&gt;0,1,0)</f>
        <v>0</v>
      </c>
      <c r="P3515" s="132"/>
      <c r="Q3515" s="132" t="str">
        <f>LEFT(base[[#This Row],[Evento / Mercado]],FIND("vs",base[[#This Row],[Evento / Mercado]])-2)</f>
        <v>Palmeiras</v>
      </c>
      <c r="R351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3515" s="132" t="str">
        <f>LEFT(base[[#This Row],[Evento / Mercado]],FIND("/",base[[#This Row],[Evento / Mercado]])-2)</f>
        <v>Palmeiras vs Atlético Mineiro</v>
      </c>
    </row>
    <row r="3516" spans="2:21" ht="15" customHeight="1">
      <c r="B3516" s="128" t="s">
        <v>3429</v>
      </c>
      <c r="C3516" s="128" t="s">
        <v>2981</v>
      </c>
      <c r="D3516" s="129">
        <v>46229.89267361111</v>
      </c>
      <c r="E3516" s="130">
        <v>22.24</v>
      </c>
      <c r="F3516" s="136">
        <v>4.4999999999999998E-2</v>
      </c>
      <c r="G3516" s="126">
        <f t="shared" si="78"/>
        <v>23.287958115183244</v>
      </c>
      <c r="H3516" s="126" t="s">
        <v>2761</v>
      </c>
      <c r="I3516" s="127" t="s">
        <v>476</v>
      </c>
      <c r="J3516" s="126">
        <f>(15*22.26+15.5*308.71)/base[[#This Row],[Stake/Responsabilidade]]</f>
        <v>15.466371574462944</v>
      </c>
      <c r="K3516" s="126">
        <f>22.26+308.71</f>
        <v>330.96999999999997</v>
      </c>
      <c r="L3516" s="129">
        <f>INT(base[[#This Row],[Data de liquidação]])</f>
        <v>46229</v>
      </c>
      <c r="M3516" s="126">
        <f>base[[#This Row],[L/P Bruto]]-base[[#This Row],[L/P Líquido]]</f>
        <v>1.0479581151832456</v>
      </c>
      <c r="N3516" s="126">
        <f>base[[#This Row],[L/P Líquido]]/base[[#This Row],[Stake/Responsabilidade]]</f>
        <v>6.7196422636492739E-2</v>
      </c>
      <c r="O3516" s="132">
        <f>IF(base[[#This Row],[L/P Líquido]]&gt;0,1,0)</f>
        <v>1</v>
      </c>
      <c r="P3516" s="132"/>
      <c r="Q3516" s="132" t="str">
        <f>LEFT(base[[#This Row],[Evento / Mercado]],FIND("vs",base[[#This Row],[Evento / Mercado]])-2)</f>
        <v>Palmeiras</v>
      </c>
      <c r="R351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3516" s="132" t="str">
        <f>LEFT(base[[#This Row],[Evento / Mercado]],FIND("/",base[[#This Row],[Evento / Mercado]])-2)</f>
        <v>Palmeiras vs Atlético Mineiro</v>
      </c>
    </row>
    <row r="3517" spans="2:21" ht="15" customHeight="1">
      <c r="B3517" s="128" t="s">
        <v>3428</v>
      </c>
      <c r="C3517" s="128" t="s">
        <v>2982</v>
      </c>
      <c r="D3517" s="129">
        <v>46229.892812500002</v>
      </c>
      <c r="E3517" s="130">
        <v>-9.7899999999999991</v>
      </c>
      <c r="F3517" s="136">
        <v>4.4999999999999998E-2</v>
      </c>
      <c r="G3517" s="126">
        <f t="shared" si="78"/>
        <v>-9.7899999999999991</v>
      </c>
      <c r="H3517" s="126" t="s">
        <v>2743</v>
      </c>
      <c r="I3517" s="127" t="s">
        <v>1233</v>
      </c>
      <c r="J3517" s="126">
        <v>3.95</v>
      </c>
      <c r="K3517" s="126">
        <v>299.99</v>
      </c>
      <c r="L3517" s="129">
        <f>INT(base[[#This Row],[Data de liquidação]])</f>
        <v>46229</v>
      </c>
      <c r="M3517" s="126">
        <f>base[[#This Row],[L/P Bruto]]-base[[#This Row],[L/P Líquido]]</f>
        <v>0</v>
      </c>
      <c r="N3517" s="126">
        <f>base[[#This Row],[L/P Líquido]]/base[[#This Row],[Stake/Responsabilidade]]</f>
        <v>-3.2634421147371577E-2</v>
      </c>
      <c r="O3517" s="132">
        <f>IF(base[[#This Row],[L/P Líquido]]&gt;0,1,0)</f>
        <v>0</v>
      </c>
      <c r="P3517" s="132"/>
      <c r="Q3517" s="132" t="str">
        <f>LEFT(base[[#This Row],[Evento / Mercado]],FIND("vs",base[[#This Row],[Evento / Mercado]])-2)</f>
        <v>Palmeiras</v>
      </c>
      <c r="R351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3517" s="132" t="str">
        <f>LEFT(base[[#This Row],[Evento / Mercado]],FIND("/",base[[#This Row],[Evento / Mercado]])-2)</f>
        <v>Palmeiras vs Atlético Mineiro</v>
      </c>
    </row>
    <row r="3518" spans="2:21" ht="15" customHeight="1">
      <c r="B3518" s="128" t="s">
        <v>3428</v>
      </c>
      <c r="C3518" s="128" t="s">
        <v>2981</v>
      </c>
      <c r="D3518" s="129">
        <v>46229.892812500002</v>
      </c>
      <c r="E3518" s="130">
        <v>-200</v>
      </c>
      <c r="F3518" s="136">
        <v>4.4999999999999998E-2</v>
      </c>
      <c r="G3518" s="126">
        <f t="shared" si="78"/>
        <v>-200</v>
      </c>
      <c r="H3518" s="126" t="s">
        <v>2817</v>
      </c>
      <c r="I3518" s="127" t="s">
        <v>2992</v>
      </c>
      <c r="J3518" s="126">
        <f>(6.8+2.12)/2</f>
        <v>4.46</v>
      </c>
      <c r="K3518" s="126">
        <v>200</v>
      </c>
      <c r="L3518" s="129">
        <f>INT(base[[#This Row],[Data de liquidação]])</f>
        <v>46229</v>
      </c>
      <c r="M3518" s="126">
        <f>base[[#This Row],[L/P Bruto]]-base[[#This Row],[L/P Líquido]]</f>
        <v>0</v>
      </c>
      <c r="N3518" s="126">
        <f>base[[#This Row],[L/P Líquido]]/base[[#This Row],[Stake/Responsabilidade]]</f>
        <v>-1</v>
      </c>
      <c r="O3518" s="132">
        <f>IF(base[[#This Row],[L/P Líquido]]&gt;0,1,0)</f>
        <v>0</v>
      </c>
      <c r="P3518" s="132"/>
      <c r="Q3518" s="132" t="str">
        <f>LEFT(base[[#This Row],[Evento / Mercado]],FIND("vs",base[[#This Row],[Evento / Mercado]])-2)</f>
        <v>Palmeiras</v>
      </c>
      <c r="R351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3518" s="132" t="str">
        <f>LEFT(base[[#This Row],[Evento / Mercado]],FIND("/",base[[#This Row],[Evento / Mercado]])-2)</f>
        <v>Palmeiras vs Atlético Mineiro</v>
      </c>
    </row>
    <row r="3519" spans="2:21" ht="15" customHeight="1">
      <c r="B3519" s="128" t="s">
        <v>3427</v>
      </c>
      <c r="C3519" s="128" t="s">
        <v>2982</v>
      </c>
      <c r="D3519" s="129">
        <v>46229.892916666664</v>
      </c>
      <c r="E3519" s="130">
        <v>-22.95</v>
      </c>
      <c r="F3519" s="136">
        <v>4.4999999999999998E-2</v>
      </c>
      <c r="G3519" s="126">
        <f t="shared" si="78"/>
        <v>-22.95</v>
      </c>
      <c r="H3519" s="127" t="s">
        <v>3304</v>
      </c>
      <c r="I3519" s="127"/>
      <c r="J3519" s="126">
        <v>24</v>
      </c>
      <c r="K3519" s="126">
        <v>500.02</v>
      </c>
      <c r="L3519" s="129">
        <f>INT(base[[#This Row],[Data de liquidação]])</f>
        <v>46229</v>
      </c>
      <c r="M3519" s="126">
        <f>base[[#This Row],[L/P Bruto]]-base[[#This Row],[L/P Líquido]]</f>
        <v>0</v>
      </c>
      <c r="N3519" s="126">
        <f>base[[#This Row],[L/P Líquido]]/base[[#This Row],[Stake/Responsabilidade]]</f>
        <v>-4.589816407343706E-2</v>
      </c>
      <c r="O3519" s="132">
        <f>IF(base[[#This Row],[L/P Líquido]]&gt;0,1,0)</f>
        <v>0</v>
      </c>
      <c r="P3519" s="132"/>
      <c r="Q3519" s="132" t="str">
        <f>LEFT(base[[#This Row],[Evento / Mercado]],FIND("vs",base[[#This Row],[Evento / Mercado]])-2)</f>
        <v>Clube do Remo</v>
      </c>
      <c r="R351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519" s="132" t="str">
        <f>LEFT(base[[#This Row],[Evento / Mercado]],FIND("/",base[[#This Row],[Evento / Mercado]])-2)</f>
        <v>Clube do Remo vs EC Vitória</v>
      </c>
    </row>
    <row r="3520" spans="2:21" ht="15" customHeight="1">
      <c r="B3520" s="128" t="s">
        <v>3426</v>
      </c>
      <c r="C3520" s="128" t="s">
        <v>2982</v>
      </c>
      <c r="D3520" s="129">
        <v>46229.921064814815</v>
      </c>
      <c r="E3520" s="130">
        <v>19.89</v>
      </c>
      <c r="F3520" s="136">
        <v>4.4999999999999998E-2</v>
      </c>
      <c r="G3520" s="126">
        <f t="shared" si="78"/>
        <v>20.827225130890053</v>
      </c>
      <c r="H3520" s="127" t="s">
        <v>3304</v>
      </c>
      <c r="I3520" s="127"/>
      <c r="J3520" s="126">
        <v>25</v>
      </c>
      <c r="K3520" s="126">
        <v>499.92</v>
      </c>
      <c r="L3520" s="129">
        <f>INT(base[[#This Row],[Data de liquidação]])</f>
        <v>46229</v>
      </c>
      <c r="M3520" s="126">
        <f>base[[#This Row],[L/P Bruto]]-base[[#This Row],[L/P Líquido]]</f>
        <v>0.93722513089005233</v>
      </c>
      <c r="N3520" s="126">
        <f>base[[#This Row],[L/P Líquido]]/base[[#This Row],[Stake/Responsabilidade]]</f>
        <v>3.9786365818530962E-2</v>
      </c>
      <c r="O3520" s="132">
        <f>IF(base[[#This Row],[L/P Líquido]]&gt;0,1,0)</f>
        <v>1</v>
      </c>
      <c r="P3520" s="132"/>
      <c r="Q3520" s="132" t="str">
        <f>LEFT(base[[#This Row],[Evento / Mercado]],FIND("vs",base[[#This Row],[Evento / Mercado]])-2)</f>
        <v>Alianza FC Valledupar</v>
      </c>
      <c r="R352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FC</v>
      </c>
      <c r="S3520" s="132" t="str">
        <f>LEFT(base[[#This Row],[Evento / Mercado]],FIND("/",base[[#This Row],[Evento / Mercado]])-2)</f>
        <v>Alianza FC Valledupar vs Fortaleza FC</v>
      </c>
    </row>
    <row r="3521" spans="2:19" ht="15" customHeight="1">
      <c r="B3521" s="128" t="s">
        <v>3425</v>
      </c>
      <c r="C3521" s="128" t="s">
        <v>2982</v>
      </c>
      <c r="D3521" s="129">
        <v>46229.977789351855</v>
      </c>
      <c r="E3521" s="130">
        <v>4.24</v>
      </c>
      <c r="F3521" s="136">
        <v>4.4999999999999998E-2</v>
      </c>
      <c r="G3521" s="126">
        <f t="shared" si="78"/>
        <v>4.4397905759162306</v>
      </c>
      <c r="H3521" s="126" t="s">
        <v>1339</v>
      </c>
      <c r="I3521" s="127" t="s">
        <v>1430</v>
      </c>
      <c r="J3521" s="126">
        <v>28</v>
      </c>
      <c r="K3521" s="126">
        <v>119.88</v>
      </c>
      <c r="L3521" s="129">
        <f>INT(base[[#This Row],[Data de liquidação]])</f>
        <v>46229</v>
      </c>
      <c r="M3521" s="126">
        <f>base[[#This Row],[L/P Bruto]]-base[[#This Row],[L/P Líquido]]</f>
        <v>0.1997905759162304</v>
      </c>
      <c r="N3521" s="126">
        <f>base[[#This Row],[L/P Líquido]]/base[[#This Row],[Stake/Responsabilidade]]</f>
        <v>3.5368702035368703E-2</v>
      </c>
      <c r="O3521" s="132">
        <f>IF(base[[#This Row],[L/P Líquido]]&gt;0,1,0)</f>
        <v>1</v>
      </c>
      <c r="P3521" s="132"/>
      <c r="Q3521" s="132" t="str">
        <f>LEFT(base[[#This Row],[Evento / Mercado]],FIND("vs",base[[#This Row],[Evento / Mercado]])-2)</f>
        <v>Deportes Concepción</v>
      </c>
      <c r="R352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3521" s="132" t="str">
        <f>LEFT(base[[#This Row],[Evento / Mercado]],FIND("/",base[[#This Row],[Evento / Mercado]])-2)</f>
        <v>Deportes Concepción vs O'Higgins</v>
      </c>
    </row>
    <row r="3522" spans="2:19" ht="15" customHeight="1">
      <c r="B3522" s="128" t="s">
        <v>3474</v>
      </c>
      <c r="C3522" s="128" t="s">
        <v>2982</v>
      </c>
      <c r="D3522" s="129">
        <v>46230.662164351852</v>
      </c>
      <c r="E3522" s="130">
        <v>16.239999999999998</v>
      </c>
      <c r="F3522" s="136">
        <v>4.4999999999999998E-2</v>
      </c>
      <c r="G3522" s="126">
        <f t="shared" si="78"/>
        <v>17.005235602094238</v>
      </c>
      <c r="H3522" s="126" t="s">
        <v>2821</v>
      </c>
      <c r="I3522" s="127" t="s">
        <v>476</v>
      </c>
      <c r="J3522" s="126">
        <f>(25*384+17*16)/base[[#This Row],[Stake/Responsabilidade]]</f>
        <v>24.68</v>
      </c>
      <c r="K3522" s="126">
        <v>400</v>
      </c>
      <c r="L3522" s="129">
        <f>INT(base[[#This Row],[Data de liquidação]])</f>
        <v>46230</v>
      </c>
      <c r="M3522" s="126">
        <f>base[[#This Row],[L/P Bruto]]-base[[#This Row],[L/P Líquido]]</f>
        <v>0.76523560209423991</v>
      </c>
      <c r="N3522" s="126">
        <f>base[[#This Row],[L/P Líquido]]/base[[#This Row],[Stake/Responsabilidade]]</f>
        <v>4.0599999999999997E-2</v>
      </c>
      <c r="O3522" s="132">
        <f>IF(base[[#This Row],[L/P Líquido]]&gt;0,1,0)</f>
        <v>1</v>
      </c>
      <c r="P3522" s="132"/>
      <c r="Q3522" s="132" t="str">
        <f>LEFT(base[[#This Row],[Evento / Mercado]],FIND("vs",base[[#This Row],[Evento / Mercado]])-2)</f>
        <v>BK Häcken</v>
      </c>
      <c r="R352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AIK</v>
      </c>
      <c r="S3522" s="132" t="str">
        <f>LEFT(base[[#This Row],[Evento / Mercado]],FIND("/",base[[#This Row],[Evento / Mercado]])-2)</f>
        <v>BK Häcken vs AIK</v>
      </c>
    </row>
    <row r="3523" spans="2:19" ht="15" customHeight="1">
      <c r="B3523" s="128" t="s">
        <v>3473</v>
      </c>
      <c r="C3523" s="128" t="s">
        <v>2982</v>
      </c>
      <c r="D3523" s="129">
        <v>46230.662361111114</v>
      </c>
      <c r="E3523" s="130">
        <v>14.04</v>
      </c>
      <c r="F3523" s="136">
        <v>4.4999999999999998E-2</v>
      </c>
      <c r="G3523" s="126">
        <f t="shared" ref="G3523:G3547" si="81">IF(E3523&gt;0,E3523/(1-F3523),E3523)</f>
        <v>14.701570680628272</v>
      </c>
      <c r="H3523" s="126" t="s">
        <v>2817</v>
      </c>
      <c r="I3523" s="127" t="s">
        <v>2993</v>
      </c>
      <c r="J3523" s="126">
        <v>3.9</v>
      </c>
      <c r="K3523" s="126">
        <v>99.99</v>
      </c>
      <c r="L3523" s="129">
        <f>INT(base[[#This Row],[Data de liquidação]])</f>
        <v>46230</v>
      </c>
      <c r="M3523" s="126">
        <f>base[[#This Row],[L/P Bruto]]-base[[#This Row],[L/P Líquido]]</f>
        <v>0.66157068062827307</v>
      </c>
      <c r="N3523" s="126">
        <f>base[[#This Row],[L/P Líquido]]/base[[#This Row],[Stake/Responsabilidade]]</f>
        <v>0.14041404140414041</v>
      </c>
      <c r="O3523" s="132">
        <f>IF(base[[#This Row],[L/P Líquido]]&gt;0,1,0)</f>
        <v>1</v>
      </c>
      <c r="P3523" s="132"/>
      <c r="Q3523" s="132" t="str">
        <f>LEFT(base[[#This Row],[Evento / Mercado]],FIND("vs",base[[#This Row],[Evento / Mercado]])-2)</f>
        <v>BK Häcken</v>
      </c>
      <c r="R352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AIK</v>
      </c>
      <c r="S3523" s="132" t="str">
        <f>LEFT(base[[#This Row],[Evento / Mercado]],FIND("/",base[[#This Row],[Evento / Mercado]])-2)</f>
        <v>BK Häcken vs AIK</v>
      </c>
    </row>
    <row r="3524" spans="2:19" ht="15" customHeight="1">
      <c r="B3524" s="128" t="s">
        <v>3472</v>
      </c>
      <c r="C3524" s="128" t="s">
        <v>2982</v>
      </c>
      <c r="D3524" s="129">
        <v>46230.663032407407</v>
      </c>
      <c r="E3524" s="130">
        <v>11.14</v>
      </c>
      <c r="F3524" s="136">
        <v>4.4999999999999998E-2</v>
      </c>
      <c r="G3524" s="126">
        <f t="shared" si="81"/>
        <v>11.664921465968588</v>
      </c>
      <c r="H3524" s="126" t="s">
        <v>2817</v>
      </c>
      <c r="I3524" s="127" t="s">
        <v>2993</v>
      </c>
      <c r="J3524" s="126">
        <v>6.6</v>
      </c>
      <c r="K3524" s="126">
        <v>100.02</v>
      </c>
      <c r="L3524" s="129">
        <f>INT(base[[#This Row],[Data de liquidação]])</f>
        <v>46230</v>
      </c>
      <c r="M3524" s="126">
        <f>base[[#This Row],[L/P Bruto]]-base[[#This Row],[L/P Líquido]]</f>
        <v>0.52492146596858724</v>
      </c>
      <c r="N3524" s="126">
        <f>base[[#This Row],[L/P Líquido]]/base[[#This Row],[Stake/Responsabilidade]]</f>
        <v>0.11137772445510899</v>
      </c>
      <c r="O3524" s="132">
        <f>IF(base[[#This Row],[L/P Líquido]]&gt;0,1,0)</f>
        <v>1</v>
      </c>
      <c r="P3524" s="132"/>
      <c r="Q3524" s="132" t="str">
        <f>LEFT(base[[#This Row],[Evento / Mercado]],FIND("vs",base[[#This Row],[Evento / Mercado]])-2)</f>
        <v>Rosenborg BK</v>
      </c>
      <c r="R352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Fredrikstad</v>
      </c>
      <c r="S3524" s="132" t="str">
        <f>LEFT(base[[#This Row],[Evento / Mercado]],FIND("/",base[[#This Row],[Evento / Mercado]])-2)</f>
        <v>Rosenborg BK vs Fredrikstad</v>
      </c>
    </row>
    <row r="3525" spans="2:19" ht="15" customHeight="1">
      <c r="B3525" s="128" t="s">
        <v>3471</v>
      </c>
      <c r="C3525" s="128" t="s">
        <v>2982</v>
      </c>
      <c r="D3525" s="129">
        <v>46230.664201388892</v>
      </c>
      <c r="E3525" s="130">
        <v>26.39</v>
      </c>
      <c r="F3525" s="136">
        <v>4.4999999999999998E-2</v>
      </c>
      <c r="G3525" s="126">
        <f t="shared" si="81"/>
        <v>27.633507853403142</v>
      </c>
      <c r="H3525" s="126" t="s">
        <v>74</v>
      </c>
      <c r="I3525" s="127" t="s">
        <v>541</v>
      </c>
      <c r="J3525" s="126">
        <v>14.5</v>
      </c>
      <c r="K3525" s="126">
        <v>373.01</v>
      </c>
      <c r="L3525" s="129">
        <f>INT(base[[#This Row],[Data de liquidação]])</f>
        <v>46230</v>
      </c>
      <c r="M3525" s="126">
        <f>base[[#This Row],[L/P Bruto]]-base[[#This Row],[L/P Líquido]]</f>
        <v>1.2435078534031412</v>
      </c>
      <c r="N3525" s="126">
        <f>base[[#This Row],[L/P Líquido]]/base[[#This Row],[Stake/Responsabilidade]]</f>
        <v>7.0748773491327313E-2</v>
      </c>
      <c r="O3525" s="132">
        <f>IF(base[[#This Row],[L/P Líquido]]&gt;0,1,0)</f>
        <v>1</v>
      </c>
      <c r="P3525" s="132"/>
      <c r="Q3525" s="132" t="str">
        <f>LEFT(base[[#This Row],[Evento / Mercado]],FIND("vs",base[[#This Row],[Evento / Mercado]])-2)</f>
        <v>Östers IF</v>
      </c>
      <c r="R352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Varbergs BoIS</v>
      </c>
      <c r="S3525" s="132" t="str">
        <f>LEFT(base[[#This Row],[Evento / Mercado]],FIND("/",base[[#This Row],[Evento / Mercado]])-2)</f>
        <v>Östers IF vs Varbergs BoIS</v>
      </c>
    </row>
    <row r="3526" spans="2:19" ht="15" customHeight="1">
      <c r="B3526" s="128" t="s">
        <v>3470</v>
      </c>
      <c r="C3526" s="128" t="s">
        <v>2982</v>
      </c>
      <c r="D3526" s="129">
        <v>46230.683171296296</v>
      </c>
      <c r="E3526" s="130">
        <v>-4.55</v>
      </c>
      <c r="F3526" s="136">
        <v>4.4999999999999998E-2</v>
      </c>
      <c r="G3526" s="126">
        <f t="shared" si="81"/>
        <v>-4.55</v>
      </c>
      <c r="H3526" s="126" t="s">
        <v>3051</v>
      </c>
      <c r="I3526" s="127"/>
      <c r="J3526" s="126">
        <v>1.2</v>
      </c>
      <c r="K3526" s="126">
        <v>50</v>
      </c>
      <c r="L3526" s="129">
        <f>INT(base[[#This Row],[Data de liquidação]])</f>
        <v>46230</v>
      </c>
      <c r="M3526" s="126">
        <f>base[[#This Row],[L/P Bruto]]-base[[#This Row],[L/P Líquido]]</f>
        <v>0</v>
      </c>
      <c r="N3526" s="126">
        <f>base[[#This Row],[L/P Líquido]]/base[[#This Row],[Stake/Responsabilidade]]</f>
        <v>-9.0999999999999998E-2</v>
      </c>
      <c r="O3526" s="132">
        <f>IF(base[[#This Row],[L/P Líquido]]&gt;0,1,0)</f>
        <v>0</v>
      </c>
      <c r="P3526" s="132"/>
      <c r="Q3526" s="132" t="str">
        <f>LEFT(base[[#This Row],[Evento / Mercado]],FIND("vs",base[[#This Row],[Evento / Mercado]])-2)</f>
        <v>MTK Budapest</v>
      </c>
      <c r="R352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Zalaegerszegi TE</v>
      </c>
      <c r="S3526" s="132" t="str">
        <f>LEFT(base[[#This Row],[Evento / Mercado]],FIND("/",base[[#This Row],[Evento / Mercado]])-2)</f>
        <v>MTK Budapest vs Zalaegerszegi TE</v>
      </c>
    </row>
    <row r="3527" spans="2:19" ht="15" customHeight="1">
      <c r="B3527" s="128" t="s">
        <v>3469</v>
      </c>
      <c r="C3527" s="128" t="s">
        <v>2982</v>
      </c>
      <c r="D3527" s="129">
        <v>46230.704675925925</v>
      </c>
      <c r="E3527" s="130">
        <v>31.83</v>
      </c>
      <c r="F3527" s="136">
        <v>4.4999999999999998E-2</v>
      </c>
      <c r="G3527" s="126">
        <f t="shared" si="81"/>
        <v>33.329842931937172</v>
      </c>
      <c r="H3527" s="126" t="s">
        <v>2761</v>
      </c>
      <c r="I3527" s="127" t="s">
        <v>476</v>
      </c>
      <c r="J3527" s="126">
        <v>11.5</v>
      </c>
      <c r="K3527" s="126">
        <v>349.97</v>
      </c>
      <c r="L3527" s="129">
        <f>INT(base[[#This Row],[Data de liquidação]])</f>
        <v>46230</v>
      </c>
      <c r="M3527" s="126">
        <f>base[[#This Row],[L/P Bruto]]-base[[#This Row],[L/P Líquido]]</f>
        <v>1.4998429319371738</v>
      </c>
      <c r="N3527" s="126">
        <f>base[[#This Row],[L/P Líquido]]/base[[#This Row],[Stake/Responsabilidade]]</f>
        <v>9.0950652913106819E-2</v>
      </c>
      <c r="O3527" s="132">
        <f>IF(base[[#This Row],[L/P Líquido]]&gt;0,1,0)</f>
        <v>1</v>
      </c>
      <c r="P3527" s="132"/>
      <c r="Q3527" s="132" t="str">
        <f>LEFT(base[[#This Row],[Evento / Mercado]],FIND("vs",base[[#This Row],[Evento / Mercado]])-2)</f>
        <v>Breidablik</v>
      </c>
      <c r="R352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3527" s="132" t="str">
        <f>LEFT(base[[#This Row],[Evento / Mercado]],FIND("/",base[[#This Row],[Evento / Mercado]])-2)</f>
        <v>Breidablik vs ÍB Vestmannaeyja</v>
      </c>
    </row>
    <row r="3528" spans="2:19" ht="15" customHeight="1">
      <c r="B3528" s="128" t="s">
        <v>3468</v>
      </c>
      <c r="C3528" s="128" t="s">
        <v>2982</v>
      </c>
      <c r="D3528" s="129">
        <v>46230.746932870374</v>
      </c>
      <c r="E3528" s="130">
        <v>8.89</v>
      </c>
      <c r="F3528" s="136">
        <v>4.4999999999999998E-2</v>
      </c>
      <c r="G3528" s="126">
        <f t="shared" si="81"/>
        <v>9.3089005235602098</v>
      </c>
      <c r="H3528" s="126" t="s">
        <v>3051</v>
      </c>
      <c r="I3528" s="127"/>
      <c r="J3528" s="126">
        <v>1.29</v>
      </c>
      <c r="K3528" s="126">
        <v>50</v>
      </c>
      <c r="L3528" s="129">
        <f>INT(base[[#This Row],[Data de liquidação]])</f>
        <v>46230</v>
      </c>
      <c r="M3528" s="126">
        <f>base[[#This Row],[L/P Bruto]]-base[[#This Row],[L/P Líquido]]</f>
        <v>0.41890052356020924</v>
      </c>
      <c r="N3528" s="126">
        <f>base[[#This Row],[L/P Líquido]]/base[[#This Row],[Stake/Responsabilidade]]</f>
        <v>0.17780000000000001</v>
      </c>
      <c r="O3528" s="132">
        <f>IF(base[[#This Row],[L/P Líquido]]&gt;0,1,0)</f>
        <v>1</v>
      </c>
      <c r="P3528" s="132"/>
      <c r="Q3528" s="132" t="str">
        <f>LEFT(base[[#This Row],[Evento / Mercado]],FIND("vs",base[[#This Row],[Evento / Mercado]])-2)</f>
        <v>CD Gualberto Villarroel</v>
      </c>
      <c r="R352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Vinto</v>
      </c>
      <c r="S3528" s="132" t="str">
        <f>LEFT(base[[#This Row],[Evento / Mercado]],FIND("/",base[[#This Row],[Evento / Mercado]])-2)</f>
        <v>CD Gualberto Villarroel vs Universitario de Vinto</v>
      </c>
    </row>
    <row r="3529" spans="2:19" ht="15" customHeight="1">
      <c r="B3529" s="128" t="s">
        <v>3467</v>
      </c>
      <c r="C3529" s="128" t="s">
        <v>2982</v>
      </c>
      <c r="D3529" s="129">
        <v>46230.857476851852</v>
      </c>
      <c r="E3529" s="130">
        <v>5.42</v>
      </c>
      <c r="F3529" s="136">
        <v>4.4999999999999998E-2</v>
      </c>
      <c r="G3529" s="126">
        <f t="shared" si="81"/>
        <v>5.6753926701570681</v>
      </c>
      <c r="H3529" s="126" t="s">
        <v>1339</v>
      </c>
      <c r="I3529" s="127" t="s">
        <v>2469</v>
      </c>
      <c r="J3529" s="126">
        <v>9.8000000000000007</v>
      </c>
      <c r="K3529" s="126">
        <v>49.98</v>
      </c>
      <c r="L3529" s="129">
        <f>INT(base[[#This Row],[Data de liquidação]])</f>
        <v>46230</v>
      </c>
      <c r="M3529" s="126">
        <f>base[[#This Row],[L/P Bruto]]-base[[#This Row],[L/P Líquido]]</f>
        <v>0.25539267015706812</v>
      </c>
      <c r="N3529" s="126">
        <f>base[[#This Row],[L/P Líquido]]/base[[#This Row],[Stake/Responsabilidade]]</f>
        <v>0.10844337735094038</v>
      </c>
      <c r="O3529" s="132">
        <f>IF(base[[#This Row],[L/P Líquido]]&gt;0,1,0)</f>
        <v>1</v>
      </c>
      <c r="P3529" s="132"/>
      <c r="Q3529" s="132" t="str">
        <f>LEFT(base[[#This Row],[Evento / Mercado]],FIND("vs",base[[#This Row],[Evento / Mercado]])-2)</f>
        <v>Guayaquil City FC</v>
      </c>
      <c r="R352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 del Ecuador</v>
      </c>
      <c r="S3529" s="132" t="str">
        <f>LEFT(base[[#This Row],[Evento / Mercado]],FIND("/",base[[#This Row],[Evento / Mercado]])-2)</f>
        <v>Guayaquil City FC vs Universidad Católica del Ecuador</v>
      </c>
    </row>
    <row r="3530" spans="2:19" ht="15" customHeight="1">
      <c r="B3530" s="128" t="s">
        <v>3466</v>
      </c>
      <c r="C3530" s="128" t="s">
        <v>2982</v>
      </c>
      <c r="D3530" s="129">
        <v>46230.863611111112</v>
      </c>
      <c r="E3530" s="130">
        <v>7.46</v>
      </c>
      <c r="F3530" s="136">
        <v>4.4999999999999998E-2</v>
      </c>
      <c r="G3530" s="126">
        <f t="shared" si="81"/>
        <v>7.8115183246073299</v>
      </c>
      <c r="H3530" s="126" t="s">
        <v>1339</v>
      </c>
      <c r="I3530" s="127" t="s">
        <v>1933</v>
      </c>
      <c r="J3530" s="126">
        <v>1.52</v>
      </c>
      <c r="K3530" s="126">
        <v>15</v>
      </c>
      <c r="L3530" s="129">
        <f>INT(base[[#This Row],[Data de liquidação]])</f>
        <v>46230</v>
      </c>
      <c r="M3530" s="126">
        <f>base[[#This Row],[L/P Bruto]]-base[[#This Row],[L/P Líquido]]</f>
        <v>0.3515183246073299</v>
      </c>
      <c r="N3530" s="126">
        <f>base[[#This Row],[L/P Líquido]]/base[[#This Row],[Stake/Responsabilidade]]</f>
        <v>0.49733333333333335</v>
      </c>
      <c r="O3530" s="132">
        <f>IF(base[[#This Row],[L/P Líquido]]&gt;0,1,0)</f>
        <v>1</v>
      </c>
      <c r="P3530" s="132"/>
      <c r="Q3530" s="132" t="str">
        <f>LEFT(base[[#This Row],[Evento / Mercado]],FIND("vs",base[[#This Row],[Evento / Mercado]])-2)</f>
        <v>Sport Club do Recife</v>
      </c>
      <c r="R353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Cuiabá EC</v>
      </c>
      <c r="S3530" s="132" t="str">
        <f>LEFT(base[[#This Row],[Evento / Mercado]],FIND("/",base[[#This Row],[Evento / Mercado]])-2)</f>
        <v>Sport Club do Recife vs Cuiabá EC</v>
      </c>
    </row>
    <row r="3531" spans="2:19" ht="15" customHeight="1">
      <c r="B3531" s="128" t="s">
        <v>3465</v>
      </c>
      <c r="C3531" s="128" t="s">
        <v>2982</v>
      </c>
      <c r="D3531" s="129">
        <v>46230.883090277777</v>
      </c>
      <c r="E3531" s="130">
        <v>3.39</v>
      </c>
      <c r="F3531" s="136">
        <v>4.4999999999999998E-2</v>
      </c>
      <c r="G3531" s="126">
        <f t="shared" si="81"/>
        <v>3.5497382198952883</v>
      </c>
      <c r="H3531" s="126" t="s">
        <v>1339</v>
      </c>
      <c r="I3531" s="127" t="s">
        <v>2404</v>
      </c>
      <c r="J3531" s="126">
        <v>1.71</v>
      </c>
      <c r="K3531" s="126">
        <v>5</v>
      </c>
      <c r="L3531" s="129">
        <f>INT(base[[#This Row],[Data de liquidação]])</f>
        <v>46230</v>
      </c>
      <c r="M3531" s="126">
        <f>base[[#This Row],[L/P Bruto]]-base[[#This Row],[L/P Líquido]]</f>
        <v>0.15973821989528814</v>
      </c>
      <c r="N3531" s="126">
        <f>base[[#This Row],[L/P Líquido]]/base[[#This Row],[Stake/Responsabilidade]]</f>
        <v>0.67800000000000005</v>
      </c>
      <c r="O3531" s="132">
        <f>IF(base[[#This Row],[L/P Líquido]]&gt;0,1,0)</f>
        <v>1</v>
      </c>
      <c r="P3531" s="132"/>
      <c r="Q3531" s="132" t="str">
        <f>LEFT(base[[#This Row],[Evento / Mercado]],FIND("vs",base[[#This Row],[Evento / Mercado]])-2)</f>
        <v>Unión Española</v>
      </c>
      <c r="R353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Recoleta</v>
      </c>
      <c r="S3531" s="132" t="str">
        <f>LEFT(base[[#This Row],[Evento / Mercado]],FIND("/",base[[#This Row],[Evento / Mercado]])-2)</f>
        <v>Unión Española vs Deportes Recoleta</v>
      </c>
    </row>
    <row r="3532" spans="2:19" ht="15" customHeight="1">
      <c r="B3532" s="128" t="s">
        <v>3464</v>
      </c>
      <c r="C3532" s="128" t="s">
        <v>2982</v>
      </c>
      <c r="D3532" s="129">
        <v>46230.893171296295</v>
      </c>
      <c r="E3532" s="130">
        <v>-149.15</v>
      </c>
      <c r="F3532" s="136">
        <v>4.4999999999999998E-2</v>
      </c>
      <c r="G3532" s="126">
        <f t="shared" si="81"/>
        <v>-149.15</v>
      </c>
      <c r="H3532" s="127" t="s">
        <v>3304</v>
      </c>
      <c r="I3532" s="127"/>
      <c r="J3532" s="126">
        <v>20</v>
      </c>
      <c r="K3532" s="126">
        <v>500.08</v>
      </c>
      <c r="L3532" s="129">
        <f>INT(base[[#This Row],[Data de liquidação]])</f>
        <v>46230</v>
      </c>
      <c r="M3532" s="126">
        <f>base[[#This Row],[L/P Bruto]]-base[[#This Row],[L/P Líquido]]</f>
        <v>0</v>
      </c>
      <c r="N3532" s="126">
        <f>base[[#This Row],[L/P Líquido]]/base[[#This Row],[Stake/Responsabilidade]]</f>
        <v>-0.29825227963525835</v>
      </c>
      <c r="O3532" s="132">
        <f>IF(base[[#This Row],[L/P Líquido]]&gt;0,1,0)</f>
        <v>0</v>
      </c>
      <c r="P3532" s="132"/>
      <c r="Q3532" s="132" t="str">
        <f>LEFT(base[[#This Row],[Evento / Mercado]],FIND("vs",base[[#This Row],[Evento / Mercado]])-2)</f>
        <v>CRB</v>
      </c>
      <c r="R353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Vila Nova FC</v>
      </c>
      <c r="S3532" s="132" t="str">
        <f>LEFT(base[[#This Row],[Evento / Mercado]],FIND("/",base[[#This Row],[Evento / Mercado]])-2)</f>
        <v>CRB vs Vila Nova FC</v>
      </c>
    </row>
    <row r="3533" spans="2:19" ht="15" customHeight="1">
      <c r="B3533" s="128" t="s">
        <v>3463</v>
      </c>
      <c r="C3533" s="128" t="s">
        <v>2982</v>
      </c>
      <c r="D3533" s="129">
        <v>46230.893333333333</v>
      </c>
      <c r="E3533" s="130">
        <v>25.95</v>
      </c>
      <c r="F3533" s="136">
        <v>4.4999999999999998E-2</v>
      </c>
      <c r="G3533" s="126">
        <f t="shared" si="81"/>
        <v>27.172774869109947</v>
      </c>
      <c r="H3533" s="126" t="s">
        <v>2817</v>
      </c>
      <c r="I3533" s="127" t="s">
        <v>2993</v>
      </c>
      <c r="J3533" s="126">
        <v>4.0999999999999996</v>
      </c>
      <c r="K3533" s="126">
        <v>100.01</v>
      </c>
      <c r="L3533" s="129">
        <f>INT(base[[#This Row],[Data de liquidação]])</f>
        <v>46230</v>
      </c>
      <c r="M3533" s="126">
        <f>base[[#This Row],[L/P Bruto]]-base[[#This Row],[L/P Líquido]]</f>
        <v>1.2227748691099478</v>
      </c>
      <c r="N3533" s="126">
        <f>base[[#This Row],[L/P Líquido]]/base[[#This Row],[Stake/Responsabilidade]]</f>
        <v>0.25947405259474049</v>
      </c>
      <c r="O3533" s="132">
        <f>IF(base[[#This Row],[L/P Líquido]]&gt;0,1,0)</f>
        <v>1</v>
      </c>
      <c r="P3533" s="132"/>
      <c r="Q3533" s="132" t="str">
        <f>LEFT(base[[#This Row],[Evento / Mercado]],FIND("vs",base[[#This Row],[Evento / Mercado]])-2)</f>
        <v>Sport Club do Recife</v>
      </c>
      <c r="R353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Cuiabá EC</v>
      </c>
      <c r="S3533" s="132" t="str">
        <f>LEFT(base[[#This Row],[Evento / Mercado]],FIND("/",base[[#This Row],[Evento / Mercado]])-2)</f>
        <v>Sport Club do Recife vs Cuiabá EC</v>
      </c>
    </row>
    <row r="3534" spans="2:19" ht="15" customHeight="1">
      <c r="B3534" s="128" t="s">
        <v>3475</v>
      </c>
      <c r="C3534" s="128" t="s">
        <v>2982</v>
      </c>
      <c r="D3534" s="129">
        <v>46231.746747685182</v>
      </c>
      <c r="E3534" s="130">
        <v>16.2</v>
      </c>
      <c r="F3534" s="136">
        <v>4.4999999999999998E-2</v>
      </c>
      <c r="G3534" s="126">
        <f t="shared" si="81"/>
        <v>16.963350785340314</v>
      </c>
      <c r="H3534" s="126" t="s">
        <v>3303</v>
      </c>
      <c r="I3534" s="127"/>
      <c r="J3534" s="126">
        <v>1.5</v>
      </c>
      <c r="K3534" s="126">
        <v>300</v>
      </c>
      <c r="L3534" s="129">
        <f>INT(base[[#This Row],[Data de liquidação]])</f>
        <v>46231</v>
      </c>
      <c r="M3534" s="126">
        <f>base[[#This Row],[L/P Bruto]]-base[[#This Row],[L/P Líquido]]</f>
        <v>0.76335078534031453</v>
      </c>
      <c r="N3534" s="126">
        <f>base[[#This Row],[L/P Líquido]]/base[[#This Row],[Stake/Responsabilidade]]</f>
        <v>5.3999999999999999E-2</v>
      </c>
      <c r="O3534" s="132">
        <f>IF(base[[#This Row],[L/P Líquido]]&gt;0,1,0)</f>
        <v>1</v>
      </c>
      <c r="P3534" s="132"/>
      <c r="Q3534" s="132" t="str">
        <f>LEFT(base[[#This Row],[Evento / Mercado]],FIND("vs",base[[#This Row],[Evento / Mercado]])-2)</f>
        <v>Rubio Ñú</v>
      </c>
      <c r="R353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Sportivo Ameliano</v>
      </c>
      <c r="S3534" s="132" t="str">
        <f>LEFT(base[[#This Row],[Evento / Mercado]],FIND("/",base[[#This Row],[Evento / Mercado]])-2)</f>
        <v>Rubio Ñú vs Club Sportivo Ameliano</v>
      </c>
    </row>
    <row r="3535" spans="2:19" ht="15" customHeight="1">
      <c r="B3535" s="128" t="s">
        <v>3476</v>
      </c>
      <c r="C3535" s="128" t="s">
        <v>2982</v>
      </c>
      <c r="D3535" s="129">
        <v>46231.982638888891</v>
      </c>
      <c r="E3535" s="130">
        <v>16.63</v>
      </c>
      <c r="F3535" s="136">
        <v>4.4999999999999998E-2</v>
      </c>
      <c r="G3535" s="126">
        <f t="shared" si="81"/>
        <v>17.413612565445025</v>
      </c>
      <c r="H3535" s="126" t="s">
        <v>3261</v>
      </c>
      <c r="I3535" s="127" t="s">
        <v>3213</v>
      </c>
      <c r="J3535" s="126">
        <v>23</v>
      </c>
      <c r="K3535" s="126">
        <v>500.06</v>
      </c>
      <c r="L3535" s="129">
        <f>INT(base[[#This Row],[Data de liquidação]])</f>
        <v>46231</v>
      </c>
      <c r="M3535" s="126">
        <f>base[[#This Row],[L/P Bruto]]-base[[#This Row],[L/P Líquido]]</f>
        <v>0.78361256544502567</v>
      </c>
      <c r="N3535" s="126">
        <f>base[[#This Row],[L/P Líquido]]/base[[#This Row],[Stake/Responsabilidade]]</f>
        <v>3.3256009278886528E-2</v>
      </c>
      <c r="O3535" s="132">
        <f>IF(base[[#This Row],[L/P Líquido]]&gt;0,1,0)</f>
        <v>1</v>
      </c>
      <c r="P3535" s="132"/>
      <c r="Q3535" s="132" t="str">
        <f>LEFT(base[[#This Row],[Evento / Mercado]],FIND("vs",base[[#This Row],[Evento / Mercado]])-2)</f>
        <v>Fortaleza EC</v>
      </c>
      <c r="R353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3535" s="132" t="str">
        <f>LEFT(base[[#This Row],[Evento / Mercado]],FIND("/",base[[#This Row],[Evento / Mercado]])-2)</f>
        <v>Fortaleza EC vs Botafogo SP</v>
      </c>
    </row>
    <row r="3536" spans="2:19" ht="15" customHeight="1">
      <c r="B3536" s="128" t="s">
        <v>3477</v>
      </c>
      <c r="C3536" s="128" t="s">
        <v>2982</v>
      </c>
      <c r="D3536" s="129">
        <v>46231.982800925929</v>
      </c>
      <c r="E3536" s="130">
        <v>21.36</v>
      </c>
      <c r="F3536" s="136">
        <v>4.4999999999999998E-2</v>
      </c>
      <c r="G3536" s="126">
        <f t="shared" si="81"/>
        <v>22.366492146596858</v>
      </c>
      <c r="H3536" s="126" t="s">
        <v>2817</v>
      </c>
      <c r="I3536" s="127" t="s">
        <v>2995</v>
      </c>
      <c r="J3536" s="126">
        <v>4.8</v>
      </c>
      <c r="K3536" s="126">
        <v>100.02</v>
      </c>
      <c r="L3536" s="129">
        <f>INT(base[[#This Row],[Data de liquidação]])</f>
        <v>46231</v>
      </c>
      <c r="M3536" s="126">
        <f>base[[#This Row],[L/P Bruto]]-base[[#This Row],[L/P Líquido]]</f>
        <v>1.0064921465968588</v>
      </c>
      <c r="N3536" s="126">
        <f>base[[#This Row],[L/P Líquido]]/base[[#This Row],[Stake/Responsabilidade]]</f>
        <v>0.21355728854229156</v>
      </c>
      <c r="O3536" s="132">
        <f>IF(base[[#This Row],[L/P Líquido]]&gt;0,1,0)</f>
        <v>1</v>
      </c>
      <c r="P3536" s="132"/>
      <c r="Q3536" s="132" t="str">
        <f>LEFT(base[[#This Row],[Evento / Mercado]],FIND("vs",base[[#This Row],[Evento / Mercado]])-2)</f>
        <v>Fortaleza EC</v>
      </c>
      <c r="R353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3536" s="132" t="str">
        <f>LEFT(base[[#This Row],[Evento / Mercado]],FIND("/",base[[#This Row],[Evento / Mercado]])-2)</f>
        <v>Fortaleza EC vs Botafogo SP</v>
      </c>
    </row>
    <row r="3537" spans="2:19" ht="15" customHeight="1">
      <c r="B3537" s="128" t="s">
        <v>3478</v>
      </c>
      <c r="C3537" s="128" t="s">
        <v>2982</v>
      </c>
      <c r="D3537" s="129">
        <v>46232.556875000002</v>
      </c>
      <c r="E3537" s="130">
        <v>21.13</v>
      </c>
      <c r="F3537" s="136">
        <v>4.4999999999999998E-2</v>
      </c>
      <c r="G3537" s="126">
        <f t="shared" si="81"/>
        <v>22.125654450261781</v>
      </c>
      <c r="H3537" s="126" t="s">
        <v>3261</v>
      </c>
      <c r="I3537" s="127" t="s">
        <v>3213</v>
      </c>
      <c r="J3537" s="126">
        <f>(26*112.5+23*387.74)/base[[#This Row],[Stake/Responsabilidade]]</f>
        <v>23.674676155445386</v>
      </c>
      <c r="K3537" s="126">
        <f>112.5+387.74</f>
        <v>500.24</v>
      </c>
      <c r="L3537" s="129">
        <f>INT(base[[#This Row],[Data de liquidação]])</f>
        <v>46232</v>
      </c>
      <c r="M3537" s="126">
        <f>base[[#This Row],[L/P Bruto]]-base[[#This Row],[L/P Líquido]]</f>
        <v>0.99565445026178168</v>
      </c>
      <c r="N3537" s="126">
        <f>base[[#This Row],[L/P Líquido]]/base[[#This Row],[Stake/Responsabilidade]]</f>
        <v>4.2239724932032624E-2</v>
      </c>
      <c r="O3537" s="132">
        <f>IF(base[[#This Row],[L/P Líquido]]&gt;0,1,0)</f>
        <v>1</v>
      </c>
      <c r="P3537" s="132"/>
      <c r="Q3537" s="132" t="str">
        <f>LEFT(base[[#This Row],[Evento / Mercado]],FIND("vs",base[[#This Row],[Evento / Mercado]])-2)</f>
        <v>KF Dukagjini</v>
      </c>
      <c r="R353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Lugano</v>
      </c>
      <c r="S3537" s="132" t="str">
        <f>LEFT(base[[#This Row],[Evento / Mercado]],FIND("/",base[[#This Row],[Evento / Mercado]])-2)</f>
        <v>KF Dukagjini vs FC Lugano</v>
      </c>
    </row>
    <row r="3538" spans="2:19" ht="15" customHeight="1">
      <c r="B3538" s="128" t="s">
        <v>3479</v>
      </c>
      <c r="C3538" s="128" t="s">
        <v>2982</v>
      </c>
      <c r="D3538" s="129">
        <v>46232.663541666669</v>
      </c>
      <c r="E3538" s="130">
        <v>-16.13</v>
      </c>
      <c r="F3538" s="136">
        <v>4.4999999999999998E-2</v>
      </c>
      <c r="G3538" s="126">
        <f t="shared" si="81"/>
        <v>-16.13</v>
      </c>
      <c r="H3538" s="126" t="s">
        <v>3261</v>
      </c>
      <c r="I3538" s="127" t="s">
        <v>3213</v>
      </c>
      <c r="J3538" s="126">
        <v>16.5</v>
      </c>
      <c r="K3538" s="126">
        <v>500.03</v>
      </c>
      <c r="L3538" s="129">
        <f>INT(base[[#This Row],[Data de liquidação]])</f>
        <v>46232</v>
      </c>
      <c r="M3538" s="126">
        <f>base[[#This Row],[L/P Bruto]]-base[[#This Row],[L/P Líquido]]</f>
        <v>0</v>
      </c>
      <c r="N3538" s="126">
        <f>base[[#This Row],[L/P Líquido]]/base[[#This Row],[Stake/Responsabilidade]]</f>
        <v>-3.2258064516129031E-2</v>
      </c>
      <c r="O3538" s="132">
        <f>IF(base[[#This Row],[L/P Líquido]]&gt;0,1,0)</f>
        <v>0</v>
      </c>
      <c r="P3538" s="132"/>
      <c r="Q3538" s="132" t="str">
        <f>LEFT(base[[#This Row],[Evento / Mercado]],FIND("vs",base[[#This Row],[Evento / Mercado]])-2)</f>
        <v>Lech Poznan</v>
      </c>
      <c r="R3538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AGF Aarhus</v>
      </c>
      <c r="S3538" s="132" t="str">
        <f>LEFT(base[[#This Row],[Evento / Mercado]],FIND("/",base[[#This Row],[Evento / Mercado]])-2)</f>
        <v>Lech Poznan vs AGF Aarhus</v>
      </c>
    </row>
    <row r="3539" spans="2:19" ht="15" customHeight="1">
      <c r="B3539" s="128" t="s">
        <v>3480</v>
      </c>
      <c r="C3539" s="128" t="s">
        <v>2982</v>
      </c>
      <c r="D3539" s="129">
        <v>46232.715879629628</v>
      </c>
      <c r="E3539" s="130">
        <v>18.149999999999999</v>
      </c>
      <c r="F3539" s="136">
        <v>4.4999999999999998E-2</v>
      </c>
      <c r="G3539" s="126">
        <f t="shared" si="81"/>
        <v>19.005235602094242</v>
      </c>
      <c r="H3539" s="126" t="s">
        <v>3261</v>
      </c>
      <c r="I3539" s="127" t="s">
        <v>3481</v>
      </c>
      <c r="J3539" s="126">
        <v>1.38</v>
      </c>
      <c r="K3539" s="126">
        <v>50</v>
      </c>
      <c r="L3539" s="129">
        <f>INT(base[[#This Row],[Data de liquidação]])</f>
        <v>46232</v>
      </c>
      <c r="M3539" s="126">
        <f>base[[#This Row],[L/P Bruto]]-base[[#This Row],[L/P Líquido]]</f>
        <v>0.85523560209424332</v>
      </c>
      <c r="N3539" s="126">
        <f>base[[#This Row],[L/P Líquido]]/base[[#This Row],[Stake/Responsabilidade]]</f>
        <v>0.36299999999999999</v>
      </c>
      <c r="O3539" s="132">
        <f>IF(base[[#This Row],[L/P Líquido]]&gt;0,1,0)</f>
        <v>1</v>
      </c>
      <c r="P3539" s="132"/>
      <c r="Q3539" s="132" t="str">
        <f>LEFT(base[[#This Row],[Evento / Mercado]],FIND("vs",base[[#This Row],[Evento / Mercado]])-2)</f>
        <v>Club Sportivo Luqueño</v>
      </c>
      <c r="R3539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Sportivo Trinidense</v>
      </c>
      <c r="S3539" s="132" t="str">
        <f>LEFT(base[[#This Row],[Evento / Mercado]],FIND("/",base[[#This Row],[Evento / Mercado]])-2)</f>
        <v>Club Sportivo Luqueño vs Club Sportivo Trinidense</v>
      </c>
    </row>
    <row r="3540" spans="2:19" ht="15" customHeight="1">
      <c r="B3540" s="128" t="s">
        <v>3482</v>
      </c>
      <c r="C3540" s="128" t="s">
        <v>2982</v>
      </c>
      <c r="D3540" s="129">
        <v>46232.724583333336</v>
      </c>
      <c r="E3540" s="130">
        <v>9.74</v>
      </c>
      <c r="F3540" s="136">
        <v>4.4999999999999998E-2</v>
      </c>
      <c r="G3540" s="126">
        <f t="shared" si="81"/>
        <v>10.198952879581153</v>
      </c>
      <c r="H3540" s="126" t="s">
        <v>3261</v>
      </c>
      <c r="I3540" s="127" t="s">
        <v>3213</v>
      </c>
      <c r="J3540" s="126">
        <v>50</v>
      </c>
      <c r="K3540" s="126">
        <v>499.8</v>
      </c>
      <c r="L3540" s="129">
        <f>INT(base[[#This Row],[Data de liquidação]])</f>
        <v>46232</v>
      </c>
      <c r="M3540" s="126">
        <f>base[[#This Row],[L/P Bruto]]-base[[#This Row],[L/P Líquido]]</f>
        <v>0.45895287958115283</v>
      </c>
      <c r="N3540" s="126">
        <f>base[[#This Row],[L/P Líquido]]/base[[#This Row],[Stake/Responsabilidade]]</f>
        <v>1.948779511804722E-2</v>
      </c>
      <c r="O3540" s="132">
        <f>IF(base[[#This Row],[L/P Líquido]]&gt;0,1,0)</f>
        <v>1</v>
      </c>
      <c r="P3540" s="132"/>
      <c r="Q3540" s="132" t="str">
        <f>LEFT(base[[#This Row],[Evento / Mercado]],FIND("vs",base[[#This Row],[Evento / Mercado]])-2)</f>
        <v>SK Rapid Wien</v>
      </c>
      <c r="R3540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Santa Coloma</v>
      </c>
      <c r="S3540" s="132" t="str">
        <f>LEFT(base[[#This Row],[Evento / Mercado]],FIND("/",base[[#This Row],[Evento / Mercado]])-2)</f>
        <v>SK Rapid Wien vs FC Santa Coloma</v>
      </c>
    </row>
    <row r="3541" spans="2:19" ht="15" customHeight="1">
      <c r="B3541" s="128" t="s">
        <v>3483</v>
      </c>
      <c r="C3541" s="128" t="s">
        <v>2982</v>
      </c>
      <c r="D3541" s="129">
        <v>46232.863819444443</v>
      </c>
      <c r="E3541" s="130">
        <v>9.74</v>
      </c>
      <c r="F3541" s="136">
        <v>4.4999999999999998E-2</v>
      </c>
      <c r="G3541" s="126">
        <f t="shared" si="81"/>
        <v>10.198952879581153</v>
      </c>
      <c r="H3541" s="126" t="s">
        <v>1339</v>
      </c>
      <c r="I3541" s="127" t="s">
        <v>1933</v>
      </c>
      <c r="J3541" s="126">
        <v>1.51</v>
      </c>
      <c r="K3541" s="126">
        <v>20</v>
      </c>
      <c r="L3541" s="129">
        <f>INT(base[[#This Row],[Data de liquidação]])</f>
        <v>46232</v>
      </c>
      <c r="M3541" s="126">
        <f>base[[#This Row],[L/P Bruto]]-base[[#This Row],[L/P Líquido]]</f>
        <v>0.45895287958115283</v>
      </c>
      <c r="N3541" s="126">
        <f>base[[#This Row],[L/P Líquido]]/base[[#This Row],[Stake/Responsabilidade]]</f>
        <v>0.48699999999999999</v>
      </c>
      <c r="O3541" s="132">
        <f>IF(base[[#This Row],[L/P Líquido]]&gt;0,1,0)</f>
        <v>1</v>
      </c>
      <c r="P3541" s="132"/>
      <c r="Q3541" s="132" t="str">
        <f>LEFT(base[[#This Row],[Evento / Mercado]],FIND("vs",base[[#This Row],[Evento / Mercado]])-2)</f>
        <v>Vasco da Gama</v>
      </c>
      <c r="R3541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Independiente Medellín</v>
      </c>
      <c r="S3541" s="132" t="str">
        <f>LEFT(base[[#This Row],[Evento / Mercado]],FIND("/",base[[#This Row],[Evento / Mercado]])-2)</f>
        <v>Vasco da Gama vs Independiente Medellín</v>
      </c>
    </row>
    <row r="3542" spans="2:19" ht="15" customHeight="1">
      <c r="B3542" s="128" t="s">
        <v>3484</v>
      </c>
      <c r="C3542" s="128" t="s">
        <v>2982</v>
      </c>
      <c r="D3542" s="129">
        <v>46232.87400462963</v>
      </c>
      <c r="E3542" s="130">
        <v>19.579999999999998</v>
      </c>
      <c r="F3542" s="136">
        <v>4.4999999999999998E-2</v>
      </c>
      <c r="G3542" s="126">
        <f t="shared" si="81"/>
        <v>20.502617801047119</v>
      </c>
      <c r="H3542" s="126" t="s">
        <v>3261</v>
      </c>
      <c r="I3542" s="127" t="s">
        <v>3481</v>
      </c>
      <c r="J3542" s="126">
        <v>1.41</v>
      </c>
      <c r="K3542" s="126">
        <v>50</v>
      </c>
      <c r="L3542" s="129">
        <f>INT(base[[#This Row],[Data de liquidação]])</f>
        <v>46232</v>
      </c>
      <c r="M3542" s="126">
        <f>base[[#This Row],[L/P Bruto]]-base[[#This Row],[L/P Líquido]]</f>
        <v>0.92261780104712088</v>
      </c>
      <c r="N3542" s="126">
        <f>base[[#This Row],[L/P Líquido]]/base[[#This Row],[Stake/Responsabilidade]]</f>
        <v>0.39159999999999995</v>
      </c>
      <c r="O3542" s="132">
        <f>IF(base[[#This Row],[L/P Líquido]]&gt;0,1,0)</f>
        <v>1</v>
      </c>
      <c r="P3542" s="132"/>
      <c r="Q3542" s="132" t="str">
        <f>LEFT(base[[#This Row],[Evento / Mercado]],FIND("vs",base[[#This Row],[Evento / Mercado]])-2)</f>
        <v>Gimnasia y Esgrima La Plata</v>
      </c>
      <c r="R3542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River Plate</v>
      </c>
      <c r="S3542" s="132" t="str">
        <f>LEFT(base[[#This Row],[Evento / Mercado]],FIND("/",base[[#This Row],[Evento / Mercado]])-2)</f>
        <v>Gimnasia y Esgrima La Plata vs River Plate</v>
      </c>
    </row>
    <row r="3543" spans="2:19" ht="15" customHeight="1">
      <c r="B3543" s="128" t="s">
        <v>3485</v>
      </c>
      <c r="C3543" s="128" t="s">
        <v>2982</v>
      </c>
      <c r="D3543" s="129">
        <v>46232.894155092596</v>
      </c>
      <c r="E3543" s="130">
        <v>-40.98</v>
      </c>
      <c r="F3543" s="136">
        <v>4.4999999999999998E-2</v>
      </c>
      <c r="G3543" s="126">
        <f t="shared" si="81"/>
        <v>-40.98</v>
      </c>
      <c r="H3543" s="126" t="s">
        <v>3261</v>
      </c>
      <c r="I3543" s="127" t="s">
        <v>3213</v>
      </c>
      <c r="J3543" s="126">
        <v>18.5</v>
      </c>
      <c r="K3543" s="126">
        <v>499.98</v>
      </c>
      <c r="L3543" s="129">
        <f>INT(base[[#This Row],[Data de liquidação]])</f>
        <v>46232</v>
      </c>
      <c r="M3543" s="126">
        <f>base[[#This Row],[L/P Bruto]]-base[[#This Row],[L/P Líquido]]</f>
        <v>0</v>
      </c>
      <c r="N3543" s="126">
        <f>base[[#This Row],[L/P Líquido]]/base[[#This Row],[Stake/Responsabilidade]]</f>
        <v>-8.1963278531141243E-2</v>
      </c>
      <c r="O3543" s="132">
        <f>IF(base[[#This Row],[L/P Líquido]]&gt;0,1,0)</f>
        <v>0</v>
      </c>
      <c r="P3543" s="132"/>
      <c r="Q3543" s="132" t="str">
        <f>LEFT(base[[#This Row],[Evento / Mercado]],FIND("vs",base[[#This Row],[Evento / Mercado]])-2)</f>
        <v>Mirassol FC</v>
      </c>
      <c r="R3543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3543" s="132" t="str">
        <f>LEFT(base[[#This Row],[Evento / Mercado]],FIND("/",base[[#This Row],[Evento / Mercado]])-2)</f>
        <v>Mirassol FC vs Clube do Remo</v>
      </c>
    </row>
    <row r="3544" spans="2:19" ht="15" customHeight="1">
      <c r="B3544" s="128" t="s">
        <v>3486</v>
      </c>
      <c r="C3544" s="128" t="s">
        <v>2982</v>
      </c>
      <c r="D3544" s="129">
        <v>46232.894918981481</v>
      </c>
      <c r="E3544" s="130">
        <v>29.36</v>
      </c>
      <c r="F3544" s="136">
        <v>4.4999999999999998E-2</v>
      </c>
      <c r="G3544" s="126">
        <f t="shared" si="81"/>
        <v>30.7434554973822</v>
      </c>
      <c r="H3544" s="126" t="s">
        <v>2821</v>
      </c>
      <c r="I3544" s="127" t="s">
        <v>542</v>
      </c>
      <c r="J3544" s="126">
        <v>14.5</v>
      </c>
      <c r="K3544" s="126">
        <v>414.99</v>
      </c>
      <c r="L3544" s="129">
        <f>INT(base[[#This Row],[Data de liquidação]])</f>
        <v>46232</v>
      </c>
      <c r="M3544" s="126">
        <f>base[[#This Row],[L/P Bruto]]-base[[#This Row],[L/P Líquido]]</f>
        <v>1.3834554973822009</v>
      </c>
      <c r="N3544" s="126">
        <f>base[[#This Row],[L/P Líquido]]/base[[#This Row],[Stake/Responsabilidade]]</f>
        <v>7.074869273958409E-2</v>
      </c>
      <c r="O3544" s="132">
        <f>IF(base[[#This Row],[L/P Líquido]]&gt;0,1,0)</f>
        <v>1</v>
      </c>
      <c r="P3544" s="132"/>
      <c r="Q3544" s="132" t="str">
        <f>LEFT(base[[#This Row],[Evento / Mercado]],FIND("vs",base[[#This Row],[Evento / Mercado]])-2)</f>
        <v>SC Internacional</v>
      </c>
      <c r="R3544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Flamengo</v>
      </c>
      <c r="S3544" s="132" t="str">
        <f>LEFT(base[[#This Row],[Evento / Mercado]],FIND("/",base[[#This Row],[Evento / Mercado]])-2)</f>
        <v>SC Internacional vs Flamengo</v>
      </c>
    </row>
    <row r="3545" spans="2:19" ht="15" customHeight="1">
      <c r="B3545" s="128" t="s">
        <v>3487</v>
      </c>
      <c r="C3545" s="128" t="s">
        <v>2982</v>
      </c>
      <c r="D3545" s="129">
        <v>46232.978958333333</v>
      </c>
      <c r="E3545" s="130">
        <v>-100.84</v>
      </c>
      <c r="F3545" s="136">
        <v>4.4999999999999998E-2</v>
      </c>
      <c r="G3545" s="126">
        <f t="shared" si="81"/>
        <v>-100.84</v>
      </c>
      <c r="H3545" s="126" t="s">
        <v>231</v>
      </c>
      <c r="I3545" s="127" t="s">
        <v>266</v>
      </c>
      <c r="J3545" s="126">
        <v>1.85</v>
      </c>
      <c r="K3545" s="126">
        <v>100.84</v>
      </c>
      <c r="L3545" s="129">
        <f>INT(base[[#This Row],[Data de liquidação]])</f>
        <v>46232</v>
      </c>
      <c r="M3545" s="126">
        <f>base[[#This Row],[L/P Bruto]]-base[[#This Row],[L/P Líquido]]</f>
        <v>0</v>
      </c>
      <c r="N3545" s="126">
        <f>base[[#This Row],[L/P Líquido]]/base[[#This Row],[Stake/Responsabilidade]]</f>
        <v>-1</v>
      </c>
      <c r="O3545" s="132">
        <f>IF(base[[#This Row],[L/P Líquido]]&gt;0,1,0)</f>
        <v>0</v>
      </c>
      <c r="P3545" s="132"/>
      <c r="Q3545" s="132" t="str">
        <f>LEFT(base[[#This Row],[Evento / Mercado]],FIND("vs",base[[#This Row],[Evento / Mercado]])-2)</f>
        <v>Fluminense FC</v>
      </c>
      <c r="R3545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3545" s="132" t="str">
        <f>LEFT(base[[#This Row],[Evento / Mercado]],FIND("/",base[[#This Row],[Evento / Mercado]])-2)</f>
        <v>Fluminense FC vs Esporte Clube Bahia</v>
      </c>
    </row>
    <row r="3546" spans="2:19" ht="15" customHeight="1">
      <c r="B3546" s="128" t="s">
        <v>3487</v>
      </c>
      <c r="C3546" s="128" t="s">
        <v>2982</v>
      </c>
      <c r="D3546" s="129">
        <v>46232.978958333333</v>
      </c>
      <c r="E3546" s="130">
        <v>-5</v>
      </c>
      <c r="F3546" s="136">
        <v>4.4999999999999998E-2</v>
      </c>
      <c r="G3546" s="126">
        <f t="shared" si="81"/>
        <v>-5</v>
      </c>
      <c r="H3546" s="126" t="s">
        <v>1339</v>
      </c>
      <c r="I3546" s="127" t="s">
        <v>2404</v>
      </c>
      <c r="J3546" s="126">
        <v>1.91</v>
      </c>
      <c r="K3546" s="126">
        <v>5</v>
      </c>
      <c r="L3546" s="129">
        <f>INT(base[[#This Row],[Data de liquidação]])</f>
        <v>46232</v>
      </c>
      <c r="M3546" s="126">
        <f>base[[#This Row],[L/P Bruto]]-base[[#This Row],[L/P Líquido]]</f>
        <v>0</v>
      </c>
      <c r="N3546" s="126">
        <f>base[[#This Row],[L/P Líquido]]/base[[#This Row],[Stake/Responsabilidade]]</f>
        <v>-1</v>
      </c>
      <c r="O3546" s="132">
        <f>IF(base[[#This Row],[L/P Líquido]]&gt;0,1,0)</f>
        <v>0</v>
      </c>
      <c r="P3546" s="132"/>
      <c r="Q3546" s="132" t="str">
        <f>LEFT(base[[#This Row],[Evento / Mercado]],FIND("vs",base[[#This Row],[Evento / Mercado]])-2)</f>
        <v>Fluminense FC</v>
      </c>
      <c r="R3546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3546" s="132" t="str">
        <f>LEFT(base[[#This Row],[Evento / Mercado]],FIND("/",base[[#This Row],[Evento / Mercado]])-2)</f>
        <v>Fluminense FC vs Esporte Clube Bahia</v>
      </c>
    </row>
    <row r="3547" spans="2:19" ht="15" customHeight="1">
      <c r="B3547" s="128" t="s">
        <v>3488</v>
      </c>
      <c r="C3547" s="128" t="s">
        <v>2982</v>
      </c>
      <c r="D3547" s="129">
        <v>46232.979004629633</v>
      </c>
      <c r="E3547" s="130">
        <v>5.46</v>
      </c>
      <c r="F3547" s="136">
        <v>4.4999999999999998E-2</v>
      </c>
      <c r="G3547" s="126">
        <f t="shared" si="81"/>
        <v>5.7172774869109952</v>
      </c>
      <c r="H3547" s="126" t="s">
        <v>2817</v>
      </c>
      <c r="I3547" s="127" t="s">
        <v>2994</v>
      </c>
      <c r="J3547" s="126">
        <v>5.6</v>
      </c>
      <c r="K3547" s="126">
        <v>100</v>
      </c>
      <c r="L3547" s="129">
        <f>INT(base[[#This Row],[Data de liquidação]])</f>
        <v>46232</v>
      </c>
      <c r="M3547" s="126">
        <f>base[[#This Row],[L/P Bruto]]-base[[#This Row],[L/P Líquido]]</f>
        <v>0.25727748691099528</v>
      </c>
      <c r="N3547" s="126">
        <f>base[[#This Row],[L/P Líquido]]/base[[#This Row],[Stake/Responsabilidade]]</f>
        <v>5.4600000000000003E-2</v>
      </c>
      <c r="O3547" s="132">
        <f>IF(base[[#This Row],[L/P Líquido]]&gt;0,1,0)</f>
        <v>1</v>
      </c>
      <c r="P3547" s="132"/>
      <c r="Q3547" s="132" t="str">
        <f>LEFT(base[[#This Row],[Evento / Mercado]],FIND("vs",base[[#This Row],[Evento / Mercado]])-2)</f>
        <v>Fluminense FC</v>
      </c>
      <c r="R3547" s="1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3547" s="132" t="str">
        <f>LEFT(base[[#This Row],[Evento / Mercado]],FIND("/",base[[#This Row],[Evento / Mercado]])-2)</f>
        <v>Fluminense FC vs Esporte Clube Bahia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showGridLines="0" zoomScale="80" zoomScaleNormal="80" workbookViewId="0">
      <selection activeCell="E3" sqref="E3:F14"/>
    </sheetView>
  </sheetViews>
  <sheetFormatPr defaultRowHeight="13.2"/>
  <cols>
    <col min="1" max="1" width="8.796875" style="3"/>
    <col min="2" max="2" width="7.69921875" style="3" bestFit="1" customWidth="1"/>
    <col min="3" max="3" width="57.3984375" style="3" bestFit="1" customWidth="1"/>
    <col min="4" max="5" width="15" style="3" bestFit="1" customWidth="1"/>
    <col min="6" max="6" width="9.796875" style="3" bestFit="1" customWidth="1"/>
    <col min="7" max="16384" width="8.796875" style="3"/>
  </cols>
  <sheetData>
    <row r="2" spans="2:7" ht="27" thickBot="1">
      <c r="B2" s="5" t="s">
        <v>5</v>
      </c>
      <c r="C2" s="5" t="s">
        <v>4</v>
      </c>
      <c r="D2" s="6" t="s">
        <v>6</v>
      </c>
      <c r="E2" s="6" t="s">
        <v>7</v>
      </c>
      <c r="F2" s="7" t="s">
        <v>8</v>
      </c>
      <c r="G2" s="87" t="s">
        <v>0</v>
      </c>
    </row>
    <row r="3" spans="2:7" ht="13.8" thickBot="1">
      <c r="B3" s="89" t="s">
        <v>159</v>
      </c>
      <c r="C3" s="90" t="s">
        <v>3474</v>
      </c>
      <c r="D3" s="91">
        <v>46230.583333333336</v>
      </c>
      <c r="E3" s="91">
        <v>46230.662164351852</v>
      </c>
      <c r="F3" s="92">
        <v>16.239999999999998</v>
      </c>
      <c r="G3" s="81" t="str">
        <f t="shared" ref="G3:G14" si="0">SUBSTITUTE(E3,",","")</f>
        <v>462306621643519</v>
      </c>
    </row>
    <row r="4" spans="2:7" ht="13.8" thickBot="1">
      <c r="B4" s="89" t="s">
        <v>159</v>
      </c>
      <c r="C4" s="90" t="s">
        <v>3473</v>
      </c>
      <c r="D4" s="91">
        <v>46230.583333333336</v>
      </c>
      <c r="E4" s="91">
        <v>46230.662361111114</v>
      </c>
      <c r="F4" s="92">
        <v>14.04</v>
      </c>
      <c r="G4" s="81" t="str">
        <f t="shared" si="0"/>
        <v>462306623611111</v>
      </c>
    </row>
    <row r="5" spans="2:7" ht="13.8" thickBot="1">
      <c r="B5" s="89" t="s">
        <v>159</v>
      </c>
      <c r="C5" s="90" t="s">
        <v>3472</v>
      </c>
      <c r="D5" s="91">
        <v>46230.583333333336</v>
      </c>
      <c r="E5" s="91">
        <v>46230.663032407407</v>
      </c>
      <c r="F5" s="92">
        <v>11.14</v>
      </c>
      <c r="G5" s="81" t="str">
        <f t="shared" si="0"/>
        <v>462306630324074</v>
      </c>
    </row>
    <row r="6" spans="2:7" ht="13.8" thickBot="1">
      <c r="B6" s="89" t="s">
        <v>159</v>
      </c>
      <c r="C6" s="90" t="s">
        <v>3471</v>
      </c>
      <c r="D6" s="91">
        <v>46230.586805555555</v>
      </c>
      <c r="E6" s="91">
        <v>46230.664201388892</v>
      </c>
      <c r="F6" s="92">
        <v>26.39</v>
      </c>
      <c r="G6" s="81" t="str">
        <f t="shared" si="0"/>
        <v>462306642013889</v>
      </c>
    </row>
    <row r="7" spans="2:7" ht="13.8" thickBot="1">
      <c r="B7" s="89" t="s">
        <v>159</v>
      </c>
      <c r="C7" s="90" t="s">
        <v>3470</v>
      </c>
      <c r="D7" s="91">
        <v>46230.604166666664</v>
      </c>
      <c r="E7" s="91">
        <v>46230.683171296296</v>
      </c>
      <c r="F7" s="119">
        <v>-4.55</v>
      </c>
      <c r="G7" s="81" t="str">
        <f t="shared" si="0"/>
        <v>462306831712963</v>
      </c>
    </row>
    <row r="8" spans="2:7" ht="13.8" thickBot="1">
      <c r="B8" s="89" t="s">
        <v>159</v>
      </c>
      <c r="C8" s="90" t="s">
        <v>3469</v>
      </c>
      <c r="D8" s="91">
        <v>46230.625694444447</v>
      </c>
      <c r="E8" s="91">
        <v>46230.704675925925</v>
      </c>
      <c r="F8" s="92">
        <v>31.83</v>
      </c>
      <c r="G8" s="81" t="str">
        <f t="shared" si="0"/>
        <v>462307046759259</v>
      </c>
    </row>
    <row r="9" spans="2:7" ht="13.8" thickBot="1">
      <c r="B9" s="89" t="s">
        <v>159</v>
      </c>
      <c r="C9" s="90" t="s">
        <v>3468</v>
      </c>
      <c r="D9" s="91">
        <v>46230.666666666664</v>
      </c>
      <c r="E9" s="91">
        <v>46230.746932870374</v>
      </c>
      <c r="F9" s="92">
        <v>8.89</v>
      </c>
      <c r="G9" s="81" t="str">
        <f t="shared" si="0"/>
        <v>462307469328704</v>
      </c>
    </row>
    <row r="10" spans="2:7" ht="13.8" thickBot="1">
      <c r="B10" s="89" t="s">
        <v>159</v>
      </c>
      <c r="C10" s="90" t="s">
        <v>3467</v>
      </c>
      <c r="D10" s="91">
        <v>46230.770833333336</v>
      </c>
      <c r="E10" s="91">
        <v>46230.857476851852</v>
      </c>
      <c r="F10" s="92">
        <v>5.42</v>
      </c>
      <c r="G10" s="81" t="str">
        <f t="shared" si="0"/>
        <v>462308574768519</v>
      </c>
    </row>
    <row r="11" spans="2:7" ht="13.8" thickBot="1">
      <c r="B11" s="89" t="s">
        <v>159</v>
      </c>
      <c r="C11" s="90" t="s">
        <v>3466</v>
      </c>
      <c r="D11" s="91">
        <v>46230.811805555553</v>
      </c>
      <c r="E11" s="91">
        <v>46230.863611111112</v>
      </c>
      <c r="F11" s="92">
        <v>7.46</v>
      </c>
      <c r="G11" s="81" t="str">
        <f t="shared" si="0"/>
        <v>462308636111111</v>
      </c>
    </row>
    <row r="12" spans="2:7" ht="13.8" thickBot="1">
      <c r="B12" s="89" t="s">
        <v>159</v>
      </c>
      <c r="C12" s="90" t="s">
        <v>3465</v>
      </c>
      <c r="D12" s="91">
        <v>46230.833333333336</v>
      </c>
      <c r="E12" s="91">
        <v>46230.883090277777</v>
      </c>
      <c r="F12" s="92">
        <v>3.39</v>
      </c>
      <c r="G12" s="81" t="str">
        <f t="shared" si="0"/>
        <v>462308830902778</v>
      </c>
    </row>
    <row r="13" spans="2:7" ht="13.8" thickBot="1">
      <c r="B13" s="89" t="s">
        <v>159</v>
      </c>
      <c r="C13" s="90" t="s">
        <v>3464</v>
      </c>
      <c r="D13" s="91">
        <v>46230.813194444447</v>
      </c>
      <c r="E13" s="91">
        <v>46230.893171296295</v>
      </c>
      <c r="F13" s="119">
        <v>-149.15</v>
      </c>
      <c r="G13" s="81" t="str">
        <f t="shared" si="0"/>
        <v>462308931712963</v>
      </c>
    </row>
    <row r="14" spans="2:7" ht="13.8" thickBot="1">
      <c r="B14" s="89" t="s">
        <v>159</v>
      </c>
      <c r="C14" s="90" t="s">
        <v>3463</v>
      </c>
      <c r="D14" s="91">
        <v>46230.811805555553</v>
      </c>
      <c r="E14" s="91">
        <v>46230.893333333333</v>
      </c>
      <c r="F14" s="92">
        <v>25.95</v>
      </c>
      <c r="G14" s="81" t="str">
        <f t="shared" si="0"/>
        <v>462308933333333</v>
      </c>
    </row>
  </sheetData>
  <autoFilter ref="B2:G2"/>
  <sortState ref="B3:G14">
    <sortCondition ref="E3:E1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48"/>
  <sheetViews>
    <sheetView showGridLines="0" zoomScale="80" zoomScaleNormal="80" workbookViewId="0">
      <pane ySplit="7" topLeftCell="A236" activePane="bottomLeft" state="frozen"/>
      <selection pane="bottomLeft" activeCell="J239" sqref="J239:J245"/>
    </sheetView>
  </sheetViews>
  <sheetFormatPr defaultRowHeight="19.95" customHeight="1"/>
  <cols>
    <col min="1" max="1" width="3.69921875" style="13" customWidth="1"/>
    <col min="2" max="2" width="9.19921875" style="13" customWidth="1"/>
    <col min="3" max="3" width="56" style="13" bestFit="1" customWidth="1"/>
    <col min="4" max="7" width="11.69921875" style="13" customWidth="1"/>
    <col min="8" max="8" width="13.09765625" style="13" customWidth="1"/>
    <col min="9" max="9" width="9.296875" style="13" customWidth="1"/>
    <col min="10" max="11" width="11.69921875" style="13" customWidth="1"/>
    <col min="12" max="13" width="14.69921875" style="13" customWidth="1"/>
    <col min="14" max="14" width="13.69921875" style="13" bestFit="1" customWidth="1"/>
    <col min="15" max="15" width="8.69921875" style="13" bestFit="1" customWidth="1"/>
    <col min="16" max="16" width="10.5" style="13" customWidth="1"/>
    <col min="17" max="16384" width="8.796875" style="13"/>
  </cols>
  <sheetData>
    <row r="2" spans="2:16" ht="19.95" customHeight="1">
      <c r="D2" s="29" t="s">
        <v>2543</v>
      </c>
      <c r="E2" s="32">
        <v>1500</v>
      </c>
      <c r="G2" s="29" t="s">
        <v>2545</v>
      </c>
      <c r="H2" s="15">
        <f>E2*E3</f>
        <v>22.5</v>
      </c>
      <c r="J2" s="29" t="s">
        <v>2550</v>
      </c>
      <c r="K2" s="13">
        <f>COUNTA(betflow[Data])</f>
        <v>241</v>
      </c>
    </row>
    <row r="3" spans="2:16" ht="19.95" customHeight="1">
      <c r="D3" s="29" t="s">
        <v>2544</v>
      </c>
      <c r="E3" s="30">
        <v>1.4999999999999999E-2</v>
      </c>
      <c r="G3" s="29" t="s">
        <v>2546</v>
      </c>
      <c r="H3" s="15">
        <f>H2*E5</f>
        <v>13.684329984249661</v>
      </c>
      <c r="J3" s="29" t="s">
        <v>2549</v>
      </c>
      <c r="K3" s="13">
        <f ca="1">_xlfn.DAYS(TODAY()-1,B8)</f>
        <v>92</v>
      </c>
    </row>
    <row r="4" spans="2:16" ht="19.95" customHeight="1">
      <c r="D4" s="29" t="s">
        <v>77</v>
      </c>
      <c r="E4" s="33">
        <v>0.01</v>
      </c>
      <c r="G4" s="29" t="s">
        <v>2548</v>
      </c>
      <c r="H4" s="15">
        <f>SUM(H2:H3)</f>
        <v>36.184329984249658</v>
      </c>
      <c r="J4" s="29" t="s">
        <v>2551</v>
      </c>
      <c r="K4" s="15">
        <f ca="1">K2/K3</f>
        <v>2.6195652173913042</v>
      </c>
    </row>
    <row r="5" spans="2:16" ht="19.95" customHeight="1">
      <c r="D5" s="29" t="s">
        <v>2547</v>
      </c>
      <c r="E5" s="31">
        <f>AVERAGE(betflow[Proporção Stakes])</f>
        <v>0.60819244374442938</v>
      </c>
      <c r="G5" s="29" t="s">
        <v>203</v>
      </c>
      <c r="H5" s="15">
        <f>H4*E4</f>
        <v>0.36184329984249658</v>
      </c>
      <c r="J5" s="29" t="s">
        <v>2552</v>
      </c>
      <c r="K5" s="15">
        <f ca="1">K4*30*H5</f>
        <v>28.436163672404891</v>
      </c>
    </row>
    <row r="7" spans="2:16" ht="30" customHeight="1">
      <c r="B7" s="18" t="s">
        <v>0</v>
      </c>
      <c r="C7" s="18" t="s">
        <v>1</v>
      </c>
      <c r="D7" s="18" t="s">
        <v>1455</v>
      </c>
      <c r="E7" s="18" t="s">
        <v>1456</v>
      </c>
      <c r="F7" s="18" t="s">
        <v>76</v>
      </c>
      <c r="G7" s="18" t="s">
        <v>1453</v>
      </c>
      <c r="H7" s="18" t="s">
        <v>1458</v>
      </c>
      <c r="I7" s="18" t="s">
        <v>1454</v>
      </c>
      <c r="J7" s="18" t="s">
        <v>1459</v>
      </c>
      <c r="K7" s="18" t="s">
        <v>1460</v>
      </c>
      <c r="L7" s="18" t="s">
        <v>1461</v>
      </c>
      <c r="M7" s="18" t="s">
        <v>1463</v>
      </c>
      <c r="N7" s="18" t="s">
        <v>203</v>
      </c>
      <c r="O7" s="18" t="s">
        <v>77</v>
      </c>
      <c r="P7" s="18" t="s">
        <v>1462</v>
      </c>
    </row>
    <row r="8" spans="2:16" ht="19.95" customHeight="1">
      <c r="B8" s="14">
        <v>46140</v>
      </c>
      <c r="C8" s="13" t="s">
        <v>1451</v>
      </c>
      <c r="D8" s="16">
        <v>1.7470000000000001</v>
      </c>
      <c r="E8" s="15">
        <v>20</v>
      </c>
      <c r="F8" s="15">
        <v>2.58</v>
      </c>
      <c r="G8" s="15">
        <v>13.26</v>
      </c>
      <c r="H8" s="13" t="s">
        <v>1452</v>
      </c>
      <c r="I8" s="13" t="s">
        <v>1457</v>
      </c>
      <c r="J8" s="15">
        <f t="shared" ref="J8:J41" si="0">IF(H8="Ganhou",(F8-1)*G8,-G8)</f>
        <v>-13.26</v>
      </c>
      <c r="K8" s="15">
        <f t="shared" ref="K8:K39" si="1">IF(H8="Perdeu",(D8-1)*E8,-E8)</f>
        <v>14.940000000000001</v>
      </c>
      <c r="L8" s="15">
        <f>IF(H8="Perdeu",-K8*0.0455,0)</f>
        <v>-0.67976999999999999</v>
      </c>
      <c r="M8" s="15">
        <f t="shared" ref="M8:M43" si="2">SUM(K8:L8)</f>
        <v>14.260230000000002</v>
      </c>
      <c r="N8" s="15">
        <f t="shared" ref="N8:N43" si="3">SUM(J8:L8)</f>
        <v>1.0002300000000015</v>
      </c>
      <c r="O8" s="17">
        <f t="shared" ref="O8:O71" si="4">IFERROR(N8/SUM(G8,E8),"")</f>
        <v>3.0073060733613998E-2</v>
      </c>
      <c r="P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0.66300000000000003</v>
      </c>
    </row>
    <row r="9" spans="2:16" ht="19.95" customHeight="1">
      <c r="B9" s="14">
        <v>46141</v>
      </c>
      <c r="C9" s="13" t="s">
        <v>1449</v>
      </c>
      <c r="D9" s="16">
        <v>1.83</v>
      </c>
      <c r="E9" s="15">
        <v>20.29</v>
      </c>
      <c r="F9" s="15">
        <v>2.42</v>
      </c>
      <c r="G9" s="15">
        <v>15.02</v>
      </c>
      <c r="H9" s="13" t="s">
        <v>1450</v>
      </c>
      <c r="I9" s="13" t="s">
        <v>1457</v>
      </c>
      <c r="J9" s="15">
        <f t="shared" si="0"/>
        <v>21.328399999999998</v>
      </c>
      <c r="K9" s="15">
        <f t="shared" si="1"/>
        <v>-20.29</v>
      </c>
      <c r="L9" s="15">
        <f>IF(H9="Perdeu",-K9*0.0455,0)</f>
        <v>0</v>
      </c>
      <c r="M9" s="15">
        <f t="shared" si="2"/>
        <v>-20.29</v>
      </c>
      <c r="N9" s="15">
        <f t="shared" si="3"/>
        <v>1.0383999999999993</v>
      </c>
      <c r="O9" s="17">
        <f t="shared" si="4"/>
        <v>2.94080996884735E-2</v>
      </c>
      <c r="P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0.74026614095613608</v>
      </c>
    </row>
    <row r="10" spans="2:16" ht="19.95" customHeight="1">
      <c r="B10" s="14">
        <v>46142</v>
      </c>
      <c r="C10" s="13" t="s">
        <v>1481</v>
      </c>
      <c r="D10" s="16">
        <v>2.1</v>
      </c>
      <c r="E10" s="15">
        <v>38.22</v>
      </c>
      <c r="F10" s="15">
        <v>2.0699999999999998</v>
      </c>
      <c r="G10" s="15">
        <v>37.869999999999997</v>
      </c>
      <c r="H10" s="13" t="s">
        <v>1452</v>
      </c>
      <c r="I10" s="13" t="s">
        <v>1457</v>
      </c>
      <c r="J10" s="15">
        <f t="shared" si="0"/>
        <v>-37.869999999999997</v>
      </c>
      <c r="K10" s="15">
        <f t="shared" si="1"/>
        <v>42.042000000000002</v>
      </c>
      <c r="L10" s="15">
        <f t="shared" ref="L10:L41" si="5">IF(H10="Perdeu",-K10*0.028,0)</f>
        <v>-1.177176</v>
      </c>
      <c r="M10" s="15">
        <f t="shared" si="2"/>
        <v>40.864823999999999</v>
      </c>
      <c r="N10" s="15">
        <f t="shared" si="3"/>
        <v>2.9948240000000039</v>
      </c>
      <c r="O10" s="17">
        <f t="shared" si="4"/>
        <v>3.9358969641214402E-2</v>
      </c>
      <c r="P1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0.99084249084249076</v>
      </c>
    </row>
    <row r="11" spans="2:16" ht="19.95" customHeight="1">
      <c r="B11" s="14">
        <v>46142</v>
      </c>
      <c r="C11" s="13" t="s">
        <v>1482</v>
      </c>
      <c r="D11" s="16">
        <v>1.21</v>
      </c>
      <c r="E11" s="15">
        <v>20.7</v>
      </c>
      <c r="F11" s="15">
        <v>7.25</v>
      </c>
      <c r="G11" s="15">
        <v>3.43</v>
      </c>
      <c r="H11" s="13" t="s">
        <v>1452</v>
      </c>
      <c r="I11" s="13" t="s">
        <v>1457</v>
      </c>
      <c r="J11" s="15">
        <f t="shared" si="0"/>
        <v>-3.43</v>
      </c>
      <c r="K11" s="15">
        <f t="shared" si="1"/>
        <v>4.3469999999999995</v>
      </c>
      <c r="L11" s="15">
        <f t="shared" si="5"/>
        <v>-0.12171599999999999</v>
      </c>
      <c r="M11" s="15">
        <f t="shared" si="2"/>
        <v>4.2252839999999994</v>
      </c>
      <c r="N11" s="15">
        <f t="shared" si="3"/>
        <v>0.79528399999999944</v>
      </c>
      <c r="O11" s="17">
        <f t="shared" si="4"/>
        <v>3.295830915872356E-2</v>
      </c>
      <c r="P1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0.16570048309178745</v>
      </c>
    </row>
    <row r="12" spans="2:16" ht="19.95" customHeight="1">
      <c r="B12" s="14">
        <v>46142</v>
      </c>
      <c r="C12" s="13" t="s">
        <v>1483</v>
      </c>
      <c r="D12" s="16">
        <v>1.82</v>
      </c>
      <c r="E12" s="15">
        <v>20.28</v>
      </c>
      <c r="F12" s="15">
        <v>2.44</v>
      </c>
      <c r="G12" s="15">
        <v>14.83</v>
      </c>
      <c r="H12" s="13" t="s">
        <v>1450</v>
      </c>
      <c r="I12" s="13" t="s">
        <v>1457</v>
      </c>
      <c r="J12" s="15">
        <f t="shared" si="0"/>
        <v>21.3552</v>
      </c>
      <c r="K12" s="15">
        <f t="shared" si="1"/>
        <v>-20.28</v>
      </c>
      <c r="L12" s="15">
        <f t="shared" si="5"/>
        <v>0</v>
      </c>
      <c r="M12" s="15">
        <f t="shared" si="2"/>
        <v>-20.28</v>
      </c>
      <c r="N12" s="15">
        <f t="shared" si="3"/>
        <v>1.0751999999999988</v>
      </c>
      <c r="O12" s="17">
        <f t="shared" si="4"/>
        <v>3.0623753916263138E-2</v>
      </c>
      <c r="P1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0.73126232741617359</v>
      </c>
    </row>
    <row r="13" spans="2:16" ht="19.95" customHeight="1">
      <c r="B13" s="14">
        <v>46143</v>
      </c>
      <c r="C13" s="13" t="s">
        <v>1484</v>
      </c>
      <c r="D13" s="16">
        <v>1.83</v>
      </c>
      <c r="E13" s="15">
        <v>54.47</v>
      </c>
      <c r="F13" s="15">
        <v>2.42</v>
      </c>
      <c r="G13" s="15">
        <v>40.33</v>
      </c>
      <c r="H13" s="13" t="s">
        <v>1452</v>
      </c>
      <c r="I13" s="13" t="s">
        <v>1457</v>
      </c>
      <c r="J13" s="15">
        <f t="shared" si="0"/>
        <v>-40.33</v>
      </c>
      <c r="K13" s="15">
        <f t="shared" si="1"/>
        <v>45.210100000000004</v>
      </c>
      <c r="L13" s="15">
        <f t="shared" si="5"/>
        <v>-1.2658828000000002</v>
      </c>
      <c r="M13" s="15">
        <f t="shared" si="2"/>
        <v>43.944217200000004</v>
      </c>
      <c r="N13" s="15">
        <f t="shared" si="3"/>
        <v>3.6142172000000059</v>
      </c>
      <c r="O13" s="17">
        <f t="shared" si="4"/>
        <v>3.8124654008438882E-2</v>
      </c>
      <c r="P1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0.74040756379658523</v>
      </c>
    </row>
    <row r="14" spans="2:16" ht="19.95" customHeight="1">
      <c r="B14" s="14">
        <v>46143</v>
      </c>
      <c r="C14" s="13" t="s">
        <v>1485</v>
      </c>
      <c r="D14" s="16">
        <v>1.28</v>
      </c>
      <c r="E14" s="15">
        <v>21.25</v>
      </c>
      <c r="F14" s="15">
        <v>5.5</v>
      </c>
      <c r="G14" s="15">
        <v>4.9000000000000004</v>
      </c>
      <c r="H14" s="13" t="s">
        <v>1450</v>
      </c>
      <c r="I14" s="13" t="s">
        <v>1457</v>
      </c>
      <c r="J14" s="15">
        <f t="shared" si="0"/>
        <v>22.05</v>
      </c>
      <c r="K14" s="15">
        <f t="shared" si="1"/>
        <v>-21.25</v>
      </c>
      <c r="L14" s="15">
        <f t="shared" si="5"/>
        <v>0</v>
      </c>
      <c r="M14" s="15">
        <f t="shared" si="2"/>
        <v>-21.25</v>
      </c>
      <c r="N14" s="15">
        <f t="shared" si="3"/>
        <v>0.80000000000000071</v>
      </c>
      <c r="O14" s="17">
        <f t="shared" si="4"/>
        <v>3.0592734225621445E-2</v>
      </c>
      <c r="P1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0.23058823529411768</v>
      </c>
    </row>
    <row r="15" spans="2:16" ht="19.95" customHeight="1">
      <c r="B15" s="14">
        <v>46143</v>
      </c>
      <c r="C15" s="13" t="s">
        <v>1486</v>
      </c>
      <c r="D15" s="16">
        <v>1.27</v>
      </c>
      <c r="E15" s="15">
        <v>20.83</v>
      </c>
      <c r="F15" s="15">
        <v>5.69</v>
      </c>
      <c r="G15" s="15">
        <v>4.6100000000000003</v>
      </c>
      <c r="H15" s="13" t="s">
        <v>1452</v>
      </c>
      <c r="I15" s="13" t="s">
        <v>1457</v>
      </c>
      <c r="J15" s="15">
        <f t="shared" si="0"/>
        <v>-4.6100000000000003</v>
      </c>
      <c r="K15" s="15">
        <f t="shared" si="1"/>
        <v>5.6241000000000003</v>
      </c>
      <c r="L15" s="15">
        <f t="shared" si="5"/>
        <v>-0.15747480000000003</v>
      </c>
      <c r="M15" s="15">
        <f t="shared" si="2"/>
        <v>5.4666252000000002</v>
      </c>
      <c r="N15" s="15">
        <f t="shared" si="3"/>
        <v>0.85662519999999998</v>
      </c>
      <c r="O15" s="17">
        <f t="shared" si="4"/>
        <v>3.3672374213836481E-2</v>
      </c>
      <c r="P1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0.22131541046567454</v>
      </c>
    </row>
    <row r="16" spans="2:16" ht="19.95" customHeight="1">
      <c r="B16" s="14">
        <v>46143</v>
      </c>
      <c r="C16" s="13" t="s">
        <v>1485</v>
      </c>
      <c r="D16" s="16">
        <v>1.22</v>
      </c>
      <c r="E16" s="15">
        <v>20.41</v>
      </c>
      <c r="F16" s="15">
        <v>6.92</v>
      </c>
      <c r="G16" s="15">
        <v>3.57</v>
      </c>
      <c r="H16" s="13" t="s">
        <v>1452</v>
      </c>
      <c r="I16" s="13" t="s">
        <v>1457</v>
      </c>
      <c r="J16" s="15">
        <f t="shared" si="0"/>
        <v>-3.57</v>
      </c>
      <c r="K16" s="15">
        <f t="shared" si="1"/>
        <v>4.4901999999999997</v>
      </c>
      <c r="L16" s="15">
        <f t="shared" si="5"/>
        <v>-0.12572559999999999</v>
      </c>
      <c r="M16" s="15">
        <f t="shared" si="2"/>
        <v>4.3644743999999998</v>
      </c>
      <c r="N16" s="15">
        <f t="shared" si="3"/>
        <v>0.79447439999999991</v>
      </c>
      <c r="O16" s="17">
        <f t="shared" si="4"/>
        <v>3.3130708924103414E-2</v>
      </c>
      <c r="P1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0.17491425771680547</v>
      </c>
    </row>
    <row r="17" spans="2:16" ht="19.95" customHeight="1">
      <c r="B17" s="14">
        <v>46143</v>
      </c>
      <c r="C17" s="13" t="s">
        <v>1487</v>
      </c>
      <c r="D17" s="16">
        <v>1.26</v>
      </c>
      <c r="E17" s="15">
        <v>20</v>
      </c>
      <c r="F17" s="15">
        <v>5.89</v>
      </c>
      <c r="G17" s="15">
        <v>4.24</v>
      </c>
      <c r="H17" s="13" t="s">
        <v>1452</v>
      </c>
      <c r="I17" s="13" t="s">
        <v>1457</v>
      </c>
      <c r="J17" s="15">
        <f t="shared" si="0"/>
        <v>-4.24</v>
      </c>
      <c r="K17" s="15">
        <f t="shared" si="1"/>
        <v>5.2</v>
      </c>
      <c r="L17" s="15">
        <f t="shared" si="5"/>
        <v>-0.14560000000000001</v>
      </c>
      <c r="M17" s="15">
        <f t="shared" si="2"/>
        <v>5.0544000000000002</v>
      </c>
      <c r="N17" s="15">
        <f t="shared" si="3"/>
        <v>0.81440000000000001</v>
      </c>
      <c r="O17" s="17">
        <f t="shared" si="4"/>
        <v>3.3597359735973595E-2</v>
      </c>
      <c r="P1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0.21200000000000002</v>
      </c>
    </row>
    <row r="18" spans="2:16" ht="19.95" customHeight="1">
      <c r="B18" s="14">
        <v>46143</v>
      </c>
      <c r="C18" s="13" t="s">
        <v>1488</v>
      </c>
      <c r="D18" s="16">
        <v>1.33</v>
      </c>
      <c r="E18" s="15">
        <v>19.600000000000001</v>
      </c>
      <c r="F18" s="15">
        <v>4.75</v>
      </c>
      <c r="G18" s="15">
        <v>5.43</v>
      </c>
      <c r="H18" s="13" t="s">
        <v>1452</v>
      </c>
      <c r="I18" s="13" t="s">
        <v>1457</v>
      </c>
      <c r="J18" s="15">
        <f t="shared" si="0"/>
        <v>-5.43</v>
      </c>
      <c r="K18" s="15">
        <f t="shared" si="1"/>
        <v>6.4680000000000017</v>
      </c>
      <c r="L18" s="15">
        <f t="shared" si="5"/>
        <v>-0.18110400000000004</v>
      </c>
      <c r="M18" s="15">
        <f t="shared" si="2"/>
        <v>6.2868960000000014</v>
      </c>
      <c r="N18" s="15">
        <f t="shared" si="3"/>
        <v>0.85689600000000199</v>
      </c>
      <c r="O18" s="17">
        <f t="shared" si="4"/>
        <v>3.4234758290052014E-2</v>
      </c>
      <c r="P1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0.2770408163265306</v>
      </c>
    </row>
    <row r="19" spans="2:16" ht="19.95" customHeight="1">
      <c r="B19" s="14">
        <v>46143</v>
      </c>
      <c r="C19" s="13" t="s">
        <v>1489</v>
      </c>
      <c r="D19" s="16">
        <v>1.88</v>
      </c>
      <c r="E19" s="15">
        <v>35.619999999999997</v>
      </c>
      <c r="F19" s="15">
        <v>2.34</v>
      </c>
      <c r="G19" s="15">
        <v>28.03</v>
      </c>
      <c r="H19" s="13" t="s">
        <v>1450</v>
      </c>
      <c r="I19" s="13" t="s">
        <v>1457</v>
      </c>
      <c r="J19" s="15">
        <f t="shared" si="0"/>
        <v>37.560199999999995</v>
      </c>
      <c r="K19" s="15">
        <f t="shared" si="1"/>
        <v>-35.619999999999997</v>
      </c>
      <c r="L19" s="15">
        <f t="shared" si="5"/>
        <v>0</v>
      </c>
      <c r="M19" s="15">
        <f t="shared" si="2"/>
        <v>-35.619999999999997</v>
      </c>
      <c r="N19" s="15">
        <f t="shared" si="3"/>
        <v>1.9401999999999973</v>
      </c>
      <c r="O19" s="17">
        <f t="shared" si="4"/>
        <v>3.0482325216025095E-2</v>
      </c>
      <c r="P1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0.78691746209994395</v>
      </c>
    </row>
    <row r="20" spans="2:16" ht="19.95" customHeight="1">
      <c r="B20" s="14">
        <v>46144</v>
      </c>
      <c r="C20" s="13" t="s">
        <v>1490</v>
      </c>
      <c r="D20" s="16">
        <v>1.4444399999999999</v>
      </c>
      <c r="E20" s="15">
        <v>20.54</v>
      </c>
      <c r="F20" s="15">
        <v>3.72</v>
      </c>
      <c r="G20" s="15">
        <v>7.87</v>
      </c>
      <c r="H20" s="13" t="s">
        <v>1452</v>
      </c>
      <c r="I20" s="13" t="s">
        <v>1457</v>
      </c>
      <c r="J20" s="15">
        <f t="shared" si="0"/>
        <v>-7.87</v>
      </c>
      <c r="K20" s="15">
        <f t="shared" si="1"/>
        <v>9.1287975999999986</v>
      </c>
      <c r="L20" s="15">
        <f t="shared" si="5"/>
        <v>-0.25560633279999995</v>
      </c>
      <c r="M20" s="15">
        <f t="shared" si="2"/>
        <v>8.8731912671999993</v>
      </c>
      <c r="N20" s="15">
        <f t="shared" si="3"/>
        <v>1.0031912671999985</v>
      </c>
      <c r="O20" s="17">
        <f t="shared" si="4"/>
        <v>3.5311202646955246E-2</v>
      </c>
      <c r="P2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0.38315481986368066</v>
      </c>
    </row>
    <row r="21" spans="2:16" ht="19.95" customHeight="1">
      <c r="B21" s="14">
        <v>46144</v>
      </c>
      <c r="C21" s="13" t="s">
        <v>1491</v>
      </c>
      <c r="D21" s="16">
        <v>1.25641</v>
      </c>
      <c r="E21" s="15">
        <v>20.13</v>
      </c>
      <c r="F21" s="15">
        <v>5.97</v>
      </c>
      <c r="G21" s="15">
        <v>4.2</v>
      </c>
      <c r="H21" s="13" t="s">
        <v>1452</v>
      </c>
      <c r="I21" s="13" t="s">
        <v>1457</v>
      </c>
      <c r="J21" s="15">
        <f t="shared" si="0"/>
        <v>-4.2</v>
      </c>
      <c r="K21" s="15">
        <f t="shared" si="1"/>
        <v>5.1615333000000003</v>
      </c>
      <c r="L21" s="15">
        <f t="shared" si="5"/>
        <v>-0.14452293240000003</v>
      </c>
      <c r="M21" s="15">
        <f t="shared" si="2"/>
        <v>5.0170103676000002</v>
      </c>
      <c r="N21" s="15">
        <f t="shared" si="3"/>
        <v>0.81701036760000012</v>
      </c>
      <c r="O21" s="17">
        <f t="shared" si="4"/>
        <v>3.358036858199754E-2</v>
      </c>
      <c r="P2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0.20864381520119227</v>
      </c>
    </row>
    <row r="22" spans="2:16" ht="19.95" customHeight="1">
      <c r="B22" s="14">
        <v>46144</v>
      </c>
      <c r="C22" s="13" t="s">
        <v>1492</v>
      </c>
      <c r="D22" s="16">
        <v>1.23255</v>
      </c>
      <c r="E22" s="15">
        <v>20.13</v>
      </c>
      <c r="F22" s="15">
        <v>6.55</v>
      </c>
      <c r="G22" s="15">
        <v>3.75</v>
      </c>
      <c r="H22" s="13" t="s">
        <v>1452</v>
      </c>
      <c r="I22" s="13" t="s">
        <v>1457</v>
      </c>
      <c r="J22" s="15">
        <f t="shared" si="0"/>
        <v>-3.75</v>
      </c>
      <c r="K22" s="15">
        <f t="shared" si="1"/>
        <v>4.6812315000000009</v>
      </c>
      <c r="L22" s="15">
        <f t="shared" si="5"/>
        <v>-0.13107448200000002</v>
      </c>
      <c r="M22" s="15">
        <f t="shared" si="2"/>
        <v>4.5501570180000011</v>
      </c>
      <c r="N22" s="15">
        <f t="shared" si="3"/>
        <v>0.80015701800000083</v>
      </c>
      <c r="O22" s="17">
        <f t="shared" si="4"/>
        <v>3.3507412814070388E-2</v>
      </c>
      <c r="P2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0.18628912071535023</v>
      </c>
    </row>
    <row r="23" spans="2:16" ht="19.95" customHeight="1">
      <c r="B23" s="14">
        <v>46144</v>
      </c>
      <c r="C23" s="13" t="s">
        <v>1490</v>
      </c>
      <c r="D23" s="16">
        <v>1.3448199999999999</v>
      </c>
      <c r="E23" s="15">
        <v>20.13</v>
      </c>
      <c r="F23" s="15">
        <v>4.57</v>
      </c>
      <c r="G23" s="15">
        <v>5.85</v>
      </c>
      <c r="H23" s="13" t="s">
        <v>1452</v>
      </c>
      <c r="I23" s="13" t="s">
        <v>1457</v>
      </c>
      <c r="J23" s="15">
        <f t="shared" si="0"/>
        <v>-5.85</v>
      </c>
      <c r="K23" s="15">
        <f t="shared" si="1"/>
        <v>6.9412265999999976</v>
      </c>
      <c r="L23" s="15">
        <f t="shared" si="5"/>
        <v>-0.19435434479999994</v>
      </c>
      <c r="M23" s="15">
        <f t="shared" si="2"/>
        <v>6.7468722551999978</v>
      </c>
      <c r="N23" s="15">
        <f t="shared" si="3"/>
        <v>0.89687225519999803</v>
      </c>
      <c r="O23" s="17">
        <f t="shared" si="4"/>
        <v>3.4521641847574988E-2</v>
      </c>
      <c r="P2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0.29061102831594632</v>
      </c>
    </row>
    <row r="24" spans="2:16" ht="19.95" customHeight="1">
      <c r="B24" s="14">
        <v>46144</v>
      </c>
      <c r="C24" s="13" t="s">
        <v>1493</v>
      </c>
      <c r="D24" s="16">
        <v>1.24</v>
      </c>
      <c r="E24" s="15">
        <v>21.04</v>
      </c>
      <c r="F24" s="15">
        <v>6.36</v>
      </c>
      <c r="G24" s="15">
        <v>4.07</v>
      </c>
      <c r="H24" s="13" t="s">
        <v>1450</v>
      </c>
      <c r="I24" s="13" t="s">
        <v>1457</v>
      </c>
      <c r="J24" s="15">
        <f t="shared" si="0"/>
        <v>21.815200000000004</v>
      </c>
      <c r="K24" s="15">
        <f t="shared" si="1"/>
        <v>-21.04</v>
      </c>
      <c r="L24" s="15">
        <f t="shared" si="5"/>
        <v>0</v>
      </c>
      <c r="M24" s="15">
        <f t="shared" si="2"/>
        <v>-21.04</v>
      </c>
      <c r="N24" s="15">
        <f t="shared" si="3"/>
        <v>0.77520000000000522</v>
      </c>
      <c r="O24" s="17">
        <f t="shared" si="4"/>
        <v>3.087216248506592E-2</v>
      </c>
      <c r="P2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0.1934410646387833</v>
      </c>
    </row>
    <row r="25" spans="2:16" ht="19.95" customHeight="1">
      <c r="B25" s="14">
        <v>46144</v>
      </c>
      <c r="C25" s="13" t="s">
        <v>1493</v>
      </c>
      <c r="D25" s="16">
        <v>1.71428</v>
      </c>
      <c r="E25" s="15">
        <v>20.62</v>
      </c>
      <c r="F25" s="15">
        <v>2.66</v>
      </c>
      <c r="G25" s="15">
        <v>13.06</v>
      </c>
      <c r="H25" s="13" t="s">
        <v>1452</v>
      </c>
      <c r="I25" s="13" t="s">
        <v>1457</v>
      </c>
      <c r="J25" s="15">
        <f t="shared" si="0"/>
        <v>-13.06</v>
      </c>
      <c r="K25" s="15">
        <f t="shared" si="1"/>
        <v>14.728453600000002</v>
      </c>
      <c r="L25" s="15">
        <f t="shared" si="5"/>
        <v>-0.41239670080000007</v>
      </c>
      <c r="M25" s="15">
        <f t="shared" si="2"/>
        <v>14.316056899200001</v>
      </c>
      <c r="N25" s="15">
        <f t="shared" si="3"/>
        <v>1.2560568992000012</v>
      </c>
      <c r="O25" s="17">
        <f t="shared" si="4"/>
        <v>3.7293850926365835E-2</v>
      </c>
      <c r="P2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0.63336566440349173</v>
      </c>
    </row>
    <row r="26" spans="2:16" ht="19.95" customHeight="1">
      <c r="B26" s="14">
        <v>46144</v>
      </c>
      <c r="C26" s="13" t="s">
        <v>1494</v>
      </c>
      <c r="D26" s="16">
        <v>1.2941100000000001</v>
      </c>
      <c r="E26" s="15">
        <v>20.21</v>
      </c>
      <c r="F26" s="15">
        <v>5.26</v>
      </c>
      <c r="G26" s="15">
        <v>4.92</v>
      </c>
      <c r="H26" s="13" t="s">
        <v>1450</v>
      </c>
      <c r="I26" s="13" t="s">
        <v>1457</v>
      </c>
      <c r="J26" s="15">
        <f t="shared" si="0"/>
        <v>20.959199999999999</v>
      </c>
      <c r="K26" s="15">
        <f t="shared" si="1"/>
        <v>-20.21</v>
      </c>
      <c r="L26" s="15">
        <f t="shared" si="5"/>
        <v>0</v>
      </c>
      <c r="M26" s="15">
        <f t="shared" si="2"/>
        <v>-20.21</v>
      </c>
      <c r="N26" s="15">
        <f t="shared" si="3"/>
        <v>0.74919999999999831</v>
      </c>
      <c r="O26" s="17">
        <f t="shared" si="4"/>
        <v>2.9812972542777486E-2</v>
      </c>
      <c r="P2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0.24344383968332509</v>
      </c>
    </row>
    <row r="27" spans="2:16" ht="19.95" customHeight="1">
      <c r="B27" s="14">
        <v>46144</v>
      </c>
      <c r="C27" s="13" t="s">
        <v>1495</v>
      </c>
      <c r="D27" s="16">
        <v>1.2320055257597899</v>
      </c>
      <c r="E27" s="15">
        <v>20.51</v>
      </c>
      <c r="F27" s="15">
        <v>6.57</v>
      </c>
      <c r="G27" s="15">
        <v>3.81</v>
      </c>
      <c r="H27" s="13" t="s">
        <v>1452</v>
      </c>
      <c r="I27" s="13" t="s">
        <v>1457</v>
      </c>
      <c r="J27" s="15">
        <f t="shared" si="0"/>
        <v>-3.81</v>
      </c>
      <c r="K27" s="15">
        <f t="shared" si="1"/>
        <v>4.7584333333332918</v>
      </c>
      <c r="L27" s="15">
        <f t="shared" si="5"/>
        <v>-0.13323613333333217</v>
      </c>
      <c r="M27" s="15">
        <f t="shared" si="2"/>
        <v>4.6251971999999597</v>
      </c>
      <c r="N27" s="15">
        <f t="shared" si="3"/>
        <v>0.81519719999995954</v>
      </c>
      <c r="O27" s="17">
        <f t="shared" si="4"/>
        <v>3.3519621710524652E-2</v>
      </c>
      <c r="P2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0.1857630424183325</v>
      </c>
    </row>
    <row r="28" spans="2:16" ht="19.95" customHeight="1">
      <c r="B28" s="14">
        <v>46144</v>
      </c>
      <c r="C28" s="13" t="s">
        <v>1496</v>
      </c>
      <c r="D28" s="16">
        <v>1.21</v>
      </c>
      <c r="E28" s="15">
        <v>20.100000000000001</v>
      </c>
      <c r="F28" s="15">
        <v>7.25</v>
      </c>
      <c r="G28" s="15">
        <v>3.33</v>
      </c>
      <c r="H28" s="13" t="s">
        <v>1450</v>
      </c>
      <c r="I28" s="13" t="s">
        <v>1457</v>
      </c>
      <c r="J28" s="15">
        <f t="shared" si="0"/>
        <v>20.8125</v>
      </c>
      <c r="K28" s="15">
        <f t="shared" si="1"/>
        <v>-20.100000000000001</v>
      </c>
      <c r="L28" s="15">
        <f t="shared" si="5"/>
        <v>0</v>
      </c>
      <c r="M28" s="15">
        <f t="shared" si="2"/>
        <v>-20.100000000000001</v>
      </c>
      <c r="N28" s="15">
        <f t="shared" si="3"/>
        <v>0.71249999999999858</v>
      </c>
      <c r="O28" s="17">
        <f t="shared" si="4"/>
        <v>3.0409731113956406E-2</v>
      </c>
      <c r="P2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0.16567164179104477</v>
      </c>
    </row>
    <row r="29" spans="2:16" ht="19.95" customHeight="1">
      <c r="B29" s="14">
        <v>46144</v>
      </c>
      <c r="C29" s="13" t="s">
        <v>1497</v>
      </c>
      <c r="D29" s="16">
        <v>1.66</v>
      </c>
      <c r="E29" s="15">
        <v>42.3</v>
      </c>
      <c r="F29" s="15">
        <v>2.8</v>
      </c>
      <c r="G29" s="15">
        <v>24.65</v>
      </c>
      <c r="H29" s="13" t="s">
        <v>1450</v>
      </c>
      <c r="I29" s="13" t="s">
        <v>1457</v>
      </c>
      <c r="J29" s="15">
        <f t="shared" si="0"/>
        <v>44.36999999999999</v>
      </c>
      <c r="K29" s="15">
        <f t="shared" si="1"/>
        <v>-42.3</v>
      </c>
      <c r="L29" s="15">
        <f t="shared" si="5"/>
        <v>0</v>
      </c>
      <c r="M29" s="15">
        <f t="shared" si="2"/>
        <v>-42.3</v>
      </c>
      <c r="N29" s="15">
        <f t="shared" si="3"/>
        <v>2.0699999999999932</v>
      </c>
      <c r="O29" s="17">
        <f t="shared" si="4"/>
        <v>3.091859596713956E-2</v>
      </c>
      <c r="P2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0.58274231678486998</v>
      </c>
    </row>
    <row r="30" spans="2:16" ht="19.95" customHeight="1">
      <c r="B30" s="14">
        <v>46144</v>
      </c>
      <c r="C30" s="13" t="s">
        <v>1496</v>
      </c>
      <c r="D30" s="16">
        <v>1.67</v>
      </c>
      <c r="E30" s="15">
        <v>41.58</v>
      </c>
      <c r="F30" s="15">
        <v>2.77</v>
      </c>
      <c r="G30" s="15">
        <v>24.62</v>
      </c>
      <c r="H30" s="19" t="s">
        <v>1452</v>
      </c>
      <c r="I30" s="13" t="s">
        <v>1457</v>
      </c>
      <c r="J30" s="15">
        <f t="shared" si="0"/>
        <v>-24.62</v>
      </c>
      <c r="K30" s="15">
        <f t="shared" si="1"/>
        <v>27.858599999999996</v>
      </c>
      <c r="L30" s="15">
        <f t="shared" si="5"/>
        <v>-0.78004079999999987</v>
      </c>
      <c r="M30" s="15">
        <f t="shared" si="2"/>
        <v>27.078559199999997</v>
      </c>
      <c r="N30" s="15">
        <f t="shared" si="3"/>
        <v>2.4585591999999945</v>
      </c>
      <c r="O30" s="17">
        <f t="shared" si="4"/>
        <v>3.7138356495468192E-2</v>
      </c>
      <c r="P3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0.59211159211159214</v>
      </c>
    </row>
    <row r="31" spans="2:16" ht="19.95" customHeight="1">
      <c r="B31" s="14">
        <v>46144</v>
      </c>
      <c r="C31" s="13" t="s">
        <v>1498</v>
      </c>
      <c r="D31" s="16">
        <v>1.90909</v>
      </c>
      <c r="E31" s="15">
        <v>92.15</v>
      </c>
      <c r="F31" s="15">
        <v>2.2999999999999998</v>
      </c>
      <c r="G31" s="15">
        <v>74.989999999999995</v>
      </c>
      <c r="H31" s="19" t="s">
        <v>1450</v>
      </c>
      <c r="I31" s="13" t="s">
        <v>1457</v>
      </c>
      <c r="J31" s="15">
        <f t="shared" si="0"/>
        <v>97.486999999999981</v>
      </c>
      <c r="K31" s="15">
        <f t="shared" si="1"/>
        <v>-92.15</v>
      </c>
      <c r="L31" s="15">
        <f t="shared" si="5"/>
        <v>0</v>
      </c>
      <c r="M31" s="15">
        <f t="shared" si="2"/>
        <v>-92.15</v>
      </c>
      <c r="N31" s="15">
        <f t="shared" si="3"/>
        <v>5.3369999999999749</v>
      </c>
      <c r="O31" s="17">
        <f t="shared" si="4"/>
        <v>3.1931315065214641E-2</v>
      </c>
      <c r="P3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0.81378187737384688</v>
      </c>
    </row>
    <row r="32" spans="2:16" ht="19.95" customHeight="1">
      <c r="B32" s="14">
        <v>46144</v>
      </c>
      <c r="C32" s="13" t="s">
        <v>1499</v>
      </c>
      <c r="D32" s="16">
        <v>1.61</v>
      </c>
      <c r="E32" s="15">
        <v>330.8</v>
      </c>
      <c r="F32" s="15">
        <v>2.95</v>
      </c>
      <c r="G32" s="15">
        <v>177.46</v>
      </c>
      <c r="H32" s="19" t="s">
        <v>1450</v>
      </c>
      <c r="I32" s="13" t="s">
        <v>1457</v>
      </c>
      <c r="J32" s="15">
        <f t="shared" si="0"/>
        <v>346.04700000000003</v>
      </c>
      <c r="K32" s="15">
        <f t="shared" si="1"/>
        <v>-330.8</v>
      </c>
      <c r="L32" s="15">
        <f t="shared" si="5"/>
        <v>0</v>
      </c>
      <c r="M32" s="15">
        <f t="shared" si="2"/>
        <v>-330.8</v>
      </c>
      <c r="N32" s="15">
        <f t="shared" si="3"/>
        <v>15.247000000000014</v>
      </c>
      <c r="O32" s="17">
        <f t="shared" si="4"/>
        <v>2.9998426002439724E-2</v>
      </c>
      <c r="P3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0.53645707376058038</v>
      </c>
    </row>
    <row r="33" spans="2:16" ht="19.95" customHeight="1">
      <c r="B33" s="14">
        <v>46144</v>
      </c>
      <c r="C33" s="13" t="s">
        <v>1500</v>
      </c>
      <c r="D33" s="16">
        <v>1.73</v>
      </c>
      <c r="E33" s="15">
        <v>40.409999999999997</v>
      </c>
      <c r="F33" s="15">
        <v>2.62</v>
      </c>
      <c r="G33" s="15">
        <v>26.17</v>
      </c>
      <c r="H33" s="19" t="s">
        <v>1450</v>
      </c>
      <c r="I33" s="13" t="s">
        <v>1457</v>
      </c>
      <c r="J33" s="15">
        <f t="shared" si="0"/>
        <v>42.395400000000002</v>
      </c>
      <c r="K33" s="15">
        <f t="shared" si="1"/>
        <v>-40.409999999999997</v>
      </c>
      <c r="L33" s="15">
        <f t="shared" si="5"/>
        <v>0</v>
      </c>
      <c r="M33" s="15">
        <f t="shared" si="2"/>
        <v>-40.409999999999997</v>
      </c>
      <c r="N33" s="15">
        <f t="shared" si="3"/>
        <v>1.9854000000000056</v>
      </c>
      <c r="O33" s="17">
        <f t="shared" si="4"/>
        <v>2.9819765695404111E-2</v>
      </c>
      <c r="P3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0.64761197723335817</v>
      </c>
    </row>
    <row r="34" spans="2:16" ht="19.95" customHeight="1">
      <c r="B34" s="14">
        <v>46145</v>
      </c>
      <c r="C34" s="13" t="s">
        <v>1501</v>
      </c>
      <c r="D34" s="16">
        <v>1.83</v>
      </c>
      <c r="E34" s="15">
        <v>90.54</v>
      </c>
      <c r="F34" s="15">
        <v>2.42</v>
      </c>
      <c r="G34" s="15">
        <v>67.040000000000006</v>
      </c>
      <c r="H34" s="19" t="s">
        <v>1450</v>
      </c>
      <c r="I34" s="13" t="s">
        <v>1457</v>
      </c>
      <c r="J34" s="15">
        <f t="shared" si="0"/>
        <v>95.19680000000001</v>
      </c>
      <c r="K34" s="15">
        <f t="shared" si="1"/>
        <v>-90.54</v>
      </c>
      <c r="L34" s="15">
        <f t="shared" si="5"/>
        <v>0</v>
      </c>
      <c r="M34" s="15">
        <f t="shared" si="2"/>
        <v>-90.54</v>
      </c>
      <c r="N34" s="15">
        <f t="shared" si="3"/>
        <v>4.656800000000004</v>
      </c>
      <c r="O34" s="17">
        <f t="shared" si="4"/>
        <v>2.9551973600710775E-2</v>
      </c>
      <c r="P3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0.7404462116191739</v>
      </c>
    </row>
    <row r="35" spans="2:16" ht="19.95" customHeight="1">
      <c r="B35" s="14">
        <v>46145</v>
      </c>
      <c r="C35" s="13" t="s">
        <v>1502</v>
      </c>
      <c r="D35" s="16">
        <v>2.0101</v>
      </c>
      <c r="E35" s="15">
        <v>192.8</v>
      </c>
      <c r="F35" s="15">
        <v>2.17</v>
      </c>
      <c r="G35" s="15">
        <v>174.95</v>
      </c>
      <c r="H35" s="19" t="s">
        <v>1452</v>
      </c>
      <c r="I35" s="13" t="s">
        <v>1457</v>
      </c>
      <c r="J35" s="15">
        <f t="shared" si="0"/>
        <v>-174.95</v>
      </c>
      <c r="K35" s="15">
        <f t="shared" si="1"/>
        <v>194.74728000000002</v>
      </c>
      <c r="L35" s="15">
        <f t="shared" si="5"/>
        <v>-5.4529238400000004</v>
      </c>
      <c r="M35" s="15">
        <f t="shared" si="2"/>
        <v>189.29435616000001</v>
      </c>
      <c r="N35" s="15">
        <f t="shared" si="3"/>
        <v>14.344356160000029</v>
      </c>
      <c r="O35" s="17">
        <f t="shared" si="4"/>
        <v>3.9005727151597627E-2</v>
      </c>
      <c r="P3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0.90741701244813266</v>
      </c>
    </row>
    <row r="36" spans="2:16" ht="19.95" customHeight="1">
      <c r="B36" s="14">
        <v>46145</v>
      </c>
      <c r="C36" s="13" t="s">
        <v>1503</v>
      </c>
      <c r="D36" s="16">
        <v>1.2857099999999999</v>
      </c>
      <c r="E36" s="15">
        <v>13.6</v>
      </c>
      <c r="F36" s="15">
        <v>5.4</v>
      </c>
      <c r="G36" s="15">
        <v>3.21</v>
      </c>
      <c r="H36" s="19" t="s">
        <v>1452</v>
      </c>
      <c r="I36" s="13" t="s">
        <v>1457</v>
      </c>
      <c r="J36" s="15">
        <f t="shared" si="0"/>
        <v>-3.21</v>
      </c>
      <c r="K36" s="15">
        <f t="shared" si="1"/>
        <v>3.8856559999999987</v>
      </c>
      <c r="L36" s="15">
        <f t="shared" si="5"/>
        <v>-0.10879836799999996</v>
      </c>
      <c r="M36" s="15">
        <f t="shared" si="2"/>
        <v>3.7768576319999987</v>
      </c>
      <c r="N36" s="15">
        <f t="shared" si="3"/>
        <v>0.56685763199999872</v>
      </c>
      <c r="O36" s="17">
        <f t="shared" si="4"/>
        <v>3.3721453420582914E-2</v>
      </c>
      <c r="P3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0.23602941176470588</v>
      </c>
    </row>
    <row r="37" spans="2:16" ht="19.95" customHeight="1">
      <c r="B37" s="14">
        <v>46145</v>
      </c>
      <c r="C37" s="13" t="s">
        <v>1504</v>
      </c>
      <c r="D37" s="16">
        <v>1.3</v>
      </c>
      <c r="E37" s="15">
        <v>13.68</v>
      </c>
      <c r="F37" s="15">
        <v>5.17</v>
      </c>
      <c r="G37" s="15">
        <v>3.41</v>
      </c>
      <c r="H37" s="19" t="s">
        <v>1450</v>
      </c>
      <c r="I37" s="13" t="s">
        <v>1457</v>
      </c>
      <c r="J37" s="15">
        <f t="shared" si="0"/>
        <v>14.2197</v>
      </c>
      <c r="K37" s="15">
        <f t="shared" si="1"/>
        <v>-13.68</v>
      </c>
      <c r="L37" s="15">
        <f t="shared" si="5"/>
        <v>0</v>
      </c>
      <c r="M37" s="15">
        <f t="shared" si="2"/>
        <v>-13.68</v>
      </c>
      <c r="N37" s="15">
        <f t="shared" si="3"/>
        <v>0.53969999999999985</v>
      </c>
      <c r="O37" s="17">
        <f t="shared" si="4"/>
        <v>3.1579871269748379E-2</v>
      </c>
      <c r="P3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0.24926900584795322</v>
      </c>
    </row>
    <row r="38" spans="2:16" ht="19.95" customHeight="1">
      <c r="B38" s="14">
        <v>46145</v>
      </c>
      <c r="C38" s="13" t="s">
        <v>1505</v>
      </c>
      <c r="D38" s="16">
        <v>1.6944399999999999</v>
      </c>
      <c r="E38" s="15">
        <v>13.4</v>
      </c>
      <c r="F38" s="15">
        <v>2.71</v>
      </c>
      <c r="G38" s="15">
        <v>8.24</v>
      </c>
      <c r="H38" s="19" t="s">
        <v>1450</v>
      </c>
      <c r="I38" s="13" t="s">
        <v>1457</v>
      </c>
      <c r="J38" s="15">
        <f t="shared" si="0"/>
        <v>14.090400000000001</v>
      </c>
      <c r="K38" s="15">
        <f t="shared" si="1"/>
        <v>-13.4</v>
      </c>
      <c r="L38" s="15">
        <f t="shared" si="5"/>
        <v>0</v>
      </c>
      <c r="M38" s="15">
        <f t="shared" si="2"/>
        <v>-13.4</v>
      </c>
      <c r="N38" s="15">
        <f t="shared" si="3"/>
        <v>0.69040000000000035</v>
      </c>
      <c r="O38" s="17">
        <f t="shared" si="4"/>
        <v>3.1903881700554547E-2</v>
      </c>
      <c r="P3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0.61492537313432838</v>
      </c>
    </row>
    <row r="39" spans="2:16" ht="19.95" customHeight="1">
      <c r="B39" s="14">
        <v>46145</v>
      </c>
      <c r="C39" s="13" t="s">
        <v>1506</v>
      </c>
      <c r="D39" s="16">
        <v>1.3125</v>
      </c>
      <c r="E39" s="15">
        <v>13.13</v>
      </c>
      <c r="F39" s="15">
        <v>4.9800000000000004</v>
      </c>
      <c r="G39" s="15">
        <v>3.42</v>
      </c>
      <c r="H39" s="19" t="s">
        <v>1450</v>
      </c>
      <c r="I39" s="13" t="s">
        <v>1457</v>
      </c>
      <c r="J39" s="15">
        <f t="shared" si="0"/>
        <v>13.611600000000001</v>
      </c>
      <c r="K39" s="15">
        <f t="shared" si="1"/>
        <v>-13.13</v>
      </c>
      <c r="L39" s="15">
        <f t="shared" si="5"/>
        <v>0</v>
      </c>
      <c r="M39" s="15">
        <f t="shared" si="2"/>
        <v>-13.13</v>
      </c>
      <c r="N39" s="15">
        <f t="shared" si="3"/>
        <v>0.48160000000000025</v>
      </c>
      <c r="O39" s="17">
        <f t="shared" si="4"/>
        <v>2.9099697885196389E-2</v>
      </c>
      <c r="P3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0.26047220106626046</v>
      </c>
    </row>
    <row r="40" spans="2:16" ht="19.95" customHeight="1">
      <c r="B40" s="14">
        <v>46145</v>
      </c>
      <c r="C40" s="13" t="s">
        <v>1507</v>
      </c>
      <c r="D40" s="16">
        <v>1.47</v>
      </c>
      <c r="E40" s="15">
        <v>55.93</v>
      </c>
      <c r="F40" s="15">
        <v>3.56</v>
      </c>
      <c r="G40" s="15">
        <v>22.74</v>
      </c>
      <c r="H40" s="19" t="s">
        <v>1452</v>
      </c>
      <c r="I40" s="13" t="s">
        <v>1457</v>
      </c>
      <c r="J40" s="15">
        <f t="shared" si="0"/>
        <v>-22.74</v>
      </c>
      <c r="K40" s="15">
        <f t="shared" ref="K40:K64" si="6">IF(H40="Perdeu",(D40-1)*E40,-E40)</f>
        <v>26.287099999999999</v>
      </c>
      <c r="L40" s="15">
        <f t="shared" si="5"/>
        <v>-0.73603879999999999</v>
      </c>
      <c r="M40" s="15">
        <f t="shared" si="2"/>
        <v>25.551061199999999</v>
      </c>
      <c r="N40" s="15">
        <f t="shared" si="3"/>
        <v>2.8110612000000001</v>
      </c>
      <c r="O40" s="17">
        <f t="shared" si="4"/>
        <v>3.5732314732426593E-2</v>
      </c>
      <c r="P4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0.40657965313785088</v>
      </c>
    </row>
    <row r="41" spans="2:16" ht="19.95" customHeight="1">
      <c r="B41" s="14">
        <v>46145</v>
      </c>
      <c r="C41" s="13" t="s">
        <v>1508</v>
      </c>
      <c r="D41" s="16">
        <v>1.95</v>
      </c>
      <c r="E41" s="15">
        <v>22.28</v>
      </c>
      <c r="F41" s="15">
        <v>2.2400000000000002</v>
      </c>
      <c r="G41" s="15">
        <v>18.98</v>
      </c>
      <c r="H41" s="19" t="s">
        <v>1452</v>
      </c>
      <c r="I41" s="13" t="s">
        <v>1457</v>
      </c>
      <c r="J41" s="15">
        <f t="shared" si="0"/>
        <v>-18.98</v>
      </c>
      <c r="K41" s="15">
        <f t="shared" si="6"/>
        <v>21.166</v>
      </c>
      <c r="L41" s="15">
        <f t="shared" si="5"/>
        <v>-0.59264800000000006</v>
      </c>
      <c r="M41" s="15">
        <f t="shared" si="2"/>
        <v>20.573352</v>
      </c>
      <c r="N41" s="15">
        <f t="shared" si="3"/>
        <v>1.5933519999999999</v>
      </c>
      <c r="O41" s="17">
        <f t="shared" si="4"/>
        <v>3.8617353368880267E-2</v>
      </c>
      <c r="P4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0.85188509874326745</v>
      </c>
    </row>
    <row r="42" spans="2:16" ht="19.95" customHeight="1">
      <c r="B42" s="14">
        <v>46146</v>
      </c>
      <c r="C42" s="13" t="s">
        <v>1509</v>
      </c>
      <c r="D42" s="16">
        <v>2.2400000000000002</v>
      </c>
      <c r="E42" s="15">
        <v>13.79</v>
      </c>
      <c r="F42" s="15">
        <v>1.95</v>
      </c>
      <c r="G42" s="15">
        <v>15.45</v>
      </c>
      <c r="H42" s="19" t="s">
        <v>1450</v>
      </c>
      <c r="I42" s="13" t="s">
        <v>1457</v>
      </c>
      <c r="J42" s="21">
        <f>IF(H42="Ganhou",(F42-1)*G42,-G42)*0</f>
        <v>0</v>
      </c>
      <c r="K42" s="15">
        <f t="shared" si="6"/>
        <v>-13.79</v>
      </c>
      <c r="L42" s="15">
        <f t="shared" ref="L42:L73" si="7">IF(H42="Perdeu",-K42*0.028,0)</f>
        <v>0</v>
      </c>
      <c r="M42" s="15">
        <f t="shared" si="2"/>
        <v>-13.79</v>
      </c>
      <c r="N42" s="15">
        <f t="shared" si="3"/>
        <v>-13.79</v>
      </c>
      <c r="O42" s="17">
        <f t="shared" si="4"/>
        <v>-0.47161422708618328</v>
      </c>
      <c r="P4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1.1203770848440899</v>
      </c>
    </row>
    <row r="43" spans="2:16" ht="19.95" customHeight="1">
      <c r="B43" s="14">
        <v>46146</v>
      </c>
      <c r="C43" s="13" t="s">
        <v>1510</v>
      </c>
      <c r="D43" s="16">
        <v>1.45</v>
      </c>
      <c r="E43" s="15">
        <v>13.52</v>
      </c>
      <c r="F43" s="15">
        <v>3.68</v>
      </c>
      <c r="G43" s="15">
        <v>5.25</v>
      </c>
      <c r="H43" s="19" t="s">
        <v>1452</v>
      </c>
      <c r="I43" s="13" t="s">
        <v>1457</v>
      </c>
      <c r="J43" s="15">
        <f>IF(H43="Ganhou",(F43-1)*G43,-G43)</f>
        <v>-5.25</v>
      </c>
      <c r="K43" s="15">
        <f t="shared" si="6"/>
        <v>6.0839999999999996</v>
      </c>
      <c r="L43" s="15">
        <f t="shared" si="7"/>
        <v>-0.170352</v>
      </c>
      <c r="M43" s="15">
        <f t="shared" si="2"/>
        <v>5.9136479999999993</v>
      </c>
      <c r="N43" s="15">
        <f t="shared" si="3"/>
        <v>0.66364799999999957</v>
      </c>
      <c r="O43" s="17">
        <f t="shared" si="4"/>
        <v>3.5356846030900349E-2</v>
      </c>
      <c r="P4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0.38831360946745563</v>
      </c>
    </row>
    <row r="44" spans="2:16" ht="19.95" customHeight="1">
      <c r="B44" s="14">
        <v>46146</v>
      </c>
      <c r="C44" s="13" t="s">
        <v>1565</v>
      </c>
      <c r="D44" s="16">
        <v>1.86206</v>
      </c>
      <c r="E44" s="15">
        <v>13.64</v>
      </c>
      <c r="F44" s="15">
        <v>2.37</v>
      </c>
      <c r="G44" s="15">
        <v>10.51</v>
      </c>
      <c r="H44" s="19" t="s">
        <v>1452</v>
      </c>
      <c r="I44" s="13" t="s">
        <v>1457</v>
      </c>
      <c r="J44" s="15">
        <f>IF(H44="Ganhou",(F44-1)*G44,-G44)</f>
        <v>-10.51</v>
      </c>
      <c r="K44" s="15">
        <f t="shared" si="6"/>
        <v>11.758498400000001</v>
      </c>
      <c r="L44" s="15">
        <f t="shared" si="7"/>
        <v>-0.32923795520000004</v>
      </c>
      <c r="M44" s="15">
        <f t="shared" ref="M44:M99" si="8">SUM(K44:L44)</f>
        <v>11.429260444800001</v>
      </c>
      <c r="N44" s="15">
        <f t="shared" ref="N44:N99" si="9">SUM(J44:L44)</f>
        <v>0.9192604448000008</v>
      </c>
      <c r="O44" s="17">
        <f t="shared" si="4"/>
        <v>3.8064614691511421E-2</v>
      </c>
      <c r="P4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0.77052785923753664</v>
      </c>
    </row>
    <row r="45" spans="2:16" ht="19.95" customHeight="1">
      <c r="B45" s="14">
        <v>46146</v>
      </c>
      <c r="C45" s="13" t="s">
        <v>1564</v>
      </c>
      <c r="D45" s="16">
        <v>2.02</v>
      </c>
      <c r="E45" s="15">
        <v>13.86</v>
      </c>
      <c r="F45" s="15">
        <v>2.15</v>
      </c>
      <c r="G45" s="15">
        <v>12.7</v>
      </c>
      <c r="H45" s="19" t="s">
        <v>1450</v>
      </c>
      <c r="I45" s="13" t="s">
        <v>1457</v>
      </c>
      <c r="J45" s="21">
        <f>IF(H45="Ganhou",(F45-1)*G45,-G45)-12.7</f>
        <v>1.9049999999999994</v>
      </c>
      <c r="K45" s="15">
        <f t="shared" si="6"/>
        <v>-13.86</v>
      </c>
      <c r="L45" s="15">
        <f t="shared" si="7"/>
        <v>0</v>
      </c>
      <c r="M45" s="15">
        <f t="shared" si="8"/>
        <v>-13.86</v>
      </c>
      <c r="N45" s="15">
        <f t="shared" si="9"/>
        <v>-11.955</v>
      </c>
      <c r="O45" s="17">
        <f t="shared" si="4"/>
        <v>-0.45011295180722893</v>
      </c>
      <c r="P4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0.91630591630591629</v>
      </c>
    </row>
    <row r="46" spans="2:16" ht="19.95" customHeight="1">
      <c r="B46" s="14">
        <v>46146</v>
      </c>
      <c r="C46" s="13" t="s">
        <v>1563</v>
      </c>
      <c r="D46" s="16">
        <v>1.94</v>
      </c>
      <c r="E46" s="15">
        <v>13.59</v>
      </c>
      <c r="F46" s="15">
        <v>2.25</v>
      </c>
      <c r="G46" s="15">
        <v>11.45</v>
      </c>
      <c r="H46" s="19" t="s">
        <v>1452</v>
      </c>
      <c r="I46" s="13" t="s">
        <v>1457</v>
      </c>
      <c r="J46" s="15">
        <f t="shared" ref="J46:J77" si="10">IF(H46="Ganhou",(F46-1)*G46,-G46)</f>
        <v>-11.45</v>
      </c>
      <c r="K46" s="15">
        <f t="shared" si="6"/>
        <v>12.7746</v>
      </c>
      <c r="L46" s="15">
        <f t="shared" si="7"/>
        <v>-0.35768879999999997</v>
      </c>
      <c r="M46" s="15">
        <f t="shared" si="8"/>
        <v>12.416911199999999</v>
      </c>
      <c r="N46" s="15">
        <f t="shared" si="9"/>
        <v>0.96691120000000019</v>
      </c>
      <c r="O46" s="17">
        <f t="shared" si="4"/>
        <v>3.8614664536741221E-2</v>
      </c>
      <c r="P4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0.84253127299484909</v>
      </c>
    </row>
    <row r="47" spans="2:16" ht="19.95" customHeight="1">
      <c r="B47" s="14">
        <v>46147</v>
      </c>
      <c r="C47" s="13" t="s">
        <v>1562</v>
      </c>
      <c r="D47" s="16">
        <v>1.96</v>
      </c>
      <c r="E47" s="15">
        <v>13.84</v>
      </c>
      <c r="F47" s="15">
        <v>2.23</v>
      </c>
      <c r="G47" s="15">
        <v>11.92</v>
      </c>
      <c r="H47" s="19" t="s">
        <v>1450</v>
      </c>
      <c r="I47" s="13" t="s">
        <v>1457</v>
      </c>
      <c r="J47" s="15">
        <f t="shared" si="10"/>
        <v>14.6616</v>
      </c>
      <c r="K47" s="15">
        <f t="shared" si="6"/>
        <v>-13.84</v>
      </c>
      <c r="L47" s="15">
        <f t="shared" si="7"/>
        <v>0</v>
      </c>
      <c r="M47" s="15">
        <f t="shared" si="8"/>
        <v>-13.84</v>
      </c>
      <c r="N47" s="15">
        <f t="shared" si="9"/>
        <v>0.82160000000000011</v>
      </c>
      <c r="O47" s="17">
        <f t="shared" si="4"/>
        <v>3.1894409937888203E-2</v>
      </c>
      <c r="P4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0.86127167630057799</v>
      </c>
    </row>
    <row r="48" spans="2:16" ht="19.95" customHeight="1">
      <c r="B48" s="14">
        <v>46147</v>
      </c>
      <c r="C48" s="13" t="s">
        <v>1561</v>
      </c>
      <c r="D48" s="16">
        <v>1.75</v>
      </c>
      <c r="E48" s="15">
        <v>13.56</v>
      </c>
      <c r="F48" s="15">
        <v>2.58</v>
      </c>
      <c r="G48" s="15">
        <v>9.0299999999999994</v>
      </c>
      <c r="H48" s="19" t="s">
        <v>1450</v>
      </c>
      <c r="I48" s="13" t="s">
        <v>1457</v>
      </c>
      <c r="J48" s="15">
        <f t="shared" si="10"/>
        <v>14.2674</v>
      </c>
      <c r="K48" s="15">
        <f t="shared" si="6"/>
        <v>-13.56</v>
      </c>
      <c r="L48" s="15">
        <f t="shared" si="7"/>
        <v>0</v>
      </c>
      <c r="M48" s="15">
        <f t="shared" si="8"/>
        <v>-13.56</v>
      </c>
      <c r="N48" s="15">
        <f t="shared" si="9"/>
        <v>0.70739999999999981</v>
      </c>
      <c r="O48" s="17">
        <f t="shared" si="4"/>
        <v>3.1314741035856568E-2</v>
      </c>
      <c r="P4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0.66592920353982299</v>
      </c>
    </row>
    <row r="49" spans="2:16" ht="19.95" customHeight="1">
      <c r="B49" s="14">
        <v>46147</v>
      </c>
      <c r="C49" s="13" t="s">
        <v>1560</v>
      </c>
      <c r="D49" s="16">
        <v>2.1800000000000002</v>
      </c>
      <c r="E49" s="15">
        <v>26.88</v>
      </c>
      <c r="F49" s="15">
        <v>2</v>
      </c>
      <c r="G49" s="15">
        <v>28.63</v>
      </c>
      <c r="H49" s="19" t="s">
        <v>1450</v>
      </c>
      <c r="I49" s="13" t="s">
        <v>1457</v>
      </c>
      <c r="J49" s="15">
        <f t="shared" si="10"/>
        <v>28.63</v>
      </c>
      <c r="K49" s="15">
        <f t="shared" si="6"/>
        <v>-26.88</v>
      </c>
      <c r="L49" s="15">
        <f t="shared" si="7"/>
        <v>0</v>
      </c>
      <c r="M49" s="15">
        <f t="shared" si="8"/>
        <v>-26.88</v>
      </c>
      <c r="N49" s="15">
        <f t="shared" si="9"/>
        <v>1.75</v>
      </c>
      <c r="O49" s="17">
        <f t="shared" si="4"/>
        <v>3.1525851197982346E-2</v>
      </c>
      <c r="P4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1.0651041666666667</v>
      </c>
    </row>
    <row r="50" spans="2:16" ht="19.95" customHeight="1">
      <c r="B50" s="14">
        <v>46147</v>
      </c>
      <c r="C50" s="13" t="s">
        <v>1559</v>
      </c>
      <c r="D50" s="16">
        <v>1.91</v>
      </c>
      <c r="E50" s="15">
        <v>30.9</v>
      </c>
      <c r="F50" s="15">
        <v>2.29</v>
      </c>
      <c r="G50" s="15">
        <v>25.17</v>
      </c>
      <c r="H50" s="19" t="s">
        <v>1452</v>
      </c>
      <c r="I50" s="13" t="s">
        <v>1457</v>
      </c>
      <c r="J50" s="15">
        <f t="shared" si="10"/>
        <v>-25.17</v>
      </c>
      <c r="K50" s="15">
        <f t="shared" si="6"/>
        <v>28.118999999999996</v>
      </c>
      <c r="L50" s="15">
        <f t="shared" si="7"/>
        <v>-0.78733199999999992</v>
      </c>
      <c r="M50" s="15">
        <f t="shared" si="8"/>
        <v>27.331667999999997</v>
      </c>
      <c r="N50" s="15">
        <f t="shared" si="9"/>
        <v>2.1616679999999944</v>
      </c>
      <c r="O50" s="17">
        <f t="shared" si="4"/>
        <v>3.8553023006955491E-2</v>
      </c>
      <c r="P5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0.81456310679611654</v>
      </c>
    </row>
    <row r="51" spans="2:16" ht="19.95" customHeight="1">
      <c r="B51" s="14">
        <v>46147</v>
      </c>
      <c r="C51" s="13" t="s">
        <v>1558</v>
      </c>
      <c r="D51" s="16">
        <v>1.83</v>
      </c>
      <c r="E51" s="15">
        <v>82.99</v>
      </c>
      <c r="F51" s="15">
        <v>2.42</v>
      </c>
      <c r="G51" s="15">
        <v>61.45</v>
      </c>
      <c r="H51" s="19" t="s">
        <v>1452</v>
      </c>
      <c r="I51" s="13" t="s">
        <v>1457</v>
      </c>
      <c r="J51" s="15">
        <f t="shared" si="10"/>
        <v>-61.45</v>
      </c>
      <c r="K51" s="15">
        <f t="shared" si="6"/>
        <v>68.881699999999995</v>
      </c>
      <c r="L51" s="15">
        <f t="shared" si="7"/>
        <v>-1.9286875999999999</v>
      </c>
      <c r="M51" s="15">
        <f t="shared" si="8"/>
        <v>66.953012399999992</v>
      </c>
      <c r="N51" s="15">
        <f t="shared" si="9"/>
        <v>5.5030123999999923</v>
      </c>
      <c r="O51" s="17">
        <f t="shared" si="4"/>
        <v>3.8098950429243925E-2</v>
      </c>
      <c r="P5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0.74045065670562726</v>
      </c>
    </row>
    <row r="52" spans="2:16" ht="19.95" customHeight="1">
      <c r="B52" s="14">
        <v>46147</v>
      </c>
      <c r="C52" s="13" t="s">
        <v>1557</v>
      </c>
      <c r="D52" s="16">
        <v>1.83</v>
      </c>
      <c r="E52" s="15">
        <v>14.64</v>
      </c>
      <c r="F52" s="15">
        <v>2.42</v>
      </c>
      <c r="G52" s="15">
        <v>10.84</v>
      </c>
      <c r="H52" s="19" t="s">
        <v>1452</v>
      </c>
      <c r="I52" s="13" t="s">
        <v>1457</v>
      </c>
      <c r="J52" s="15">
        <f t="shared" si="10"/>
        <v>-10.84</v>
      </c>
      <c r="K52" s="15">
        <f t="shared" si="6"/>
        <v>12.151200000000001</v>
      </c>
      <c r="L52" s="15">
        <f t="shared" si="7"/>
        <v>-0.34023360000000002</v>
      </c>
      <c r="M52" s="15">
        <f t="shared" si="8"/>
        <v>11.810966400000002</v>
      </c>
      <c r="N52" s="15">
        <f t="shared" si="9"/>
        <v>0.97096640000000123</v>
      </c>
      <c r="O52" s="17">
        <f t="shared" si="4"/>
        <v>3.8107001569858759E-2</v>
      </c>
      <c r="P5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0.74043715846994529</v>
      </c>
    </row>
    <row r="53" spans="2:16" ht="19.95" customHeight="1">
      <c r="B53" s="14">
        <v>46148</v>
      </c>
      <c r="C53" s="13" t="s">
        <v>1556</v>
      </c>
      <c r="D53" s="16">
        <v>1.86206</v>
      </c>
      <c r="E53" s="15">
        <v>14.57</v>
      </c>
      <c r="F53" s="15">
        <v>2.37</v>
      </c>
      <c r="G53" s="15">
        <v>11.22</v>
      </c>
      <c r="H53" s="19" t="s">
        <v>1450</v>
      </c>
      <c r="I53" s="13" t="s">
        <v>1457</v>
      </c>
      <c r="J53" s="15">
        <f t="shared" si="10"/>
        <v>15.371400000000001</v>
      </c>
      <c r="K53" s="15">
        <f t="shared" si="6"/>
        <v>-14.57</v>
      </c>
      <c r="L53" s="15">
        <f t="shared" si="7"/>
        <v>0</v>
      </c>
      <c r="M53" s="15">
        <f t="shared" si="8"/>
        <v>-14.57</v>
      </c>
      <c r="N53" s="15">
        <f t="shared" si="9"/>
        <v>0.801400000000001</v>
      </c>
      <c r="O53" s="17">
        <f t="shared" si="4"/>
        <v>3.107405971306712E-2</v>
      </c>
      <c r="P5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0.77007549759780369</v>
      </c>
    </row>
    <row r="54" spans="2:16" ht="19.95" customHeight="1">
      <c r="B54" s="14">
        <v>46148</v>
      </c>
      <c r="C54" s="13" t="s">
        <v>1555</v>
      </c>
      <c r="D54" s="16">
        <v>2</v>
      </c>
      <c r="E54" s="15">
        <v>14.84</v>
      </c>
      <c r="F54" s="15">
        <v>2.1800000000000002</v>
      </c>
      <c r="G54" s="15">
        <v>13.35</v>
      </c>
      <c r="H54" s="19" t="s">
        <v>1452</v>
      </c>
      <c r="I54" s="13" t="s">
        <v>1457</v>
      </c>
      <c r="J54" s="15">
        <f t="shared" si="10"/>
        <v>-13.35</v>
      </c>
      <c r="K54" s="15">
        <f t="shared" si="6"/>
        <v>14.84</v>
      </c>
      <c r="L54" s="15">
        <f t="shared" si="7"/>
        <v>-0.41552</v>
      </c>
      <c r="M54" s="15">
        <f t="shared" si="8"/>
        <v>14.424479999999999</v>
      </c>
      <c r="N54" s="15">
        <f t="shared" si="9"/>
        <v>1.0744800000000003</v>
      </c>
      <c r="O54" s="17">
        <f t="shared" si="4"/>
        <v>3.8115643845335237E-2</v>
      </c>
      <c r="P5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0.89959568733153639</v>
      </c>
    </row>
    <row r="55" spans="2:16" ht="19.95" customHeight="1">
      <c r="B55" s="14">
        <v>46148</v>
      </c>
      <c r="C55" s="13" t="s">
        <v>1554</v>
      </c>
      <c r="D55" s="16">
        <v>1.9259200000000001</v>
      </c>
      <c r="E55" s="15">
        <v>37.17</v>
      </c>
      <c r="F55" s="15">
        <v>2.27</v>
      </c>
      <c r="G55" s="15">
        <v>30.83</v>
      </c>
      <c r="H55" s="19" t="s">
        <v>1452</v>
      </c>
      <c r="I55" s="13" t="s">
        <v>1457</v>
      </c>
      <c r="J55" s="15">
        <f t="shared" si="10"/>
        <v>-30.83</v>
      </c>
      <c r="K55" s="15">
        <f t="shared" si="6"/>
        <v>34.416446400000005</v>
      </c>
      <c r="L55" s="15">
        <f t="shared" si="7"/>
        <v>-0.96366049920000019</v>
      </c>
      <c r="M55" s="15">
        <f t="shared" si="8"/>
        <v>33.452785900800002</v>
      </c>
      <c r="N55" s="15">
        <f t="shared" si="9"/>
        <v>2.6227859008000065</v>
      </c>
      <c r="O55" s="17">
        <f t="shared" si="4"/>
        <v>3.857038089411774E-2</v>
      </c>
      <c r="P5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0.82943233790691406</v>
      </c>
    </row>
    <row r="56" spans="2:16" ht="19.95" customHeight="1">
      <c r="B56" s="14">
        <v>46148</v>
      </c>
      <c r="C56" s="13" t="s">
        <v>1553</v>
      </c>
      <c r="D56" s="16">
        <v>1.85</v>
      </c>
      <c r="E56" s="15">
        <v>36.9</v>
      </c>
      <c r="F56" s="15">
        <v>2.39</v>
      </c>
      <c r="G56" s="15">
        <v>28.01</v>
      </c>
      <c r="H56" s="19" t="s">
        <v>1452</v>
      </c>
      <c r="I56" s="13" t="s">
        <v>1457</v>
      </c>
      <c r="J56" s="15">
        <f t="shared" si="10"/>
        <v>-28.01</v>
      </c>
      <c r="K56" s="15">
        <f t="shared" si="6"/>
        <v>31.365000000000002</v>
      </c>
      <c r="L56" s="15">
        <f t="shared" si="7"/>
        <v>-0.87822000000000011</v>
      </c>
      <c r="M56" s="15">
        <f t="shared" si="8"/>
        <v>30.486780000000003</v>
      </c>
      <c r="N56" s="15">
        <f t="shared" si="9"/>
        <v>2.4767800000000002</v>
      </c>
      <c r="O56" s="17">
        <f t="shared" si="4"/>
        <v>3.8157140656293331E-2</v>
      </c>
      <c r="P5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0.75907859078590789</v>
      </c>
    </row>
    <row r="57" spans="2:16" ht="19.95" customHeight="1">
      <c r="B57" s="14">
        <v>46148</v>
      </c>
      <c r="C57" s="13" t="s">
        <v>1552</v>
      </c>
      <c r="D57" s="16">
        <v>2.1</v>
      </c>
      <c r="E57" s="15">
        <v>38.43</v>
      </c>
      <c r="F57" s="15">
        <v>2.0699999999999998</v>
      </c>
      <c r="G57" s="15">
        <v>38.08</v>
      </c>
      <c r="H57" s="19" t="s">
        <v>1452</v>
      </c>
      <c r="I57" s="13" t="s">
        <v>1457</v>
      </c>
      <c r="J57" s="15">
        <f t="shared" si="10"/>
        <v>-38.08</v>
      </c>
      <c r="K57" s="15">
        <f t="shared" si="6"/>
        <v>42.273000000000003</v>
      </c>
      <c r="L57" s="15">
        <f t="shared" si="7"/>
        <v>-1.1836440000000001</v>
      </c>
      <c r="M57" s="15">
        <f t="shared" si="8"/>
        <v>41.089356000000002</v>
      </c>
      <c r="N57" s="15">
        <f t="shared" si="9"/>
        <v>3.0093560000000048</v>
      </c>
      <c r="O57" s="17">
        <f t="shared" si="4"/>
        <v>3.9332845379688994E-2</v>
      </c>
      <c r="P5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0.99089253187613835</v>
      </c>
    </row>
    <row r="58" spans="2:16" ht="19.95" customHeight="1">
      <c r="B58" s="14">
        <v>46148</v>
      </c>
      <c r="C58" s="13" t="s">
        <v>1551</v>
      </c>
      <c r="D58" s="16">
        <v>1.73</v>
      </c>
      <c r="E58" s="15">
        <v>38.85</v>
      </c>
      <c r="F58" s="15">
        <v>2.62</v>
      </c>
      <c r="G58" s="15">
        <v>25.16</v>
      </c>
      <c r="H58" s="19" t="s">
        <v>1452</v>
      </c>
      <c r="I58" s="13" t="s">
        <v>1457</v>
      </c>
      <c r="J58" s="15">
        <f t="shared" si="10"/>
        <v>-25.16</v>
      </c>
      <c r="K58" s="15">
        <f t="shared" si="6"/>
        <v>28.360500000000002</v>
      </c>
      <c r="L58" s="15">
        <f t="shared" si="7"/>
        <v>-0.79409400000000008</v>
      </c>
      <c r="M58" s="15">
        <f t="shared" si="8"/>
        <v>27.566406000000001</v>
      </c>
      <c r="N58" s="15">
        <f t="shared" si="9"/>
        <v>2.4064060000000014</v>
      </c>
      <c r="O58" s="17">
        <f t="shared" si="4"/>
        <v>3.759421965317921E-2</v>
      </c>
      <c r="P5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0.64761904761904765</v>
      </c>
    </row>
    <row r="59" spans="2:16" ht="19.95" customHeight="1">
      <c r="B59" s="14">
        <v>46149</v>
      </c>
      <c r="C59" s="13" t="s">
        <v>1550</v>
      </c>
      <c r="D59" s="16">
        <v>1.98</v>
      </c>
      <c r="E59" s="15">
        <v>43.8</v>
      </c>
      <c r="F59" s="15">
        <v>2.2000000000000002</v>
      </c>
      <c r="G59" s="15">
        <v>38.520000000000003</v>
      </c>
      <c r="H59" s="19" t="s">
        <v>1452</v>
      </c>
      <c r="I59" s="13" t="s">
        <v>1457</v>
      </c>
      <c r="J59" s="15">
        <f t="shared" si="10"/>
        <v>-38.520000000000003</v>
      </c>
      <c r="K59" s="15">
        <f t="shared" si="6"/>
        <v>42.923999999999999</v>
      </c>
      <c r="L59" s="15">
        <f t="shared" si="7"/>
        <v>-1.2018720000000001</v>
      </c>
      <c r="M59" s="15">
        <f t="shared" si="8"/>
        <v>41.722127999999998</v>
      </c>
      <c r="N59" s="15">
        <f t="shared" si="9"/>
        <v>3.2021279999999965</v>
      </c>
      <c r="O59" s="17">
        <f t="shared" si="4"/>
        <v>3.8898542274052442E-2</v>
      </c>
      <c r="P5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0.87945205479452071</v>
      </c>
    </row>
    <row r="60" spans="2:16" ht="19.95" customHeight="1">
      <c r="B60" s="14">
        <v>46149</v>
      </c>
      <c r="C60" s="13" t="s">
        <v>1549</v>
      </c>
      <c r="D60" s="16">
        <v>1.79</v>
      </c>
      <c r="E60" s="15">
        <v>43.6</v>
      </c>
      <c r="F60" s="15">
        <v>2.4900000000000002</v>
      </c>
      <c r="G60" s="15">
        <v>30.67</v>
      </c>
      <c r="H60" s="19" t="s">
        <v>1452</v>
      </c>
      <c r="I60" s="13" t="s">
        <v>1457</v>
      </c>
      <c r="J60" s="15">
        <f t="shared" si="10"/>
        <v>-30.67</v>
      </c>
      <c r="K60" s="15">
        <f t="shared" si="6"/>
        <v>34.444000000000003</v>
      </c>
      <c r="L60" s="15">
        <f t="shared" si="7"/>
        <v>-0.96443200000000007</v>
      </c>
      <c r="M60" s="15">
        <f t="shared" si="8"/>
        <v>33.479568</v>
      </c>
      <c r="N60" s="15">
        <f t="shared" si="9"/>
        <v>2.809568000000001</v>
      </c>
      <c r="O60" s="17">
        <f t="shared" si="4"/>
        <v>3.7829110004039324E-2</v>
      </c>
      <c r="P6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0.70344036697247703</v>
      </c>
    </row>
    <row r="61" spans="2:16" ht="19.95" customHeight="1">
      <c r="B61" s="14">
        <v>46149</v>
      </c>
      <c r="C61" s="13" t="s">
        <v>1548</v>
      </c>
      <c r="D61" s="16">
        <v>1.9259200000000001</v>
      </c>
      <c r="E61" s="15">
        <v>45.89</v>
      </c>
      <c r="F61" s="15">
        <v>2.27</v>
      </c>
      <c r="G61" s="15">
        <v>38.06</v>
      </c>
      <c r="H61" s="19" t="s">
        <v>1452</v>
      </c>
      <c r="I61" s="13" t="s">
        <v>1457</v>
      </c>
      <c r="J61" s="15">
        <f t="shared" si="10"/>
        <v>-38.06</v>
      </c>
      <c r="K61" s="15">
        <f t="shared" si="6"/>
        <v>42.490468800000002</v>
      </c>
      <c r="L61" s="15">
        <f t="shared" si="7"/>
        <v>-1.1897331264000002</v>
      </c>
      <c r="M61" s="15">
        <f t="shared" si="8"/>
        <v>41.300735673600002</v>
      </c>
      <c r="N61" s="15">
        <f t="shared" si="9"/>
        <v>3.2407356735999997</v>
      </c>
      <c r="O61" s="17">
        <f t="shared" si="4"/>
        <v>3.8603164664681354E-2</v>
      </c>
      <c r="P6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0.82937459141425152</v>
      </c>
    </row>
    <row r="62" spans="2:16" ht="19.95" customHeight="1">
      <c r="B62" s="14">
        <v>46149</v>
      </c>
      <c r="C62" s="13" t="s">
        <v>1547</v>
      </c>
      <c r="D62" s="16">
        <v>1.84</v>
      </c>
      <c r="E62" s="15">
        <v>49.63</v>
      </c>
      <c r="F62" s="15">
        <v>2.4</v>
      </c>
      <c r="G62" s="15">
        <v>37.21</v>
      </c>
      <c r="H62" s="19" t="s">
        <v>1450</v>
      </c>
      <c r="I62" s="13" t="s">
        <v>1457</v>
      </c>
      <c r="J62" s="15">
        <f t="shared" si="10"/>
        <v>52.094000000000001</v>
      </c>
      <c r="K62" s="15">
        <f t="shared" si="6"/>
        <v>-49.63</v>
      </c>
      <c r="L62" s="15">
        <f t="shared" si="7"/>
        <v>0</v>
      </c>
      <c r="M62" s="15">
        <f t="shared" si="8"/>
        <v>-49.63</v>
      </c>
      <c r="N62" s="15">
        <f t="shared" si="9"/>
        <v>2.4639999999999986</v>
      </c>
      <c r="O62" s="17">
        <f t="shared" si="4"/>
        <v>2.8374021188392429E-2</v>
      </c>
      <c r="P6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0.74974813620793868</v>
      </c>
    </row>
    <row r="63" spans="2:16" ht="19.95" customHeight="1">
      <c r="B63" s="14">
        <v>46150</v>
      </c>
      <c r="C63" s="13" t="s">
        <v>1546</v>
      </c>
      <c r="D63" s="16">
        <v>2.64</v>
      </c>
      <c r="E63" s="15">
        <v>9.34</v>
      </c>
      <c r="F63" s="15">
        <v>1.72</v>
      </c>
      <c r="G63" s="15">
        <v>13.93</v>
      </c>
      <c r="H63" s="19" t="s">
        <v>1450</v>
      </c>
      <c r="I63" s="13" t="s">
        <v>1457</v>
      </c>
      <c r="J63" s="15">
        <f t="shared" si="10"/>
        <v>10.0296</v>
      </c>
      <c r="K63" s="15">
        <f t="shared" si="6"/>
        <v>-9.34</v>
      </c>
      <c r="L63" s="15">
        <f t="shared" si="7"/>
        <v>0</v>
      </c>
      <c r="M63" s="15">
        <f t="shared" si="8"/>
        <v>-9.34</v>
      </c>
      <c r="N63" s="15">
        <f t="shared" si="9"/>
        <v>0.68960000000000043</v>
      </c>
      <c r="O63" s="17">
        <f t="shared" si="4"/>
        <v>2.9634722819080379E-2</v>
      </c>
      <c r="P6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1.4914346895074946</v>
      </c>
    </row>
    <row r="64" spans="2:16" ht="19.95" customHeight="1">
      <c r="B64" s="14">
        <v>46150</v>
      </c>
      <c r="C64" s="13" t="s">
        <v>1545</v>
      </c>
      <c r="D64" s="16">
        <v>1.76</v>
      </c>
      <c r="E64" s="15">
        <v>9.43</v>
      </c>
      <c r="F64" s="15">
        <v>2.5499999999999998</v>
      </c>
      <c r="G64" s="15">
        <v>6.37</v>
      </c>
      <c r="H64" s="19" t="s">
        <v>1452</v>
      </c>
      <c r="I64" s="13" t="s">
        <v>1457</v>
      </c>
      <c r="J64" s="15">
        <f t="shared" si="10"/>
        <v>-6.37</v>
      </c>
      <c r="K64" s="15">
        <f t="shared" si="6"/>
        <v>7.1668000000000003</v>
      </c>
      <c r="L64" s="15">
        <f t="shared" si="7"/>
        <v>-0.2006704</v>
      </c>
      <c r="M64" s="15">
        <f t="shared" si="8"/>
        <v>6.9661296000000004</v>
      </c>
      <c r="N64" s="15">
        <f t="shared" si="9"/>
        <v>0.59612960000000015</v>
      </c>
      <c r="O64" s="17">
        <f t="shared" si="4"/>
        <v>3.7729721518987347E-2</v>
      </c>
      <c r="P6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0.6755037115588548</v>
      </c>
    </row>
    <row r="65" spans="2:16" ht="19.95" customHeight="1">
      <c r="B65" s="14">
        <v>46150</v>
      </c>
      <c r="C65" s="13" t="s">
        <v>1509</v>
      </c>
      <c r="D65" s="16">
        <v>2.2400000000000002</v>
      </c>
      <c r="E65" s="15">
        <v>13.79</v>
      </c>
      <c r="F65" s="15">
        <v>1.95</v>
      </c>
      <c r="G65" s="15">
        <v>15.45</v>
      </c>
      <c r="H65" s="19" t="s">
        <v>1450</v>
      </c>
      <c r="I65" s="13" t="s">
        <v>1457</v>
      </c>
      <c r="J65" s="21">
        <f t="shared" si="10"/>
        <v>14.677499999999998</v>
      </c>
      <c r="K65" s="15">
        <f>IF(H65="Perdeu",(D65-1)*E65,-E65)*0</f>
        <v>0</v>
      </c>
      <c r="L65" s="15">
        <f t="shared" si="7"/>
        <v>0</v>
      </c>
      <c r="M65" s="15">
        <f>SUM(K65:L65)</f>
        <v>0</v>
      </c>
      <c r="N65" s="15">
        <f>SUM(J65:L65)</f>
        <v>14.677499999999998</v>
      </c>
      <c r="O65" s="17">
        <f t="shared" si="4"/>
        <v>0.50196648426812585</v>
      </c>
      <c r="P6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1.1203770848440899</v>
      </c>
    </row>
    <row r="66" spans="2:16" ht="19.95" customHeight="1">
      <c r="B66" s="14">
        <v>46150</v>
      </c>
      <c r="C66" s="13" t="s">
        <v>1544</v>
      </c>
      <c r="D66" s="16">
        <v>2.1904699999999999</v>
      </c>
      <c r="E66" s="15">
        <v>9.41</v>
      </c>
      <c r="F66" s="15">
        <v>1.99</v>
      </c>
      <c r="G66" s="15">
        <v>10.11</v>
      </c>
      <c r="H66" s="19" t="s">
        <v>1452</v>
      </c>
      <c r="I66" s="13" t="s">
        <v>1457</v>
      </c>
      <c r="J66" s="15">
        <f t="shared" si="10"/>
        <v>-10.11</v>
      </c>
      <c r="K66" s="15">
        <f>IF(H66="Perdeu",(D66-1)*E66,-E66)</f>
        <v>11.2023227</v>
      </c>
      <c r="L66" s="15">
        <f t="shared" si="7"/>
        <v>-0.31366503559999998</v>
      </c>
      <c r="M66" s="15">
        <f t="shared" si="8"/>
        <v>10.8886576644</v>
      </c>
      <c r="N66" s="15">
        <f t="shared" si="9"/>
        <v>0.7786576644000005</v>
      </c>
      <c r="O66" s="17">
        <f t="shared" si="4"/>
        <v>3.9890249200819697E-2</v>
      </c>
      <c r="P6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1.0743889479277364</v>
      </c>
    </row>
    <row r="67" spans="2:16" ht="19.95" customHeight="1">
      <c r="B67" s="14">
        <v>46150</v>
      </c>
      <c r="C67" s="13" t="s">
        <v>1543</v>
      </c>
      <c r="D67" s="16">
        <v>1.75</v>
      </c>
      <c r="E67" s="15">
        <v>26.87</v>
      </c>
      <c r="F67" s="15">
        <v>2.58</v>
      </c>
      <c r="G67" s="15">
        <v>17.899999999999999</v>
      </c>
      <c r="H67" s="19" t="s">
        <v>1452</v>
      </c>
      <c r="I67" s="13" t="s">
        <v>1457</v>
      </c>
      <c r="J67" s="15">
        <f t="shared" si="10"/>
        <v>-17.899999999999999</v>
      </c>
      <c r="K67" s="15">
        <f>IF(H67="Perdeu",(D67-1)*E67,-E67)</f>
        <v>20.1525</v>
      </c>
      <c r="L67" s="15">
        <f t="shared" si="7"/>
        <v>-0.56427000000000005</v>
      </c>
      <c r="M67" s="15">
        <f t="shared" si="8"/>
        <v>19.588229999999999</v>
      </c>
      <c r="N67" s="15">
        <f t="shared" si="9"/>
        <v>1.6882300000000012</v>
      </c>
      <c r="O67" s="17">
        <f t="shared" si="4"/>
        <v>3.7708956890775101E-2</v>
      </c>
      <c r="P6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0.66617045031633781</v>
      </c>
    </row>
    <row r="68" spans="2:16" ht="19.95" customHeight="1">
      <c r="B68" s="14">
        <v>46150</v>
      </c>
      <c r="C68" s="13" t="s">
        <v>1542</v>
      </c>
      <c r="D68" s="16">
        <v>1.9</v>
      </c>
      <c r="E68" s="15">
        <v>27.93</v>
      </c>
      <c r="F68" s="15">
        <v>2.31</v>
      </c>
      <c r="G68" s="15">
        <v>22.49</v>
      </c>
      <c r="H68" s="19" t="s">
        <v>1450</v>
      </c>
      <c r="I68" s="13" t="s">
        <v>1457</v>
      </c>
      <c r="J68" s="15">
        <f t="shared" si="10"/>
        <v>29.4619</v>
      </c>
      <c r="K68" s="15">
        <f>IF(H68="Perdeu",(D68-1)*E68,-E68)</f>
        <v>-27.93</v>
      </c>
      <c r="L68" s="15">
        <f t="shared" si="7"/>
        <v>0</v>
      </c>
      <c r="M68" s="15">
        <f t="shared" si="8"/>
        <v>-27.93</v>
      </c>
      <c r="N68" s="15">
        <f t="shared" si="9"/>
        <v>1.5319000000000003</v>
      </c>
      <c r="O68" s="17">
        <f t="shared" si="4"/>
        <v>3.0382784609282034E-2</v>
      </c>
      <c r="P6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0.8052273540995345</v>
      </c>
    </row>
    <row r="69" spans="2:16" ht="19.95" customHeight="1">
      <c r="B69" s="14">
        <v>46150</v>
      </c>
      <c r="C69" s="13" t="s">
        <v>1541</v>
      </c>
      <c r="D69" s="16">
        <v>1.96153</v>
      </c>
      <c r="E69" s="15">
        <v>27.71</v>
      </c>
      <c r="F69" s="15">
        <v>2.2200000000000002</v>
      </c>
      <c r="G69" s="15">
        <v>23.9</v>
      </c>
      <c r="H69" s="19" t="s">
        <v>1452</v>
      </c>
      <c r="I69" s="13" t="s">
        <v>1457</v>
      </c>
      <c r="J69" s="15">
        <f t="shared" si="10"/>
        <v>-23.9</v>
      </c>
      <c r="K69" s="15">
        <f>IF(H69="Perdeu",(D69-1)*E69,-E69)</f>
        <v>26.643996300000001</v>
      </c>
      <c r="L69" s="15">
        <f t="shared" si="7"/>
        <v>-0.74603189640000001</v>
      </c>
      <c r="M69" s="15">
        <f t="shared" si="8"/>
        <v>25.8979644036</v>
      </c>
      <c r="N69" s="15">
        <f t="shared" si="9"/>
        <v>1.9979644036000028</v>
      </c>
      <c r="O69" s="17">
        <f t="shared" si="4"/>
        <v>3.8712737911257566E-2</v>
      </c>
      <c r="P6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0.86250451100685666</v>
      </c>
    </row>
    <row r="70" spans="2:16" ht="19.95" customHeight="1">
      <c r="B70" s="14">
        <v>46150</v>
      </c>
      <c r="C70" s="13" t="s">
        <v>1540</v>
      </c>
      <c r="D70" s="16"/>
      <c r="E70" s="15"/>
      <c r="F70" s="15"/>
      <c r="H70" s="19"/>
      <c r="I70" s="13" t="s">
        <v>1457</v>
      </c>
      <c r="J70" s="15">
        <f t="shared" si="10"/>
        <v>0</v>
      </c>
      <c r="K70" s="15">
        <v>-4.7</v>
      </c>
      <c r="L70" s="15">
        <f t="shared" si="7"/>
        <v>0</v>
      </c>
      <c r="M70" s="15">
        <f t="shared" si="8"/>
        <v>-4.7</v>
      </c>
      <c r="N70" s="15">
        <f t="shared" si="9"/>
        <v>-4.7</v>
      </c>
      <c r="O70" s="17" t="str">
        <f t="shared" si="4"/>
        <v/>
      </c>
      <c r="P70" s="17" t="str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/>
      </c>
    </row>
    <row r="71" spans="2:16" ht="19.95" customHeight="1">
      <c r="B71" s="14">
        <v>46150</v>
      </c>
      <c r="C71" s="13" t="s">
        <v>1539</v>
      </c>
      <c r="D71" s="16">
        <v>1.76</v>
      </c>
      <c r="E71" s="15">
        <v>28.06</v>
      </c>
      <c r="F71" s="15">
        <v>2.5499999999999998</v>
      </c>
      <c r="G71" s="15">
        <v>18.96</v>
      </c>
      <c r="H71" s="19" t="s">
        <v>1452</v>
      </c>
      <c r="I71" s="13" t="s">
        <v>1457</v>
      </c>
      <c r="J71" s="15">
        <f t="shared" si="10"/>
        <v>-18.96</v>
      </c>
      <c r="K71" s="15">
        <f t="shared" ref="K71:K99" si="11">IF(H71="Perdeu",(D71-1)*E71,-E71)</f>
        <v>21.325599999999998</v>
      </c>
      <c r="L71" s="15">
        <f t="shared" si="7"/>
        <v>-0.5971168</v>
      </c>
      <c r="M71" s="15">
        <f t="shared" si="8"/>
        <v>20.728483199999999</v>
      </c>
      <c r="N71" s="15">
        <f t="shared" si="9"/>
        <v>1.768483199999997</v>
      </c>
      <c r="O71" s="17">
        <f t="shared" si="4"/>
        <v>3.7611297320289179E-2</v>
      </c>
      <c r="P7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0.67569493941553815</v>
      </c>
    </row>
    <row r="72" spans="2:16" ht="19.95" customHeight="1">
      <c r="B72" s="14">
        <v>46150</v>
      </c>
      <c r="C72" s="13" t="s">
        <v>1538</v>
      </c>
      <c r="D72" s="16">
        <v>1.79</v>
      </c>
      <c r="E72" s="15">
        <v>27.03</v>
      </c>
      <c r="F72" s="15">
        <v>2.4900000000000002</v>
      </c>
      <c r="G72" s="15">
        <v>19.010000000000002</v>
      </c>
      <c r="H72" s="19" t="s">
        <v>1452</v>
      </c>
      <c r="I72" s="13" t="s">
        <v>1457</v>
      </c>
      <c r="J72" s="15">
        <f t="shared" si="10"/>
        <v>-19.010000000000002</v>
      </c>
      <c r="K72" s="15">
        <f t="shared" si="11"/>
        <v>21.353700000000003</v>
      </c>
      <c r="L72" s="15">
        <f t="shared" si="7"/>
        <v>-0.59790360000000009</v>
      </c>
      <c r="M72" s="15">
        <f t="shared" si="8"/>
        <v>20.755796400000005</v>
      </c>
      <c r="N72" s="15">
        <f t="shared" si="9"/>
        <v>1.7457964000000019</v>
      </c>
      <c r="O72" s="17">
        <f t="shared" ref="O72:O106" si="12">IFERROR(N72/SUM(G72,E72),"")</f>
        <v>3.791912250217206E-2</v>
      </c>
      <c r="P7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0.70329263780984097</v>
      </c>
    </row>
    <row r="73" spans="2:16" ht="19.95" customHeight="1">
      <c r="B73" s="14">
        <v>46150</v>
      </c>
      <c r="C73" s="13" t="s">
        <v>1537</v>
      </c>
      <c r="D73" s="16">
        <v>1.73</v>
      </c>
      <c r="E73" s="15">
        <v>28.93</v>
      </c>
      <c r="F73" s="15">
        <v>2.62</v>
      </c>
      <c r="G73" s="15">
        <v>18.739999999999998</v>
      </c>
      <c r="H73" s="19" t="s">
        <v>1452</v>
      </c>
      <c r="I73" s="13" t="s">
        <v>1457</v>
      </c>
      <c r="J73" s="15">
        <f t="shared" si="10"/>
        <v>-18.739999999999998</v>
      </c>
      <c r="K73" s="15">
        <f t="shared" si="11"/>
        <v>21.1189</v>
      </c>
      <c r="L73" s="15">
        <f t="shared" si="7"/>
        <v>-0.5913292</v>
      </c>
      <c r="M73" s="15">
        <f t="shared" si="8"/>
        <v>20.527570799999999</v>
      </c>
      <c r="N73" s="15">
        <f t="shared" si="9"/>
        <v>1.7875708000000015</v>
      </c>
      <c r="O73" s="17">
        <f t="shared" si="12"/>
        <v>3.7498863016572299E-2</v>
      </c>
      <c r="P7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0.64777048047010022</v>
      </c>
    </row>
    <row r="74" spans="2:16" ht="19.95" customHeight="1">
      <c r="B74" s="14">
        <v>46150</v>
      </c>
      <c r="C74" s="13" t="s">
        <v>1536</v>
      </c>
      <c r="D74" s="16">
        <v>1.91</v>
      </c>
      <c r="E74" s="15">
        <v>27.87</v>
      </c>
      <c r="F74" s="15">
        <v>2.29</v>
      </c>
      <c r="G74" s="15">
        <v>22.7</v>
      </c>
      <c r="H74" s="19" t="s">
        <v>1450</v>
      </c>
      <c r="I74" s="13" t="s">
        <v>1457</v>
      </c>
      <c r="J74" s="15">
        <f t="shared" si="10"/>
        <v>29.283000000000001</v>
      </c>
      <c r="K74" s="15">
        <f t="shared" si="11"/>
        <v>-27.87</v>
      </c>
      <c r="L74" s="15">
        <f t="shared" ref="L74:L99" si="13">IF(H74="Perdeu",-K74*0.028,0)</f>
        <v>0</v>
      </c>
      <c r="M74" s="15">
        <f t="shared" si="8"/>
        <v>-27.87</v>
      </c>
      <c r="N74" s="15">
        <f t="shared" si="9"/>
        <v>1.4130000000000003</v>
      </c>
      <c r="O74" s="17">
        <f t="shared" si="12"/>
        <v>2.7941467273086815E-2</v>
      </c>
      <c r="P7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0.8144958736993182</v>
      </c>
    </row>
    <row r="75" spans="2:16" ht="19.95" customHeight="1">
      <c r="B75" s="14">
        <v>46150</v>
      </c>
      <c r="C75" s="13" t="s">
        <v>1535</v>
      </c>
      <c r="D75" s="16">
        <v>1.87</v>
      </c>
      <c r="E75" s="15">
        <v>27.22</v>
      </c>
      <c r="F75" s="15">
        <v>2.35</v>
      </c>
      <c r="G75" s="15">
        <v>21.16</v>
      </c>
      <c r="H75" s="19" t="s">
        <v>1452</v>
      </c>
      <c r="I75" s="13" t="s">
        <v>1457</v>
      </c>
      <c r="J75" s="15">
        <f t="shared" si="10"/>
        <v>-21.16</v>
      </c>
      <c r="K75" s="15">
        <f t="shared" si="11"/>
        <v>23.681400000000004</v>
      </c>
      <c r="L75" s="15">
        <f t="shared" si="13"/>
        <v>-0.66307920000000009</v>
      </c>
      <c r="M75" s="15">
        <f t="shared" si="8"/>
        <v>23.018320800000005</v>
      </c>
      <c r="N75" s="15">
        <f t="shared" si="9"/>
        <v>1.8583208000000033</v>
      </c>
      <c r="O75" s="17">
        <f t="shared" si="12"/>
        <v>3.8410930136420079E-2</v>
      </c>
      <c r="P7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0.77736958119030131</v>
      </c>
    </row>
    <row r="76" spans="2:16" ht="19.95" customHeight="1">
      <c r="B76" s="14">
        <v>46150</v>
      </c>
      <c r="C76" s="13" t="s">
        <v>1534</v>
      </c>
      <c r="D76" s="16">
        <v>1.90909</v>
      </c>
      <c r="E76" s="15">
        <v>29.14</v>
      </c>
      <c r="F76" s="15">
        <v>2.2999999999999998</v>
      </c>
      <c r="G76" s="15">
        <v>23.71</v>
      </c>
      <c r="H76" s="19" t="s">
        <v>1452</v>
      </c>
      <c r="I76" s="13" t="s">
        <v>1457</v>
      </c>
      <c r="J76" s="15">
        <f t="shared" si="10"/>
        <v>-23.71</v>
      </c>
      <c r="K76" s="15">
        <f t="shared" si="11"/>
        <v>26.490882599999999</v>
      </c>
      <c r="L76" s="15">
        <f t="shared" si="13"/>
        <v>-0.74174471279999998</v>
      </c>
      <c r="M76" s="15">
        <f t="shared" si="8"/>
        <v>25.7491378872</v>
      </c>
      <c r="N76" s="15">
        <f t="shared" si="9"/>
        <v>2.0391378871999981</v>
      </c>
      <c r="O76" s="17">
        <f t="shared" si="12"/>
        <v>3.8583498338694379E-2</v>
      </c>
      <c r="P7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0.81365820178448867</v>
      </c>
    </row>
    <row r="77" spans="2:16" ht="19.95" customHeight="1">
      <c r="B77" s="14">
        <v>46150</v>
      </c>
      <c r="C77" s="13" t="s">
        <v>1533</v>
      </c>
      <c r="D77" s="16">
        <v>1.8333299999999999</v>
      </c>
      <c r="E77" s="15">
        <v>31.42</v>
      </c>
      <c r="F77" s="15">
        <v>2.42</v>
      </c>
      <c r="G77" s="15">
        <v>23.36</v>
      </c>
      <c r="H77" s="19" t="s">
        <v>1452</v>
      </c>
      <c r="I77" s="13" t="s">
        <v>1457</v>
      </c>
      <c r="J77" s="15">
        <f t="shared" si="10"/>
        <v>-23.36</v>
      </c>
      <c r="K77" s="15">
        <f t="shared" si="11"/>
        <v>26.1832286</v>
      </c>
      <c r="L77" s="15">
        <f t="shared" si="13"/>
        <v>-0.73313040080000003</v>
      </c>
      <c r="M77" s="15">
        <f t="shared" si="8"/>
        <v>25.450098199199999</v>
      </c>
      <c r="N77" s="15">
        <f t="shared" si="9"/>
        <v>2.0900981992000003</v>
      </c>
      <c r="O77" s="17">
        <f t="shared" si="12"/>
        <v>3.8154403052208838E-2</v>
      </c>
      <c r="P7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0.74347549331635898</v>
      </c>
    </row>
    <row r="78" spans="2:16" ht="19.95" customHeight="1">
      <c r="B78" s="14">
        <v>46151</v>
      </c>
      <c r="C78" s="13" t="s">
        <v>1532</v>
      </c>
      <c r="D78" s="16">
        <v>1.87</v>
      </c>
      <c r="E78" s="15">
        <v>32.18</v>
      </c>
      <c r="F78" s="15">
        <v>2.35</v>
      </c>
      <c r="G78" s="15">
        <v>25.02</v>
      </c>
      <c r="H78" s="19" t="s">
        <v>1450</v>
      </c>
      <c r="I78" s="13" t="s">
        <v>1457</v>
      </c>
      <c r="J78" s="15">
        <f t="shared" ref="J78:J99" si="14">IF(H78="Ganhou",(F78-1)*G78,-G78)</f>
        <v>33.777000000000001</v>
      </c>
      <c r="K78" s="15">
        <f t="shared" si="11"/>
        <v>-32.18</v>
      </c>
      <c r="L78" s="15">
        <f t="shared" si="13"/>
        <v>0</v>
      </c>
      <c r="M78" s="15">
        <f t="shared" si="8"/>
        <v>-32.18</v>
      </c>
      <c r="N78" s="15">
        <f t="shared" si="9"/>
        <v>1.5970000000000013</v>
      </c>
      <c r="O78" s="17">
        <f t="shared" si="12"/>
        <v>2.7919580419580443E-2</v>
      </c>
      <c r="P7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0.77750155376009944</v>
      </c>
    </row>
    <row r="79" spans="2:16" ht="19.95" customHeight="1">
      <c r="B79" s="14">
        <v>46151</v>
      </c>
      <c r="C79" s="13" t="s">
        <v>1531</v>
      </c>
      <c r="D79" s="16">
        <v>1.5</v>
      </c>
      <c r="E79" s="15">
        <v>31.21</v>
      </c>
      <c r="F79" s="15">
        <v>3.4</v>
      </c>
      <c r="G79" s="15">
        <v>13.56</v>
      </c>
      <c r="H79" s="19" t="s">
        <v>1452</v>
      </c>
      <c r="I79" s="13" t="s">
        <v>1457</v>
      </c>
      <c r="J79" s="15">
        <f t="shared" si="14"/>
        <v>-13.56</v>
      </c>
      <c r="K79" s="15">
        <f t="shared" si="11"/>
        <v>15.605</v>
      </c>
      <c r="L79" s="15">
        <f t="shared" si="13"/>
        <v>-0.43694</v>
      </c>
      <c r="M79" s="15">
        <f t="shared" si="8"/>
        <v>15.168060000000001</v>
      </c>
      <c r="N79" s="15">
        <f t="shared" si="9"/>
        <v>1.60806</v>
      </c>
      <c r="O79" s="17">
        <f t="shared" si="12"/>
        <v>3.5918248827339738E-2</v>
      </c>
      <c r="P7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0.43447612944569047</v>
      </c>
    </row>
    <row r="80" spans="2:16" ht="19.95" customHeight="1">
      <c r="B80" s="14">
        <v>46151</v>
      </c>
      <c r="C80" s="13" t="s">
        <v>1530</v>
      </c>
      <c r="D80" s="16">
        <v>1.77</v>
      </c>
      <c r="E80" s="15">
        <v>30.28</v>
      </c>
      <c r="F80" s="15">
        <v>2.5299999999999998</v>
      </c>
      <c r="G80" s="15">
        <v>20.74</v>
      </c>
      <c r="H80" s="19" t="s">
        <v>1452</v>
      </c>
      <c r="I80" s="13" t="s">
        <v>1457</v>
      </c>
      <c r="J80" s="15">
        <f t="shared" si="14"/>
        <v>-20.74</v>
      </c>
      <c r="K80" s="15">
        <f t="shared" si="11"/>
        <v>23.3156</v>
      </c>
      <c r="L80" s="15">
        <f t="shared" si="13"/>
        <v>-0.65283679999999999</v>
      </c>
      <c r="M80" s="15">
        <f t="shared" si="8"/>
        <v>22.662763200000001</v>
      </c>
      <c r="N80" s="15">
        <f t="shared" si="9"/>
        <v>1.9227632000000014</v>
      </c>
      <c r="O80" s="17">
        <f t="shared" si="12"/>
        <v>3.7686460211681726E-2</v>
      </c>
      <c r="P8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0.68494055482166438</v>
      </c>
    </row>
    <row r="81" spans="2:16" ht="19.95" customHeight="1">
      <c r="B81" s="14">
        <v>46151</v>
      </c>
      <c r="C81" s="13" t="s">
        <v>1529</v>
      </c>
      <c r="D81" s="16">
        <v>1.8333299999999999</v>
      </c>
      <c r="E81" s="15">
        <v>32.35</v>
      </c>
      <c r="F81" s="15">
        <v>2.42</v>
      </c>
      <c r="G81" s="15">
        <v>24.05</v>
      </c>
      <c r="H81" s="19" t="s">
        <v>1450</v>
      </c>
      <c r="I81" s="13" t="s">
        <v>1457</v>
      </c>
      <c r="J81" s="15">
        <f t="shared" si="14"/>
        <v>34.150999999999996</v>
      </c>
      <c r="K81" s="15">
        <f t="shared" si="11"/>
        <v>-32.35</v>
      </c>
      <c r="L81" s="15">
        <f t="shared" si="13"/>
        <v>0</v>
      </c>
      <c r="M81" s="15">
        <f t="shared" si="8"/>
        <v>-32.35</v>
      </c>
      <c r="N81" s="15">
        <f t="shared" si="9"/>
        <v>1.8009999999999948</v>
      </c>
      <c r="O81" s="17">
        <f t="shared" si="12"/>
        <v>3.1932624113475083E-2</v>
      </c>
      <c r="P8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0.74343122102009274</v>
      </c>
    </row>
    <row r="82" spans="2:16" ht="19.95" customHeight="1">
      <c r="B82" s="14">
        <v>46151</v>
      </c>
      <c r="C82" s="13" t="s">
        <v>1528</v>
      </c>
      <c r="D82" s="16">
        <v>1.9259200000000001</v>
      </c>
      <c r="E82" s="15">
        <v>28.64</v>
      </c>
      <c r="F82" s="15">
        <v>2.27</v>
      </c>
      <c r="G82" s="15">
        <v>23.75</v>
      </c>
      <c r="H82" s="19" t="s">
        <v>1452</v>
      </c>
      <c r="I82" s="13" t="s">
        <v>1457</v>
      </c>
      <c r="J82" s="15">
        <f t="shared" si="14"/>
        <v>-23.75</v>
      </c>
      <c r="K82" s="15">
        <f t="shared" si="11"/>
        <v>26.518348800000002</v>
      </c>
      <c r="L82" s="15">
        <f t="shared" si="13"/>
        <v>-0.74251376640000011</v>
      </c>
      <c r="M82" s="15">
        <f t="shared" si="8"/>
        <v>25.775835033600003</v>
      </c>
      <c r="N82" s="15">
        <f t="shared" si="9"/>
        <v>2.0258350336000017</v>
      </c>
      <c r="O82" s="17">
        <f t="shared" si="12"/>
        <v>3.8668353380416146E-2</v>
      </c>
      <c r="P8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0.82925977653631289</v>
      </c>
    </row>
    <row r="83" spans="2:16" ht="19.95" customHeight="1">
      <c r="B83" s="14">
        <v>46152</v>
      </c>
      <c r="C83" s="13" t="s">
        <v>1527</v>
      </c>
      <c r="D83" s="16">
        <v>2.08</v>
      </c>
      <c r="E83" s="15">
        <v>29.52</v>
      </c>
      <c r="F83" s="15">
        <v>2.09</v>
      </c>
      <c r="G83" s="15">
        <v>28.7</v>
      </c>
      <c r="H83" s="19" t="s">
        <v>1450</v>
      </c>
      <c r="I83" s="13" t="s">
        <v>1457</v>
      </c>
      <c r="J83" s="15">
        <f t="shared" si="14"/>
        <v>31.282999999999994</v>
      </c>
      <c r="K83" s="15">
        <f t="shared" si="11"/>
        <v>-29.52</v>
      </c>
      <c r="L83" s="15">
        <f t="shared" si="13"/>
        <v>0</v>
      </c>
      <c r="M83" s="15">
        <f t="shared" si="8"/>
        <v>-29.52</v>
      </c>
      <c r="N83" s="15">
        <f t="shared" si="9"/>
        <v>1.7629999999999946</v>
      </c>
      <c r="O83" s="17">
        <f t="shared" si="12"/>
        <v>3.0281690140844978E-2</v>
      </c>
      <c r="P8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0.97222222222222221</v>
      </c>
    </row>
    <row r="84" spans="2:16" ht="19.95" customHeight="1">
      <c r="B84" s="14">
        <v>46152</v>
      </c>
      <c r="C84" s="13" t="s">
        <v>1526</v>
      </c>
      <c r="D84" s="16">
        <v>1.98</v>
      </c>
      <c r="E84" s="15">
        <v>30.44</v>
      </c>
      <c r="F84" s="15">
        <v>2.2000000000000002</v>
      </c>
      <c r="G84" s="15">
        <v>26.77</v>
      </c>
      <c r="H84" s="19" t="s">
        <v>1450</v>
      </c>
      <c r="I84" s="13" t="s">
        <v>1457</v>
      </c>
      <c r="J84" s="15">
        <f t="shared" si="14"/>
        <v>32.124000000000002</v>
      </c>
      <c r="K84" s="15">
        <f t="shared" si="11"/>
        <v>-30.44</v>
      </c>
      <c r="L84" s="15">
        <f t="shared" si="13"/>
        <v>0</v>
      </c>
      <c r="M84" s="15">
        <f t="shared" si="8"/>
        <v>-30.44</v>
      </c>
      <c r="N84" s="15">
        <f t="shared" si="9"/>
        <v>1.6840000000000011</v>
      </c>
      <c r="O84" s="17">
        <f t="shared" si="12"/>
        <v>2.9435413389267629E-2</v>
      </c>
      <c r="P8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0.8794349540078843</v>
      </c>
    </row>
    <row r="85" spans="2:16" ht="19.95" customHeight="1">
      <c r="B85" s="14">
        <v>46152</v>
      </c>
      <c r="C85" s="13" t="s">
        <v>1525</v>
      </c>
      <c r="D85" s="16">
        <v>2.2200000000000002</v>
      </c>
      <c r="E85" s="15">
        <v>31.38</v>
      </c>
      <c r="F85" s="15">
        <v>1.96</v>
      </c>
      <c r="G85" s="15">
        <v>34.58</v>
      </c>
      <c r="H85" s="19" t="s">
        <v>1452</v>
      </c>
      <c r="I85" s="13" t="s">
        <v>1457</v>
      </c>
      <c r="J85" s="15">
        <f t="shared" si="14"/>
        <v>-34.58</v>
      </c>
      <c r="K85" s="15">
        <f t="shared" si="11"/>
        <v>38.283600000000007</v>
      </c>
      <c r="L85" s="15">
        <f t="shared" si="13"/>
        <v>-1.0719408000000001</v>
      </c>
      <c r="M85" s="15">
        <f t="shared" si="8"/>
        <v>37.211659200000007</v>
      </c>
      <c r="N85" s="15">
        <f t="shared" si="9"/>
        <v>2.6316592000000085</v>
      </c>
      <c r="O85" s="17">
        <f t="shared" si="12"/>
        <v>3.989780473013961E-2</v>
      </c>
      <c r="P8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1.1019757807520714</v>
      </c>
    </row>
    <row r="86" spans="2:16" ht="19.95" customHeight="1">
      <c r="B86" s="14">
        <v>46152</v>
      </c>
      <c r="C86" s="13" t="s">
        <v>1524</v>
      </c>
      <c r="D86" s="16">
        <v>1.8196699999999999</v>
      </c>
      <c r="E86" s="15">
        <v>15.74</v>
      </c>
      <c r="F86" s="15">
        <v>2.44</v>
      </c>
      <c r="G86" s="15">
        <v>11.5</v>
      </c>
      <c r="H86" s="19" t="s">
        <v>1450</v>
      </c>
      <c r="I86" s="13" t="s">
        <v>1457</v>
      </c>
      <c r="J86" s="15">
        <f t="shared" si="14"/>
        <v>16.559999999999999</v>
      </c>
      <c r="K86" s="15">
        <f t="shared" si="11"/>
        <v>-15.74</v>
      </c>
      <c r="L86" s="15">
        <f t="shared" si="13"/>
        <v>0</v>
      </c>
      <c r="M86" s="15">
        <f t="shared" si="8"/>
        <v>-15.74</v>
      </c>
      <c r="N86" s="15">
        <f t="shared" si="9"/>
        <v>0.81999999999999851</v>
      </c>
      <c r="O86" s="17">
        <f t="shared" si="12"/>
        <v>3.010279001468423E-2</v>
      </c>
      <c r="P8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0.73062261753494284</v>
      </c>
    </row>
    <row r="87" spans="2:16" ht="19.95" customHeight="1">
      <c r="B87" s="14">
        <v>46152</v>
      </c>
      <c r="C87" s="13" t="s">
        <v>1523</v>
      </c>
      <c r="D87" s="16">
        <v>1.82</v>
      </c>
      <c r="E87" s="15">
        <v>15.5</v>
      </c>
      <c r="F87" s="15">
        <v>2.44</v>
      </c>
      <c r="G87" s="15">
        <v>11.33</v>
      </c>
      <c r="H87" s="19" t="s">
        <v>1452</v>
      </c>
      <c r="I87" s="13" t="s">
        <v>1457</v>
      </c>
      <c r="J87" s="15">
        <f t="shared" si="14"/>
        <v>-11.33</v>
      </c>
      <c r="K87" s="15">
        <f t="shared" si="11"/>
        <v>12.71</v>
      </c>
      <c r="L87" s="15">
        <f t="shared" si="13"/>
        <v>-0.35588000000000003</v>
      </c>
      <c r="M87" s="15">
        <f t="shared" si="8"/>
        <v>12.35412</v>
      </c>
      <c r="N87" s="15">
        <f t="shared" si="9"/>
        <v>1.0241200000000008</v>
      </c>
      <c r="O87" s="17">
        <f t="shared" si="12"/>
        <v>3.8170704435333616E-2</v>
      </c>
      <c r="P8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0.73096774193548386</v>
      </c>
    </row>
    <row r="88" spans="2:16" ht="19.95" customHeight="1">
      <c r="B88" s="14">
        <v>46152</v>
      </c>
      <c r="C88" s="13" t="s">
        <v>1522</v>
      </c>
      <c r="D88" s="16">
        <v>1.84</v>
      </c>
      <c r="E88" s="15">
        <v>15.53</v>
      </c>
      <c r="F88" s="15">
        <v>2.4</v>
      </c>
      <c r="G88" s="15">
        <v>11.64</v>
      </c>
      <c r="H88" s="19" t="s">
        <v>1450</v>
      </c>
      <c r="I88" s="13" t="s">
        <v>1457</v>
      </c>
      <c r="J88" s="15">
        <f t="shared" si="14"/>
        <v>16.295999999999999</v>
      </c>
      <c r="K88" s="15">
        <f t="shared" si="11"/>
        <v>-15.53</v>
      </c>
      <c r="L88" s="15">
        <f t="shared" si="13"/>
        <v>0</v>
      </c>
      <c r="M88" s="15">
        <f t="shared" si="8"/>
        <v>-15.53</v>
      </c>
      <c r="N88" s="15">
        <f t="shared" si="9"/>
        <v>0.76600000000000001</v>
      </c>
      <c r="O88" s="17">
        <f t="shared" si="12"/>
        <v>2.819285977180714E-2</v>
      </c>
      <c r="P8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0.74951706374758542</v>
      </c>
    </row>
    <row r="89" spans="2:16" ht="19.95" customHeight="1">
      <c r="B89" s="14">
        <v>46152</v>
      </c>
      <c r="C89" s="13" t="s">
        <v>1521</v>
      </c>
      <c r="D89" s="16">
        <v>2.84</v>
      </c>
      <c r="E89" s="15">
        <v>10</v>
      </c>
      <c r="F89" s="15">
        <v>2.5499999999999998</v>
      </c>
      <c r="G89" s="15">
        <v>10.59</v>
      </c>
      <c r="H89" s="19" t="s">
        <v>1452</v>
      </c>
      <c r="I89" s="13" t="s">
        <v>1457</v>
      </c>
      <c r="J89" s="15">
        <f t="shared" si="14"/>
        <v>-10.59</v>
      </c>
      <c r="K89" s="15">
        <f t="shared" si="11"/>
        <v>18.399999999999999</v>
      </c>
      <c r="L89" s="15">
        <f t="shared" si="13"/>
        <v>-0.51519999999999999</v>
      </c>
      <c r="M89" s="15">
        <f t="shared" si="8"/>
        <v>17.884799999999998</v>
      </c>
      <c r="N89" s="15">
        <f t="shared" si="9"/>
        <v>7.2947999999999986</v>
      </c>
      <c r="O89" s="17">
        <f t="shared" si="12"/>
        <v>0.35428848955803782</v>
      </c>
      <c r="P8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1.0589999999999999</v>
      </c>
    </row>
    <row r="90" spans="2:16" ht="19.95" customHeight="1">
      <c r="B90" s="14">
        <v>46152</v>
      </c>
      <c r="C90" s="13" t="s">
        <v>1520</v>
      </c>
      <c r="D90" s="16">
        <v>1.72</v>
      </c>
      <c r="E90" s="15">
        <v>15.48</v>
      </c>
      <c r="F90" s="15">
        <v>2.64</v>
      </c>
      <c r="G90" s="15">
        <v>9.8800000000000008</v>
      </c>
      <c r="H90" s="19" t="s">
        <v>1452</v>
      </c>
      <c r="I90" s="13" t="s">
        <v>1457</v>
      </c>
      <c r="J90" s="15">
        <f t="shared" si="14"/>
        <v>-9.8800000000000008</v>
      </c>
      <c r="K90" s="15">
        <f t="shared" si="11"/>
        <v>11.1456</v>
      </c>
      <c r="L90" s="15">
        <f t="shared" si="13"/>
        <v>-0.31207679999999999</v>
      </c>
      <c r="M90" s="15">
        <f t="shared" si="8"/>
        <v>10.8335232</v>
      </c>
      <c r="N90" s="15">
        <f t="shared" si="9"/>
        <v>0.95352319999999913</v>
      </c>
      <c r="O90" s="17">
        <f t="shared" si="12"/>
        <v>3.7599495268138765E-2</v>
      </c>
      <c r="P9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0.63824289405684753</v>
      </c>
    </row>
    <row r="91" spans="2:16" ht="19.95" customHeight="1">
      <c r="B91" s="14">
        <v>46152</v>
      </c>
      <c r="C91" s="13" t="s">
        <v>1519</v>
      </c>
      <c r="D91" s="16">
        <v>1.8196699999999999</v>
      </c>
      <c r="E91" s="15">
        <v>15.25</v>
      </c>
      <c r="F91" s="15">
        <v>2.44</v>
      </c>
      <c r="G91" s="15">
        <v>11.15</v>
      </c>
      <c r="H91" s="19" t="s">
        <v>1452</v>
      </c>
      <c r="I91" s="13" t="s">
        <v>1457</v>
      </c>
      <c r="J91" s="15">
        <f t="shared" si="14"/>
        <v>-11.15</v>
      </c>
      <c r="K91" s="15">
        <f t="shared" si="11"/>
        <v>12.499967499999999</v>
      </c>
      <c r="L91" s="15">
        <f t="shared" si="13"/>
        <v>-0.34999908999999996</v>
      </c>
      <c r="M91" s="15">
        <f t="shared" si="8"/>
        <v>12.149968409999998</v>
      </c>
      <c r="N91" s="15">
        <f t="shared" si="9"/>
        <v>0.99996840999999825</v>
      </c>
      <c r="O91" s="17">
        <f t="shared" si="12"/>
        <v>3.7877591287878723E-2</v>
      </c>
      <c r="P9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0.73114754098360657</v>
      </c>
    </row>
    <row r="92" spans="2:16" ht="19.95" customHeight="1">
      <c r="B92" s="14">
        <v>46152</v>
      </c>
      <c r="C92" s="13" t="s">
        <v>1518</v>
      </c>
      <c r="D92" s="16">
        <v>1.9803900000000001</v>
      </c>
      <c r="E92" s="15">
        <v>15.72</v>
      </c>
      <c r="F92" s="15">
        <v>2.2000000000000002</v>
      </c>
      <c r="G92" s="15">
        <v>13.83</v>
      </c>
      <c r="H92" s="19" t="s">
        <v>1452</v>
      </c>
      <c r="I92" s="13" t="s">
        <v>1457</v>
      </c>
      <c r="J92" s="15">
        <f t="shared" si="14"/>
        <v>-13.83</v>
      </c>
      <c r="K92" s="15">
        <f t="shared" si="11"/>
        <v>15.411730800000003</v>
      </c>
      <c r="L92" s="15">
        <f t="shared" si="13"/>
        <v>-0.43152846240000009</v>
      </c>
      <c r="M92" s="15">
        <f t="shared" si="8"/>
        <v>14.980202337600003</v>
      </c>
      <c r="N92" s="15">
        <f t="shared" si="9"/>
        <v>1.1502023376000023</v>
      </c>
      <c r="O92" s="17">
        <f t="shared" si="12"/>
        <v>3.8923936974619371E-2</v>
      </c>
      <c r="P9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0.87977099236641221</v>
      </c>
    </row>
    <row r="93" spans="2:16" ht="19.95" customHeight="1">
      <c r="B93" s="14">
        <v>46152</v>
      </c>
      <c r="C93" s="13" t="s">
        <v>1517</v>
      </c>
      <c r="D93" s="16">
        <v>2.2000000000000002</v>
      </c>
      <c r="E93" s="15">
        <v>16.04</v>
      </c>
      <c r="F93" s="15">
        <v>1.98</v>
      </c>
      <c r="G93" s="15">
        <v>17.38</v>
      </c>
      <c r="H93" s="19" t="s">
        <v>1450</v>
      </c>
      <c r="I93" s="13" t="s">
        <v>1457</v>
      </c>
      <c r="J93" s="15">
        <f t="shared" si="14"/>
        <v>17.032399999999999</v>
      </c>
      <c r="K93" s="15">
        <f t="shared" si="11"/>
        <v>-16.04</v>
      </c>
      <c r="L93" s="15">
        <f t="shared" si="13"/>
        <v>0</v>
      </c>
      <c r="M93" s="15">
        <f t="shared" si="8"/>
        <v>-16.04</v>
      </c>
      <c r="N93" s="15">
        <f t="shared" si="9"/>
        <v>0.99239999999999995</v>
      </c>
      <c r="O93" s="17">
        <f t="shared" si="12"/>
        <v>2.9694793536804306E-2</v>
      </c>
      <c r="P9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1.0835411471321696</v>
      </c>
    </row>
    <row r="94" spans="2:16" ht="19.95" customHeight="1">
      <c r="B94" s="14">
        <v>46152</v>
      </c>
      <c r="C94" s="13" t="s">
        <v>1516</v>
      </c>
      <c r="D94" s="16">
        <v>1.86206</v>
      </c>
      <c r="E94" s="15">
        <v>16.29</v>
      </c>
      <c r="F94" s="15">
        <v>2.37</v>
      </c>
      <c r="G94" s="15">
        <v>12.55</v>
      </c>
      <c r="H94" s="19" t="s">
        <v>1450</v>
      </c>
      <c r="I94" s="13" t="s">
        <v>1457</v>
      </c>
      <c r="J94" s="15">
        <f t="shared" si="14"/>
        <v>17.193500000000004</v>
      </c>
      <c r="K94" s="15">
        <f t="shared" si="11"/>
        <v>-16.29</v>
      </c>
      <c r="L94" s="15">
        <f t="shared" si="13"/>
        <v>0</v>
      </c>
      <c r="M94" s="15">
        <f t="shared" si="8"/>
        <v>-16.29</v>
      </c>
      <c r="N94" s="15">
        <f t="shared" si="9"/>
        <v>0.90350000000000463</v>
      </c>
      <c r="O94" s="17">
        <f t="shared" si="12"/>
        <v>3.1328016643550782E-2</v>
      </c>
      <c r="P9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0.77041129527317376</v>
      </c>
    </row>
    <row r="95" spans="2:16" ht="19.95" customHeight="1">
      <c r="B95" s="14">
        <v>46152</v>
      </c>
      <c r="C95" s="13" t="s">
        <v>1515</v>
      </c>
      <c r="D95" s="16">
        <v>1.82</v>
      </c>
      <c r="E95" s="15">
        <v>15.57</v>
      </c>
      <c r="F95" s="15">
        <v>2.44</v>
      </c>
      <c r="G95" s="15">
        <v>11.38</v>
      </c>
      <c r="H95" s="19" t="s">
        <v>1450</v>
      </c>
      <c r="I95" s="13" t="s">
        <v>1457</v>
      </c>
      <c r="J95" s="15">
        <f t="shared" si="14"/>
        <v>16.3872</v>
      </c>
      <c r="K95" s="15">
        <f t="shared" si="11"/>
        <v>-15.57</v>
      </c>
      <c r="L95" s="15">
        <f t="shared" si="13"/>
        <v>0</v>
      </c>
      <c r="M95" s="15">
        <f t="shared" si="8"/>
        <v>-15.57</v>
      </c>
      <c r="N95" s="15">
        <f t="shared" si="9"/>
        <v>0.8171999999999997</v>
      </c>
      <c r="O95" s="17">
        <f t="shared" si="12"/>
        <v>3.0322820037105739E-2</v>
      </c>
      <c r="P9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0.73089274245343616</v>
      </c>
    </row>
    <row r="96" spans="2:16" ht="19.95" customHeight="1">
      <c r="B96" s="14">
        <v>46152</v>
      </c>
      <c r="C96" s="13" t="s">
        <v>1514</v>
      </c>
      <c r="D96" s="16">
        <v>1.81</v>
      </c>
      <c r="E96" s="20">
        <v>15.33</v>
      </c>
      <c r="F96" s="15">
        <v>2.46</v>
      </c>
      <c r="G96" s="15">
        <v>11.07</v>
      </c>
      <c r="H96" s="19" t="s">
        <v>1450</v>
      </c>
      <c r="I96" s="13" t="s">
        <v>1457</v>
      </c>
      <c r="J96" s="15">
        <f t="shared" si="14"/>
        <v>16.162199999999999</v>
      </c>
      <c r="K96" s="15">
        <f t="shared" si="11"/>
        <v>-15.33</v>
      </c>
      <c r="L96" s="15">
        <f t="shared" si="13"/>
        <v>0</v>
      </c>
      <c r="M96" s="15">
        <f t="shared" si="8"/>
        <v>-15.33</v>
      </c>
      <c r="N96" s="15">
        <f t="shared" si="9"/>
        <v>0.8321999999999985</v>
      </c>
      <c r="O96" s="17">
        <f t="shared" si="12"/>
        <v>3.1522727272727216E-2</v>
      </c>
      <c r="P9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0.72211350293542076</v>
      </c>
    </row>
    <row r="97" spans="2:16" ht="19.95" customHeight="1">
      <c r="B97" s="14">
        <v>46152</v>
      </c>
      <c r="C97" s="13" t="s">
        <v>1513</v>
      </c>
      <c r="D97" s="16">
        <v>2.1</v>
      </c>
      <c r="E97" s="15">
        <v>15.8</v>
      </c>
      <c r="F97" s="15">
        <v>2.0699999999999998</v>
      </c>
      <c r="G97" s="15">
        <v>15.65</v>
      </c>
      <c r="H97" s="19" t="s">
        <v>1452</v>
      </c>
      <c r="I97" s="13" t="s">
        <v>1457</v>
      </c>
      <c r="J97" s="15">
        <f t="shared" si="14"/>
        <v>-15.65</v>
      </c>
      <c r="K97" s="15">
        <f t="shared" si="11"/>
        <v>17.380000000000003</v>
      </c>
      <c r="L97" s="15">
        <f t="shared" si="13"/>
        <v>-0.48664000000000007</v>
      </c>
      <c r="M97" s="15">
        <f t="shared" si="8"/>
        <v>16.893360000000001</v>
      </c>
      <c r="N97" s="15">
        <f t="shared" si="9"/>
        <v>1.2433600000000022</v>
      </c>
      <c r="O97" s="17">
        <f t="shared" si="12"/>
        <v>3.953449920508751E-2</v>
      </c>
      <c r="P9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0.990506329113924</v>
      </c>
    </row>
    <row r="98" spans="2:16" ht="19.95" customHeight="1">
      <c r="B98" s="14">
        <v>46152</v>
      </c>
      <c r="C98" s="13" t="s">
        <v>1512</v>
      </c>
      <c r="D98" s="16">
        <v>1.8</v>
      </c>
      <c r="E98" s="15">
        <v>15.59</v>
      </c>
      <c r="F98" s="15">
        <v>2.48</v>
      </c>
      <c r="G98" s="15">
        <v>11.11</v>
      </c>
      <c r="H98" s="19" t="s">
        <v>1450</v>
      </c>
      <c r="I98" s="13" t="s">
        <v>1457</v>
      </c>
      <c r="J98" s="15">
        <f t="shared" si="14"/>
        <v>16.442799999999998</v>
      </c>
      <c r="K98" s="15">
        <f t="shared" si="11"/>
        <v>-15.59</v>
      </c>
      <c r="L98" s="15">
        <f t="shared" si="13"/>
        <v>0</v>
      </c>
      <c r="M98" s="15">
        <f t="shared" si="8"/>
        <v>-15.59</v>
      </c>
      <c r="N98" s="15">
        <f t="shared" si="9"/>
        <v>0.85279999999999845</v>
      </c>
      <c r="O98" s="17">
        <f t="shared" si="12"/>
        <v>3.1940074906366987E-2</v>
      </c>
      <c r="P9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0.71263630532392552</v>
      </c>
    </row>
    <row r="99" spans="2:16" ht="19.95" customHeight="1">
      <c r="B99" s="14">
        <v>46152</v>
      </c>
      <c r="C99" s="13" t="s">
        <v>1511</v>
      </c>
      <c r="D99" s="16">
        <v>1.82</v>
      </c>
      <c r="E99" s="15">
        <v>15.36</v>
      </c>
      <c r="F99" s="15">
        <v>2.44</v>
      </c>
      <c r="G99" s="15">
        <v>11.23</v>
      </c>
      <c r="H99" s="19" t="s">
        <v>1450</v>
      </c>
      <c r="I99" s="13" t="s">
        <v>1457</v>
      </c>
      <c r="J99" s="15">
        <f t="shared" si="14"/>
        <v>16.171199999999999</v>
      </c>
      <c r="K99" s="15">
        <f t="shared" si="11"/>
        <v>-15.36</v>
      </c>
      <c r="L99" s="15">
        <f t="shared" si="13"/>
        <v>0</v>
      </c>
      <c r="M99" s="15">
        <f t="shared" si="8"/>
        <v>-15.36</v>
      </c>
      <c r="N99" s="15">
        <f t="shared" si="9"/>
        <v>0.81119999999999948</v>
      </c>
      <c r="O99" s="17">
        <f t="shared" si="12"/>
        <v>3.0507709665287683E-2</v>
      </c>
      <c r="P9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0.73111979166666674</v>
      </c>
    </row>
    <row r="100" spans="2:16" ht="19.95" customHeight="1">
      <c r="B100" s="14">
        <v>46153</v>
      </c>
      <c r="C100" s="13" t="s">
        <v>1957</v>
      </c>
      <c r="D100" s="16">
        <v>2.08</v>
      </c>
      <c r="E100" s="15">
        <v>15.13</v>
      </c>
      <c r="F100" s="15">
        <v>2.09</v>
      </c>
      <c r="G100" s="15">
        <v>14.71</v>
      </c>
      <c r="H100" s="22" t="s">
        <v>1452</v>
      </c>
      <c r="I100" s="13" t="s">
        <v>1457</v>
      </c>
      <c r="J100" s="15">
        <f t="shared" ref="J100:J105" si="15">IF(H100="Ganhou",(F100-1)*G100,-G100)</f>
        <v>-14.71</v>
      </c>
      <c r="K100" s="15">
        <f t="shared" ref="K100:K105" si="16">IF(H100="Perdeu",(D100-1)*E100,-E100)</f>
        <v>16.340400000000002</v>
      </c>
      <c r="L100" s="15">
        <f t="shared" ref="L100:L105" si="17">IF(H100="Perdeu",-K100*0.028,0)</f>
        <v>-0.45753120000000008</v>
      </c>
      <c r="M100" s="15">
        <f t="shared" ref="M100:M105" si="18">SUM(K100:L100)</f>
        <v>15.882868800000002</v>
      </c>
      <c r="N100" s="15">
        <f t="shared" ref="N100:N105" si="19">SUM(J100:L100)</f>
        <v>1.1728688000000016</v>
      </c>
      <c r="O100" s="17">
        <f t="shared" si="12"/>
        <v>3.9305254691689058E-2</v>
      </c>
      <c r="P10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0.97224058162590876</v>
      </c>
    </row>
    <row r="101" spans="2:16" ht="19.95" customHeight="1">
      <c r="B101" s="14">
        <v>46153</v>
      </c>
      <c r="C101" s="13" t="s">
        <v>1940</v>
      </c>
      <c r="D101" s="16">
        <v>1.77</v>
      </c>
      <c r="E101" s="15">
        <v>15.37</v>
      </c>
      <c r="F101" s="15">
        <v>2.5299999999999998</v>
      </c>
      <c r="G101" s="15">
        <v>10.53</v>
      </c>
      <c r="H101" s="22" t="s">
        <v>1450</v>
      </c>
      <c r="I101" s="13" t="s">
        <v>1457</v>
      </c>
      <c r="J101" s="15">
        <f t="shared" si="15"/>
        <v>16.110899999999997</v>
      </c>
      <c r="K101" s="15">
        <f t="shared" si="16"/>
        <v>-15.37</v>
      </c>
      <c r="L101" s="15">
        <f t="shared" si="17"/>
        <v>0</v>
      </c>
      <c r="M101" s="15">
        <f t="shared" si="18"/>
        <v>-15.37</v>
      </c>
      <c r="N101" s="15">
        <f t="shared" si="19"/>
        <v>0.74089999999999812</v>
      </c>
      <c r="O101" s="17">
        <f t="shared" si="12"/>
        <v>2.8606177606177535E-2</v>
      </c>
      <c r="P10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0.68510084580351338</v>
      </c>
    </row>
    <row r="102" spans="2:16" ht="19.95" customHeight="1">
      <c r="B102" s="14">
        <v>46153</v>
      </c>
      <c r="C102" s="13" t="s">
        <v>1966</v>
      </c>
      <c r="D102" s="16">
        <v>2.06</v>
      </c>
      <c r="E102" s="15">
        <v>14.69</v>
      </c>
      <c r="F102" s="15">
        <v>2.11</v>
      </c>
      <c r="G102" s="15">
        <v>14.01</v>
      </c>
      <c r="H102" s="22" t="s">
        <v>1450</v>
      </c>
      <c r="I102" s="13" t="s">
        <v>1457</v>
      </c>
      <c r="J102" s="15">
        <f t="shared" si="15"/>
        <v>15.551099999999998</v>
      </c>
      <c r="K102" s="15">
        <f t="shared" si="16"/>
        <v>-14.69</v>
      </c>
      <c r="L102" s="15">
        <f t="shared" si="17"/>
        <v>0</v>
      </c>
      <c r="M102" s="15">
        <f t="shared" si="18"/>
        <v>-14.69</v>
      </c>
      <c r="N102" s="15">
        <f t="shared" si="19"/>
        <v>0.86109999999999864</v>
      </c>
      <c r="O102" s="17">
        <f t="shared" si="12"/>
        <v>3.0003484320557446E-2</v>
      </c>
      <c r="P10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0.95371000680735196</v>
      </c>
    </row>
    <row r="103" spans="2:16" ht="19.95" customHeight="1">
      <c r="B103" s="14">
        <v>46153</v>
      </c>
      <c r="C103" s="13" t="s">
        <v>1965</v>
      </c>
      <c r="D103" s="16">
        <v>2.48</v>
      </c>
      <c r="E103" s="15">
        <v>14.91</v>
      </c>
      <c r="F103" s="15">
        <v>1.8</v>
      </c>
      <c r="G103" s="15">
        <v>20.03</v>
      </c>
      <c r="H103" s="22" t="s">
        <v>1450</v>
      </c>
      <c r="I103" s="13" t="s">
        <v>1457</v>
      </c>
      <c r="J103" s="15">
        <f t="shared" si="15"/>
        <v>16.024000000000001</v>
      </c>
      <c r="K103" s="15">
        <f t="shared" si="16"/>
        <v>-14.91</v>
      </c>
      <c r="L103" s="15">
        <f t="shared" si="17"/>
        <v>0</v>
      </c>
      <c r="M103" s="15">
        <f t="shared" si="18"/>
        <v>-14.91</v>
      </c>
      <c r="N103" s="15">
        <f t="shared" si="19"/>
        <v>1.1140000000000008</v>
      </c>
      <c r="O103" s="17">
        <f t="shared" si="12"/>
        <v>3.1883228391528358E-2</v>
      </c>
      <c r="P10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1.3433936955063717</v>
      </c>
    </row>
    <row r="104" spans="2:16" ht="19.95" customHeight="1">
      <c r="B104" s="14">
        <v>46153</v>
      </c>
      <c r="C104" s="13" t="s">
        <v>1935</v>
      </c>
      <c r="D104" s="16">
        <v>1.84</v>
      </c>
      <c r="E104" s="15">
        <v>15.14</v>
      </c>
      <c r="F104" s="15">
        <v>2.4</v>
      </c>
      <c r="G104" s="15">
        <v>11.35</v>
      </c>
      <c r="H104" s="22" t="s">
        <v>1450</v>
      </c>
      <c r="I104" s="13" t="s">
        <v>1457</v>
      </c>
      <c r="J104" s="15">
        <f t="shared" si="15"/>
        <v>15.889999999999999</v>
      </c>
      <c r="K104" s="15">
        <f t="shared" si="16"/>
        <v>-15.14</v>
      </c>
      <c r="L104" s="15">
        <f t="shared" si="17"/>
        <v>0</v>
      </c>
      <c r="M104" s="15">
        <f t="shared" si="18"/>
        <v>-15.14</v>
      </c>
      <c r="N104" s="15">
        <f t="shared" si="19"/>
        <v>0.74999999999999822</v>
      </c>
      <c r="O104" s="17">
        <f t="shared" si="12"/>
        <v>2.8312570781426884E-2</v>
      </c>
      <c r="P10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0.74966974900924699</v>
      </c>
    </row>
    <row r="105" spans="2:16" ht="19.95" customHeight="1">
      <c r="B105" s="14">
        <v>46153</v>
      </c>
      <c r="C105" s="13" t="s">
        <v>1964</v>
      </c>
      <c r="D105" s="16">
        <v>1.9803900000000001</v>
      </c>
      <c r="E105" s="15">
        <v>14.47</v>
      </c>
      <c r="F105" s="15">
        <v>2.2000000000000002</v>
      </c>
      <c r="G105" s="15">
        <v>12.73</v>
      </c>
      <c r="H105" s="22" t="s">
        <v>1452</v>
      </c>
      <c r="I105" s="13" t="s">
        <v>1457</v>
      </c>
      <c r="J105" s="15">
        <f t="shared" si="15"/>
        <v>-12.73</v>
      </c>
      <c r="K105" s="15">
        <f t="shared" si="16"/>
        <v>14.186243300000003</v>
      </c>
      <c r="L105" s="15">
        <f t="shared" si="17"/>
        <v>-0.39721481240000006</v>
      </c>
      <c r="M105" s="15">
        <f t="shared" si="18"/>
        <v>13.789028487600003</v>
      </c>
      <c r="N105" s="15">
        <f t="shared" si="19"/>
        <v>1.0590284876000022</v>
      </c>
      <c r="O105" s="17">
        <f t="shared" si="12"/>
        <v>3.8934870867647138E-2</v>
      </c>
      <c r="P10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0.87975120939875606</v>
      </c>
    </row>
    <row r="106" spans="2:16" ht="19.95" customHeight="1">
      <c r="B106" s="14">
        <v>46154</v>
      </c>
      <c r="C106" s="13" t="s">
        <v>2001</v>
      </c>
      <c r="D106" s="16">
        <v>2.08</v>
      </c>
      <c r="E106" s="15">
        <v>14.67</v>
      </c>
      <c r="F106" s="15">
        <v>2.09</v>
      </c>
      <c r="G106" s="15">
        <v>14.26</v>
      </c>
      <c r="H106" s="22" t="s">
        <v>1452</v>
      </c>
      <c r="I106" s="13" t="s">
        <v>1457</v>
      </c>
      <c r="J106" s="15">
        <f t="shared" ref="J106:J113" si="20">IF(H106="Ganhou",(F106-1)*G106,-G106)</f>
        <v>-14.26</v>
      </c>
      <c r="K106" s="15">
        <f t="shared" ref="K106:K113" si="21">IF(H106="Perdeu",(D106-1)*E106,-E106)</f>
        <v>15.8436</v>
      </c>
      <c r="L106" s="15">
        <f t="shared" ref="L106:L113" si="22">IF(H106="Perdeu",-K106*0.028,0)</f>
        <v>-0.44362080000000004</v>
      </c>
      <c r="M106" s="15">
        <f t="shared" ref="M106:M113" si="23">SUM(K106:L106)</f>
        <v>15.399979200000001</v>
      </c>
      <c r="N106" s="15">
        <f t="shared" ref="N106:N113" si="24">SUM(J106:L106)</f>
        <v>1.1399792000000004</v>
      </c>
      <c r="O106" s="17">
        <f t="shared" si="12"/>
        <v>3.9404742481852766E-2</v>
      </c>
      <c r="P10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0.97205180640763467</v>
      </c>
    </row>
    <row r="107" spans="2:16" ht="19.95" customHeight="1">
      <c r="B107" s="14">
        <v>46154</v>
      </c>
      <c r="C107" s="13" t="s">
        <v>1992</v>
      </c>
      <c r="D107" s="16"/>
      <c r="E107" s="15"/>
      <c r="F107" s="15"/>
      <c r="G107" s="15"/>
      <c r="H107" s="22" t="s">
        <v>1452</v>
      </c>
      <c r="I107" s="13" t="s">
        <v>1457</v>
      </c>
      <c r="J107" s="15">
        <f t="shared" si="20"/>
        <v>0</v>
      </c>
      <c r="K107" s="21">
        <v>0.68</v>
      </c>
      <c r="L107" s="15">
        <f t="shared" si="22"/>
        <v>-1.9040000000000001E-2</v>
      </c>
      <c r="M107" s="15">
        <f t="shared" si="23"/>
        <v>0.66095999999999999</v>
      </c>
      <c r="N107" s="15">
        <f t="shared" si="24"/>
        <v>0.66095999999999999</v>
      </c>
      <c r="O107" s="17" t="str">
        <f>IFERROR(N107/SUM(G107,E107),"")</f>
        <v/>
      </c>
      <c r="P107" s="17" t="str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/>
      </c>
    </row>
    <row r="108" spans="2:16" ht="19.95" customHeight="1">
      <c r="B108" s="14">
        <v>46154</v>
      </c>
      <c r="C108" s="13" t="s">
        <v>2000</v>
      </c>
      <c r="D108" s="16">
        <v>1.79365</v>
      </c>
      <c r="E108" s="15">
        <v>29.16</v>
      </c>
      <c r="F108" s="15">
        <v>2.4900000000000002</v>
      </c>
      <c r="G108" s="15">
        <v>20.61</v>
      </c>
      <c r="H108" s="22" t="s">
        <v>1452</v>
      </c>
      <c r="I108" s="13" t="s">
        <v>1457</v>
      </c>
      <c r="J108" s="15">
        <f t="shared" si="20"/>
        <v>-20.61</v>
      </c>
      <c r="K108" s="15">
        <f t="shared" si="21"/>
        <v>23.142834000000001</v>
      </c>
      <c r="L108" s="15">
        <f t="shared" si="22"/>
        <v>-0.64799935200000003</v>
      </c>
      <c r="M108" s="15">
        <f t="shared" si="23"/>
        <v>22.494834648000001</v>
      </c>
      <c r="N108" s="15">
        <f t="shared" si="24"/>
        <v>1.8848346480000011</v>
      </c>
      <c r="O108" s="17">
        <f t="shared" ref="O108:O171" si="25">IFERROR(N108/SUM(G108,E108),"")</f>
        <v>3.787089909584089E-2</v>
      </c>
      <c r="P10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0.70679012345679015</v>
      </c>
    </row>
    <row r="109" spans="2:16" ht="19.95" customHeight="1">
      <c r="B109" s="14">
        <v>46154</v>
      </c>
      <c r="C109" s="13" t="s">
        <v>1999</v>
      </c>
      <c r="D109" s="16">
        <v>1.96</v>
      </c>
      <c r="E109" s="15">
        <v>29.5</v>
      </c>
      <c r="F109" s="15">
        <v>2.23</v>
      </c>
      <c r="G109" s="15">
        <v>25.4</v>
      </c>
      <c r="H109" s="22" t="s">
        <v>1450</v>
      </c>
      <c r="I109" s="13" t="s">
        <v>1457</v>
      </c>
      <c r="J109" s="15">
        <f t="shared" si="20"/>
        <v>31.241999999999997</v>
      </c>
      <c r="K109" s="15">
        <f t="shared" si="21"/>
        <v>-29.5</v>
      </c>
      <c r="L109" s="15">
        <f t="shared" si="22"/>
        <v>0</v>
      </c>
      <c r="M109" s="15">
        <f t="shared" si="23"/>
        <v>-29.5</v>
      </c>
      <c r="N109" s="15">
        <f t="shared" si="24"/>
        <v>1.7419999999999973</v>
      </c>
      <c r="O109" s="17">
        <f t="shared" si="25"/>
        <v>3.173041894353365E-2</v>
      </c>
      <c r="P10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0.86101694915254234</v>
      </c>
    </row>
    <row r="110" spans="2:16" ht="19.95" customHeight="1">
      <c r="B110" s="14">
        <v>46154</v>
      </c>
      <c r="C110" s="13" t="s">
        <v>1998</v>
      </c>
      <c r="D110" s="16">
        <v>2.0101</v>
      </c>
      <c r="E110" s="15">
        <v>29.06</v>
      </c>
      <c r="F110" s="15">
        <v>2.17</v>
      </c>
      <c r="G110" s="15">
        <v>26.37</v>
      </c>
      <c r="H110" s="22" t="s">
        <v>1452</v>
      </c>
      <c r="I110" s="13" t="s">
        <v>1457</v>
      </c>
      <c r="J110" s="15">
        <f t="shared" si="20"/>
        <v>-26.37</v>
      </c>
      <c r="K110" s="15">
        <f t="shared" si="21"/>
        <v>29.353505999999999</v>
      </c>
      <c r="L110" s="15">
        <f t="shared" si="22"/>
        <v>-0.82189816800000004</v>
      </c>
      <c r="M110" s="15">
        <f t="shared" si="23"/>
        <v>28.531607831999999</v>
      </c>
      <c r="N110" s="15">
        <f t="shared" si="24"/>
        <v>2.1616078319999983</v>
      </c>
      <c r="O110" s="17">
        <f t="shared" si="25"/>
        <v>3.8997074364062752E-2</v>
      </c>
      <c r="P11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0.9074328974535445</v>
      </c>
    </row>
    <row r="111" spans="2:16" ht="19.95" customHeight="1">
      <c r="B111" s="14">
        <v>46154</v>
      </c>
      <c r="C111" s="13" t="s">
        <v>1997</v>
      </c>
      <c r="D111" s="16">
        <v>2.1</v>
      </c>
      <c r="E111" s="15">
        <v>28.62</v>
      </c>
      <c r="F111" s="15">
        <v>2.0699999999999998</v>
      </c>
      <c r="G111" s="15">
        <v>28.36</v>
      </c>
      <c r="H111" s="22" t="s">
        <v>1450</v>
      </c>
      <c r="I111" s="13" t="s">
        <v>1457</v>
      </c>
      <c r="J111" s="15">
        <f t="shared" si="20"/>
        <v>30.345199999999995</v>
      </c>
      <c r="K111" s="15">
        <f t="shared" si="21"/>
        <v>-28.62</v>
      </c>
      <c r="L111" s="15">
        <f t="shared" si="22"/>
        <v>0</v>
      </c>
      <c r="M111" s="15">
        <f t="shared" si="23"/>
        <v>-28.62</v>
      </c>
      <c r="N111" s="15">
        <f t="shared" si="24"/>
        <v>1.7251999999999938</v>
      </c>
      <c r="O111" s="17">
        <f t="shared" si="25"/>
        <v>3.0277290277290168E-2</v>
      </c>
      <c r="P11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0.99091544374563234</v>
      </c>
    </row>
    <row r="112" spans="2:16" ht="19.95" customHeight="1">
      <c r="B112" s="14">
        <v>46154</v>
      </c>
      <c r="C112" s="13" t="s">
        <v>1996</v>
      </c>
      <c r="D112" s="16">
        <v>2.04</v>
      </c>
      <c r="E112" s="15">
        <v>29.06</v>
      </c>
      <c r="F112" s="15">
        <v>2.13</v>
      </c>
      <c r="G112" s="15">
        <v>27.18</v>
      </c>
      <c r="H112" s="22" t="s">
        <v>1450</v>
      </c>
      <c r="I112" s="13" t="s">
        <v>1457</v>
      </c>
      <c r="J112" s="15">
        <f t="shared" si="20"/>
        <v>30.713399999999996</v>
      </c>
      <c r="K112" s="15">
        <f t="shared" si="21"/>
        <v>-29.06</v>
      </c>
      <c r="L112" s="15">
        <f t="shared" si="22"/>
        <v>0</v>
      </c>
      <c r="M112" s="15">
        <f t="shared" si="23"/>
        <v>-29.06</v>
      </c>
      <c r="N112" s="15">
        <f t="shared" si="24"/>
        <v>1.6533999999999978</v>
      </c>
      <c r="O112" s="17">
        <f t="shared" si="25"/>
        <v>2.9399004267425283E-2</v>
      </c>
      <c r="P11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0.93530626290433594</v>
      </c>
    </row>
    <row r="113" spans="2:16" ht="19.95" customHeight="1">
      <c r="B113" s="14">
        <v>46154</v>
      </c>
      <c r="C113" s="13" t="s">
        <v>1995</v>
      </c>
      <c r="D113" s="16">
        <v>3.5</v>
      </c>
      <c r="E113" s="15">
        <v>28.62</v>
      </c>
      <c r="F113" s="15">
        <v>1.48</v>
      </c>
      <c r="G113" s="15">
        <v>65.510000000000005</v>
      </c>
      <c r="H113" s="22" t="s">
        <v>1450</v>
      </c>
      <c r="I113" s="13" t="s">
        <v>1457</v>
      </c>
      <c r="J113" s="15">
        <f t="shared" si="20"/>
        <v>31.444800000000001</v>
      </c>
      <c r="K113" s="15">
        <f t="shared" si="21"/>
        <v>-28.62</v>
      </c>
      <c r="L113" s="15">
        <f t="shared" si="22"/>
        <v>0</v>
      </c>
      <c r="M113" s="15">
        <f t="shared" si="23"/>
        <v>-28.62</v>
      </c>
      <c r="N113" s="15">
        <f t="shared" si="24"/>
        <v>2.8247999999999998</v>
      </c>
      <c r="O113" s="17">
        <f t="shared" si="25"/>
        <v>3.0009561245086577E-2</v>
      </c>
      <c r="P11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2.2889587700908458</v>
      </c>
    </row>
    <row r="114" spans="2:16" ht="19.95" customHeight="1">
      <c r="B114" s="14">
        <v>46155</v>
      </c>
      <c r="C114" s="13" t="s">
        <v>2064</v>
      </c>
      <c r="D114" s="16">
        <v>1.95</v>
      </c>
      <c r="E114" s="15">
        <v>28.19</v>
      </c>
      <c r="F114" s="15">
        <v>2.2400000000000002</v>
      </c>
      <c r="G114" s="15">
        <v>24.01</v>
      </c>
      <c r="H114" s="22" t="s">
        <v>1452</v>
      </c>
      <c r="I114" s="13" t="s">
        <v>1457</v>
      </c>
      <c r="J114" s="15">
        <f t="shared" ref="J114:J122" si="26">IF(H114="Ganhou",(F114-1)*G114,-G114)</f>
        <v>-24.01</v>
      </c>
      <c r="K114" s="15">
        <f t="shared" ref="K114:K122" si="27">IF(H114="Perdeu",(D114-1)*E114,-E114)</f>
        <v>26.7805</v>
      </c>
      <c r="L114" s="15">
        <f t="shared" ref="L114:L122" si="28">IF(H114="Perdeu",-K114*0.028,0)</f>
        <v>-0.74985400000000002</v>
      </c>
      <c r="M114" s="15">
        <f t="shared" ref="M114:M122" si="29">SUM(K114:L114)</f>
        <v>26.030646000000001</v>
      </c>
      <c r="N114" s="15">
        <f t="shared" ref="N114:N122" si="30">SUM(J114:L114)</f>
        <v>2.0206459999999984</v>
      </c>
      <c r="O114" s="17">
        <f t="shared" si="25"/>
        <v>3.8709693486590008E-2</v>
      </c>
      <c r="P11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0.85172046825115288</v>
      </c>
    </row>
    <row r="115" spans="2:16" ht="19.95" customHeight="1">
      <c r="B115" s="14">
        <v>46155</v>
      </c>
      <c r="C115" s="13" t="s">
        <v>2063</v>
      </c>
      <c r="D115" s="16"/>
      <c r="E115" s="15"/>
      <c r="F115" s="15"/>
      <c r="G115" s="15"/>
      <c r="H115" s="23" t="s">
        <v>1450</v>
      </c>
      <c r="I115" s="13" t="s">
        <v>1457</v>
      </c>
      <c r="J115" s="15">
        <v>29.54</v>
      </c>
      <c r="K115" s="15">
        <v>-28.58</v>
      </c>
      <c r="L115" s="15">
        <f t="shared" si="28"/>
        <v>0</v>
      </c>
      <c r="M115" s="15">
        <f t="shared" si="29"/>
        <v>-28.58</v>
      </c>
      <c r="N115" s="15">
        <f t="shared" si="30"/>
        <v>0.96000000000000085</v>
      </c>
      <c r="O115" s="17" t="str">
        <f t="shared" si="25"/>
        <v/>
      </c>
      <c r="P115" s="17" t="str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/>
      </c>
    </row>
    <row r="116" spans="2:16" ht="19.95" customHeight="1">
      <c r="B116" s="14">
        <v>46155</v>
      </c>
      <c r="C116" s="13" t="s">
        <v>2037</v>
      </c>
      <c r="D116" s="16">
        <v>2.1</v>
      </c>
      <c r="E116" s="15">
        <v>27.73</v>
      </c>
      <c r="F116" s="15">
        <v>2.0699999999999998</v>
      </c>
      <c r="G116" s="15">
        <v>27.47</v>
      </c>
      <c r="H116" s="23" t="s">
        <v>1450</v>
      </c>
      <c r="I116" s="13" t="s">
        <v>1457</v>
      </c>
      <c r="J116" s="15">
        <f t="shared" si="26"/>
        <v>29.392899999999994</v>
      </c>
      <c r="K116" s="15">
        <f t="shared" si="27"/>
        <v>-27.73</v>
      </c>
      <c r="L116" s="15">
        <f t="shared" si="28"/>
        <v>0</v>
      </c>
      <c r="M116" s="15">
        <f t="shared" si="29"/>
        <v>-27.73</v>
      </c>
      <c r="N116" s="15">
        <f t="shared" si="30"/>
        <v>1.6628999999999934</v>
      </c>
      <c r="O116" s="17">
        <f t="shared" si="25"/>
        <v>3.0124999999999878E-2</v>
      </c>
      <c r="P11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0.99062387306166599</v>
      </c>
    </row>
    <row r="117" spans="2:16" ht="19.95" customHeight="1">
      <c r="B117" s="14">
        <v>46155</v>
      </c>
      <c r="C117" s="13" t="s">
        <v>2062</v>
      </c>
      <c r="D117" s="16">
        <v>1.72</v>
      </c>
      <c r="E117" s="15">
        <v>28.15</v>
      </c>
      <c r="F117" s="15">
        <v>2.64</v>
      </c>
      <c r="G117" s="15">
        <v>17.97</v>
      </c>
      <c r="H117" s="23" t="s">
        <v>1450</v>
      </c>
      <c r="I117" s="13" t="s">
        <v>1457</v>
      </c>
      <c r="J117" s="15">
        <f t="shared" si="26"/>
        <v>29.470800000000001</v>
      </c>
      <c r="K117" s="15">
        <f t="shared" si="27"/>
        <v>-28.15</v>
      </c>
      <c r="L117" s="15">
        <f t="shared" si="28"/>
        <v>0</v>
      </c>
      <c r="M117" s="15">
        <f t="shared" si="29"/>
        <v>-28.15</v>
      </c>
      <c r="N117" s="15">
        <f t="shared" si="30"/>
        <v>1.320800000000002</v>
      </c>
      <c r="O117" s="17">
        <f t="shared" si="25"/>
        <v>2.863833477883786E-2</v>
      </c>
      <c r="P11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0.63836589698046176</v>
      </c>
    </row>
    <row r="118" spans="2:16" ht="19.95" customHeight="1">
      <c r="B118" s="14">
        <v>46155</v>
      </c>
      <c r="C118" s="13" t="s">
        <v>2061</v>
      </c>
      <c r="D118" s="16">
        <v>1.57</v>
      </c>
      <c r="E118" s="15">
        <v>26.91</v>
      </c>
      <c r="F118" s="15">
        <v>3.09</v>
      </c>
      <c r="G118" s="15">
        <v>13.44</v>
      </c>
      <c r="H118" s="23" t="s">
        <v>1450</v>
      </c>
      <c r="I118" s="13" t="s">
        <v>1457</v>
      </c>
      <c r="J118" s="15">
        <f t="shared" si="26"/>
        <v>28.089599999999997</v>
      </c>
      <c r="K118" s="15">
        <f t="shared" si="27"/>
        <v>-26.91</v>
      </c>
      <c r="L118" s="15">
        <f t="shared" si="28"/>
        <v>0</v>
      </c>
      <c r="M118" s="15">
        <f t="shared" si="29"/>
        <v>-26.91</v>
      </c>
      <c r="N118" s="15">
        <f t="shared" si="30"/>
        <v>1.1795999999999971</v>
      </c>
      <c r="O118" s="17">
        <f t="shared" si="25"/>
        <v>2.9234200743494351E-2</v>
      </c>
      <c r="P11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0.4994425863991081</v>
      </c>
    </row>
    <row r="119" spans="2:16" ht="19.95" customHeight="1">
      <c r="B119" s="14">
        <v>46155</v>
      </c>
      <c r="C119" s="13" t="s">
        <v>2060</v>
      </c>
      <c r="D119" s="16">
        <v>1.84</v>
      </c>
      <c r="E119" s="15">
        <v>26.5</v>
      </c>
      <c r="F119" s="15">
        <v>2.4</v>
      </c>
      <c r="G119" s="15">
        <v>19.87</v>
      </c>
      <c r="H119" s="23" t="s">
        <v>1452</v>
      </c>
      <c r="I119" s="13" t="s">
        <v>1457</v>
      </c>
      <c r="J119" s="15">
        <f t="shared" si="26"/>
        <v>-19.87</v>
      </c>
      <c r="K119" s="15">
        <f t="shared" si="27"/>
        <v>22.26</v>
      </c>
      <c r="L119" s="15">
        <f t="shared" si="28"/>
        <v>-0.62328000000000006</v>
      </c>
      <c r="M119" s="15">
        <f t="shared" si="29"/>
        <v>21.63672</v>
      </c>
      <c r="N119" s="15">
        <f t="shared" si="30"/>
        <v>1.7667200000000005</v>
      </c>
      <c r="O119" s="17">
        <f t="shared" si="25"/>
        <v>3.810049601035153E-2</v>
      </c>
      <c r="P11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0.74981132075471701</v>
      </c>
    </row>
    <row r="120" spans="2:16" ht="19.95" customHeight="1">
      <c r="B120" s="14">
        <v>46155</v>
      </c>
      <c r="C120" s="13" t="s">
        <v>2059</v>
      </c>
      <c r="D120" s="16">
        <v>2</v>
      </c>
      <c r="E120" s="15">
        <v>27.32</v>
      </c>
      <c r="F120" s="15">
        <v>2.1800000000000002</v>
      </c>
      <c r="G120" s="15">
        <v>24.53</v>
      </c>
      <c r="H120" s="23" t="s">
        <v>1450</v>
      </c>
      <c r="I120" s="13" t="s">
        <v>1457</v>
      </c>
      <c r="J120" s="15">
        <f t="shared" si="26"/>
        <v>28.945400000000006</v>
      </c>
      <c r="K120" s="15">
        <f t="shared" si="27"/>
        <v>-27.32</v>
      </c>
      <c r="L120" s="15">
        <f t="shared" si="28"/>
        <v>0</v>
      </c>
      <c r="M120" s="15">
        <f t="shared" si="29"/>
        <v>-27.32</v>
      </c>
      <c r="N120" s="15">
        <f t="shared" si="30"/>
        <v>1.6254000000000062</v>
      </c>
      <c r="O120" s="17">
        <f t="shared" si="25"/>
        <v>3.1348119575699253E-2</v>
      </c>
      <c r="P12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0.89787701317715962</v>
      </c>
    </row>
    <row r="121" spans="2:16" ht="19.95" customHeight="1">
      <c r="B121" s="14">
        <v>46155</v>
      </c>
      <c r="C121" s="13" t="s">
        <v>2058</v>
      </c>
      <c r="D121" s="16">
        <v>1.76</v>
      </c>
      <c r="E121" s="15">
        <v>26.83</v>
      </c>
      <c r="F121" s="15">
        <v>2.5499999999999998</v>
      </c>
      <c r="G121" s="15">
        <v>18.12</v>
      </c>
      <c r="H121" s="23" t="s">
        <v>1450</v>
      </c>
      <c r="I121" s="13" t="s">
        <v>1457</v>
      </c>
      <c r="J121" s="15">
        <f t="shared" si="26"/>
        <v>28.085999999999999</v>
      </c>
      <c r="K121" s="15">
        <f t="shared" si="27"/>
        <v>-26.83</v>
      </c>
      <c r="L121" s="15">
        <f t="shared" si="28"/>
        <v>0</v>
      </c>
      <c r="M121" s="15">
        <f t="shared" si="29"/>
        <v>-26.83</v>
      </c>
      <c r="N121" s="15">
        <f t="shared" si="30"/>
        <v>1.2560000000000002</v>
      </c>
      <c r="O121" s="17">
        <f t="shared" si="25"/>
        <v>2.7942157953281428E-2</v>
      </c>
      <c r="P12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0.67536339918002242</v>
      </c>
    </row>
    <row r="122" spans="2:16" ht="19.95" customHeight="1">
      <c r="B122" s="14">
        <v>46155</v>
      </c>
      <c r="C122" s="13" t="s">
        <v>2057</v>
      </c>
      <c r="D122" s="16">
        <v>1.86</v>
      </c>
      <c r="E122" s="15">
        <v>26.42</v>
      </c>
      <c r="F122" s="15">
        <v>2.37</v>
      </c>
      <c r="G122" s="15">
        <v>20.3</v>
      </c>
      <c r="H122" s="23" t="s">
        <v>1452</v>
      </c>
      <c r="I122" s="13" t="s">
        <v>1457</v>
      </c>
      <c r="J122" s="15">
        <f t="shared" si="26"/>
        <v>-20.3</v>
      </c>
      <c r="K122" s="15">
        <f t="shared" si="27"/>
        <v>22.721200000000003</v>
      </c>
      <c r="L122" s="15">
        <f t="shared" si="28"/>
        <v>-0.63619360000000014</v>
      </c>
      <c r="M122" s="15">
        <f t="shared" si="29"/>
        <v>22.085006400000005</v>
      </c>
      <c r="N122" s="15">
        <f t="shared" si="30"/>
        <v>1.7850064000000023</v>
      </c>
      <c r="O122" s="17">
        <f t="shared" si="25"/>
        <v>3.820647260273978E-2</v>
      </c>
      <c r="P12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0.76835730507191524</v>
      </c>
    </row>
    <row r="123" spans="2:16" ht="19.95" customHeight="1">
      <c r="B123" s="14">
        <v>46156</v>
      </c>
      <c r="C123" s="13" t="s">
        <v>2084</v>
      </c>
      <c r="D123" s="16">
        <v>1.86</v>
      </c>
      <c r="E123" s="15">
        <v>26.76</v>
      </c>
      <c r="F123" s="15">
        <v>2.37</v>
      </c>
      <c r="G123" s="15">
        <v>20.56</v>
      </c>
      <c r="H123" s="23" t="s">
        <v>1452</v>
      </c>
      <c r="I123" s="13" t="s">
        <v>1457</v>
      </c>
      <c r="J123" s="15">
        <f t="shared" ref="J123:J129" si="31">IF(H123="Ganhou",(F123-1)*G123,-G123)</f>
        <v>-20.56</v>
      </c>
      <c r="K123" s="15">
        <f t="shared" ref="K123:K129" si="32">IF(H123="Perdeu",(D123-1)*E123,-E123)</f>
        <v>23.013600000000004</v>
      </c>
      <c r="L123" s="15">
        <f t="shared" ref="L123:L129" si="33">IF(H123="Perdeu",-K123*0.028,0)</f>
        <v>-0.64438080000000009</v>
      </c>
      <c r="M123" s="15">
        <f t="shared" ref="M123:M129" si="34">SUM(K123:L123)</f>
        <v>22.369219200000003</v>
      </c>
      <c r="N123" s="15">
        <f t="shared" ref="N123:N129" si="35">SUM(J123:L123)</f>
        <v>1.8092192000000051</v>
      </c>
      <c r="O123" s="17">
        <f t="shared" si="25"/>
        <v>3.8233710904480245E-2</v>
      </c>
      <c r="P12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0.76831091180866962</v>
      </c>
    </row>
    <row r="124" spans="2:16" ht="19.95" customHeight="1">
      <c r="B124" s="14">
        <v>46156</v>
      </c>
      <c r="C124" s="13" t="s">
        <v>2083</v>
      </c>
      <c r="D124" s="16">
        <v>1.90909</v>
      </c>
      <c r="E124" s="15">
        <v>27.09</v>
      </c>
      <c r="F124" s="15">
        <v>2.2999999999999998</v>
      </c>
      <c r="G124" s="15">
        <v>22.04</v>
      </c>
      <c r="H124" s="23" t="s">
        <v>1450</v>
      </c>
      <c r="I124" s="13" t="s">
        <v>1457</v>
      </c>
      <c r="J124" s="15">
        <f t="shared" si="31"/>
        <v>28.651999999999994</v>
      </c>
      <c r="K124" s="15">
        <f t="shared" si="32"/>
        <v>-27.09</v>
      </c>
      <c r="L124" s="15">
        <f t="shared" si="33"/>
        <v>0</v>
      </c>
      <c r="M124" s="15">
        <f t="shared" si="34"/>
        <v>-27.09</v>
      </c>
      <c r="N124" s="15">
        <f t="shared" si="35"/>
        <v>1.5619999999999941</v>
      </c>
      <c r="O124" s="17">
        <f t="shared" si="25"/>
        <v>3.1793201709749523E-2</v>
      </c>
      <c r="P12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0.81358434846806937</v>
      </c>
    </row>
    <row r="125" spans="2:16" ht="19.95" customHeight="1">
      <c r="B125" s="14">
        <v>46156</v>
      </c>
      <c r="C125" s="13" t="s">
        <v>2082</v>
      </c>
      <c r="D125" s="16">
        <v>1.8928499999999999</v>
      </c>
      <c r="E125" s="15">
        <v>26.69</v>
      </c>
      <c r="F125" s="15">
        <v>2.3199999999999998</v>
      </c>
      <c r="G125" s="15">
        <v>21.32</v>
      </c>
      <c r="H125" s="23" t="s">
        <v>1450</v>
      </c>
      <c r="I125" s="13" t="s">
        <v>1457</v>
      </c>
      <c r="J125" s="15">
        <f t="shared" si="31"/>
        <v>28.142399999999999</v>
      </c>
      <c r="K125" s="15">
        <f t="shared" si="32"/>
        <v>-26.69</v>
      </c>
      <c r="L125" s="15">
        <f t="shared" si="33"/>
        <v>0</v>
      </c>
      <c r="M125" s="15">
        <f t="shared" si="34"/>
        <v>-26.69</v>
      </c>
      <c r="N125" s="15">
        <f t="shared" si="35"/>
        <v>1.4523999999999972</v>
      </c>
      <c r="O125" s="17">
        <f t="shared" si="25"/>
        <v>3.0252030826911001E-2</v>
      </c>
      <c r="P12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0.79880104908205318</v>
      </c>
    </row>
    <row r="126" spans="2:16" ht="19.95" customHeight="1">
      <c r="B126" s="14">
        <v>46157</v>
      </c>
      <c r="C126" s="13" t="s">
        <v>2111</v>
      </c>
      <c r="D126" s="16">
        <v>1.8</v>
      </c>
      <c r="E126" s="15">
        <v>26.28</v>
      </c>
      <c r="F126" s="15">
        <v>2.48</v>
      </c>
      <c r="G126" s="15">
        <v>18.73</v>
      </c>
      <c r="H126" s="23" t="s">
        <v>1452</v>
      </c>
      <c r="I126" s="13" t="s">
        <v>1457</v>
      </c>
      <c r="J126" s="15">
        <f t="shared" si="31"/>
        <v>-18.73</v>
      </c>
      <c r="K126" s="15">
        <f t="shared" si="32"/>
        <v>21.024000000000001</v>
      </c>
      <c r="L126" s="15">
        <f t="shared" si="33"/>
        <v>-0.58867200000000008</v>
      </c>
      <c r="M126" s="15">
        <f t="shared" si="34"/>
        <v>20.435328000000002</v>
      </c>
      <c r="N126" s="15">
        <f t="shared" si="35"/>
        <v>1.7053280000000004</v>
      </c>
      <c r="O126" s="17">
        <f t="shared" si="25"/>
        <v>3.7887758275938682E-2</v>
      </c>
      <c r="P12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0.71270928462709282</v>
      </c>
    </row>
    <row r="127" spans="2:16" ht="19.95" customHeight="1">
      <c r="B127" s="14">
        <v>46157</v>
      </c>
      <c r="C127" s="13" t="s">
        <v>2110</v>
      </c>
      <c r="D127" s="16">
        <v>1.66</v>
      </c>
      <c r="E127" s="15">
        <v>26.59</v>
      </c>
      <c r="F127" s="15">
        <v>2.8</v>
      </c>
      <c r="G127" s="15">
        <v>15.5</v>
      </c>
      <c r="H127" s="23" t="s">
        <v>1450</v>
      </c>
      <c r="I127" s="13" t="s">
        <v>1457</v>
      </c>
      <c r="J127" s="15">
        <f t="shared" si="31"/>
        <v>27.9</v>
      </c>
      <c r="K127" s="15">
        <f t="shared" si="32"/>
        <v>-26.59</v>
      </c>
      <c r="L127" s="15">
        <f t="shared" si="33"/>
        <v>0</v>
      </c>
      <c r="M127" s="15">
        <f t="shared" si="34"/>
        <v>-26.59</v>
      </c>
      <c r="N127" s="15">
        <f t="shared" si="35"/>
        <v>1.3099999999999987</v>
      </c>
      <c r="O127" s="17">
        <f t="shared" si="25"/>
        <v>3.1123782371109493E-2</v>
      </c>
      <c r="P12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0.5829259119969914</v>
      </c>
    </row>
    <row r="128" spans="2:16" ht="19.95" customHeight="1">
      <c r="B128" s="14">
        <v>46157</v>
      </c>
      <c r="C128" s="13" t="s">
        <v>2109</v>
      </c>
      <c r="D128" s="16">
        <v>1.68</v>
      </c>
      <c r="E128" s="15">
        <v>26.19</v>
      </c>
      <c r="F128" s="15">
        <v>2.74</v>
      </c>
      <c r="G128" s="15">
        <v>15.75</v>
      </c>
      <c r="H128" s="23" t="s">
        <v>1450</v>
      </c>
      <c r="I128" s="13" t="s">
        <v>1457</v>
      </c>
      <c r="J128" s="15">
        <f t="shared" si="31"/>
        <v>27.405000000000005</v>
      </c>
      <c r="K128" s="15">
        <f t="shared" si="32"/>
        <v>-26.19</v>
      </c>
      <c r="L128" s="15">
        <f t="shared" si="33"/>
        <v>0</v>
      </c>
      <c r="M128" s="15">
        <f t="shared" si="34"/>
        <v>-26.19</v>
      </c>
      <c r="N128" s="15">
        <f t="shared" si="35"/>
        <v>1.2150000000000034</v>
      </c>
      <c r="O128" s="17">
        <f t="shared" si="25"/>
        <v>2.8969957081545147E-2</v>
      </c>
      <c r="P12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0.60137457044673537</v>
      </c>
    </row>
    <row r="129" spans="2:16" ht="19.95" customHeight="1">
      <c r="B129" s="14">
        <v>46157</v>
      </c>
      <c r="C129" s="13" t="s">
        <v>2108</v>
      </c>
      <c r="D129" s="16">
        <v>1.99</v>
      </c>
      <c r="E129" s="15">
        <v>25.8</v>
      </c>
      <c r="F129" s="15">
        <v>2.19</v>
      </c>
      <c r="G129" s="15">
        <v>22.93</v>
      </c>
      <c r="H129" s="23" t="s">
        <v>1452</v>
      </c>
      <c r="I129" s="13" t="s">
        <v>1457</v>
      </c>
      <c r="J129" s="15">
        <f t="shared" si="31"/>
        <v>-22.93</v>
      </c>
      <c r="K129" s="15">
        <f t="shared" si="32"/>
        <v>25.542000000000002</v>
      </c>
      <c r="L129" s="15">
        <f t="shared" si="33"/>
        <v>-0.71517600000000003</v>
      </c>
      <c r="M129" s="15">
        <f t="shared" si="34"/>
        <v>24.826824000000002</v>
      </c>
      <c r="N129" s="15">
        <f t="shared" si="35"/>
        <v>1.8968240000000018</v>
      </c>
      <c r="O129" s="17">
        <f t="shared" si="25"/>
        <v>3.8925179560845513E-2</v>
      </c>
      <c r="P12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0.88875968992248056</v>
      </c>
    </row>
    <row r="130" spans="2:16" ht="19.95" customHeight="1">
      <c r="B130" s="14">
        <v>46158</v>
      </c>
      <c r="C130" s="13" t="s">
        <v>2214</v>
      </c>
      <c r="D130" s="16">
        <v>2.74</v>
      </c>
      <c r="E130" s="15">
        <v>26.17</v>
      </c>
      <c r="F130" s="15">
        <v>1.68</v>
      </c>
      <c r="G130" s="15">
        <v>41.46</v>
      </c>
      <c r="H130" s="23" t="s">
        <v>1450</v>
      </c>
      <c r="I130" s="13" t="s">
        <v>1457</v>
      </c>
      <c r="J130" s="15">
        <f t="shared" ref="J130:J151" si="36">IF(H130="Ganhou",(F130-1)*G130,-G130)</f>
        <v>28.192799999999998</v>
      </c>
      <c r="K130" s="15">
        <f t="shared" ref="K130:K151" si="37">IF(H130="Perdeu",(D130-1)*E130,-E130)</f>
        <v>-26.17</v>
      </c>
      <c r="L130" s="15">
        <f t="shared" ref="L130:L151" si="38">IF(H130="Perdeu",-K130*0.028,0)</f>
        <v>0</v>
      </c>
      <c r="M130" s="15">
        <f t="shared" ref="M130:M151" si="39">SUM(K130:L130)</f>
        <v>-26.17</v>
      </c>
      <c r="N130" s="15">
        <f t="shared" ref="N130:N151" si="40">SUM(J130:L130)</f>
        <v>2.0227999999999966</v>
      </c>
      <c r="O130" s="17">
        <f t="shared" si="25"/>
        <v>2.9909803341712209E-2</v>
      </c>
      <c r="P13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1.5842567825754681</v>
      </c>
    </row>
    <row r="131" spans="2:16" ht="19.95" customHeight="1">
      <c r="B131" s="14">
        <v>46158</v>
      </c>
      <c r="C131" s="13" t="s">
        <v>2213</v>
      </c>
      <c r="D131" s="16">
        <v>2.07727359388275</v>
      </c>
      <c r="E131" s="15">
        <v>23.54</v>
      </c>
      <c r="F131" s="15">
        <v>2.09</v>
      </c>
      <c r="G131" s="15">
        <v>22.83</v>
      </c>
      <c r="H131" s="23" t="s">
        <v>1450</v>
      </c>
      <c r="I131" s="13" t="s">
        <v>1457</v>
      </c>
      <c r="J131" s="15">
        <f t="shared" si="36"/>
        <v>24.884699999999995</v>
      </c>
      <c r="K131" s="15">
        <f t="shared" si="37"/>
        <v>-23.54</v>
      </c>
      <c r="L131" s="15">
        <f t="shared" si="38"/>
        <v>0</v>
      </c>
      <c r="M131" s="15">
        <f t="shared" si="39"/>
        <v>-23.54</v>
      </c>
      <c r="N131" s="15">
        <f t="shared" si="40"/>
        <v>1.344699999999996</v>
      </c>
      <c r="O131" s="17">
        <f t="shared" si="25"/>
        <v>2.8999353029976194E-2</v>
      </c>
      <c r="P13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0.96983857264231088</v>
      </c>
    </row>
    <row r="132" spans="2:16" ht="19.95" customHeight="1">
      <c r="B132" s="14">
        <v>46158</v>
      </c>
      <c r="C132" s="13" t="s">
        <v>2212</v>
      </c>
      <c r="D132" s="16">
        <v>2.08</v>
      </c>
      <c r="E132" s="15">
        <v>25.01</v>
      </c>
      <c r="F132" s="15">
        <v>2.09</v>
      </c>
      <c r="G132" s="15">
        <v>24.32</v>
      </c>
      <c r="H132" s="23" t="s">
        <v>1450</v>
      </c>
      <c r="I132" s="13" t="s">
        <v>1457</v>
      </c>
      <c r="J132" s="15">
        <f t="shared" si="36"/>
        <v>26.508799999999997</v>
      </c>
      <c r="K132" s="15">
        <f t="shared" si="37"/>
        <v>-25.01</v>
      </c>
      <c r="L132" s="15">
        <f t="shared" si="38"/>
        <v>0</v>
      </c>
      <c r="M132" s="15">
        <f t="shared" si="39"/>
        <v>-25.01</v>
      </c>
      <c r="N132" s="15">
        <f t="shared" si="40"/>
        <v>1.4987999999999957</v>
      </c>
      <c r="O132" s="17">
        <f t="shared" si="25"/>
        <v>3.0383133995540153E-2</v>
      </c>
      <c r="P13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0.97241103558576569</v>
      </c>
    </row>
    <row r="133" spans="2:16" ht="19.95" customHeight="1">
      <c r="B133" s="14">
        <v>46158</v>
      </c>
      <c r="C133" s="13" t="s">
        <v>2170</v>
      </c>
      <c r="D133" s="16">
        <v>1.73</v>
      </c>
      <c r="E133" s="15">
        <v>22.16</v>
      </c>
      <c r="F133" s="15">
        <v>2.62</v>
      </c>
      <c r="G133" s="15">
        <v>14.35</v>
      </c>
      <c r="H133" s="23" t="s">
        <v>1450</v>
      </c>
      <c r="I133" s="13" t="s">
        <v>1457</v>
      </c>
      <c r="J133" s="15">
        <f t="shared" si="36"/>
        <v>23.247</v>
      </c>
      <c r="K133" s="15">
        <f t="shared" si="37"/>
        <v>-22.16</v>
      </c>
      <c r="L133" s="15">
        <f t="shared" si="38"/>
        <v>0</v>
      </c>
      <c r="M133" s="15">
        <f t="shared" si="39"/>
        <v>-22.16</v>
      </c>
      <c r="N133" s="15">
        <f t="shared" si="40"/>
        <v>1.0869999999999997</v>
      </c>
      <c r="O133" s="17">
        <f t="shared" si="25"/>
        <v>2.9772665023281287E-2</v>
      </c>
      <c r="P13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0.64756317689530685</v>
      </c>
    </row>
    <row r="134" spans="2:16" ht="19.95" customHeight="1">
      <c r="B134" s="14">
        <v>46158</v>
      </c>
      <c r="C134" s="13" t="s">
        <v>2211</v>
      </c>
      <c r="D134" s="16">
        <v>2.1</v>
      </c>
      <c r="E134" s="15">
        <v>25.39</v>
      </c>
      <c r="F134" s="15">
        <v>2.0699999999999998</v>
      </c>
      <c r="G134" s="15">
        <v>25.16</v>
      </c>
      <c r="H134" s="23" t="s">
        <v>1450</v>
      </c>
      <c r="I134" s="13" t="s">
        <v>1457</v>
      </c>
      <c r="J134" s="15">
        <f t="shared" si="36"/>
        <v>26.921199999999995</v>
      </c>
      <c r="K134" s="15">
        <f t="shared" si="37"/>
        <v>-25.39</v>
      </c>
      <c r="L134" s="15">
        <f t="shared" si="38"/>
        <v>0</v>
      </c>
      <c r="M134" s="15">
        <f t="shared" si="39"/>
        <v>-25.39</v>
      </c>
      <c r="N134" s="15">
        <f t="shared" si="40"/>
        <v>1.5311999999999948</v>
      </c>
      <c r="O134" s="17">
        <f t="shared" si="25"/>
        <v>3.0290801186943519E-2</v>
      </c>
      <c r="P13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0.99094131547853481</v>
      </c>
    </row>
    <row r="135" spans="2:16" ht="19.95" customHeight="1">
      <c r="B135" s="14">
        <v>46158</v>
      </c>
      <c r="C135" s="13" t="s">
        <v>2210</v>
      </c>
      <c r="D135" s="16">
        <v>2.0638200000000002</v>
      </c>
      <c r="E135" s="15">
        <v>24.27</v>
      </c>
      <c r="F135" s="15">
        <v>2.11</v>
      </c>
      <c r="G135" s="15">
        <v>23.23</v>
      </c>
      <c r="H135" s="23" t="s">
        <v>1450</v>
      </c>
      <c r="I135" s="13" t="s">
        <v>1457</v>
      </c>
      <c r="J135" s="15">
        <f t="shared" si="36"/>
        <v>25.785299999999996</v>
      </c>
      <c r="K135" s="15">
        <f t="shared" si="37"/>
        <v>-24.27</v>
      </c>
      <c r="L135" s="15">
        <f t="shared" si="38"/>
        <v>0</v>
      </c>
      <c r="M135" s="15">
        <f t="shared" si="39"/>
        <v>-24.27</v>
      </c>
      <c r="N135" s="15">
        <f t="shared" si="40"/>
        <v>1.5152999999999963</v>
      </c>
      <c r="O135" s="17">
        <f t="shared" si="25"/>
        <v>3.1901052631578872E-2</v>
      </c>
      <c r="P13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0.95714874330449118</v>
      </c>
    </row>
    <row r="136" spans="2:16" ht="19.95" customHeight="1">
      <c r="B136" s="14">
        <v>46158</v>
      </c>
      <c r="C136" s="13" t="s">
        <v>2209</v>
      </c>
      <c r="D136" s="16">
        <v>1.78</v>
      </c>
      <c r="E136" s="15">
        <v>21.83</v>
      </c>
      <c r="F136" s="15">
        <v>2.5099999999999998</v>
      </c>
      <c r="G136" s="15">
        <v>15.15</v>
      </c>
      <c r="H136" s="23" t="s">
        <v>1452</v>
      </c>
      <c r="I136" s="13" t="s">
        <v>1457</v>
      </c>
      <c r="J136" s="15">
        <f t="shared" si="36"/>
        <v>-15.15</v>
      </c>
      <c r="K136" s="15">
        <f t="shared" si="37"/>
        <v>17.0274</v>
      </c>
      <c r="L136" s="15">
        <f t="shared" si="38"/>
        <v>-0.4767672</v>
      </c>
      <c r="M136" s="15">
        <f t="shared" si="39"/>
        <v>16.550632799999999</v>
      </c>
      <c r="N136" s="15">
        <f t="shared" si="40"/>
        <v>1.4006327999999997</v>
      </c>
      <c r="O136" s="17">
        <f t="shared" si="25"/>
        <v>3.7875413737155215E-2</v>
      </c>
      <c r="P13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0.69399908382959241</v>
      </c>
    </row>
    <row r="137" spans="2:16" ht="19.95" customHeight="1">
      <c r="B137" s="14">
        <v>46158</v>
      </c>
      <c r="C137" s="13" t="s">
        <v>2208</v>
      </c>
      <c r="D137" s="16">
        <v>1.68</v>
      </c>
      <c r="E137" s="15">
        <v>25.78</v>
      </c>
      <c r="F137" s="15">
        <v>2.74</v>
      </c>
      <c r="G137" s="15">
        <v>15.5</v>
      </c>
      <c r="H137" s="23" t="s">
        <v>1452</v>
      </c>
      <c r="I137" s="13" t="s">
        <v>1457</v>
      </c>
      <c r="J137" s="15">
        <f t="shared" si="36"/>
        <v>-15.5</v>
      </c>
      <c r="K137" s="15">
        <f t="shared" si="37"/>
        <v>17.5304</v>
      </c>
      <c r="L137" s="15">
        <f t="shared" si="38"/>
        <v>-0.49085120000000004</v>
      </c>
      <c r="M137" s="15">
        <f t="shared" si="39"/>
        <v>17.039548799999999</v>
      </c>
      <c r="N137" s="15">
        <f t="shared" si="40"/>
        <v>1.5395488000000002</v>
      </c>
      <c r="O137" s="17">
        <f t="shared" si="25"/>
        <v>3.7295271317829462E-2</v>
      </c>
      <c r="P13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0.60124127230411173</v>
      </c>
    </row>
    <row r="138" spans="2:16" ht="19.95" customHeight="1">
      <c r="B138" s="14">
        <v>46158</v>
      </c>
      <c r="C138" s="13" t="s">
        <v>2207</v>
      </c>
      <c r="D138" s="16">
        <v>2.0101</v>
      </c>
      <c r="E138" s="15">
        <v>24.64</v>
      </c>
      <c r="F138" s="15">
        <v>2.17</v>
      </c>
      <c r="G138" s="15">
        <v>22.36</v>
      </c>
      <c r="H138" s="23" t="s">
        <v>1452</v>
      </c>
      <c r="I138" s="13" t="s">
        <v>1457</v>
      </c>
      <c r="J138" s="15">
        <f t="shared" si="36"/>
        <v>-22.36</v>
      </c>
      <c r="K138" s="15">
        <f t="shared" si="37"/>
        <v>24.888864000000002</v>
      </c>
      <c r="L138" s="15">
        <f t="shared" si="38"/>
        <v>-0.69688819200000007</v>
      </c>
      <c r="M138" s="15">
        <f t="shared" si="39"/>
        <v>24.191975808000002</v>
      </c>
      <c r="N138" s="15">
        <f t="shared" si="40"/>
        <v>1.8319758080000021</v>
      </c>
      <c r="O138" s="17">
        <f t="shared" si="25"/>
        <v>3.8978208680851112E-2</v>
      </c>
      <c r="P13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0.90746753246753242</v>
      </c>
    </row>
    <row r="139" spans="2:16" ht="19.95" customHeight="1">
      <c r="B139" s="14">
        <v>46158</v>
      </c>
      <c r="C139" s="13" t="s">
        <v>2206</v>
      </c>
      <c r="D139" s="16">
        <v>1.77</v>
      </c>
      <c r="E139" s="15">
        <v>23.19</v>
      </c>
      <c r="F139" s="15">
        <v>2.5299999999999998</v>
      </c>
      <c r="G139" s="15">
        <v>15.88</v>
      </c>
      <c r="H139" s="23" t="s">
        <v>1450</v>
      </c>
      <c r="I139" s="13" t="s">
        <v>1457</v>
      </c>
      <c r="J139" s="15">
        <f t="shared" si="36"/>
        <v>24.296399999999998</v>
      </c>
      <c r="K139" s="15">
        <f t="shared" si="37"/>
        <v>-23.19</v>
      </c>
      <c r="L139" s="15">
        <f t="shared" si="38"/>
        <v>0</v>
      </c>
      <c r="M139" s="15">
        <f t="shared" si="39"/>
        <v>-23.19</v>
      </c>
      <c r="N139" s="15">
        <f t="shared" si="40"/>
        <v>1.1063999999999972</v>
      </c>
      <c r="O139" s="17">
        <f t="shared" si="25"/>
        <v>2.8318402866649529E-2</v>
      </c>
      <c r="P13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0.68477792151789563</v>
      </c>
    </row>
    <row r="140" spans="2:16" ht="19.95" customHeight="1">
      <c r="B140" s="14">
        <v>46158</v>
      </c>
      <c r="C140" s="13" t="s">
        <v>2205</v>
      </c>
      <c r="D140" s="16">
        <v>1.77</v>
      </c>
      <c r="E140" s="15">
        <v>23.9</v>
      </c>
      <c r="F140" s="15">
        <v>2.5299999999999998</v>
      </c>
      <c r="G140" s="15">
        <v>16.37</v>
      </c>
      <c r="H140" s="23" t="s">
        <v>1450</v>
      </c>
      <c r="I140" s="13" t="s">
        <v>1457</v>
      </c>
      <c r="J140" s="15">
        <f t="shared" si="36"/>
        <v>25.046099999999999</v>
      </c>
      <c r="K140" s="15">
        <f t="shared" si="37"/>
        <v>-23.9</v>
      </c>
      <c r="L140" s="15">
        <f t="shared" si="38"/>
        <v>0</v>
      </c>
      <c r="M140" s="15">
        <f t="shared" si="39"/>
        <v>-23.9</v>
      </c>
      <c r="N140" s="15">
        <f t="shared" si="40"/>
        <v>1.1461000000000006</v>
      </c>
      <c r="O140" s="17">
        <f t="shared" si="25"/>
        <v>2.8460392351626538E-2</v>
      </c>
      <c r="P14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0.6849372384937239</v>
      </c>
    </row>
    <row r="141" spans="2:16" ht="19.95" customHeight="1">
      <c r="B141" s="14">
        <v>46158</v>
      </c>
      <c r="C141" s="13" t="s">
        <v>2204</v>
      </c>
      <c r="D141" s="16">
        <v>2.04</v>
      </c>
      <c r="E141" s="15">
        <v>23.1</v>
      </c>
      <c r="F141" s="15">
        <v>2.13</v>
      </c>
      <c r="G141" s="15">
        <v>21.6</v>
      </c>
      <c r="H141" s="23" t="s">
        <v>1450</v>
      </c>
      <c r="I141" s="13" t="s">
        <v>1457</v>
      </c>
      <c r="J141" s="15">
        <f t="shared" si="36"/>
        <v>24.407999999999998</v>
      </c>
      <c r="K141" s="15">
        <f t="shared" si="37"/>
        <v>-23.1</v>
      </c>
      <c r="L141" s="15">
        <f t="shared" si="38"/>
        <v>0</v>
      </c>
      <c r="M141" s="15">
        <f t="shared" si="39"/>
        <v>-23.1</v>
      </c>
      <c r="N141" s="15">
        <f t="shared" si="40"/>
        <v>1.3079999999999963</v>
      </c>
      <c r="O141" s="17">
        <f t="shared" si="25"/>
        <v>2.9261744966442869E-2</v>
      </c>
      <c r="P14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0.93506493506493504</v>
      </c>
    </row>
    <row r="142" spans="2:16" ht="19.95" customHeight="1">
      <c r="B142" s="14">
        <v>46158</v>
      </c>
      <c r="C142" s="13" t="s">
        <v>2203</v>
      </c>
      <c r="D142" s="16">
        <v>1.74</v>
      </c>
      <c r="E142" s="15">
        <v>22.5</v>
      </c>
      <c r="F142" s="15">
        <v>2.6</v>
      </c>
      <c r="G142" s="15">
        <v>14.78</v>
      </c>
      <c r="H142" s="23" t="s">
        <v>1452</v>
      </c>
      <c r="I142" s="13" t="s">
        <v>1457</v>
      </c>
      <c r="J142" s="15">
        <f t="shared" si="36"/>
        <v>-14.78</v>
      </c>
      <c r="K142" s="15">
        <f t="shared" si="37"/>
        <v>16.649999999999999</v>
      </c>
      <c r="L142" s="15">
        <f t="shared" si="38"/>
        <v>-0.46619999999999995</v>
      </c>
      <c r="M142" s="15">
        <f t="shared" si="39"/>
        <v>16.183799999999998</v>
      </c>
      <c r="N142" s="15">
        <f t="shared" si="40"/>
        <v>1.4037999999999993</v>
      </c>
      <c r="O142" s="17">
        <f t="shared" si="25"/>
        <v>3.765557939914161E-2</v>
      </c>
      <c r="P14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0.65688888888888886</v>
      </c>
    </row>
    <row r="143" spans="2:16" ht="19.95" customHeight="1">
      <c r="B143" s="14">
        <v>46158</v>
      </c>
      <c r="C143" s="13" t="s">
        <v>2202</v>
      </c>
      <c r="D143" s="16">
        <v>1.86</v>
      </c>
      <c r="E143" s="15">
        <v>22.84</v>
      </c>
      <c r="F143" s="15">
        <v>2.37</v>
      </c>
      <c r="G143" s="15">
        <v>17.55</v>
      </c>
      <c r="H143" s="23" t="s">
        <v>1452</v>
      </c>
      <c r="I143" s="13" t="s">
        <v>1457</v>
      </c>
      <c r="J143" s="15">
        <f t="shared" si="36"/>
        <v>-17.55</v>
      </c>
      <c r="K143" s="15">
        <f t="shared" si="37"/>
        <v>19.642400000000002</v>
      </c>
      <c r="L143" s="15">
        <f t="shared" si="38"/>
        <v>-0.54998720000000012</v>
      </c>
      <c r="M143" s="15">
        <f t="shared" si="39"/>
        <v>19.092412800000002</v>
      </c>
      <c r="N143" s="15">
        <f t="shared" si="40"/>
        <v>1.5424128000000012</v>
      </c>
      <c r="O143" s="17">
        <f t="shared" si="25"/>
        <v>3.8187987125526152E-2</v>
      </c>
      <c r="P14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0.76838879159369533</v>
      </c>
    </row>
    <row r="144" spans="2:16" ht="19.95" customHeight="1">
      <c r="B144" s="14">
        <v>46158</v>
      </c>
      <c r="C144" s="13" t="s">
        <v>2201</v>
      </c>
      <c r="D144" s="16">
        <v>1.8196699999999999</v>
      </c>
      <c r="E144" s="15">
        <v>23.45</v>
      </c>
      <c r="F144" s="15">
        <v>2.44</v>
      </c>
      <c r="G144" s="15">
        <v>17.14</v>
      </c>
      <c r="H144" s="23" t="s">
        <v>1452</v>
      </c>
      <c r="I144" s="13" t="s">
        <v>1457</v>
      </c>
      <c r="J144" s="15">
        <f t="shared" si="36"/>
        <v>-17.14</v>
      </c>
      <c r="K144" s="15">
        <f t="shared" si="37"/>
        <v>19.221261499999997</v>
      </c>
      <c r="L144" s="15">
        <f t="shared" si="38"/>
        <v>-0.53819532199999998</v>
      </c>
      <c r="M144" s="15">
        <f t="shared" si="39"/>
        <v>18.683066177999997</v>
      </c>
      <c r="N144" s="15">
        <f t="shared" si="40"/>
        <v>1.5430661779999966</v>
      </c>
      <c r="O144" s="17">
        <f t="shared" si="25"/>
        <v>3.8015919635378086E-2</v>
      </c>
      <c r="P14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0.73091684434968018</v>
      </c>
    </row>
    <row r="145" spans="2:16" ht="19.95" customHeight="1">
      <c r="B145" s="14">
        <v>46158</v>
      </c>
      <c r="C145" s="13" t="s">
        <v>2200</v>
      </c>
      <c r="D145" s="16">
        <v>2.2400000000000002</v>
      </c>
      <c r="E145" s="15">
        <v>22.76</v>
      </c>
      <c r="F145" s="15">
        <v>1.95</v>
      </c>
      <c r="G145" s="15">
        <v>25.5</v>
      </c>
      <c r="H145" s="23" t="s">
        <v>1452</v>
      </c>
      <c r="I145" s="13" t="s">
        <v>1457</v>
      </c>
      <c r="J145" s="15">
        <f t="shared" si="36"/>
        <v>-25.5</v>
      </c>
      <c r="K145" s="15">
        <f t="shared" si="37"/>
        <v>28.222400000000007</v>
      </c>
      <c r="L145" s="15">
        <f t="shared" si="38"/>
        <v>-0.79022720000000024</v>
      </c>
      <c r="M145" s="15">
        <f t="shared" si="39"/>
        <v>27.432172800000007</v>
      </c>
      <c r="N145" s="15">
        <f t="shared" si="40"/>
        <v>1.9321728000000071</v>
      </c>
      <c r="O145" s="17">
        <f t="shared" si="25"/>
        <v>4.0036734355574116E-2</v>
      </c>
      <c r="P14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1.1203866432337433</v>
      </c>
    </row>
    <row r="146" spans="2:16" ht="19.95" customHeight="1">
      <c r="B146" s="14">
        <v>46158</v>
      </c>
      <c r="C146" s="13" t="s">
        <v>2199</v>
      </c>
      <c r="D146" s="16">
        <v>2.06</v>
      </c>
      <c r="E146" s="15">
        <v>24.34</v>
      </c>
      <c r="F146" s="15">
        <v>2.11</v>
      </c>
      <c r="G146" s="15">
        <v>23.21</v>
      </c>
      <c r="H146" s="23" t="s">
        <v>1450</v>
      </c>
      <c r="I146" s="13" t="s">
        <v>1457</v>
      </c>
      <c r="J146" s="15">
        <f t="shared" si="36"/>
        <v>25.763099999999998</v>
      </c>
      <c r="K146" s="15">
        <f t="shared" si="37"/>
        <v>-24.34</v>
      </c>
      <c r="L146" s="15">
        <f t="shared" si="38"/>
        <v>0</v>
      </c>
      <c r="M146" s="15">
        <f t="shared" si="39"/>
        <v>-24.34</v>
      </c>
      <c r="N146" s="15">
        <f t="shared" si="40"/>
        <v>1.423099999999998</v>
      </c>
      <c r="O146" s="17">
        <f t="shared" si="25"/>
        <v>2.9928496319663472E-2</v>
      </c>
      <c r="P14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0.95357436318816768</v>
      </c>
    </row>
    <row r="147" spans="2:16" ht="19.95" customHeight="1">
      <c r="B147" s="14">
        <v>46158</v>
      </c>
      <c r="C147" s="13" t="s">
        <v>2198</v>
      </c>
      <c r="D147" s="16">
        <v>2.04</v>
      </c>
      <c r="E147" s="15">
        <v>22.41</v>
      </c>
      <c r="F147" s="15">
        <v>2.13</v>
      </c>
      <c r="G147" s="15">
        <v>20.96</v>
      </c>
      <c r="H147" s="23" t="s">
        <v>1450</v>
      </c>
      <c r="I147" s="13" t="s">
        <v>1457</v>
      </c>
      <c r="J147" s="15">
        <f t="shared" si="36"/>
        <v>23.684799999999999</v>
      </c>
      <c r="K147" s="15">
        <f t="shared" si="37"/>
        <v>-22.41</v>
      </c>
      <c r="L147" s="15">
        <f t="shared" si="38"/>
        <v>0</v>
      </c>
      <c r="M147" s="15">
        <f t="shared" si="39"/>
        <v>-22.41</v>
      </c>
      <c r="N147" s="15">
        <f t="shared" si="40"/>
        <v>1.274799999999999</v>
      </c>
      <c r="O147" s="17">
        <f t="shared" si="25"/>
        <v>2.9393590039197576E-2</v>
      </c>
      <c r="P14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0.9352967425256582</v>
      </c>
    </row>
    <row r="148" spans="2:16" ht="19.95" customHeight="1">
      <c r="B148" s="14">
        <v>46158</v>
      </c>
      <c r="C148" s="13" t="s">
        <v>2197</v>
      </c>
      <c r="D148" s="16">
        <v>1.98</v>
      </c>
      <c r="E148" s="15">
        <v>22.08</v>
      </c>
      <c r="F148" s="15">
        <v>2.2000000000000002</v>
      </c>
      <c r="G148" s="15">
        <v>19.420000000000002</v>
      </c>
      <c r="H148" s="23" t="s">
        <v>1452</v>
      </c>
      <c r="I148" s="13" t="s">
        <v>1457</v>
      </c>
      <c r="J148" s="15">
        <f t="shared" si="36"/>
        <v>-19.420000000000002</v>
      </c>
      <c r="K148" s="15">
        <f t="shared" si="37"/>
        <v>21.638399999999997</v>
      </c>
      <c r="L148" s="15">
        <f t="shared" si="38"/>
        <v>-0.60587519999999995</v>
      </c>
      <c r="M148" s="15">
        <f t="shared" si="39"/>
        <v>21.032524799999997</v>
      </c>
      <c r="N148" s="15">
        <f t="shared" si="40"/>
        <v>1.6125247999999957</v>
      </c>
      <c r="O148" s="17">
        <f t="shared" si="25"/>
        <v>3.8856019277108328E-2</v>
      </c>
      <c r="P14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0.87952898550724656</v>
      </c>
    </row>
    <row r="149" spans="2:16" ht="19.95" customHeight="1">
      <c r="B149" s="14">
        <v>46158</v>
      </c>
      <c r="C149" s="13" t="s">
        <v>2196</v>
      </c>
      <c r="D149" s="16">
        <v>1.96</v>
      </c>
      <c r="E149" s="15">
        <v>24.62</v>
      </c>
      <c r="F149" s="15">
        <v>2.23</v>
      </c>
      <c r="G149" s="15">
        <v>21.2</v>
      </c>
      <c r="H149" s="23" t="s">
        <v>1450</v>
      </c>
      <c r="I149" s="13" t="s">
        <v>1457</v>
      </c>
      <c r="J149" s="15">
        <f t="shared" si="36"/>
        <v>26.076000000000001</v>
      </c>
      <c r="K149" s="15">
        <f t="shared" si="37"/>
        <v>-24.62</v>
      </c>
      <c r="L149" s="15">
        <f t="shared" si="38"/>
        <v>0</v>
      </c>
      <c r="M149" s="15">
        <f t="shared" si="39"/>
        <v>-24.62</v>
      </c>
      <c r="N149" s="15">
        <f t="shared" si="40"/>
        <v>1.4559999999999995</v>
      </c>
      <c r="O149" s="17">
        <f t="shared" si="25"/>
        <v>3.1776516804888681E-2</v>
      </c>
      <c r="P14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0.86108854589764416</v>
      </c>
    </row>
    <row r="150" spans="2:16" ht="19.95" customHeight="1">
      <c r="B150" s="14">
        <v>46158</v>
      </c>
      <c r="C150" s="13" t="s">
        <v>2195</v>
      </c>
      <c r="D150" s="16">
        <v>1.96</v>
      </c>
      <c r="E150" s="15">
        <v>24.25</v>
      </c>
      <c r="F150" s="15">
        <v>2.23</v>
      </c>
      <c r="G150" s="15">
        <v>20.88</v>
      </c>
      <c r="H150" s="23" t="s">
        <v>1450</v>
      </c>
      <c r="I150" s="13" t="s">
        <v>1457</v>
      </c>
      <c r="J150" s="15">
        <f t="shared" si="36"/>
        <v>25.682399999999998</v>
      </c>
      <c r="K150" s="15">
        <f t="shared" si="37"/>
        <v>-24.25</v>
      </c>
      <c r="L150" s="15">
        <f t="shared" si="38"/>
        <v>0</v>
      </c>
      <c r="M150" s="15">
        <f t="shared" si="39"/>
        <v>-24.25</v>
      </c>
      <c r="N150" s="15">
        <f t="shared" si="40"/>
        <v>1.4323999999999977</v>
      </c>
      <c r="O150" s="17">
        <f t="shared" si="25"/>
        <v>3.1739419454907998E-2</v>
      </c>
      <c r="P15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0.86103092783505153</v>
      </c>
    </row>
    <row r="151" spans="2:16" ht="19.95" customHeight="1">
      <c r="B151" s="14">
        <v>46158</v>
      </c>
      <c r="C151" s="13" t="s">
        <v>2134</v>
      </c>
      <c r="D151" s="16">
        <v>1.79</v>
      </c>
      <c r="E151" s="15">
        <v>23.89</v>
      </c>
      <c r="F151" s="15">
        <v>2.4900000000000002</v>
      </c>
      <c r="G151" s="15">
        <v>16.8</v>
      </c>
      <c r="H151" s="23" t="s">
        <v>1450</v>
      </c>
      <c r="I151" s="13" t="s">
        <v>1457</v>
      </c>
      <c r="J151" s="15">
        <f t="shared" si="36"/>
        <v>25.032000000000004</v>
      </c>
      <c r="K151" s="15">
        <f t="shared" si="37"/>
        <v>-23.89</v>
      </c>
      <c r="L151" s="15">
        <f t="shared" si="38"/>
        <v>0</v>
      </c>
      <c r="M151" s="15">
        <f t="shared" si="39"/>
        <v>-23.89</v>
      </c>
      <c r="N151" s="15">
        <f t="shared" si="40"/>
        <v>1.142000000000003</v>
      </c>
      <c r="O151" s="17">
        <f t="shared" si="25"/>
        <v>2.8065863848611528E-2</v>
      </c>
      <c r="P15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0.70322310590205106</v>
      </c>
    </row>
    <row r="152" spans="2:16" ht="19.95" customHeight="1">
      <c r="B152" s="14">
        <v>46159</v>
      </c>
      <c r="C152" s="13" t="s">
        <v>2282</v>
      </c>
      <c r="D152" s="16">
        <v>1.74</v>
      </c>
      <c r="E152" s="15">
        <v>23.53</v>
      </c>
      <c r="F152" s="15">
        <v>2.6</v>
      </c>
      <c r="G152" s="15">
        <v>15.46</v>
      </c>
      <c r="H152" s="24" t="s">
        <v>1452</v>
      </c>
      <c r="I152" s="13" t="s">
        <v>1457</v>
      </c>
      <c r="J152" s="15">
        <f t="shared" ref="J152:J160" si="41">IF(H152="Ganhou",(F152-1)*G152,-G152)</f>
        <v>-15.46</v>
      </c>
      <c r="K152" s="15">
        <f t="shared" ref="K152:K160" si="42">IF(H152="Perdeu",(D152-1)*E152,-E152)</f>
        <v>17.412200000000002</v>
      </c>
      <c r="L152" s="15">
        <f t="shared" ref="L152:L160" si="43">IF(H152="Perdeu",-K152*0.028,0)</f>
        <v>-0.48754160000000007</v>
      </c>
      <c r="M152" s="15">
        <f t="shared" ref="M152:M160" si="44">SUM(K152:L152)</f>
        <v>16.924658400000002</v>
      </c>
      <c r="N152" s="15">
        <f t="shared" ref="N152:N160" si="45">SUM(J152:L152)</f>
        <v>1.4646584000000011</v>
      </c>
      <c r="O152" s="17">
        <f t="shared" si="25"/>
        <v>3.7564975634778175E-2</v>
      </c>
      <c r="P15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0.65703357416064601</v>
      </c>
    </row>
    <row r="153" spans="2:16" ht="19.95" customHeight="1">
      <c r="B153" s="14">
        <v>46159</v>
      </c>
      <c r="C153" s="13" t="s">
        <v>2281</v>
      </c>
      <c r="D153" s="16">
        <v>1.95</v>
      </c>
      <c r="E153" s="15">
        <v>23.79</v>
      </c>
      <c r="F153" s="15">
        <v>2.2400000000000002</v>
      </c>
      <c r="G153" s="15">
        <v>20.260000000000002</v>
      </c>
      <c r="H153" s="24" t="s">
        <v>1450</v>
      </c>
      <c r="I153" s="13" t="s">
        <v>1457</v>
      </c>
      <c r="J153" s="15">
        <f t="shared" si="41"/>
        <v>25.122400000000006</v>
      </c>
      <c r="K153" s="15">
        <f t="shared" si="42"/>
        <v>-23.79</v>
      </c>
      <c r="L153" s="15">
        <f t="shared" si="43"/>
        <v>0</v>
      </c>
      <c r="M153" s="15">
        <f t="shared" si="44"/>
        <v>-23.79</v>
      </c>
      <c r="N153" s="15">
        <f t="shared" si="45"/>
        <v>1.3324000000000069</v>
      </c>
      <c r="O153" s="17">
        <f t="shared" si="25"/>
        <v>3.024744608399562E-2</v>
      </c>
      <c r="P15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0.8516183270281632</v>
      </c>
    </row>
    <row r="154" spans="2:16" ht="19.95" customHeight="1">
      <c r="B154" s="14">
        <v>46159</v>
      </c>
      <c r="C154" s="13" t="s">
        <v>2280</v>
      </c>
      <c r="D154" s="16">
        <v>2.06</v>
      </c>
      <c r="E154" s="15">
        <v>23.43</v>
      </c>
      <c r="F154" s="15">
        <v>2.11</v>
      </c>
      <c r="G154" s="15">
        <v>22.34</v>
      </c>
      <c r="H154" s="24" t="s">
        <v>1452</v>
      </c>
      <c r="I154" s="13" t="s">
        <v>1457</v>
      </c>
      <c r="J154" s="15">
        <f t="shared" si="41"/>
        <v>-22.34</v>
      </c>
      <c r="K154" s="15">
        <f t="shared" si="42"/>
        <v>24.835800000000003</v>
      </c>
      <c r="L154" s="15">
        <f t="shared" si="43"/>
        <v>-0.69540240000000009</v>
      </c>
      <c r="M154" s="15">
        <f t="shared" si="44"/>
        <v>24.140397600000004</v>
      </c>
      <c r="N154" s="15">
        <f t="shared" si="45"/>
        <v>1.8003976000000026</v>
      </c>
      <c r="O154" s="17">
        <f t="shared" si="25"/>
        <v>3.9335757046100123E-2</v>
      </c>
      <c r="P15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0.95347844643619295</v>
      </c>
    </row>
    <row r="155" spans="2:16" ht="19.95" customHeight="1">
      <c r="B155" s="14">
        <v>46161</v>
      </c>
      <c r="C155" s="13" t="s">
        <v>2320</v>
      </c>
      <c r="D155" s="16">
        <v>2.76</v>
      </c>
      <c r="E155" s="15">
        <v>23.43</v>
      </c>
      <c r="F155" s="15">
        <v>1.67</v>
      </c>
      <c r="G155" s="15">
        <v>37.549999999999997</v>
      </c>
      <c r="H155" s="24" t="s">
        <v>1450</v>
      </c>
      <c r="I155" s="13" t="s">
        <v>1457</v>
      </c>
      <c r="J155" s="15">
        <f t="shared" si="41"/>
        <v>25.158499999999997</v>
      </c>
      <c r="K155" s="15">
        <f t="shared" si="42"/>
        <v>-23.43</v>
      </c>
      <c r="L155" s="15">
        <f t="shared" si="43"/>
        <v>0</v>
      </c>
      <c r="M155" s="15">
        <f t="shared" si="44"/>
        <v>-23.43</v>
      </c>
      <c r="N155" s="15">
        <f t="shared" si="45"/>
        <v>1.7284999999999968</v>
      </c>
      <c r="O155" s="17">
        <f t="shared" si="25"/>
        <v>2.8345359134142292E-2</v>
      </c>
      <c r="P15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1.6026461801109688</v>
      </c>
    </row>
    <row r="156" spans="2:16" ht="19.95" customHeight="1">
      <c r="B156" s="14">
        <v>46161</v>
      </c>
      <c r="C156" s="13" t="s">
        <v>2319</v>
      </c>
      <c r="D156" s="16">
        <v>2.2599999999999998</v>
      </c>
      <c r="E156" s="15">
        <v>23.79</v>
      </c>
      <c r="F156" s="15">
        <v>1.93</v>
      </c>
      <c r="G156" s="15">
        <v>27.1</v>
      </c>
      <c r="H156" s="24" t="s">
        <v>1450</v>
      </c>
      <c r="I156" s="13" t="s">
        <v>1457</v>
      </c>
      <c r="J156" s="15">
        <f t="shared" si="41"/>
        <v>25.202999999999999</v>
      </c>
      <c r="K156" s="15">
        <f t="shared" si="42"/>
        <v>-23.79</v>
      </c>
      <c r="L156" s="15">
        <f t="shared" si="43"/>
        <v>0</v>
      </c>
      <c r="M156" s="15">
        <f t="shared" si="44"/>
        <v>-23.79</v>
      </c>
      <c r="N156" s="15">
        <f t="shared" si="45"/>
        <v>1.4130000000000003</v>
      </c>
      <c r="O156" s="17">
        <f t="shared" si="25"/>
        <v>2.7765769306347027E-2</v>
      </c>
      <c r="P15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1.1391340899537621</v>
      </c>
    </row>
    <row r="157" spans="2:16" ht="19.95" customHeight="1">
      <c r="B157" s="14">
        <v>46161</v>
      </c>
      <c r="C157" s="13" t="s">
        <v>2318</v>
      </c>
      <c r="D157" s="16">
        <v>3.0833300000000001</v>
      </c>
      <c r="E157" s="15">
        <v>23.08</v>
      </c>
      <c r="F157" s="15">
        <v>1.57</v>
      </c>
      <c r="G157" s="15">
        <v>43.91</v>
      </c>
      <c r="H157" s="24" t="s">
        <v>1450</v>
      </c>
      <c r="I157" s="13" t="s">
        <v>1457</v>
      </c>
      <c r="J157" s="15">
        <f t="shared" si="41"/>
        <v>25.028700000000001</v>
      </c>
      <c r="K157" s="15">
        <f t="shared" si="42"/>
        <v>-23.08</v>
      </c>
      <c r="L157" s="15">
        <f t="shared" si="43"/>
        <v>0</v>
      </c>
      <c r="M157" s="15">
        <f t="shared" si="44"/>
        <v>-23.08</v>
      </c>
      <c r="N157" s="15">
        <f t="shared" si="45"/>
        <v>1.9487000000000023</v>
      </c>
      <c r="O157" s="17">
        <f t="shared" si="25"/>
        <v>2.9089416330795679E-2</v>
      </c>
      <c r="P15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1.9025129982668978</v>
      </c>
    </row>
    <row r="158" spans="2:16" ht="19.95" customHeight="1">
      <c r="B158" s="14">
        <v>46161</v>
      </c>
      <c r="C158" s="13" t="s">
        <v>2317</v>
      </c>
      <c r="D158" s="16">
        <v>2.4</v>
      </c>
      <c r="E158" s="15">
        <v>22.74</v>
      </c>
      <c r="F158" s="15">
        <v>1.84</v>
      </c>
      <c r="G158" s="15">
        <v>28.86</v>
      </c>
      <c r="H158" s="26" t="s">
        <v>1452</v>
      </c>
      <c r="I158" s="13" t="s">
        <v>1457</v>
      </c>
      <c r="J158" s="15">
        <f t="shared" si="41"/>
        <v>-28.86</v>
      </c>
      <c r="K158" s="15">
        <f t="shared" si="42"/>
        <v>31.835999999999995</v>
      </c>
      <c r="L158" s="15">
        <f t="shared" si="43"/>
        <v>-0.89140799999999987</v>
      </c>
      <c r="M158" s="15">
        <f t="shared" si="44"/>
        <v>30.944591999999997</v>
      </c>
      <c r="N158" s="15">
        <f t="shared" si="45"/>
        <v>2.0845919999999958</v>
      </c>
      <c r="O158" s="17">
        <f t="shared" si="25"/>
        <v>4.0399069767441786E-2</v>
      </c>
      <c r="P15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1.2691292875989446</v>
      </c>
    </row>
    <row r="159" spans="2:16" ht="19.95" customHeight="1">
      <c r="B159" s="14">
        <v>46161</v>
      </c>
      <c r="C159" s="13" t="s">
        <v>2316</v>
      </c>
      <c r="D159" s="16">
        <v>1.79365</v>
      </c>
      <c r="E159" s="15">
        <v>22.4</v>
      </c>
      <c r="F159" s="15">
        <v>2.4900000000000002</v>
      </c>
      <c r="G159" s="15">
        <v>15.83</v>
      </c>
      <c r="H159" s="26" t="s">
        <v>1450</v>
      </c>
      <c r="I159" s="13" t="s">
        <v>1457</v>
      </c>
      <c r="J159" s="15">
        <f t="shared" si="41"/>
        <v>23.586700000000004</v>
      </c>
      <c r="K159" s="15">
        <f t="shared" si="42"/>
        <v>-22.4</v>
      </c>
      <c r="L159" s="15">
        <f t="shared" si="43"/>
        <v>0</v>
      </c>
      <c r="M159" s="15">
        <f t="shared" si="44"/>
        <v>-22.4</v>
      </c>
      <c r="N159" s="15">
        <f t="shared" si="45"/>
        <v>1.1867000000000054</v>
      </c>
      <c r="O159" s="17">
        <f t="shared" si="25"/>
        <v>3.1041067224692794E-2</v>
      </c>
      <c r="P15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0.70669642857142867</v>
      </c>
    </row>
    <row r="160" spans="2:16" ht="19.95" customHeight="1">
      <c r="B160" s="14">
        <v>46162</v>
      </c>
      <c r="C160" s="13" t="s">
        <v>2366</v>
      </c>
      <c r="D160" s="16">
        <v>1.23</v>
      </c>
      <c r="E160" s="15">
        <v>22.86</v>
      </c>
      <c r="F160" s="15">
        <v>5.79</v>
      </c>
      <c r="G160" s="15">
        <v>4.83</v>
      </c>
      <c r="H160" s="26" t="s">
        <v>1450</v>
      </c>
      <c r="I160" s="13" t="s">
        <v>1457</v>
      </c>
      <c r="J160" s="15">
        <f t="shared" si="41"/>
        <v>23.1357</v>
      </c>
      <c r="K160" s="15">
        <f t="shared" si="42"/>
        <v>-22.86</v>
      </c>
      <c r="L160" s="15">
        <f t="shared" si="43"/>
        <v>0</v>
      </c>
      <c r="M160" s="15">
        <f t="shared" si="44"/>
        <v>-22.86</v>
      </c>
      <c r="N160" s="15">
        <f t="shared" si="45"/>
        <v>0.2757000000000005</v>
      </c>
      <c r="O160" s="17">
        <f t="shared" si="25"/>
        <v>9.9566630552546231E-3</v>
      </c>
      <c r="P16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0.21128608923884515</v>
      </c>
    </row>
    <row r="161" spans="2:16" ht="19.95" customHeight="1">
      <c r="B161" s="14">
        <v>46164</v>
      </c>
      <c r="C161" s="13" t="s">
        <v>2409</v>
      </c>
      <c r="D161" s="16">
        <v>1.2439</v>
      </c>
      <c r="E161" s="15">
        <v>22.52</v>
      </c>
      <c r="F161" s="15">
        <v>5.5</v>
      </c>
      <c r="G161" s="15">
        <v>5.0599999999999996</v>
      </c>
      <c r="H161" s="26" t="s">
        <v>1452</v>
      </c>
      <c r="I161" s="13" t="s">
        <v>1457</v>
      </c>
      <c r="J161" s="15">
        <f t="shared" ref="J161:J166" si="46">IF(H161="Ganhou",(F161-1)*G161,-G161)</f>
        <v>-5.0599999999999996</v>
      </c>
      <c r="K161" s="15">
        <f t="shared" ref="K161:K166" si="47">IF(H161="Perdeu",(D161-1)*E161,-E161)</f>
        <v>5.4926279999999998</v>
      </c>
      <c r="L161" s="15">
        <f t="shared" ref="L161:L166" si="48">IF(H161="Perdeu",-K161*0.028,0)</f>
        <v>-0.15379358400000001</v>
      </c>
      <c r="M161" s="15">
        <f t="shared" ref="M161:M166" si="49">SUM(K161:L161)</f>
        <v>5.3388344160000001</v>
      </c>
      <c r="N161" s="15">
        <f t="shared" ref="N161:N166" si="50">SUM(J161:L161)</f>
        <v>0.27883441600000025</v>
      </c>
      <c r="O161" s="17">
        <f t="shared" si="25"/>
        <v>1.0110022335025391E-2</v>
      </c>
      <c r="P16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0.22468916518650087</v>
      </c>
    </row>
    <row r="162" spans="2:16" ht="19.95" customHeight="1">
      <c r="B162" s="14">
        <v>46164</v>
      </c>
      <c r="C162" s="13" t="s">
        <v>2408</v>
      </c>
      <c r="D162" s="16">
        <v>1.47</v>
      </c>
      <c r="E162" s="15">
        <v>21.93</v>
      </c>
      <c r="F162" s="15">
        <v>3.29</v>
      </c>
      <c r="G162" s="15">
        <v>9.6999999999999993</v>
      </c>
      <c r="H162" s="26" t="s">
        <v>1452</v>
      </c>
      <c r="I162" s="13" t="s">
        <v>1457</v>
      </c>
      <c r="J162" s="15">
        <f t="shared" si="46"/>
        <v>-9.6999999999999993</v>
      </c>
      <c r="K162" s="15">
        <f t="shared" si="47"/>
        <v>10.3071</v>
      </c>
      <c r="L162" s="15">
        <f t="shared" si="48"/>
        <v>-0.28859879999999999</v>
      </c>
      <c r="M162" s="15">
        <f t="shared" si="49"/>
        <v>10.018501199999999</v>
      </c>
      <c r="N162" s="15">
        <f t="shared" si="50"/>
        <v>0.31850120000000087</v>
      </c>
      <c r="O162" s="17">
        <f t="shared" si="25"/>
        <v>1.0069592159342425E-2</v>
      </c>
      <c r="P16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0.44231646146830822</v>
      </c>
    </row>
    <row r="163" spans="2:16" ht="19.95" customHeight="1">
      <c r="B163" s="14">
        <v>46164</v>
      </c>
      <c r="C163" s="13" t="s">
        <v>2407</v>
      </c>
      <c r="D163" s="16">
        <v>1.1922999999999999</v>
      </c>
      <c r="E163" s="15">
        <v>22.6</v>
      </c>
      <c r="F163" s="15">
        <v>6.78</v>
      </c>
      <c r="G163" s="15">
        <v>3.96</v>
      </c>
      <c r="H163" s="26" t="s">
        <v>1452</v>
      </c>
      <c r="I163" s="13" t="s">
        <v>1457</v>
      </c>
      <c r="J163" s="15">
        <f t="shared" si="46"/>
        <v>-3.96</v>
      </c>
      <c r="K163" s="15">
        <f t="shared" si="47"/>
        <v>4.3459799999999982</v>
      </c>
      <c r="L163" s="15">
        <f t="shared" si="48"/>
        <v>-0.12168743999999995</v>
      </c>
      <c r="M163" s="15">
        <f t="shared" si="49"/>
        <v>4.2242925599999985</v>
      </c>
      <c r="N163" s="15">
        <f t="shared" si="50"/>
        <v>0.26429255999999823</v>
      </c>
      <c r="O163" s="17">
        <f t="shared" si="25"/>
        <v>9.950774096385475E-3</v>
      </c>
      <c r="P16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0.17522123893805308</v>
      </c>
    </row>
    <row r="164" spans="2:16" ht="19.95" customHeight="1">
      <c r="B164" s="14">
        <v>46164</v>
      </c>
      <c r="C164" s="13" t="s">
        <v>2406</v>
      </c>
      <c r="D164" s="16">
        <v>1.42</v>
      </c>
      <c r="E164" s="15">
        <v>22.48</v>
      </c>
      <c r="F164" s="15">
        <v>3.57</v>
      </c>
      <c r="G164" s="15">
        <v>8.86</v>
      </c>
      <c r="H164" s="26" t="s">
        <v>1452</v>
      </c>
      <c r="I164" s="13" t="s">
        <v>1457</v>
      </c>
      <c r="J164" s="15">
        <f t="shared" si="46"/>
        <v>-8.86</v>
      </c>
      <c r="K164" s="15">
        <f t="shared" si="47"/>
        <v>9.4415999999999993</v>
      </c>
      <c r="L164" s="15">
        <f t="shared" si="48"/>
        <v>-0.26436480000000001</v>
      </c>
      <c r="M164" s="15">
        <f t="shared" si="49"/>
        <v>9.1772352000000001</v>
      </c>
      <c r="N164" s="15">
        <f t="shared" si="50"/>
        <v>0.31723519999999988</v>
      </c>
      <c r="O164" s="17">
        <f t="shared" si="25"/>
        <v>1.0122373962986595E-2</v>
      </c>
      <c r="P16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0.39412811387900354</v>
      </c>
    </row>
    <row r="165" spans="2:16" ht="19.95" customHeight="1">
      <c r="B165" s="14">
        <v>46164</v>
      </c>
      <c r="C165" s="13" t="s">
        <v>2405</v>
      </c>
      <c r="D165" s="16">
        <v>2.82</v>
      </c>
      <c r="E165" s="15">
        <v>22.26</v>
      </c>
      <c r="F165" s="15">
        <v>1.59</v>
      </c>
      <c r="G165" s="15">
        <v>38.770000000000003</v>
      </c>
      <c r="H165" s="26" t="s">
        <v>1452</v>
      </c>
      <c r="I165" s="13" t="s">
        <v>1457</v>
      </c>
      <c r="J165" s="15">
        <f t="shared" si="46"/>
        <v>-38.770000000000003</v>
      </c>
      <c r="K165" s="15">
        <f t="shared" si="47"/>
        <v>40.513199999999998</v>
      </c>
      <c r="L165" s="15">
        <f t="shared" si="48"/>
        <v>-1.1343695999999999</v>
      </c>
      <c r="M165" s="15">
        <f t="shared" si="49"/>
        <v>39.378830399999998</v>
      </c>
      <c r="N165" s="15">
        <f t="shared" si="50"/>
        <v>0.60883039999999466</v>
      </c>
      <c r="O165" s="17">
        <f t="shared" si="25"/>
        <v>9.9759200393248343E-3</v>
      </c>
      <c r="P16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1.7416891284815814</v>
      </c>
    </row>
    <row r="166" spans="2:16" ht="19.95" customHeight="1">
      <c r="B166" s="14">
        <v>46164</v>
      </c>
      <c r="C166" s="13" t="s">
        <v>2396</v>
      </c>
      <c r="D166" s="28">
        <v>1.4153444952498599</v>
      </c>
      <c r="E166" s="15">
        <v>23.54</v>
      </c>
      <c r="F166" s="15">
        <v>3.6</v>
      </c>
      <c r="G166" s="15">
        <v>9.18</v>
      </c>
      <c r="H166" s="26" t="s">
        <v>1452</v>
      </c>
      <c r="I166" s="13" t="s">
        <v>1457</v>
      </c>
      <c r="J166" s="15">
        <f t="shared" si="46"/>
        <v>-9.18</v>
      </c>
      <c r="K166" s="15">
        <f t="shared" si="47"/>
        <v>9.7772094181817035</v>
      </c>
      <c r="L166" s="15">
        <f t="shared" si="48"/>
        <v>-0.27376186370908773</v>
      </c>
      <c r="M166" s="15">
        <f t="shared" si="49"/>
        <v>9.5034475544726149</v>
      </c>
      <c r="N166" s="15">
        <f t="shared" si="50"/>
        <v>0.32344755447261608</v>
      </c>
      <c r="O166" s="17">
        <f t="shared" si="25"/>
        <v>9.8853164569870453E-3</v>
      </c>
      <c r="P16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0.38997451146983858</v>
      </c>
    </row>
    <row r="167" spans="2:16" ht="19.95" customHeight="1">
      <c r="B167" s="14">
        <v>46165</v>
      </c>
      <c r="C167" s="13" t="s">
        <v>2482</v>
      </c>
      <c r="D167" s="28">
        <v>3.15</v>
      </c>
      <c r="E167" s="15">
        <v>23.69</v>
      </c>
      <c r="F167" s="15">
        <v>1.5</v>
      </c>
      <c r="G167" s="15">
        <v>48.78</v>
      </c>
      <c r="H167" s="27" t="s">
        <v>1450</v>
      </c>
      <c r="I167" s="13" t="s">
        <v>1457</v>
      </c>
      <c r="J167" s="15">
        <f t="shared" ref="J167:J175" si="51">IF(H167="Ganhou",(F167-1)*G167,-G167)</f>
        <v>24.39</v>
      </c>
      <c r="K167" s="15">
        <f t="shared" ref="K167:K175" si="52">IF(H167="Perdeu",(D167-1)*E167,-E167)</f>
        <v>-23.69</v>
      </c>
      <c r="L167" s="15">
        <f t="shared" ref="L167:L175" si="53">IF(H167="Perdeu",-K167*0.028,0)</f>
        <v>0</v>
      </c>
      <c r="M167" s="15">
        <f t="shared" ref="M167:M175" si="54">SUM(K167:L167)</f>
        <v>-23.69</v>
      </c>
      <c r="N167" s="15">
        <f t="shared" ref="N167:N175" si="55">SUM(J167:L167)</f>
        <v>0.69999999999999929</v>
      </c>
      <c r="O167" s="17">
        <f t="shared" si="25"/>
        <v>9.6591693114392065E-3</v>
      </c>
      <c r="P16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2.0590966652596032</v>
      </c>
    </row>
    <row r="168" spans="2:16" ht="19.95" customHeight="1">
      <c r="B168" s="14">
        <v>46165</v>
      </c>
      <c r="C168" s="13" t="s">
        <v>2481</v>
      </c>
      <c r="D168" s="28">
        <v>1.45</v>
      </c>
      <c r="E168" s="15">
        <v>23.33</v>
      </c>
      <c r="F168" s="15">
        <v>3.4</v>
      </c>
      <c r="G168" s="15">
        <v>9.8699999999999992</v>
      </c>
      <c r="H168" s="27" t="s">
        <v>1450</v>
      </c>
      <c r="I168" s="13" t="s">
        <v>1457</v>
      </c>
      <c r="J168" s="15">
        <f t="shared" si="51"/>
        <v>23.687999999999999</v>
      </c>
      <c r="K168" s="15">
        <f t="shared" si="52"/>
        <v>-23.33</v>
      </c>
      <c r="L168" s="15">
        <f t="shared" si="53"/>
        <v>0</v>
      </c>
      <c r="M168" s="15">
        <f t="shared" si="54"/>
        <v>-23.33</v>
      </c>
      <c r="N168" s="15">
        <f t="shared" si="55"/>
        <v>0.35800000000000054</v>
      </c>
      <c r="O168" s="17">
        <f t="shared" si="25"/>
        <v>1.07831325301205E-2</v>
      </c>
      <c r="P16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0.42306043720531505</v>
      </c>
    </row>
    <row r="169" spans="2:16" ht="19.95" customHeight="1">
      <c r="B169" s="14">
        <v>46165</v>
      </c>
      <c r="C169" s="13" t="s">
        <v>2480</v>
      </c>
      <c r="D169" s="28">
        <v>1.46</v>
      </c>
      <c r="E169" s="15">
        <v>22.98</v>
      </c>
      <c r="F169" s="15">
        <v>3.34</v>
      </c>
      <c r="G169" s="15">
        <v>9.9499999999999993</v>
      </c>
      <c r="H169" s="27" t="s">
        <v>1452</v>
      </c>
      <c r="I169" s="13" t="s">
        <v>1457</v>
      </c>
      <c r="J169" s="15">
        <f t="shared" si="51"/>
        <v>-9.9499999999999993</v>
      </c>
      <c r="K169" s="15">
        <f t="shared" si="52"/>
        <v>10.5708</v>
      </c>
      <c r="L169" s="15">
        <f t="shared" si="53"/>
        <v>-0.29598240000000003</v>
      </c>
      <c r="M169" s="15">
        <f t="shared" si="54"/>
        <v>10.2748176</v>
      </c>
      <c r="N169" s="15">
        <f t="shared" si="55"/>
        <v>0.32481760000000087</v>
      </c>
      <c r="O169" s="17">
        <f t="shared" si="25"/>
        <v>9.8638809596113229E-3</v>
      </c>
      <c r="P16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0.43298520452567446</v>
      </c>
    </row>
    <row r="170" spans="2:16" ht="19.95" customHeight="1">
      <c r="B170" s="14">
        <v>46165</v>
      </c>
      <c r="C170" s="13" t="s">
        <v>2479</v>
      </c>
      <c r="D170" s="28">
        <v>1.9</v>
      </c>
      <c r="E170" s="15">
        <v>23.14</v>
      </c>
      <c r="F170" s="15">
        <v>2.19</v>
      </c>
      <c r="G170" s="15">
        <v>19.809999999999999</v>
      </c>
      <c r="H170" s="27" t="s">
        <v>1450</v>
      </c>
      <c r="I170" s="13" t="s">
        <v>1457</v>
      </c>
      <c r="J170" s="15">
        <f t="shared" si="51"/>
        <v>23.573899999999998</v>
      </c>
      <c r="K170" s="15">
        <f t="shared" si="52"/>
        <v>-23.14</v>
      </c>
      <c r="L170" s="15">
        <f t="shared" si="53"/>
        <v>0</v>
      </c>
      <c r="M170" s="15">
        <f t="shared" si="54"/>
        <v>-23.14</v>
      </c>
      <c r="N170" s="15">
        <f t="shared" si="55"/>
        <v>0.43389999999999773</v>
      </c>
      <c r="O170" s="17">
        <f t="shared" si="25"/>
        <v>1.0102444703143136E-2</v>
      </c>
      <c r="P17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0.85609334485738975</v>
      </c>
    </row>
    <row r="171" spans="2:16" ht="19.95" customHeight="1">
      <c r="B171" s="14">
        <v>46165</v>
      </c>
      <c r="C171" s="13" t="s">
        <v>2453</v>
      </c>
      <c r="D171" s="28">
        <v>1.23</v>
      </c>
      <c r="E171" s="15">
        <v>22.79</v>
      </c>
      <c r="F171" s="15">
        <v>5.79</v>
      </c>
      <c r="G171" s="15">
        <v>4.82</v>
      </c>
      <c r="H171" s="27" t="s">
        <v>1452</v>
      </c>
      <c r="I171" s="13" t="s">
        <v>1457</v>
      </c>
      <c r="J171" s="15">
        <f t="shared" si="51"/>
        <v>-4.82</v>
      </c>
      <c r="K171" s="15">
        <f t="shared" si="52"/>
        <v>5.2416999999999998</v>
      </c>
      <c r="L171" s="15">
        <f t="shared" si="53"/>
        <v>-0.1467676</v>
      </c>
      <c r="M171" s="15">
        <f t="shared" si="54"/>
        <v>5.0949323999999994</v>
      </c>
      <c r="N171" s="15">
        <f t="shared" si="55"/>
        <v>0.27493239999999952</v>
      </c>
      <c r="O171" s="17">
        <f t="shared" si="25"/>
        <v>9.9577109742846632E-3</v>
      </c>
      <c r="P17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0.21149627029398863</v>
      </c>
    </row>
    <row r="172" spans="2:16" ht="19.95" customHeight="1">
      <c r="B172" s="14">
        <v>46165</v>
      </c>
      <c r="C172" s="13" t="s">
        <v>2478</v>
      </c>
      <c r="D172" s="28">
        <v>2.7</v>
      </c>
      <c r="E172" s="15">
        <v>22.45</v>
      </c>
      <c r="F172" s="15">
        <v>1.63</v>
      </c>
      <c r="G172" s="15">
        <v>36.51</v>
      </c>
      <c r="H172" s="27" t="s">
        <v>1452</v>
      </c>
      <c r="I172" s="13" t="s">
        <v>1457</v>
      </c>
      <c r="J172" s="15">
        <f t="shared" si="51"/>
        <v>-36.51</v>
      </c>
      <c r="K172" s="15">
        <f t="shared" si="52"/>
        <v>38.165000000000006</v>
      </c>
      <c r="L172" s="15">
        <f t="shared" si="53"/>
        <v>-1.0686200000000001</v>
      </c>
      <c r="M172" s="15">
        <f t="shared" si="54"/>
        <v>37.096380000000003</v>
      </c>
      <c r="N172" s="15">
        <f t="shared" si="55"/>
        <v>0.58638000000000812</v>
      </c>
      <c r="O172" s="17">
        <f t="shared" ref="O172:O179" si="56">IFERROR(N172/SUM(G172,E172),"")</f>
        <v>9.9453867028495273E-3</v>
      </c>
      <c r="P172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1.6262806236080178</v>
      </c>
    </row>
    <row r="173" spans="2:16" ht="19.95" customHeight="1">
      <c r="B173" s="14">
        <v>46165</v>
      </c>
      <c r="C173" s="13" t="s">
        <v>2477</v>
      </c>
      <c r="D173" s="28">
        <v>1.46</v>
      </c>
      <c r="E173" s="15">
        <v>23.42</v>
      </c>
      <c r="F173" s="15">
        <v>3.34</v>
      </c>
      <c r="G173" s="15">
        <v>10.14</v>
      </c>
      <c r="H173" s="27" t="s">
        <v>1452</v>
      </c>
      <c r="I173" s="13" t="s">
        <v>1457</v>
      </c>
      <c r="J173" s="15">
        <f t="shared" si="51"/>
        <v>-10.14</v>
      </c>
      <c r="K173" s="15">
        <f t="shared" si="52"/>
        <v>10.773199999999999</v>
      </c>
      <c r="L173" s="15">
        <f t="shared" si="53"/>
        <v>-0.30164959999999996</v>
      </c>
      <c r="M173" s="15">
        <f t="shared" si="54"/>
        <v>10.4715504</v>
      </c>
      <c r="N173" s="15">
        <f t="shared" si="55"/>
        <v>0.33155039999999869</v>
      </c>
      <c r="O173" s="17">
        <f t="shared" si="56"/>
        <v>9.8793325387365512E-3</v>
      </c>
      <c r="P173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0.43296327924850553</v>
      </c>
    </row>
    <row r="174" spans="2:16" ht="19.95" customHeight="1">
      <c r="B174" s="14">
        <v>46165</v>
      </c>
      <c r="C174" s="13" t="s">
        <v>2476</v>
      </c>
      <c r="D174" s="28">
        <v>1.12195</v>
      </c>
      <c r="E174" s="15">
        <v>23.58</v>
      </c>
      <c r="F174" s="15">
        <v>10.41</v>
      </c>
      <c r="G174" s="15">
        <v>2.5299999999999998</v>
      </c>
      <c r="H174" s="27" t="s">
        <v>1452</v>
      </c>
      <c r="I174" s="13" t="s">
        <v>1457</v>
      </c>
      <c r="J174" s="15">
        <f t="shared" si="51"/>
        <v>-2.5299999999999998</v>
      </c>
      <c r="K174" s="15">
        <f t="shared" si="52"/>
        <v>2.8755809999999999</v>
      </c>
      <c r="L174" s="15">
        <f t="shared" si="53"/>
        <v>-8.0516268000000002E-2</v>
      </c>
      <c r="M174" s="15">
        <f t="shared" si="54"/>
        <v>2.7950647320000002</v>
      </c>
      <c r="N174" s="15">
        <f t="shared" si="55"/>
        <v>0.26506473200000014</v>
      </c>
      <c r="O174" s="17">
        <f t="shared" si="56"/>
        <v>1.0151847261585604E-2</v>
      </c>
      <c r="P174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0.10729431721798134</v>
      </c>
    </row>
    <row r="175" spans="2:16" ht="19.95" customHeight="1">
      <c r="B175" s="14">
        <v>46165</v>
      </c>
      <c r="C175" s="13" t="s">
        <v>2475</v>
      </c>
      <c r="D175" s="28">
        <v>1.0900000000000001</v>
      </c>
      <c r="E175" s="15">
        <v>23.62</v>
      </c>
      <c r="F175" s="15">
        <v>14.18</v>
      </c>
      <c r="G175" s="15">
        <v>1.81</v>
      </c>
      <c r="H175" s="27" t="s">
        <v>1452</v>
      </c>
      <c r="I175" s="13" t="s">
        <v>1457</v>
      </c>
      <c r="J175" s="15">
        <f t="shared" si="51"/>
        <v>-1.81</v>
      </c>
      <c r="K175" s="15">
        <f t="shared" si="52"/>
        <v>2.1258000000000021</v>
      </c>
      <c r="L175" s="15">
        <f t="shared" si="53"/>
        <v>-5.9522400000000059E-2</v>
      </c>
      <c r="M175" s="15">
        <f t="shared" si="54"/>
        <v>2.066277600000002</v>
      </c>
      <c r="N175" s="15">
        <f t="shared" si="55"/>
        <v>0.25627760000000199</v>
      </c>
      <c r="O175" s="17">
        <f t="shared" si="56"/>
        <v>1.0077766417617066E-2</v>
      </c>
      <c r="P175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7.6629974597798481E-2</v>
      </c>
    </row>
    <row r="176" spans="2:16" ht="19.95" customHeight="1">
      <c r="B176" s="14">
        <v>46166</v>
      </c>
      <c r="C176" s="13" t="s">
        <v>2542</v>
      </c>
      <c r="D176" s="28">
        <v>1.13157</v>
      </c>
      <c r="E176" s="15">
        <v>23.65</v>
      </c>
      <c r="F176" s="15">
        <v>9.66</v>
      </c>
      <c r="G176" s="15">
        <v>2.76</v>
      </c>
      <c r="H176" s="27" t="s">
        <v>1452</v>
      </c>
      <c r="I176" s="13" t="s">
        <v>1457</v>
      </c>
      <c r="J176" s="15">
        <f t="shared" ref="J176:J183" si="57">IF(H176="Ganhou",(F176-1)*G176,-G176)</f>
        <v>-2.76</v>
      </c>
      <c r="K176" s="15">
        <f t="shared" ref="K176:K183" si="58">IF(H176="Perdeu",(D176-1)*E176,-E176)</f>
        <v>3.1116304999999991</v>
      </c>
      <c r="L176" s="15">
        <f t="shared" ref="L176:L183" si="59">IF(H176="Perdeu",-K176*0.028,0)</f>
        <v>-8.7125653999999969E-2</v>
      </c>
      <c r="M176" s="15">
        <f t="shared" ref="M176:M183" si="60">SUM(K176:L176)</f>
        <v>3.0245048459999992</v>
      </c>
      <c r="N176" s="15">
        <f t="shared" ref="N176:N183" si="61">SUM(J176:L176)</f>
        <v>0.26450484599999935</v>
      </c>
      <c r="O176" s="17">
        <f t="shared" si="56"/>
        <v>1.0015329269216182E-2</v>
      </c>
      <c r="P176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0.11670190274841437</v>
      </c>
    </row>
    <row r="177" spans="2:16" ht="19.95" customHeight="1">
      <c r="B177" s="14">
        <v>46166</v>
      </c>
      <c r="C177" s="13" t="s">
        <v>2541</v>
      </c>
      <c r="D177" s="28">
        <v>1.1162700000000001</v>
      </c>
      <c r="E177" s="15">
        <v>23.7</v>
      </c>
      <c r="F177" s="15">
        <v>10.91</v>
      </c>
      <c r="G177" s="15">
        <v>2.42</v>
      </c>
      <c r="H177" s="27" t="s">
        <v>1452</v>
      </c>
      <c r="I177" s="13" t="s">
        <v>1457</v>
      </c>
      <c r="J177" s="15">
        <f t="shared" si="57"/>
        <v>-2.42</v>
      </c>
      <c r="K177" s="15">
        <f t="shared" si="58"/>
        <v>2.7555990000000024</v>
      </c>
      <c r="L177" s="15">
        <f t="shared" si="59"/>
        <v>-7.7156772000000068E-2</v>
      </c>
      <c r="M177" s="15">
        <f t="shared" si="60"/>
        <v>2.6784422280000024</v>
      </c>
      <c r="N177" s="15">
        <f t="shared" si="61"/>
        <v>0.25844222800000238</v>
      </c>
      <c r="O177" s="17">
        <f t="shared" si="56"/>
        <v>9.8944191424196939E-3</v>
      </c>
      <c r="P177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0.1021097046413502</v>
      </c>
    </row>
    <row r="178" spans="2:16" ht="19.95" customHeight="1">
      <c r="B178" s="14">
        <v>46166</v>
      </c>
      <c r="C178" s="13" t="s">
        <v>2516</v>
      </c>
      <c r="D178" s="28">
        <v>1.11111</v>
      </c>
      <c r="E178" s="15">
        <v>23.74</v>
      </c>
      <c r="F178" s="15">
        <v>11.42</v>
      </c>
      <c r="G178" s="15">
        <v>2.2999999999999998</v>
      </c>
      <c r="H178" s="27" t="s">
        <v>1452</v>
      </c>
      <c r="I178" s="13" t="s">
        <v>1457</v>
      </c>
      <c r="J178" s="15">
        <f t="shared" si="57"/>
        <v>-2.2999999999999998</v>
      </c>
      <c r="K178" s="15">
        <f t="shared" si="58"/>
        <v>2.6377514000000009</v>
      </c>
      <c r="L178" s="15">
        <f t="shared" si="59"/>
        <v>-7.385703920000003E-2</v>
      </c>
      <c r="M178" s="15">
        <f t="shared" si="60"/>
        <v>2.5638943608000009</v>
      </c>
      <c r="N178" s="15">
        <f t="shared" si="61"/>
        <v>0.263894360800001</v>
      </c>
      <c r="O178" s="17">
        <f t="shared" si="56"/>
        <v>1.0134192043010791E-2</v>
      </c>
      <c r="P178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9.6882898062342043E-2</v>
      </c>
    </row>
    <row r="179" spans="2:16" ht="19.95" customHeight="1">
      <c r="B179" s="14">
        <v>46166</v>
      </c>
      <c r="C179" s="13" t="s">
        <v>2540</v>
      </c>
      <c r="D179" s="28">
        <v>1.8196699999999999</v>
      </c>
      <c r="E179" s="15">
        <v>23.77</v>
      </c>
      <c r="F179" s="15">
        <v>2.31</v>
      </c>
      <c r="G179" s="15">
        <v>18.52</v>
      </c>
      <c r="H179" s="27" t="s">
        <v>1452</v>
      </c>
      <c r="I179" s="13" t="s">
        <v>1457</v>
      </c>
      <c r="J179" s="15">
        <f t="shared" si="57"/>
        <v>-18.52</v>
      </c>
      <c r="K179" s="15">
        <f t="shared" si="58"/>
        <v>19.483555899999999</v>
      </c>
      <c r="L179" s="15">
        <f t="shared" si="59"/>
        <v>-0.54553956520000002</v>
      </c>
      <c r="M179" s="15">
        <f t="shared" si="60"/>
        <v>18.9380163348</v>
      </c>
      <c r="N179" s="15">
        <f t="shared" si="61"/>
        <v>0.41801633479999933</v>
      </c>
      <c r="O179" s="17">
        <f t="shared" si="56"/>
        <v>9.8845196216599505E-3</v>
      </c>
      <c r="P179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0.77913336137989064</v>
      </c>
    </row>
    <row r="180" spans="2:16" ht="19.95" customHeight="1">
      <c r="B180" s="34">
        <v>46167</v>
      </c>
      <c r="C180" s="35" t="s">
        <v>2572</v>
      </c>
      <c r="D180" s="36">
        <v>1.2127600000000001</v>
      </c>
      <c r="E180" s="37">
        <v>24.06</v>
      </c>
      <c r="F180" s="37">
        <v>6.19</v>
      </c>
      <c r="G180" s="37">
        <v>4.6900000000000004</v>
      </c>
      <c r="H180" s="27" t="s">
        <v>1452</v>
      </c>
      <c r="I180" s="13" t="s">
        <v>1457</v>
      </c>
      <c r="J180" s="37">
        <f t="shared" si="57"/>
        <v>-4.6900000000000004</v>
      </c>
      <c r="K180" s="37">
        <f t="shared" si="58"/>
        <v>5.1190056000000013</v>
      </c>
      <c r="L180" s="37">
        <f t="shared" si="59"/>
        <v>-0.14333215680000003</v>
      </c>
      <c r="M180" s="37">
        <f t="shared" si="60"/>
        <v>4.9756734432000016</v>
      </c>
      <c r="N180" s="37">
        <f t="shared" si="61"/>
        <v>0.28567344320000088</v>
      </c>
      <c r="O180" s="17">
        <f>IFERROR(N180/SUM(G180,E180),"")</f>
        <v>9.9364675895652482E-3</v>
      </c>
      <c r="P180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0.1949293433083957</v>
      </c>
    </row>
    <row r="181" spans="2:16" ht="19.95" customHeight="1">
      <c r="B181" s="34">
        <v>46167</v>
      </c>
      <c r="C181" s="35" t="s">
        <v>2571</v>
      </c>
      <c r="D181" s="36">
        <v>1.35087</v>
      </c>
      <c r="E181" s="37">
        <v>24.13</v>
      </c>
      <c r="F181" s="37">
        <v>4.09</v>
      </c>
      <c r="G181" s="37">
        <v>7.91</v>
      </c>
      <c r="H181" s="27" t="s">
        <v>1452</v>
      </c>
      <c r="I181" s="13" t="s">
        <v>1457</v>
      </c>
      <c r="J181" s="37">
        <f t="shared" si="57"/>
        <v>-7.91</v>
      </c>
      <c r="K181" s="37">
        <f t="shared" si="58"/>
        <v>8.4664930999999992</v>
      </c>
      <c r="L181" s="37">
        <f t="shared" si="59"/>
        <v>-0.2370618068</v>
      </c>
      <c r="M181" s="37">
        <f t="shared" si="60"/>
        <v>8.2294312931999993</v>
      </c>
      <c r="N181" s="37">
        <f t="shared" si="61"/>
        <v>0.31943129319999908</v>
      </c>
      <c r="O181" s="17">
        <f>IFERROR(N181/SUM(G181,E181),"")</f>
        <v>9.9697657053682606E-3</v>
      </c>
      <c r="P181" s="1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0.32780770824699546</v>
      </c>
    </row>
    <row r="182" spans="2:16" ht="19.95" customHeight="1">
      <c r="B182" s="38">
        <v>46168</v>
      </c>
      <c r="C182" s="39" t="s">
        <v>2579</v>
      </c>
      <c r="D182" s="40">
        <v>1.1136299999999999</v>
      </c>
      <c r="E182" s="41">
        <v>24.26</v>
      </c>
      <c r="F182" s="41">
        <v>11.17</v>
      </c>
      <c r="G182" s="41">
        <v>2.41</v>
      </c>
      <c r="H182" s="27" t="s">
        <v>1452</v>
      </c>
      <c r="I182" s="13" t="s">
        <v>1457</v>
      </c>
      <c r="J182" s="41">
        <f t="shared" si="57"/>
        <v>-2.41</v>
      </c>
      <c r="K182" s="41">
        <f t="shared" si="58"/>
        <v>2.7566637999999979</v>
      </c>
      <c r="L182" s="41">
        <f t="shared" si="59"/>
        <v>-7.7186586399999937E-2</v>
      </c>
      <c r="M182" s="41">
        <f t="shared" si="60"/>
        <v>2.679477213599998</v>
      </c>
      <c r="N182" s="41">
        <f t="shared" si="61"/>
        <v>0.26947721359999782</v>
      </c>
      <c r="O182" s="42">
        <f>IFERROR(N182/SUM(G182,E182),"")</f>
        <v>1.0104132493438238E-2</v>
      </c>
      <c r="P182" s="42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9.9340478153338824E-2</v>
      </c>
    </row>
    <row r="183" spans="2:16" ht="19.95" customHeight="1">
      <c r="B183" s="38">
        <v>46168</v>
      </c>
      <c r="C183" s="39" t="s">
        <v>2578</v>
      </c>
      <c r="D183" s="40">
        <v>1.3389800000000001</v>
      </c>
      <c r="E183" s="41">
        <v>40.5</v>
      </c>
      <c r="F183" s="41">
        <v>4.2</v>
      </c>
      <c r="G183" s="46">
        <v>12.81</v>
      </c>
      <c r="H183" s="27" t="s">
        <v>1452</v>
      </c>
      <c r="I183" s="13" t="s">
        <v>1457</v>
      </c>
      <c r="J183" s="41">
        <f t="shared" si="57"/>
        <v>-12.81</v>
      </c>
      <c r="K183" s="41">
        <f t="shared" si="58"/>
        <v>13.728690000000002</v>
      </c>
      <c r="L183" s="41">
        <f t="shared" si="59"/>
        <v>-0.38440332000000005</v>
      </c>
      <c r="M183" s="41">
        <f t="shared" si="60"/>
        <v>13.344286680000002</v>
      </c>
      <c r="N183" s="41">
        <f t="shared" si="61"/>
        <v>0.53428668000000146</v>
      </c>
      <c r="O183" s="42">
        <f>IFERROR(N183/SUM(G183,E183),"")</f>
        <v>1.0022259988745104E-2</v>
      </c>
      <c r="P183" s="42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0.3162962962962963</v>
      </c>
    </row>
    <row r="184" spans="2:16" ht="19.95" customHeight="1">
      <c r="B184" s="43">
        <v>46169</v>
      </c>
      <c r="C184" s="44" t="s">
        <v>2587</v>
      </c>
      <c r="D184" s="45">
        <v>1.1200000000000001</v>
      </c>
      <c r="E184" s="46">
        <v>24.13</v>
      </c>
      <c r="F184" s="46">
        <v>10.58</v>
      </c>
      <c r="G184" s="46">
        <v>2.5499999999999998</v>
      </c>
      <c r="H184" s="44" t="s">
        <v>1452</v>
      </c>
      <c r="I184" s="13" t="s">
        <v>1457</v>
      </c>
      <c r="J184" s="46">
        <f t="shared" ref="J184:J189" si="62">IF(H184="Ganhou",(F184-1)*G184,-G184)</f>
        <v>-2.5499999999999998</v>
      </c>
      <c r="K184" s="46">
        <f t="shared" ref="K184:K189" si="63">IF(H184="Perdeu",(D184-1)*E184,-E184)</f>
        <v>2.8956000000000026</v>
      </c>
      <c r="L184" s="46">
        <f t="shared" ref="L184:L189" si="64">IF(H184="Perdeu",-K184*0.028,0)</f>
        <v>-8.1076800000000074E-2</v>
      </c>
      <c r="M184" s="46">
        <f t="shared" ref="M184:M189" si="65">SUM(K184:L184)</f>
        <v>2.8145232000000027</v>
      </c>
      <c r="N184" s="46">
        <f t="shared" ref="N184:N189" si="66">SUM(J184:L184)</f>
        <v>0.26452320000000273</v>
      </c>
      <c r="O184" s="47">
        <f t="shared" ref="O184:O189" si="67">IFERROR(N184/SUM(G184,E184),"")</f>
        <v>9.9146626686657698E-3</v>
      </c>
      <c r="P184" s="4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0.10567757977621219</v>
      </c>
    </row>
    <row r="185" spans="2:16" ht="19.95" customHeight="1">
      <c r="B185" s="43">
        <v>46169</v>
      </c>
      <c r="C185" s="44" t="s">
        <v>2586</v>
      </c>
      <c r="D185" s="45">
        <v>1.2083299999999999</v>
      </c>
      <c r="E185" s="46">
        <v>24.5</v>
      </c>
      <c r="F185" s="46">
        <v>6.31</v>
      </c>
      <c r="G185" s="46">
        <v>4.67</v>
      </c>
      <c r="H185" s="44" t="s">
        <v>1452</v>
      </c>
      <c r="I185" s="13" t="s">
        <v>1457</v>
      </c>
      <c r="J185" s="46">
        <f t="shared" si="62"/>
        <v>-4.67</v>
      </c>
      <c r="K185" s="46">
        <f t="shared" si="63"/>
        <v>5.1040849999999978</v>
      </c>
      <c r="L185" s="46">
        <f t="shared" si="64"/>
        <v>-0.14291437999999995</v>
      </c>
      <c r="M185" s="46">
        <f t="shared" si="65"/>
        <v>4.9611706199999981</v>
      </c>
      <c r="N185" s="46">
        <f t="shared" si="66"/>
        <v>0.29117061999999788</v>
      </c>
      <c r="O185" s="47">
        <f t="shared" si="67"/>
        <v>9.9818519026396244E-3</v>
      </c>
      <c r="P185" s="4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0.19061224489795919</v>
      </c>
    </row>
    <row r="186" spans="2:16" ht="19.95" customHeight="1">
      <c r="B186" s="43">
        <v>46169</v>
      </c>
      <c r="C186" s="44" t="s">
        <v>2585</v>
      </c>
      <c r="D186" s="45">
        <v>1.1100000000000001</v>
      </c>
      <c r="E186" s="46">
        <v>24.61</v>
      </c>
      <c r="F186" s="46">
        <v>11.54</v>
      </c>
      <c r="G186" s="46">
        <v>2.36</v>
      </c>
      <c r="H186" s="44" t="s">
        <v>1452</v>
      </c>
      <c r="I186" s="13" t="s">
        <v>1457</v>
      </c>
      <c r="J186" s="46">
        <f t="shared" si="62"/>
        <v>-2.36</v>
      </c>
      <c r="K186" s="46">
        <f t="shared" si="63"/>
        <v>2.7071000000000023</v>
      </c>
      <c r="L186" s="46">
        <f t="shared" si="64"/>
        <v>-7.5798800000000069E-2</v>
      </c>
      <c r="M186" s="46">
        <f t="shared" si="65"/>
        <v>2.631301200000002</v>
      </c>
      <c r="N186" s="46">
        <f t="shared" si="66"/>
        <v>0.27130120000000235</v>
      </c>
      <c r="O186" s="47">
        <f t="shared" si="67"/>
        <v>1.0059369670003796E-2</v>
      </c>
      <c r="P186" s="4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9.5895977245022343E-2</v>
      </c>
    </row>
    <row r="187" spans="2:16" ht="19.95" customHeight="1">
      <c r="B187" s="43">
        <v>46170</v>
      </c>
      <c r="C187" s="44" t="s">
        <v>2584</v>
      </c>
      <c r="D187" s="45">
        <v>8.1999999999999993</v>
      </c>
      <c r="E187" s="46">
        <v>87.98</v>
      </c>
      <c r="F187" s="46">
        <v>1.1000000000000001</v>
      </c>
      <c r="G187" s="46">
        <v>1000</v>
      </c>
      <c r="H187" s="44" t="s">
        <v>1452</v>
      </c>
      <c r="I187" s="13" t="s">
        <v>1457</v>
      </c>
      <c r="J187" s="48">
        <f>IF(H187="Ganhou",(F187-1)*G187,-G187)*0</f>
        <v>0</v>
      </c>
      <c r="K187" s="48">
        <v>12.22</v>
      </c>
      <c r="L187" s="46">
        <f t="shared" si="64"/>
        <v>-0.34216000000000002</v>
      </c>
      <c r="M187" s="46">
        <f t="shared" si="65"/>
        <v>11.877840000000001</v>
      </c>
      <c r="N187" s="46">
        <f t="shared" si="66"/>
        <v>11.877840000000001</v>
      </c>
      <c r="O187" s="47">
        <f t="shared" si="67"/>
        <v>1.091733303921028E-2</v>
      </c>
      <c r="P187" s="47" t="str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/>
      </c>
    </row>
    <row r="188" spans="2:16" ht="19.95" customHeight="1">
      <c r="B188" s="43">
        <v>46170</v>
      </c>
      <c r="C188" s="44" t="s">
        <v>2583</v>
      </c>
      <c r="D188" s="45">
        <v>1.90909</v>
      </c>
      <c r="E188" s="46">
        <v>24.46</v>
      </c>
      <c r="F188" s="46">
        <v>2.1800000000000002</v>
      </c>
      <c r="G188" s="46">
        <v>21.16</v>
      </c>
      <c r="H188" s="44" t="s">
        <v>1450</v>
      </c>
      <c r="I188" s="13" t="s">
        <v>1457</v>
      </c>
      <c r="J188" s="46">
        <f t="shared" si="62"/>
        <v>24.968800000000005</v>
      </c>
      <c r="K188" s="46">
        <f t="shared" si="63"/>
        <v>-24.46</v>
      </c>
      <c r="L188" s="46">
        <f t="shared" si="64"/>
        <v>0</v>
      </c>
      <c r="M188" s="46">
        <f t="shared" si="65"/>
        <v>-24.46</v>
      </c>
      <c r="N188" s="46">
        <f t="shared" si="66"/>
        <v>0.50880000000000436</v>
      </c>
      <c r="O188" s="47">
        <f t="shared" si="67"/>
        <v>1.1153003068829555E-2</v>
      </c>
      <c r="P188" s="4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0.86508585445625508</v>
      </c>
    </row>
    <row r="189" spans="2:16" ht="19.95" customHeight="1">
      <c r="B189" s="43">
        <v>46170</v>
      </c>
      <c r="C189" s="44" t="s">
        <v>2582</v>
      </c>
      <c r="D189" s="45">
        <v>1.19</v>
      </c>
      <c r="E189" s="46">
        <v>24.83</v>
      </c>
      <c r="F189" s="46">
        <v>6.85</v>
      </c>
      <c r="G189" s="46">
        <v>4.29</v>
      </c>
      <c r="H189" s="44" t="s">
        <v>1452</v>
      </c>
      <c r="I189" s="13" t="s">
        <v>1457</v>
      </c>
      <c r="J189" s="46">
        <f t="shared" si="62"/>
        <v>-4.29</v>
      </c>
      <c r="K189" s="46">
        <f t="shared" si="63"/>
        <v>4.717699999999998</v>
      </c>
      <c r="L189" s="46">
        <f t="shared" si="64"/>
        <v>-0.13209559999999995</v>
      </c>
      <c r="M189" s="46">
        <f t="shared" si="65"/>
        <v>4.5856043999999985</v>
      </c>
      <c r="N189" s="46">
        <f t="shared" si="66"/>
        <v>0.29560439999999799</v>
      </c>
      <c r="O189" s="47">
        <f t="shared" si="67"/>
        <v>1.0151249999999931E-2</v>
      </c>
      <c r="P189" s="4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0.17277486910994766</v>
      </c>
    </row>
    <row r="190" spans="2:16" ht="19.95" customHeight="1">
      <c r="B190" s="49">
        <v>46171</v>
      </c>
      <c r="C190" s="50" t="s">
        <v>2597</v>
      </c>
      <c r="D190" s="51">
        <v>1.11111</v>
      </c>
      <c r="E190" s="52">
        <v>24.17</v>
      </c>
      <c r="F190" s="52">
        <v>11.42</v>
      </c>
      <c r="G190" s="52">
        <v>2.35</v>
      </c>
      <c r="H190" s="50" t="s">
        <v>1450</v>
      </c>
      <c r="I190" s="13" t="s">
        <v>1457</v>
      </c>
      <c r="J190" s="52">
        <f>IF(H190="Ganhou",(F190-1)*G190,-G190)</f>
        <v>24.487000000000002</v>
      </c>
      <c r="K190" s="52">
        <f>IF(H190="Perdeu",(D190-1)*E190,-E190)</f>
        <v>-24.17</v>
      </c>
      <c r="L190" s="52">
        <f>IF(H190="Perdeu",-K190*0.028,0)</f>
        <v>0</v>
      </c>
      <c r="M190" s="52">
        <f>SUM(K190:L190)</f>
        <v>-24.17</v>
      </c>
      <c r="N190" s="52">
        <f>SUM(J190:L190)</f>
        <v>0.31700000000000017</v>
      </c>
      <c r="O190" s="53">
        <f>IFERROR(N190/SUM(G190,E190),"")</f>
        <v>1.1953242835595781E-2</v>
      </c>
      <c r="P190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9.7227968556061237E-2</v>
      </c>
    </row>
    <row r="191" spans="2:16" ht="19.95" customHeight="1">
      <c r="B191" s="49">
        <v>46171</v>
      </c>
      <c r="C191" s="50" t="s">
        <v>2592</v>
      </c>
      <c r="D191" s="51">
        <v>1.4</v>
      </c>
      <c r="E191" s="52">
        <v>24.53</v>
      </c>
      <c r="F191" s="52">
        <v>3.7</v>
      </c>
      <c r="G191" s="52">
        <v>9.1999999999999993</v>
      </c>
      <c r="H191" s="50" t="s">
        <v>1452</v>
      </c>
      <c r="I191" s="13" t="s">
        <v>1457</v>
      </c>
      <c r="J191" s="52">
        <f>IF(H191="Ganhou",(F191-1)*G191,-G191)</f>
        <v>-9.1999999999999993</v>
      </c>
      <c r="K191" s="52">
        <f>IF(H191="Perdeu",(D191-1)*E191,-E191)</f>
        <v>9.8119999999999976</v>
      </c>
      <c r="L191" s="52">
        <f>IF(H191="Perdeu",-K191*0.028,0)</f>
        <v>-0.27473599999999992</v>
      </c>
      <c r="M191" s="52">
        <f>SUM(K191:L191)</f>
        <v>9.5372639999999969</v>
      </c>
      <c r="N191" s="52">
        <f>SUM(J191:L191)</f>
        <v>0.3372639999999984</v>
      </c>
      <c r="O191" s="53">
        <f>IFERROR(N191/SUM(G191,E191),"")</f>
        <v>9.9989327008597195E-3</v>
      </c>
      <c r="P191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0.37505095801059923</v>
      </c>
    </row>
    <row r="192" spans="2:16" ht="19.95" customHeight="1">
      <c r="B192" s="49">
        <v>46171</v>
      </c>
      <c r="C192" s="50" t="s">
        <v>2596</v>
      </c>
      <c r="D192" s="51">
        <v>1.18</v>
      </c>
      <c r="E192" s="52">
        <v>23.8</v>
      </c>
      <c r="F192" s="52">
        <v>7.19</v>
      </c>
      <c r="G192" s="52">
        <v>3.89</v>
      </c>
      <c r="H192" s="50" t="s">
        <v>1452</v>
      </c>
      <c r="I192" s="13" t="s">
        <v>1457</v>
      </c>
      <c r="J192" s="52">
        <f>IF(H192="Ganhou",(F192-1)*G192,-G192)</f>
        <v>-3.89</v>
      </c>
      <c r="K192" s="52">
        <f>IF(H192="Perdeu",(D192-1)*E192,-E192)</f>
        <v>4.2839999999999989</v>
      </c>
      <c r="L192" s="52">
        <f>IF(H192="Perdeu",-K192*0.028,0)</f>
        <v>-0.11995199999999998</v>
      </c>
      <c r="M192" s="52">
        <f>SUM(K192:L192)</f>
        <v>4.1640479999999993</v>
      </c>
      <c r="N192" s="52">
        <f>SUM(J192:L192)</f>
        <v>0.27404799999999885</v>
      </c>
      <c r="O192" s="53">
        <f>IFERROR(N192/SUM(G192,E192),"")</f>
        <v>9.8970025279884015E-3</v>
      </c>
      <c r="P192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0.16344537815126051</v>
      </c>
    </row>
    <row r="193" spans="2:16" ht="19.95" customHeight="1">
      <c r="B193" s="49">
        <v>46172</v>
      </c>
      <c r="C193" s="50" t="s">
        <v>2638</v>
      </c>
      <c r="D193" s="51">
        <v>1.2272700000000001</v>
      </c>
      <c r="E193" s="52">
        <v>24.38</v>
      </c>
      <c r="F193" s="52">
        <v>5.85</v>
      </c>
      <c r="G193" s="52">
        <v>5.09</v>
      </c>
      <c r="H193" s="50" t="s">
        <v>1452</v>
      </c>
      <c r="I193" s="13" t="s">
        <v>1457</v>
      </c>
      <c r="J193" s="52">
        <f t="shared" ref="J193:J198" si="68">IF(H193="Ganhou",(F193-1)*G193,-G193)</f>
        <v>-5.09</v>
      </c>
      <c r="K193" s="52">
        <f t="shared" ref="K193:K198" si="69">IF(H193="Perdeu",(D193-1)*E193,-E193)</f>
        <v>5.5408426000000022</v>
      </c>
      <c r="L193" s="52">
        <f t="shared" ref="L193:L198" si="70">IF(H193="Perdeu",-K193*0.028,0)</f>
        <v>-0.15514359280000006</v>
      </c>
      <c r="M193" s="52">
        <f t="shared" ref="M193:M198" si="71">SUM(K193:L193)</f>
        <v>5.3856990072000022</v>
      </c>
      <c r="N193" s="52">
        <f t="shared" ref="N193:N198" si="72">SUM(J193:L193)</f>
        <v>0.29569900720000225</v>
      </c>
      <c r="O193" s="53">
        <f t="shared" ref="O193:O198" si="73">IFERROR(N193/SUM(G193,E193),"")</f>
        <v>1.00338991245335E-2</v>
      </c>
      <c r="P193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0.20877768662838392</v>
      </c>
    </row>
    <row r="194" spans="2:16" ht="19.95" customHeight="1">
      <c r="B194" s="49">
        <v>46172</v>
      </c>
      <c r="C194" s="50" t="s">
        <v>2637</v>
      </c>
      <c r="D194" s="51">
        <v>1.35714</v>
      </c>
      <c r="E194" s="52">
        <v>24.01</v>
      </c>
      <c r="F194" s="52">
        <v>4.04</v>
      </c>
      <c r="G194" s="52">
        <v>8.01</v>
      </c>
      <c r="H194" s="50" t="s">
        <v>1452</v>
      </c>
      <c r="I194" s="13" t="s">
        <v>1457</v>
      </c>
      <c r="J194" s="52">
        <f t="shared" si="68"/>
        <v>-8.01</v>
      </c>
      <c r="K194" s="52">
        <f t="shared" si="69"/>
        <v>8.5749314000000005</v>
      </c>
      <c r="L194" s="52">
        <f t="shared" si="70"/>
        <v>-0.24009807920000001</v>
      </c>
      <c r="M194" s="52">
        <f t="shared" si="71"/>
        <v>8.3348333208000014</v>
      </c>
      <c r="N194" s="52">
        <f t="shared" si="72"/>
        <v>0.32483332080000071</v>
      </c>
      <c r="O194" s="53">
        <f t="shared" si="73"/>
        <v>1.0144700836976911E-2</v>
      </c>
      <c r="P194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0.33361099541857558</v>
      </c>
    </row>
    <row r="195" spans="2:16" ht="19.95" customHeight="1">
      <c r="B195" s="49">
        <v>46172</v>
      </c>
      <c r="C195" s="50" t="s">
        <v>2636</v>
      </c>
      <c r="D195" s="51">
        <v>1.1499999999999999</v>
      </c>
      <c r="E195" s="52">
        <v>24.58</v>
      </c>
      <c r="F195" s="52">
        <v>8.52</v>
      </c>
      <c r="G195" s="52">
        <v>3.3</v>
      </c>
      <c r="H195" s="50" t="s">
        <v>1452</v>
      </c>
      <c r="I195" s="13" t="s">
        <v>1457</v>
      </c>
      <c r="J195" s="52">
        <f t="shared" si="68"/>
        <v>-3.3</v>
      </c>
      <c r="K195" s="52">
        <f t="shared" si="69"/>
        <v>3.6869999999999976</v>
      </c>
      <c r="L195" s="52">
        <f t="shared" si="70"/>
        <v>-0.10323599999999994</v>
      </c>
      <c r="M195" s="52">
        <f t="shared" si="71"/>
        <v>3.5837639999999977</v>
      </c>
      <c r="N195" s="52">
        <f t="shared" si="72"/>
        <v>0.28376399999999785</v>
      </c>
      <c r="O195" s="53">
        <f t="shared" si="73"/>
        <v>1.0178048780487729E-2</v>
      </c>
      <c r="P195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0.13425549227013833</v>
      </c>
    </row>
    <row r="196" spans="2:16" ht="19.95" customHeight="1">
      <c r="B196" s="49">
        <v>46172</v>
      </c>
      <c r="C196" s="50" t="s">
        <v>2624</v>
      </c>
      <c r="D196" s="51">
        <v>1.16666</v>
      </c>
      <c r="E196" s="52">
        <v>24.64</v>
      </c>
      <c r="F196" s="52">
        <v>7.72</v>
      </c>
      <c r="G196" s="52">
        <v>3.71</v>
      </c>
      <c r="H196" s="50" t="s">
        <v>1452</v>
      </c>
      <c r="I196" s="13" t="s">
        <v>1457</v>
      </c>
      <c r="J196" s="52">
        <f t="shared" si="68"/>
        <v>-3.71</v>
      </c>
      <c r="K196" s="52">
        <f t="shared" si="69"/>
        <v>4.106502400000001</v>
      </c>
      <c r="L196" s="52">
        <f t="shared" si="70"/>
        <v>-0.11498206720000002</v>
      </c>
      <c r="M196" s="52">
        <f t="shared" si="71"/>
        <v>3.9915203328000008</v>
      </c>
      <c r="N196" s="52">
        <f t="shared" si="72"/>
        <v>0.28152033280000099</v>
      </c>
      <c r="O196" s="53">
        <f t="shared" si="73"/>
        <v>9.9301704691358364E-3</v>
      </c>
      <c r="P196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0.15056818181818182</v>
      </c>
    </row>
    <row r="197" spans="2:16" ht="19.95" customHeight="1">
      <c r="B197" s="49">
        <v>46172</v>
      </c>
      <c r="C197" s="50" t="s">
        <v>2635</v>
      </c>
      <c r="D197" s="51">
        <v>3.4</v>
      </c>
      <c r="E197" s="52">
        <v>36</v>
      </c>
      <c r="F197" s="52">
        <v>1.05</v>
      </c>
      <c r="G197" s="52">
        <v>1000</v>
      </c>
      <c r="H197" s="50" t="s">
        <v>1450</v>
      </c>
      <c r="I197" s="13" t="s">
        <v>1457</v>
      </c>
      <c r="J197" s="52">
        <f t="shared" si="68"/>
        <v>50.000000000000043</v>
      </c>
      <c r="K197" s="52">
        <f t="shared" si="69"/>
        <v>-36</v>
      </c>
      <c r="L197" s="52">
        <f t="shared" si="70"/>
        <v>0</v>
      </c>
      <c r="M197" s="52">
        <f t="shared" si="71"/>
        <v>-36</v>
      </c>
      <c r="N197" s="52">
        <f t="shared" si="72"/>
        <v>14.000000000000043</v>
      </c>
      <c r="O197" s="53">
        <f t="shared" si="73"/>
        <v>1.3513513513513554E-2</v>
      </c>
      <c r="P197" s="53" t="str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/>
      </c>
    </row>
    <row r="198" spans="2:16" ht="19.95" customHeight="1">
      <c r="B198" s="49">
        <v>46172</v>
      </c>
      <c r="C198" s="50" t="s">
        <v>2634</v>
      </c>
      <c r="D198" s="51">
        <v>1.2127600000000001</v>
      </c>
      <c r="E198" s="52">
        <v>24.16</v>
      </c>
      <c r="F198" s="52">
        <v>6.19</v>
      </c>
      <c r="G198" s="52">
        <v>4.71</v>
      </c>
      <c r="H198" s="50" t="s">
        <v>1452</v>
      </c>
      <c r="I198" s="13" t="s">
        <v>1457</v>
      </c>
      <c r="J198" s="52">
        <f t="shared" si="68"/>
        <v>-4.71</v>
      </c>
      <c r="K198" s="52">
        <f t="shared" si="69"/>
        <v>5.1402816000000016</v>
      </c>
      <c r="L198" s="52">
        <f t="shared" si="70"/>
        <v>-0.14392788480000004</v>
      </c>
      <c r="M198" s="52">
        <f t="shared" si="71"/>
        <v>4.9963537152000015</v>
      </c>
      <c r="N198" s="52">
        <f t="shared" si="72"/>
        <v>0.28635371520000152</v>
      </c>
      <c r="O198" s="53">
        <f t="shared" si="73"/>
        <v>9.9187293107032039E-3</v>
      </c>
      <c r="P198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0.19495033112582782</v>
      </c>
    </row>
    <row r="199" spans="2:16" ht="19.95" customHeight="1">
      <c r="B199" s="49">
        <v>46173</v>
      </c>
      <c r="C199" s="50" t="s">
        <v>2683</v>
      </c>
      <c r="D199" s="51">
        <v>1.2564</v>
      </c>
      <c r="E199" s="52">
        <v>24.23</v>
      </c>
      <c r="F199" s="52">
        <v>5.27</v>
      </c>
      <c r="G199" s="52">
        <v>5.74</v>
      </c>
      <c r="H199" s="50" t="s">
        <v>1452</v>
      </c>
      <c r="I199" s="13" t="s">
        <v>1457</v>
      </c>
      <c r="J199" s="52">
        <f t="shared" ref="J199:J206" si="74">IF(H199="Ganhou",(F199-1)*G199,-G199)</f>
        <v>-5.74</v>
      </c>
      <c r="K199" s="52">
        <f t="shared" ref="K199:K206" si="75">IF(H199="Perdeu",(D199-1)*E199,-E199)</f>
        <v>6.2125719999999989</v>
      </c>
      <c r="L199" s="52">
        <f t="shared" ref="L199:L206" si="76">IF(H199="Perdeu",-K199*0.028,0)</f>
        <v>-0.17395201599999996</v>
      </c>
      <c r="M199" s="52">
        <f t="shared" ref="M199:M206" si="77">SUM(K199:L199)</f>
        <v>6.0386199839999986</v>
      </c>
      <c r="N199" s="52">
        <f t="shared" ref="N199:N206" si="78">SUM(J199:L199)</f>
        <v>0.29861998399999867</v>
      </c>
      <c r="O199" s="53">
        <f t="shared" ref="O199:O206" si="79">IFERROR(N199/SUM(G199,E199),"")</f>
        <v>9.9639634300967197E-3</v>
      </c>
      <c r="P199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0.23689640940982254</v>
      </c>
    </row>
    <row r="200" spans="2:16" ht="19.95" customHeight="1">
      <c r="B200" s="49">
        <v>46173</v>
      </c>
      <c r="C200" s="50" t="s">
        <v>2682</v>
      </c>
      <c r="D200" s="51">
        <v>1.1200000000000001</v>
      </c>
      <c r="E200" s="52">
        <v>23.96</v>
      </c>
      <c r="F200" s="52">
        <v>10.58</v>
      </c>
      <c r="G200" s="52">
        <v>2.5299999999999998</v>
      </c>
      <c r="H200" s="50" t="s">
        <v>1452</v>
      </c>
      <c r="I200" s="13" t="s">
        <v>1457</v>
      </c>
      <c r="J200" s="52">
        <f t="shared" si="74"/>
        <v>-2.5299999999999998</v>
      </c>
      <c r="K200" s="52">
        <f t="shared" si="75"/>
        <v>2.8752000000000026</v>
      </c>
      <c r="L200" s="52">
        <f t="shared" si="76"/>
        <v>-8.050560000000008E-2</v>
      </c>
      <c r="M200" s="52">
        <f t="shared" si="77"/>
        <v>2.7946944000000027</v>
      </c>
      <c r="N200" s="52">
        <f t="shared" si="78"/>
        <v>0.26469440000000277</v>
      </c>
      <c r="O200" s="53">
        <f t="shared" si="79"/>
        <v>9.9922385805965557E-3</v>
      </c>
      <c r="P200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0.10559265442404006</v>
      </c>
    </row>
    <row r="201" spans="2:16" ht="19.95" customHeight="1">
      <c r="B201" s="49">
        <v>46173</v>
      </c>
      <c r="C201" s="50" t="s">
        <v>2681</v>
      </c>
      <c r="D201" s="51">
        <v>1.27027</v>
      </c>
      <c r="E201" s="52">
        <v>23.87</v>
      </c>
      <c r="F201" s="52">
        <v>5.05</v>
      </c>
      <c r="G201" s="52">
        <v>5.97</v>
      </c>
      <c r="H201" s="50" t="s">
        <v>1450</v>
      </c>
      <c r="I201" s="13" t="s">
        <v>1457</v>
      </c>
      <c r="J201" s="52">
        <f t="shared" si="74"/>
        <v>24.1785</v>
      </c>
      <c r="K201" s="52">
        <f t="shared" si="75"/>
        <v>-23.87</v>
      </c>
      <c r="L201" s="52">
        <f t="shared" si="76"/>
        <v>0</v>
      </c>
      <c r="M201" s="52">
        <f t="shared" si="77"/>
        <v>-23.87</v>
      </c>
      <c r="N201" s="52">
        <f t="shared" si="78"/>
        <v>0.30849999999999866</v>
      </c>
      <c r="O201" s="53">
        <f t="shared" si="79"/>
        <v>1.0338471849865907E-2</v>
      </c>
      <c r="P201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0.25010473397570171</v>
      </c>
    </row>
    <row r="202" spans="2:16" ht="19.95" customHeight="1">
      <c r="B202" s="49">
        <v>46173</v>
      </c>
      <c r="C202" s="50" t="s">
        <v>2680</v>
      </c>
      <c r="D202" s="51">
        <v>1.1599999999999999</v>
      </c>
      <c r="E202" s="52">
        <v>24.01</v>
      </c>
      <c r="F202" s="52">
        <v>8.02</v>
      </c>
      <c r="G202" s="52">
        <v>3.46</v>
      </c>
      <c r="H202" s="50" t="s">
        <v>1452</v>
      </c>
      <c r="I202" s="13" t="s">
        <v>1457</v>
      </c>
      <c r="J202" s="52">
        <f t="shared" si="74"/>
        <v>-3.46</v>
      </c>
      <c r="K202" s="52">
        <f t="shared" si="75"/>
        <v>3.8415999999999983</v>
      </c>
      <c r="L202" s="52">
        <f t="shared" si="76"/>
        <v>-0.10756479999999996</v>
      </c>
      <c r="M202" s="52">
        <f t="shared" si="77"/>
        <v>3.7340351999999983</v>
      </c>
      <c r="N202" s="52">
        <f t="shared" si="78"/>
        <v>0.27403519999999842</v>
      </c>
      <c r="O202" s="53">
        <f t="shared" si="79"/>
        <v>9.9757990535128648E-3</v>
      </c>
      <c r="P202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0.14410662224073301</v>
      </c>
    </row>
    <row r="203" spans="2:16" ht="19.95" customHeight="1">
      <c r="B203" s="49">
        <v>46173</v>
      </c>
      <c r="C203" s="50" t="s">
        <v>2679</v>
      </c>
      <c r="D203" s="51">
        <v>1.1282000000000001</v>
      </c>
      <c r="E203" s="52">
        <v>24.06</v>
      </c>
      <c r="F203" s="52">
        <v>9.91</v>
      </c>
      <c r="G203" s="52">
        <v>2.73</v>
      </c>
      <c r="H203" s="50" t="s">
        <v>1452</v>
      </c>
      <c r="I203" s="13" t="s">
        <v>1457</v>
      </c>
      <c r="J203" s="52">
        <f t="shared" si="74"/>
        <v>-2.73</v>
      </c>
      <c r="K203" s="52">
        <f t="shared" si="75"/>
        <v>3.0844920000000022</v>
      </c>
      <c r="L203" s="52">
        <f t="shared" si="76"/>
        <v>-8.6365776000000061E-2</v>
      </c>
      <c r="M203" s="52">
        <f t="shared" si="77"/>
        <v>2.9981262240000022</v>
      </c>
      <c r="N203" s="52">
        <f t="shared" si="78"/>
        <v>0.26812622400000219</v>
      </c>
      <c r="O203" s="53">
        <f t="shared" si="79"/>
        <v>1.0008444344904898E-2</v>
      </c>
      <c r="P203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0.11346633416458854</v>
      </c>
    </row>
    <row r="204" spans="2:16" ht="19.95" customHeight="1">
      <c r="B204" s="49">
        <v>46173</v>
      </c>
      <c r="C204" s="50" t="s">
        <v>2678</v>
      </c>
      <c r="D204" s="51">
        <v>1.13157</v>
      </c>
      <c r="E204" s="52">
        <v>24.11</v>
      </c>
      <c r="F204" s="52">
        <v>9.66</v>
      </c>
      <c r="G204" s="52">
        <v>2.81</v>
      </c>
      <c r="H204" s="50" t="s">
        <v>1452</v>
      </c>
      <c r="I204" s="13" t="s">
        <v>1457</v>
      </c>
      <c r="J204" s="52">
        <f t="shared" si="74"/>
        <v>-2.81</v>
      </c>
      <c r="K204" s="52">
        <f t="shared" si="75"/>
        <v>3.1721526999999989</v>
      </c>
      <c r="L204" s="52">
        <f t="shared" si="76"/>
        <v>-8.882027559999997E-2</v>
      </c>
      <c r="M204" s="52">
        <f t="shared" si="77"/>
        <v>3.0833324243999991</v>
      </c>
      <c r="N204" s="52">
        <f t="shared" si="78"/>
        <v>0.27333242439999894</v>
      </c>
      <c r="O204" s="53">
        <f t="shared" si="79"/>
        <v>1.0153507592867718E-2</v>
      </c>
      <c r="P204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0.11654914973040233</v>
      </c>
    </row>
    <row r="205" spans="2:16" ht="19.95" customHeight="1">
      <c r="B205" s="49">
        <v>46173</v>
      </c>
      <c r="C205" s="50" t="s">
        <v>2677</v>
      </c>
      <c r="D205" s="51">
        <v>1.44</v>
      </c>
      <c r="E205" s="52">
        <v>24.15</v>
      </c>
      <c r="F205" s="52">
        <v>3.45</v>
      </c>
      <c r="G205" s="52">
        <v>9.99</v>
      </c>
      <c r="H205" s="50" t="s">
        <v>1450</v>
      </c>
      <c r="I205" s="13" t="s">
        <v>1457</v>
      </c>
      <c r="J205" s="52">
        <f t="shared" si="74"/>
        <v>24.475500000000004</v>
      </c>
      <c r="K205" s="52">
        <f t="shared" si="75"/>
        <v>-24.15</v>
      </c>
      <c r="L205" s="52">
        <f t="shared" si="76"/>
        <v>0</v>
      </c>
      <c r="M205" s="52">
        <f t="shared" si="77"/>
        <v>-24.15</v>
      </c>
      <c r="N205" s="52">
        <f t="shared" si="78"/>
        <v>0.32550000000000523</v>
      </c>
      <c r="O205" s="53">
        <f t="shared" si="79"/>
        <v>9.5342706502637726E-3</v>
      </c>
      <c r="P205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0.41366459627329194</v>
      </c>
    </row>
    <row r="206" spans="2:16" ht="19.95" customHeight="1">
      <c r="B206" s="49">
        <v>46173</v>
      </c>
      <c r="C206" s="50" t="s">
        <v>2676</v>
      </c>
      <c r="D206" s="51">
        <v>1.4</v>
      </c>
      <c r="E206" s="52">
        <v>23.79</v>
      </c>
      <c r="F206" s="52">
        <v>3.7</v>
      </c>
      <c r="G206" s="52">
        <v>8.92</v>
      </c>
      <c r="H206" s="50" t="s">
        <v>1452</v>
      </c>
      <c r="I206" s="13" t="s">
        <v>1457</v>
      </c>
      <c r="J206" s="52">
        <f t="shared" si="74"/>
        <v>-8.92</v>
      </c>
      <c r="K206" s="52">
        <f t="shared" si="75"/>
        <v>9.5159999999999982</v>
      </c>
      <c r="L206" s="52">
        <f t="shared" si="76"/>
        <v>-0.26644799999999996</v>
      </c>
      <c r="M206" s="52">
        <f t="shared" si="77"/>
        <v>9.2495519999999978</v>
      </c>
      <c r="N206" s="52">
        <f t="shared" si="78"/>
        <v>0.32955199999999835</v>
      </c>
      <c r="O206" s="53">
        <f t="shared" si="79"/>
        <v>1.0074961785386681E-2</v>
      </c>
      <c r="P206" s="5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0.37494745691467002</v>
      </c>
    </row>
    <row r="207" spans="2:16" ht="19.95" customHeight="1">
      <c r="B207" s="54">
        <v>46174</v>
      </c>
      <c r="C207" s="55" t="s">
        <v>2689</v>
      </c>
      <c r="D207" s="56">
        <v>1.41</v>
      </c>
      <c r="E207" s="57">
        <v>23.22</v>
      </c>
      <c r="F207" s="57">
        <v>3.64</v>
      </c>
      <c r="G207" s="57">
        <v>8.93</v>
      </c>
      <c r="H207" s="50" t="s">
        <v>1452</v>
      </c>
      <c r="I207" s="13" t="s">
        <v>1457</v>
      </c>
      <c r="J207" s="57">
        <f t="shared" ref="J207:J209" si="80">IF(H207="Ganhou",(F207-1)*G207,-G207)</f>
        <v>-8.93</v>
      </c>
      <c r="K207" s="57">
        <f t="shared" ref="K207:K209" si="81">IF(H207="Perdeu",(D207-1)*E207,-E207)</f>
        <v>9.5201999999999973</v>
      </c>
      <c r="L207" s="57">
        <f t="shared" ref="L207:L209" si="82">IF(H207="Perdeu",-K207*0.028,0)</f>
        <v>-0.26656559999999996</v>
      </c>
      <c r="M207" s="57">
        <f t="shared" ref="M207:M209" si="83">SUM(K207:L207)</f>
        <v>9.2536343999999975</v>
      </c>
      <c r="N207" s="57">
        <f t="shared" ref="N207:N209" si="84">SUM(J207:L207)</f>
        <v>0.32363439999999766</v>
      </c>
      <c r="O207" s="58">
        <f t="shared" ref="O207:O209" si="85">IFERROR(N207/SUM(G207,E207),"")</f>
        <v>1.0066388802488264E-2</v>
      </c>
      <c r="P207" s="5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0.38458225667527995</v>
      </c>
    </row>
    <row r="208" spans="2:16" ht="19.95" customHeight="1">
      <c r="B208" s="54">
        <v>46174</v>
      </c>
      <c r="C208" s="55" t="s">
        <v>2688</v>
      </c>
      <c r="D208" s="56">
        <v>1.38</v>
      </c>
      <c r="E208" s="57">
        <v>23.57</v>
      </c>
      <c r="F208" s="57">
        <v>3.85</v>
      </c>
      <c r="G208" s="57">
        <v>8.39</v>
      </c>
      <c r="H208" s="50" t="s">
        <v>1450</v>
      </c>
      <c r="I208" s="13" t="s">
        <v>1457</v>
      </c>
      <c r="J208" s="57">
        <f t="shared" si="80"/>
        <v>23.911500000000004</v>
      </c>
      <c r="K208" s="57">
        <f t="shared" si="81"/>
        <v>-23.57</v>
      </c>
      <c r="L208" s="57">
        <f t="shared" si="82"/>
        <v>0</v>
      </c>
      <c r="M208" s="57">
        <f t="shared" si="83"/>
        <v>-23.57</v>
      </c>
      <c r="N208" s="57">
        <f t="shared" si="84"/>
        <v>0.34150000000000347</v>
      </c>
      <c r="O208" s="58">
        <f t="shared" si="85"/>
        <v>1.0685231539424389E-2</v>
      </c>
      <c r="P208" s="5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0.35596096733135346</v>
      </c>
    </row>
    <row r="209" spans="2:16" ht="19.95" customHeight="1">
      <c r="B209" s="54">
        <v>46174</v>
      </c>
      <c r="C209" s="55" t="s">
        <v>2687</v>
      </c>
      <c r="D209" s="56">
        <v>1.1200000000000001</v>
      </c>
      <c r="E209" s="57">
        <v>23.93</v>
      </c>
      <c r="F209" s="57">
        <v>10.58</v>
      </c>
      <c r="G209" s="57">
        <v>2.5299999999999998</v>
      </c>
      <c r="H209" s="50" t="s">
        <v>1450</v>
      </c>
      <c r="I209" s="13" t="s">
        <v>1457</v>
      </c>
      <c r="J209" s="57">
        <f t="shared" si="80"/>
        <v>24.237399999999997</v>
      </c>
      <c r="K209" s="57">
        <f t="shared" si="81"/>
        <v>-23.93</v>
      </c>
      <c r="L209" s="57">
        <f t="shared" si="82"/>
        <v>0</v>
      </c>
      <c r="M209" s="57">
        <f t="shared" si="83"/>
        <v>-23.93</v>
      </c>
      <c r="N209" s="57">
        <f t="shared" si="84"/>
        <v>0.30739999999999768</v>
      </c>
      <c r="O209" s="58">
        <f t="shared" si="85"/>
        <v>1.1617535903250101E-2</v>
      </c>
      <c r="P209" s="5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0.10572503134141245</v>
      </c>
    </row>
    <row r="210" spans="2:16" ht="19.95" customHeight="1">
      <c r="B210" s="59">
        <v>46176</v>
      </c>
      <c r="C210" s="60" t="s">
        <v>2727</v>
      </c>
      <c r="D210" s="61">
        <v>1.21</v>
      </c>
      <c r="E210" s="62">
        <v>23.36</v>
      </c>
      <c r="F210" s="62">
        <v>6.26</v>
      </c>
      <c r="G210" s="62">
        <v>4.49</v>
      </c>
      <c r="H210" s="50" t="s">
        <v>1450</v>
      </c>
      <c r="I210" s="13" t="s">
        <v>1457</v>
      </c>
      <c r="J210" s="62">
        <f t="shared" ref="J210:J220" si="86">IF(H210="Ganhou",(F210-1)*G210,-G210)</f>
        <v>23.6174</v>
      </c>
      <c r="K210" s="62">
        <f t="shared" ref="K210:K220" si="87">IF(H210="Perdeu",(D210-1)*E210,-E210)</f>
        <v>-23.36</v>
      </c>
      <c r="L210" s="62">
        <f t="shared" ref="L210:L220" si="88">IF(H210="Perdeu",-K210*0.028,0)</f>
        <v>0</v>
      </c>
      <c r="M210" s="62">
        <f t="shared" ref="M210:M220" si="89">SUM(K210:L210)</f>
        <v>-23.36</v>
      </c>
      <c r="N210" s="62">
        <f t="shared" ref="N210:N220" si="90">SUM(J210:L210)</f>
        <v>0.25740000000000052</v>
      </c>
      <c r="O210" s="63">
        <f t="shared" ref="O210:O220" si="91">IFERROR(N210/SUM(G210,E210),"")</f>
        <v>9.2423698384201253E-3</v>
      </c>
      <c r="P210" s="6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0.19220890410958905</v>
      </c>
    </row>
    <row r="211" spans="2:16" ht="19.95" customHeight="1">
      <c r="B211" s="59">
        <v>46178</v>
      </c>
      <c r="C211" s="60" t="s">
        <v>2726</v>
      </c>
      <c r="D211" s="61">
        <v>1.3448199999999999</v>
      </c>
      <c r="E211" s="62">
        <v>23.08</v>
      </c>
      <c r="F211" s="62">
        <v>4.1500000000000004</v>
      </c>
      <c r="G211" s="62">
        <v>7.43</v>
      </c>
      <c r="H211" s="60" t="s">
        <v>1452</v>
      </c>
      <c r="I211" s="13" t="s">
        <v>1457</v>
      </c>
      <c r="J211" s="62">
        <f t="shared" si="86"/>
        <v>-7.43</v>
      </c>
      <c r="K211" s="62">
        <f t="shared" si="87"/>
        <v>7.9584455999999975</v>
      </c>
      <c r="L211" s="62">
        <f t="shared" si="88"/>
        <v>-0.22283647679999993</v>
      </c>
      <c r="M211" s="62">
        <f t="shared" si="89"/>
        <v>7.7356091231999979</v>
      </c>
      <c r="N211" s="62">
        <f t="shared" si="90"/>
        <v>0.30560912319999778</v>
      </c>
      <c r="O211" s="63">
        <f t="shared" si="91"/>
        <v>1.0016687092756401E-2</v>
      </c>
      <c r="P211" s="6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0.32192374350086655</v>
      </c>
    </row>
    <row r="212" spans="2:16" ht="19.95" customHeight="1">
      <c r="B212" s="59">
        <v>46178</v>
      </c>
      <c r="C212" s="60" t="s">
        <v>2725</v>
      </c>
      <c r="D212" s="61">
        <v>1.1851799999999999</v>
      </c>
      <c r="E212" s="62">
        <v>22.73</v>
      </c>
      <c r="F212" s="62">
        <v>7.01</v>
      </c>
      <c r="G212" s="62">
        <v>3.83</v>
      </c>
      <c r="H212" s="60" t="s">
        <v>1452</v>
      </c>
      <c r="I212" s="13" t="s">
        <v>1457</v>
      </c>
      <c r="J212" s="62">
        <f t="shared" si="86"/>
        <v>-3.83</v>
      </c>
      <c r="K212" s="62">
        <f t="shared" si="87"/>
        <v>4.2091413999999974</v>
      </c>
      <c r="L212" s="62">
        <f t="shared" si="88"/>
        <v>-0.11785595919999993</v>
      </c>
      <c r="M212" s="62">
        <f t="shared" si="89"/>
        <v>4.0912854407999975</v>
      </c>
      <c r="N212" s="62">
        <f t="shared" si="90"/>
        <v>0.26128544079999738</v>
      </c>
      <c r="O212" s="63">
        <f t="shared" si="91"/>
        <v>9.8375542469878521E-3</v>
      </c>
      <c r="P212" s="6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0.16849978002639684</v>
      </c>
    </row>
    <row r="213" spans="2:16" ht="19.95" customHeight="1">
      <c r="B213" s="59">
        <v>46179</v>
      </c>
      <c r="C213" s="60" t="s">
        <v>2724</v>
      </c>
      <c r="D213" s="61">
        <v>1.2083299999999999</v>
      </c>
      <c r="E213" s="62">
        <v>23.26</v>
      </c>
      <c r="F213" s="62">
        <v>6.31</v>
      </c>
      <c r="G213" s="62">
        <v>4.43</v>
      </c>
      <c r="H213" s="50" t="s">
        <v>1450</v>
      </c>
      <c r="I213" s="13" t="s">
        <v>1457</v>
      </c>
      <c r="J213" s="62">
        <f t="shared" si="86"/>
        <v>23.523299999999995</v>
      </c>
      <c r="K213" s="62">
        <f t="shared" si="87"/>
        <v>-23.26</v>
      </c>
      <c r="L213" s="62">
        <f t="shared" si="88"/>
        <v>0</v>
      </c>
      <c r="M213" s="62">
        <f t="shared" si="89"/>
        <v>-23.26</v>
      </c>
      <c r="N213" s="62">
        <f t="shared" si="90"/>
        <v>0.26329999999999387</v>
      </c>
      <c r="O213" s="63">
        <f t="shared" si="91"/>
        <v>9.508847959551963E-3</v>
      </c>
      <c r="P213" s="6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0.19045571797076524</v>
      </c>
    </row>
    <row r="214" spans="2:16" ht="19.95" customHeight="1">
      <c r="B214" s="59">
        <v>46179</v>
      </c>
      <c r="C214" s="60" t="s">
        <v>2723</v>
      </c>
      <c r="D214" s="61">
        <v>1.5</v>
      </c>
      <c r="E214" s="62">
        <v>22.91</v>
      </c>
      <c r="F214" s="62">
        <v>3.15</v>
      </c>
      <c r="G214" s="62">
        <v>10.8</v>
      </c>
      <c r="H214" s="50" t="s">
        <v>1450</v>
      </c>
      <c r="I214" s="13" t="s">
        <v>1457</v>
      </c>
      <c r="J214" s="62">
        <f t="shared" si="86"/>
        <v>23.22</v>
      </c>
      <c r="K214" s="62">
        <f t="shared" si="87"/>
        <v>-22.91</v>
      </c>
      <c r="L214" s="62">
        <f t="shared" si="88"/>
        <v>0</v>
      </c>
      <c r="M214" s="62">
        <f t="shared" si="89"/>
        <v>-22.91</v>
      </c>
      <c r="N214" s="62">
        <f t="shared" si="90"/>
        <v>0.30999999999999872</v>
      </c>
      <c r="O214" s="63">
        <f t="shared" si="91"/>
        <v>9.1960842479975879E-3</v>
      </c>
      <c r="P214" s="6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0.47140986468790924</v>
      </c>
    </row>
    <row r="215" spans="2:16" ht="19.95" customHeight="1">
      <c r="B215" s="59">
        <v>46179</v>
      </c>
      <c r="C215" s="60" t="s">
        <v>2722</v>
      </c>
      <c r="D215" s="61">
        <v>1.1000000000000001</v>
      </c>
      <c r="E215" s="62">
        <v>22.56</v>
      </c>
      <c r="F215" s="62">
        <v>12.71</v>
      </c>
      <c r="G215" s="62">
        <v>1.95</v>
      </c>
      <c r="H215" s="60" t="s">
        <v>1452</v>
      </c>
      <c r="I215" s="13" t="s">
        <v>1457</v>
      </c>
      <c r="J215" s="62">
        <f t="shared" si="86"/>
        <v>-1.95</v>
      </c>
      <c r="K215" s="62">
        <f t="shared" si="87"/>
        <v>2.256000000000002</v>
      </c>
      <c r="L215" s="62">
        <f t="shared" si="88"/>
        <v>-6.3168000000000057E-2</v>
      </c>
      <c r="M215" s="62">
        <f t="shared" si="89"/>
        <v>2.1928320000000019</v>
      </c>
      <c r="N215" s="62">
        <f t="shared" si="90"/>
        <v>0.24283200000000199</v>
      </c>
      <c r="O215" s="63">
        <f t="shared" si="91"/>
        <v>9.9074663402693598E-3</v>
      </c>
      <c r="P215" s="6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8.6436170212765964E-2</v>
      </c>
    </row>
    <row r="216" spans="2:16" ht="19.95" customHeight="1">
      <c r="B216" s="59">
        <v>46180</v>
      </c>
      <c r="C216" s="60" t="s">
        <v>2721</v>
      </c>
      <c r="D216" s="61">
        <v>1.22</v>
      </c>
      <c r="E216" s="62">
        <v>23</v>
      </c>
      <c r="F216" s="62">
        <v>6.01</v>
      </c>
      <c r="G216" s="62">
        <v>4.6399999999999997</v>
      </c>
      <c r="H216" s="60" t="s">
        <v>1452</v>
      </c>
      <c r="I216" s="13" t="s">
        <v>1457</v>
      </c>
      <c r="J216" s="62">
        <f t="shared" si="86"/>
        <v>-4.6399999999999997</v>
      </c>
      <c r="K216" s="62">
        <f t="shared" si="87"/>
        <v>5.0599999999999996</v>
      </c>
      <c r="L216" s="62">
        <f t="shared" si="88"/>
        <v>-0.14168</v>
      </c>
      <c r="M216" s="62">
        <f t="shared" si="89"/>
        <v>4.9183199999999996</v>
      </c>
      <c r="N216" s="62">
        <f t="shared" si="90"/>
        <v>0.2783199999999999</v>
      </c>
      <c r="O216" s="63">
        <f t="shared" si="91"/>
        <v>1.0069464544138925E-2</v>
      </c>
      <c r="P216" s="6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0.20173913043478259</v>
      </c>
    </row>
    <row r="217" spans="2:16" ht="19.95" customHeight="1">
      <c r="B217" s="59">
        <v>46180</v>
      </c>
      <c r="C217" s="60" t="s">
        <v>2720</v>
      </c>
      <c r="D217" s="61">
        <v>1.13157</v>
      </c>
      <c r="E217" s="62">
        <v>22.6</v>
      </c>
      <c r="F217" s="62">
        <v>9.66</v>
      </c>
      <c r="G217" s="62">
        <v>2.64</v>
      </c>
      <c r="H217" s="60" t="s">
        <v>1452</v>
      </c>
      <c r="I217" s="13" t="s">
        <v>1457</v>
      </c>
      <c r="J217" s="62">
        <f t="shared" si="86"/>
        <v>-2.64</v>
      </c>
      <c r="K217" s="62">
        <f t="shared" si="87"/>
        <v>2.9734819999999993</v>
      </c>
      <c r="L217" s="62">
        <f t="shared" si="88"/>
        <v>-8.3257495999999986E-2</v>
      </c>
      <c r="M217" s="62">
        <f t="shared" si="89"/>
        <v>2.8902245039999994</v>
      </c>
      <c r="N217" s="62">
        <f t="shared" si="90"/>
        <v>0.25022450399999918</v>
      </c>
      <c r="O217" s="63">
        <f t="shared" si="91"/>
        <v>9.9138076069730258E-3</v>
      </c>
      <c r="P217" s="6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0.1168141592920354</v>
      </c>
    </row>
    <row r="218" spans="2:16" ht="19.95" customHeight="1">
      <c r="B218" s="59">
        <v>46180</v>
      </c>
      <c r="C218" s="60" t="s">
        <v>2719</v>
      </c>
      <c r="D218" s="61">
        <v>1.1851799999999999</v>
      </c>
      <c r="E218" s="62">
        <v>22.64</v>
      </c>
      <c r="F218" s="62">
        <v>7.01</v>
      </c>
      <c r="G218" s="62">
        <v>3.81</v>
      </c>
      <c r="H218" s="60" t="s">
        <v>1452</v>
      </c>
      <c r="I218" s="13" t="s">
        <v>1457</v>
      </c>
      <c r="J218" s="62">
        <f t="shared" si="86"/>
        <v>-3.81</v>
      </c>
      <c r="K218" s="62">
        <f t="shared" si="87"/>
        <v>4.1924751999999978</v>
      </c>
      <c r="L218" s="62">
        <f t="shared" si="88"/>
        <v>-0.11738930559999994</v>
      </c>
      <c r="M218" s="62">
        <f t="shared" si="89"/>
        <v>4.0750858943999981</v>
      </c>
      <c r="N218" s="62">
        <f t="shared" si="90"/>
        <v>0.26508589439999786</v>
      </c>
      <c r="O218" s="63">
        <f t="shared" si="91"/>
        <v>1.0022151017013151E-2</v>
      </c>
      <c r="P218" s="6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0.16828621908127209</v>
      </c>
    </row>
    <row r="219" spans="2:16" ht="19.95" customHeight="1">
      <c r="B219" s="59">
        <v>46180</v>
      </c>
      <c r="C219" s="60" t="s">
        <v>2718</v>
      </c>
      <c r="D219" s="61">
        <v>1.20408</v>
      </c>
      <c r="E219" s="62">
        <v>22.7</v>
      </c>
      <c r="F219" s="62">
        <v>6.43</v>
      </c>
      <c r="G219" s="62">
        <v>4.2300000000000004</v>
      </c>
      <c r="H219" s="60" t="s">
        <v>1452</v>
      </c>
      <c r="I219" s="13" t="s">
        <v>1457</v>
      </c>
      <c r="J219" s="62">
        <f t="shared" si="86"/>
        <v>-4.2300000000000004</v>
      </c>
      <c r="K219" s="62">
        <f t="shared" si="87"/>
        <v>4.6326160000000005</v>
      </c>
      <c r="L219" s="62">
        <f t="shared" si="88"/>
        <v>-0.129713248</v>
      </c>
      <c r="M219" s="62">
        <f t="shared" si="89"/>
        <v>4.5029027520000007</v>
      </c>
      <c r="N219" s="62">
        <f t="shared" si="90"/>
        <v>0.27290275200000008</v>
      </c>
      <c r="O219" s="63">
        <f t="shared" si="91"/>
        <v>1.0133782101745269E-2</v>
      </c>
      <c r="P219" s="6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0.18634361233480179</v>
      </c>
    </row>
    <row r="220" spans="2:16" ht="19.95" customHeight="1">
      <c r="B220" s="59">
        <v>46180</v>
      </c>
      <c r="C220" s="60" t="s">
        <v>2717</v>
      </c>
      <c r="D220" s="61">
        <v>1.20408</v>
      </c>
      <c r="E220" s="62">
        <v>22.77</v>
      </c>
      <c r="F220" s="62">
        <v>6.43</v>
      </c>
      <c r="G220" s="62">
        <v>4.25</v>
      </c>
      <c r="H220" s="60" t="s">
        <v>1452</v>
      </c>
      <c r="I220" s="13" t="s">
        <v>1457</v>
      </c>
      <c r="J220" s="62">
        <f t="shared" si="86"/>
        <v>-4.25</v>
      </c>
      <c r="K220" s="62">
        <f t="shared" si="87"/>
        <v>4.6469016000000005</v>
      </c>
      <c r="L220" s="62">
        <f t="shared" si="88"/>
        <v>-0.13011324480000003</v>
      </c>
      <c r="M220" s="62">
        <f t="shared" si="89"/>
        <v>4.5167883552000001</v>
      </c>
      <c r="N220" s="62">
        <f t="shared" si="90"/>
        <v>0.26678835520000049</v>
      </c>
      <c r="O220" s="63">
        <f t="shared" si="91"/>
        <v>9.8737363138416169E-3</v>
      </c>
      <c r="P220" s="6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0.18664909969257795</v>
      </c>
    </row>
    <row r="221" spans="2:16" ht="19.95" customHeight="1">
      <c r="B221" s="59">
        <v>46182</v>
      </c>
      <c r="C221" s="60" t="s">
        <v>2745</v>
      </c>
      <c r="D221" s="61">
        <v>1.12899903677758</v>
      </c>
      <c r="E221" s="62">
        <v>22.84</v>
      </c>
      <c r="F221" s="62">
        <v>9.85</v>
      </c>
      <c r="G221" s="62">
        <v>2.61</v>
      </c>
      <c r="H221" s="60" t="s">
        <v>1452</v>
      </c>
      <c r="I221" s="13" t="s">
        <v>1457</v>
      </c>
      <c r="J221" s="62">
        <f>IF(H221="Ganhou",(F221-1)*G221,-G221)</f>
        <v>-2.61</v>
      </c>
      <c r="K221" s="62">
        <f>IF(H221="Perdeu",(D221-1)*E221,-E221)</f>
        <v>2.9463379999999262</v>
      </c>
      <c r="L221" s="62">
        <f>IF(H221="Perdeu",-K221*0.028,0)</f>
        <v>-8.2497463999997939E-2</v>
      </c>
      <c r="M221" s="62">
        <f>SUM(K221:L221)</f>
        <v>2.8638405359999282</v>
      </c>
      <c r="N221" s="62">
        <f>SUM(J221:L221)</f>
        <v>0.2538405359999284</v>
      </c>
      <c r="O221" s="63">
        <f>IFERROR(N221/SUM(G221,E221),"")</f>
        <v>9.9740878585433557E-3</v>
      </c>
      <c r="P221" s="6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0.11427320490367775</v>
      </c>
    </row>
    <row r="222" spans="2:16" ht="19.95" customHeight="1">
      <c r="B222" s="64">
        <v>46183</v>
      </c>
      <c r="C222" s="65" t="s">
        <v>2760</v>
      </c>
      <c r="D222" s="66">
        <v>1.7462599999999999</v>
      </c>
      <c r="E222" s="67">
        <v>22.88</v>
      </c>
      <c r="F222" s="67">
        <v>2.44</v>
      </c>
      <c r="G222" s="67">
        <v>16.21</v>
      </c>
      <c r="H222" s="65" t="s">
        <v>1450</v>
      </c>
      <c r="I222" s="13" t="s">
        <v>1457</v>
      </c>
      <c r="J222" s="67">
        <f t="shared" ref="J222:J225" si="92">IF(H222="Ganhou",(F222-1)*G222,-G222)</f>
        <v>23.342400000000001</v>
      </c>
      <c r="K222" s="67">
        <f t="shared" ref="K222:K225" si="93">IF(H222="Perdeu",(D222-1)*E222,-E222)</f>
        <v>-22.88</v>
      </c>
      <c r="L222" s="67">
        <f t="shared" ref="L222:L225" si="94">IF(H222="Perdeu",-K222*0.028,0)</f>
        <v>0</v>
      </c>
      <c r="M222" s="67">
        <f t="shared" ref="M222:M225" si="95">SUM(K222:L222)</f>
        <v>-22.88</v>
      </c>
      <c r="N222" s="67">
        <f t="shared" ref="N222:N225" si="96">SUM(J222:L222)</f>
        <v>0.46240000000000236</v>
      </c>
      <c r="O222" s="68">
        <f t="shared" ref="O222:O225" si="97">IFERROR(N222/SUM(G222,E222),"")</f>
        <v>1.1829112304937384E-2</v>
      </c>
      <c r="P222" s="6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0.70847902097902105</v>
      </c>
    </row>
    <row r="223" spans="2:16" ht="19.95" customHeight="1">
      <c r="B223" s="64">
        <v>46183</v>
      </c>
      <c r="C223" s="65" t="s">
        <v>2757</v>
      </c>
      <c r="D223" s="66">
        <v>1.54</v>
      </c>
      <c r="E223" s="67">
        <v>22.54</v>
      </c>
      <c r="F223" s="67">
        <v>2.99</v>
      </c>
      <c r="G223" s="67">
        <v>11.49</v>
      </c>
      <c r="H223" s="60" t="s">
        <v>1452</v>
      </c>
      <c r="I223" s="13" t="s">
        <v>1457</v>
      </c>
      <c r="J223" s="67">
        <f t="shared" si="92"/>
        <v>-11.49</v>
      </c>
      <c r="K223" s="67">
        <f t="shared" si="93"/>
        <v>12.1716</v>
      </c>
      <c r="L223" s="67">
        <f t="shared" si="94"/>
        <v>-0.34080480000000002</v>
      </c>
      <c r="M223" s="67">
        <f t="shared" si="95"/>
        <v>11.830795199999999</v>
      </c>
      <c r="N223" s="67">
        <f t="shared" si="96"/>
        <v>0.34079519999999952</v>
      </c>
      <c r="O223" s="68">
        <f t="shared" si="97"/>
        <v>1.0014551866000573E-2</v>
      </c>
      <c r="P223" s="6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0.50976042590949422</v>
      </c>
    </row>
    <row r="224" spans="2:16" ht="19.95" customHeight="1">
      <c r="B224" s="64">
        <v>46183</v>
      </c>
      <c r="C224" s="65" t="s">
        <v>2754</v>
      </c>
      <c r="D224" s="66">
        <v>1.17</v>
      </c>
      <c r="E224" s="67">
        <v>22.71</v>
      </c>
      <c r="F224" s="67">
        <v>7.58</v>
      </c>
      <c r="G224" s="67">
        <v>3.49</v>
      </c>
      <c r="H224" s="60" t="s">
        <v>1452</v>
      </c>
      <c r="I224" s="13" t="s">
        <v>1457</v>
      </c>
      <c r="J224" s="67">
        <f t="shared" si="92"/>
        <v>-3.49</v>
      </c>
      <c r="K224" s="67">
        <f t="shared" si="93"/>
        <v>3.8606999999999987</v>
      </c>
      <c r="L224" s="67">
        <f t="shared" si="94"/>
        <v>-0.10809959999999996</v>
      </c>
      <c r="M224" s="67">
        <f t="shared" si="95"/>
        <v>3.7526003999999986</v>
      </c>
      <c r="N224" s="67">
        <f t="shared" si="96"/>
        <v>0.26260039999999851</v>
      </c>
      <c r="O224" s="68">
        <f t="shared" si="97"/>
        <v>1.0022916030534294E-2</v>
      </c>
      <c r="P224" s="6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0.15367679436371642</v>
      </c>
    </row>
    <row r="225" spans="2:16" ht="19.95" customHeight="1">
      <c r="B225" s="64">
        <v>46183</v>
      </c>
      <c r="C225" s="65" t="s">
        <v>2759</v>
      </c>
      <c r="D225" s="66">
        <v>1.26315</v>
      </c>
      <c r="E225" s="67">
        <v>22.37</v>
      </c>
      <c r="F225" s="67">
        <v>5.16</v>
      </c>
      <c r="G225" s="67">
        <v>5.44</v>
      </c>
      <c r="H225" s="60" t="s">
        <v>1452</v>
      </c>
      <c r="I225" s="13" t="s">
        <v>1457</v>
      </c>
      <c r="J225" s="67">
        <f t="shared" si="92"/>
        <v>-5.44</v>
      </c>
      <c r="K225" s="67">
        <f t="shared" si="93"/>
        <v>5.8866655000000003</v>
      </c>
      <c r="L225" s="67">
        <f t="shared" si="94"/>
        <v>-0.164826634</v>
      </c>
      <c r="M225" s="67">
        <f t="shared" si="95"/>
        <v>5.7218388660000006</v>
      </c>
      <c r="N225" s="67">
        <f t="shared" si="96"/>
        <v>0.28183886599999997</v>
      </c>
      <c r="O225" s="68">
        <f t="shared" si="97"/>
        <v>1.0134443221862638E-2</v>
      </c>
      <c r="P225" s="6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0.24318283415288333</v>
      </c>
    </row>
    <row r="226" spans="2:16" ht="19.95" customHeight="1">
      <c r="B226" s="69">
        <v>46187</v>
      </c>
      <c r="C226" s="70" t="s">
        <v>2823</v>
      </c>
      <c r="D226" s="71">
        <v>1.1282000000000001</v>
      </c>
      <c r="E226" s="72">
        <v>22.86</v>
      </c>
      <c r="F226" s="72">
        <v>9.91</v>
      </c>
      <c r="G226" s="72">
        <v>2.59</v>
      </c>
      <c r="H226" s="60" t="s">
        <v>1452</v>
      </c>
      <c r="I226" s="13" t="s">
        <v>1457</v>
      </c>
      <c r="J226" s="72">
        <f t="shared" ref="J226:J227" si="98">IF(H226="Ganhou",(F226-1)*G226,-G226)</f>
        <v>-2.59</v>
      </c>
      <c r="K226" s="72">
        <f t="shared" ref="K226:K227" si="99">IF(H226="Perdeu",(D226-1)*E226,-E226)</f>
        <v>2.930652000000002</v>
      </c>
      <c r="L226" s="72">
        <f t="shared" ref="L226:L227" si="100">IF(H226="Perdeu",-K226*0.028,0)</f>
        <v>-8.2058256000000065E-2</v>
      </c>
      <c r="M226" s="72">
        <f t="shared" ref="M226:M227" si="101">SUM(K226:L226)</f>
        <v>2.8485937440000018</v>
      </c>
      <c r="N226" s="72">
        <f t="shared" ref="N226:N227" si="102">SUM(J226:L226)</f>
        <v>0.25859374400000212</v>
      </c>
      <c r="O226" s="73">
        <f t="shared" ref="O226:O227" si="103">IFERROR(N226/SUM(G226,E226),"")</f>
        <v>1.0160854381139573E-2</v>
      </c>
      <c r="P226" s="7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0.11329833770778652</v>
      </c>
    </row>
    <row r="227" spans="2:16" ht="19.95" customHeight="1">
      <c r="B227" s="69">
        <v>46187</v>
      </c>
      <c r="C227" s="70" t="s">
        <v>2822</v>
      </c>
      <c r="D227" s="71">
        <v>1.21739</v>
      </c>
      <c r="E227" s="72">
        <v>22.9</v>
      </c>
      <c r="F227" s="72">
        <v>6.08</v>
      </c>
      <c r="G227" s="72">
        <v>4.5599999999999996</v>
      </c>
      <c r="H227" s="60" t="s">
        <v>1452</v>
      </c>
      <c r="I227" s="13" t="s">
        <v>1457</v>
      </c>
      <c r="J227" s="72">
        <f t="shared" si="98"/>
        <v>-4.5599999999999996</v>
      </c>
      <c r="K227" s="72">
        <f t="shared" si="99"/>
        <v>4.9782309999999992</v>
      </c>
      <c r="L227" s="72">
        <f t="shared" si="100"/>
        <v>-0.13939046799999999</v>
      </c>
      <c r="M227" s="72">
        <f t="shared" si="101"/>
        <v>4.838840531999999</v>
      </c>
      <c r="N227" s="72">
        <f t="shared" si="102"/>
        <v>0.27884053199999959</v>
      </c>
      <c r="O227" s="73">
        <f t="shared" si="103"/>
        <v>1.0154425782957015E-2</v>
      </c>
      <c r="P227" s="7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0.19912663755458515</v>
      </c>
    </row>
    <row r="228" spans="2:16" ht="19.95" customHeight="1">
      <c r="B228" s="69">
        <v>46188</v>
      </c>
      <c r="C228" s="70" t="s">
        <v>2835</v>
      </c>
      <c r="D228" s="71">
        <v>1.2439</v>
      </c>
      <c r="E228" s="72">
        <v>22.97</v>
      </c>
      <c r="F228" s="72">
        <v>5.5</v>
      </c>
      <c r="G228" s="72">
        <v>5.16</v>
      </c>
      <c r="H228" s="60" t="s">
        <v>1452</v>
      </c>
      <c r="I228" s="13" t="s">
        <v>1457</v>
      </c>
      <c r="J228" s="72">
        <f>IF(H228="Ganhou",(F228-1)*G228,-G228)</f>
        <v>-5.16</v>
      </c>
      <c r="K228" s="72">
        <f>IF(H228="Perdeu",(D228-1)*E228,-E228)</f>
        <v>5.6023829999999997</v>
      </c>
      <c r="L228" s="72">
        <f>IF(H228="Perdeu",-K228*0.028,0)</f>
        <v>-0.15686672399999999</v>
      </c>
      <c r="M228" s="72">
        <f>SUM(K228:L228)</f>
        <v>5.4455162759999993</v>
      </c>
      <c r="N228" s="72">
        <f>SUM(J228:L228)</f>
        <v>0.28551627599999951</v>
      </c>
      <c r="O228" s="73">
        <f>IFERROR(N228/SUM(G228,E228),"")</f>
        <v>1.0149885389264113E-2</v>
      </c>
      <c r="P228" s="7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0.22464083587287767</v>
      </c>
    </row>
    <row r="229" spans="2:16" ht="19.95" customHeight="1">
      <c r="B229" s="74">
        <v>46191</v>
      </c>
      <c r="C229" s="75" t="s">
        <v>2893</v>
      </c>
      <c r="D229" s="76">
        <v>1.28</v>
      </c>
      <c r="E229" s="77">
        <v>23.97</v>
      </c>
      <c r="F229" s="77">
        <v>4.9000000000000004</v>
      </c>
      <c r="G229" s="77">
        <v>6.22</v>
      </c>
      <c r="H229" s="60" t="s">
        <v>1452</v>
      </c>
      <c r="I229" s="13" t="s">
        <v>1457</v>
      </c>
      <c r="J229" s="77">
        <f t="shared" ref="J229:J231" si="104">IF(H229="Ganhou",(F229-1)*G229,-G229)</f>
        <v>-6.22</v>
      </c>
      <c r="K229" s="77">
        <f t="shared" ref="K229:K231" si="105">IF(H229="Perdeu",(D229-1)*E229,-E229)</f>
        <v>6.7116000000000007</v>
      </c>
      <c r="L229" s="77">
        <f t="shared" ref="L229:L231" si="106">IF(H229="Perdeu",-K229*0.028,0)</f>
        <v>-0.18792480000000003</v>
      </c>
      <c r="M229" s="77">
        <f t="shared" ref="M229:M231" si="107">SUM(K229:L229)</f>
        <v>6.5236752000000005</v>
      </c>
      <c r="N229" s="77">
        <f t="shared" ref="N229:N231" si="108">SUM(J229:L229)</f>
        <v>0.30367520000000092</v>
      </c>
      <c r="O229" s="78">
        <f t="shared" ref="O229:O231" si="109">IFERROR(N229/SUM(G229,E229),"")</f>
        <v>1.0058800927459454E-2</v>
      </c>
      <c r="P229" s="7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0.25949103045473509</v>
      </c>
    </row>
    <row r="230" spans="2:16" ht="19.95" customHeight="1">
      <c r="B230" s="74">
        <v>46191</v>
      </c>
      <c r="C230" s="75" t="s">
        <v>2892</v>
      </c>
      <c r="D230" s="76">
        <v>1.8196699999999999</v>
      </c>
      <c r="E230" s="77">
        <v>23.25</v>
      </c>
      <c r="F230" s="77">
        <v>2.31</v>
      </c>
      <c r="G230" s="77">
        <v>18.11</v>
      </c>
      <c r="H230" s="60" t="s">
        <v>1452</v>
      </c>
      <c r="I230" s="13" t="s">
        <v>1457</v>
      </c>
      <c r="J230" s="77">
        <f t="shared" si="104"/>
        <v>-18.11</v>
      </c>
      <c r="K230" s="77">
        <f t="shared" si="105"/>
        <v>19.057327499999996</v>
      </c>
      <c r="L230" s="77">
        <f t="shared" si="106"/>
        <v>-0.53360516999999985</v>
      </c>
      <c r="M230" s="77">
        <f t="shared" si="107"/>
        <v>18.523722329999995</v>
      </c>
      <c r="N230" s="77">
        <f t="shared" si="108"/>
        <v>0.4137223299999967</v>
      </c>
      <c r="O230" s="78">
        <f t="shared" si="109"/>
        <v>1.0002957688587928E-2</v>
      </c>
      <c r="P230" s="7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0.7789247311827957</v>
      </c>
    </row>
    <row r="231" spans="2:16" ht="19.95" customHeight="1">
      <c r="B231" s="74">
        <v>46191</v>
      </c>
      <c r="C231" s="75" t="s">
        <v>2883</v>
      </c>
      <c r="D231" s="76">
        <v>1.2384088524797401</v>
      </c>
      <c r="E231" s="77">
        <v>23.97</v>
      </c>
      <c r="F231" s="77">
        <v>5.61</v>
      </c>
      <c r="G231" s="77">
        <v>5.26</v>
      </c>
      <c r="H231" s="60" t="s">
        <v>1452</v>
      </c>
      <c r="I231" s="13" t="s">
        <v>1457</v>
      </c>
      <c r="J231" s="77">
        <f t="shared" si="104"/>
        <v>-5.26</v>
      </c>
      <c r="K231" s="77">
        <f t="shared" si="105"/>
        <v>5.7146601939393697</v>
      </c>
      <c r="L231" s="77">
        <f t="shared" si="106"/>
        <v>-0.16001048543030236</v>
      </c>
      <c r="M231" s="77">
        <f t="shared" si="107"/>
        <v>5.5546497085090678</v>
      </c>
      <c r="N231" s="77">
        <f t="shared" si="108"/>
        <v>0.29464970850906758</v>
      </c>
      <c r="O231" s="78">
        <f t="shared" si="109"/>
        <v>1.0080386880228108E-2</v>
      </c>
      <c r="P231" s="7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0.21944096787651232</v>
      </c>
    </row>
    <row r="232" spans="2:16" ht="19.95" customHeight="1">
      <c r="B232" s="82">
        <v>46199</v>
      </c>
      <c r="C232" s="83" t="s">
        <v>3026</v>
      </c>
      <c r="D232" s="84">
        <v>1.5</v>
      </c>
      <c r="E232" s="85">
        <v>13.33</v>
      </c>
      <c r="F232" s="85">
        <v>3.15</v>
      </c>
      <c r="G232" s="85">
        <v>6.28</v>
      </c>
      <c r="H232" s="60" t="s">
        <v>1452</v>
      </c>
      <c r="I232" s="13" t="s">
        <v>1457</v>
      </c>
      <c r="J232" s="85">
        <f t="shared" ref="J232:J238" si="110">IF(H232="Ganhou",(F232-1)*G232,-G232)</f>
        <v>-6.28</v>
      </c>
      <c r="K232" s="85">
        <f t="shared" ref="K232:K238" si="111">IF(H232="Perdeu",(D232-1)*E232,-E232)</f>
        <v>6.665</v>
      </c>
      <c r="L232" s="85">
        <f t="shared" ref="L232:L238" si="112">IF(H232="Perdeu",-K232*0.028,0)</f>
        <v>-0.18662000000000001</v>
      </c>
      <c r="M232" s="85">
        <f t="shared" ref="M232:M238" si="113">SUM(K232:L232)</f>
        <v>6.4783799999999996</v>
      </c>
      <c r="N232" s="85">
        <f t="shared" ref="N232:N238" si="114">SUM(J232:L232)</f>
        <v>0.19837999999999978</v>
      </c>
      <c r="O232" s="86">
        <f t="shared" ref="O232:O238" si="115">IFERROR(N232/SUM(G232,E232),"")</f>
        <v>1.0116267210606822E-2</v>
      </c>
      <c r="P232" s="86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0.47111777944486122</v>
      </c>
    </row>
    <row r="233" spans="2:16" ht="19.95" customHeight="1">
      <c r="B233" s="94">
        <v>46212</v>
      </c>
      <c r="C233" s="93" t="s">
        <v>3142</v>
      </c>
      <c r="D233" s="95">
        <v>1.43</v>
      </c>
      <c r="E233" s="96">
        <v>17.29</v>
      </c>
      <c r="F233" s="96">
        <v>3.51</v>
      </c>
      <c r="G233" s="96">
        <v>6.98</v>
      </c>
      <c r="H233" s="60" t="s">
        <v>1452</v>
      </c>
      <c r="I233" s="13" t="s">
        <v>1457</v>
      </c>
      <c r="J233" s="96">
        <f t="shared" si="110"/>
        <v>-6.98</v>
      </c>
      <c r="K233" s="96">
        <f t="shared" si="111"/>
        <v>7.4346999999999985</v>
      </c>
      <c r="L233" s="96">
        <f t="shared" si="112"/>
        <v>-0.20817159999999996</v>
      </c>
      <c r="M233" s="96">
        <f t="shared" si="113"/>
        <v>7.2265283999999985</v>
      </c>
      <c r="N233" s="96">
        <f t="shared" si="114"/>
        <v>0.24652839999999815</v>
      </c>
      <c r="O233" s="97">
        <f t="shared" si="115"/>
        <v>1.0157742068397122E-2</v>
      </c>
      <c r="P233" s="9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0.4037015615962985</v>
      </c>
    </row>
    <row r="234" spans="2:16" ht="19.95" customHeight="1">
      <c r="B234" s="100">
        <v>46214</v>
      </c>
      <c r="C234" s="98" t="s">
        <v>3170</v>
      </c>
      <c r="D234" s="101">
        <v>1.24</v>
      </c>
      <c r="E234" s="99">
        <v>18.82</v>
      </c>
      <c r="F234" s="99">
        <v>5.58</v>
      </c>
      <c r="G234" s="99">
        <v>4.16</v>
      </c>
      <c r="H234" s="60" t="s">
        <v>1452</v>
      </c>
      <c r="I234" s="13" t="s">
        <v>1457</v>
      </c>
      <c r="J234" s="99">
        <f t="shared" si="110"/>
        <v>-4.16</v>
      </c>
      <c r="K234" s="99">
        <f t="shared" si="111"/>
        <v>4.5167999999999999</v>
      </c>
      <c r="L234" s="99">
        <f t="shared" si="112"/>
        <v>-0.12647040000000001</v>
      </c>
      <c r="M234" s="99">
        <f t="shared" si="113"/>
        <v>4.3903296000000003</v>
      </c>
      <c r="N234" s="99">
        <f t="shared" si="114"/>
        <v>0.23032959999999977</v>
      </c>
      <c r="O234" s="102">
        <f t="shared" si="115"/>
        <v>1.0023046127067005E-2</v>
      </c>
      <c r="P234" s="102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0.22104144527098832</v>
      </c>
    </row>
    <row r="235" spans="2:16" ht="19.95" customHeight="1">
      <c r="B235" s="103">
        <v>46215</v>
      </c>
      <c r="C235" s="104" t="s">
        <v>3176</v>
      </c>
      <c r="D235" s="105">
        <v>1.2439</v>
      </c>
      <c r="E235" s="106">
        <v>19.36</v>
      </c>
      <c r="F235" s="106">
        <v>5.5</v>
      </c>
      <c r="G235" s="106">
        <v>4.3499999999999996</v>
      </c>
      <c r="H235" s="60" t="s">
        <v>1452</v>
      </c>
      <c r="I235" s="13" t="s">
        <v>1457</v>
      </c>
      <c r="J235" s="106">
        <f t="shared" si="110"/>
        <v>-4.3499999999999996</v>
      </c>
      <c r="K235" s="106">
        <f t="shared" si="111"/>
        <v>4.7219040000000003</v>
      </c>
      <c r="L235" s="106">
        <f t="shared" si="112"/>
        <v>-0.132213312</v>
      </c>
      <c r="M235" s="106">
        <f t="shared" si="113"/>
        <v>4.5896906880000001</v>
      </c>
      <c r="N235" s="106">
        <f t="shared" si="114"/>
        <v>0.23969068800000068</v>
      </c>
      <c r="O235" s="107">
        <f t="shared" si="115"/>
        <v>1.0109265626318038E-2</v>
      </c>
      <c r="P235" s="10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0.22469008264462809</v>
      </c>
    </row>
    <row r="236" spans="2:16" ht="19.95" customHeight="1">
      <c r="B236" s="103">
        <v>46215</v>
      </c>
      <c r="C236" s="104" t="s">
        <v>3174</v>
      </c>
      <c r="D236" s="105">
        <v>1.1851799999999999</v>
      </c>
      <c r="E236" s="106">
        <v>19.43</v>
      </c>
      <c r="F236" s="106">
        <v>7.01</v>
      </c>
      <c r="G236" s="106">
        <v>3.27</v>
      </c>
      <c r="H236" s="104" t="s">
        <v>1450</v>
      </c>
      <c r="I236" s="13" t="s">
        <v>1457</v>
      </c>
      <c r="J236" s="106">
        <f t="shared" si="110"/>
        <v>19.652699999999999</v>
      </c>
      <c r="K236" s="106">
        <f t="shared" si="111"/>
        <v>-19.43</v>
      </c>
      <c r="L236" s="106">
        <f t="shared" si="112"/>
        <v>0</v>
      </c>
      <c r="M236" s="106">
        <f t="shared" si="113"/>
        <v>-19.43</v>
      </c>
      <c r="N236" s="106">
        <f t="shared" si="114"/>
        <v>0.22269999999999968</v>
      </c>
      <c r="O236" s="107">
        <f t="shared" si="115"/>
        <v>9.8105726872246557E-3</v>
      </c>
      <c r="P236" s="10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0.1682964487905301</v>
      </c>
    </row>
    <row r="237" spans="2:16" ht="19.95" customHeight="1">
      <c r="B237" s="103">
        <v>46215</v>
      </c>
      <c r="C237" s="104" t="s">
        <v>3175</v>
      </c>
      <c r="D237" s="105">
        <v>1.1922999999999999</v>
      </c>
      <c r="E237" s="106">
        <v>14.34</v>
      </c>
      <c r="F237" s="106">
        <v>6.78</v>
      </c>
      <c r="G237" s="106">
        <v>2.5099999999999998</v>
      </c>
      <c r="H237" s="60" t="s">
        <v>1452</v>
      </c>
      <c r="I237" s="13" t="s">
        <v>1457</v>
      </c>
      <c r="J237" s="106">
        <f t="shared" si="110"/>
        <v>-2.5099999999999998</v>
      </c>
      <c r="K237" s="106">
        <f t="shared" si="111"/>
        <v>2.7575819999999989</v>
      </c>
      <c r="L237" s="106">
        <f t="shared" si="112"/>
        <v>-7.7212295999999972E-2</v>
      </c>
      <c r="M237" s="106">
        <f t="shared" si="113"/>
        <v>2.680369703999999</v>
      </c>
      <c r="N237" s="106">
        <f t="shared" si="114"/>
        <v>0.17036970399999912</v>
      </c>
      <c r="O237" s="107">
        <f t="shared" si="115"/>
        <v>1.0110961661721015E-2</v>
      </c>
      <c r="P237" s="10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0.17503486750348674</v>
      </c>
    </row>
    <row r="238" spans="2:16" ht="19.95" customHeight="1">
      <c r="B238" s="103">
        <v>46215</v>
      </c>
      <c r="C238" s="104" t="s">
        <v>3171</v>
      </c>
      <c r="D238" s="105">
        <v>1.20408</v>
      </c>
      <c r="E238" s="106">
        <v>18.96</v>
      </c>
      <c r="F238" s="106">
        <v>6.43</v>
      </c>
      <c r="G238" s="106">
        <v>3.54</v>
      </c>
      <c r="H238" s="60" t="s">
        <v>1452</v>
      </c>
      <c r="I238" s="13" t="s">
        <v>1457</v>
      </c>
      <c r="J238" s="106">
        <f t="shared" si="110"/>
        <v>-3.54</v>
      </c>
      <c r="K238" s="106">
        <f t="shared" si="111"/>
        <v>3.8693568000000007</v>
      </c>
      <c r="L238" s="106">
        <f t="shared" si="112"/>
        <v>-0.10834199040000002</v>
      </c>
      <c r="M238" s="106">
        <f t="shared" si="113"/>
        <v>3.7610148096000007</v>
      </c>
      <c r="N238" s="106">
        <f t="shared" si="114"/>
        <v>0.22101480960000064</v>
      </c>
      <c r="O238" s="107">
        <f t="shared" si="115"/>
        <v>9.8228804266666959E-3</v>
      </c>
      <c r="P238" s="107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0.18670886075949367</v>
      </c>
    </row>
    <row r="239" spans="2:16" ht="19.95" customHeight="1">
      <c r="B239" s="108">
        <v>46217</v>
      </c>
      <c r="C239" s="109" t="s">
        <v>3211</v>
      </c>
      <c r="D239" s="110">
        <v>1.5319100000000001</v>
      </c>
      <c r="E239" s="111">
        <v>14.53</v>
      </c>
      <c r="F239" s="111">
        <v>3.02</v>
      </c>
      <c r="G239" s="111">
        <v>7.29</v>
      </c>
      <c r="H239" s="60" t="s">
        <v>1452</v>
      </c>
      <c r="I239" s="13" t="s">
        <v>1457</v>
      </c>
      <c r="J239" s="111">
        <f t="shared" ref="J239:J245" si="116">IF(H239="Ganhou",(F239-1)*G239,-G239)</f>
        <v>-7.29</v>
      </c>
      <c r="K239" s="111">
        <f t="shared" ref="K239:K245" si="117">IF(H239="Perdeu",(D239-1)*E239,-E239)</f>
        <v>7.7286523000000011</v>
      </c>
      <c r="L239" s="111">
        <f t="shared" ref="L239:L245" si="118">IF(H239="Perdeu",-K239*0.028,0)</f>
        <v>-0.21640226440000004</v>
      </c>
      <c r="M239" s="111">
        <f t="shared" ref="M239:M245" si="119">SUM(K239:L239)</f>
        <v>7.512250035600001</v>
      </c>
      <c r="N239" s="111">
        <f t="shared" ref="N239:N245" si="120">SUM(J239:L239)</f>
        <v>0.22225003560000106</v>
      </c>
      <c r="O239" s="112">
        <f t="shared" ref="O239:O245" si="121">IFERROR(N239/SUM(G239,E239),"")</f>
        <v>1.018561116406971E-2</v>
      </c>
      <c r="P239" s="112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0.50172057811424642</v>
      </c>
    </row>
    <row r="240" spans="2:16" ht="19.95" customHeight="1">
      <c r="B240" s="108">
        <v>46217</v>
      </c>
      <c r="C240" s="109" t="s">
        <v>3212</v>
      </c>
      <c r="D240" s="110">
        <v>1.2083299999999999</v>
      </c>
      <c r="E240" s="111">
        <v>14.31</v>
      </c>
      <c r="F240" s="111">
        <v>6.31</v>
      </c>
      <c r="G240" s="111">
        <v>2.73</v>
      </c>
      <c r="H240" s="60" t="s">
        <v>1452</v>
      </c>
      <c r="I240" s="13" t="s">
        <v>1457</v>
      </c>
      <c r="J240" s="111">
        <f t="shared" si="116"/>
        <v>-2.73</v>
      </c>
      <c r="K240" s="111">
        <f t="shared" si="117"/>
        <v>2.9812022999999988</v>
      </c>
      <c r="L240" s="111">
        <f t="shared" si="118"/>
        <v>-8.3473664399999967E-2</v>
      </c>
      <c r="M240" s="111">
        <f t="shared" si="119"/>
        <v>2.8977286355999987</v>
      </c>
      <c r="N240" s="111">
        <f t="shared" si="120"/>
        <v>0.16772863559999879</v>
      </c>
      <c r="O240" s="112">
        <f t="shared" si="121"/>
        <v>9.8432297887323245E-3</v>
      </c>
      <c r="P240" s="112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0.19077568134171907</v>
      </c>
    </row>
    <row r="241" spans="2:16" ht="19.95" customHeight="1">
      <c r="B241" s="108">
        <v>46217</v>
      </c>
      <c r="C241" s="109" t="s">
        <v>3210</v>
      </c>
      <c r="D241" s="110">
        <v>1.16666</v>
      </c>
      <c r="E241" s="111">
        <v>14.1</v>
      </c>
      <c r="F241" s="111">
        <v>7.72</v>
      </c>
      <c r="G241" s="111">
        <v>2.12</v>
      </c>
      <c r="H241" s="60" t="s">
        <v>1452</v>
      </c>
      <c r="I241" s="13" t="s">
        <v>1457</v>
      </c>
      <c r="J241" s="111">
        <f t="shared" si="116"/>
        <v>-2.12</v>
      </c>
      <c r="K241" s="111">
        <f t="shared" si="117"/>
        <v>2.3499060000000003</v>
      </c>
      <c r="L241" s="111">
        <f t="shared" si="118"/>
        <v>-6.5797368000000009E-2</v>
      </c>
      <c r="M241" s="111">
        <f t="shared" si="119"/>
        <v>2.2841086320000001</v>
      </c>
      <c r="N241" s="111">
        <f t="shared" si="120"/>
        <v>0.16410863200000014</v>
      </c>
      <c r="O241" s="112">
        <f t="shared" si="121"/>
        <v>1.0117671516646125E-2</v>
      </c>
      <c r="P241" s="112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0.15035460992907804</v>
      </c>
    </row>
    <row r="242" spans="2:16" ht="19.95" customHeight="1">
      <c r="B242" s="108">
        <v>46217</v>
      </c>
      <c r="C242" s="109" t="s">
        <v>3207</v>
      </c>
      <c r="D242" s="110">
        <v>1.1922999999999999</v>
      </c>
      <c r="E242" s="111">
        <v>14.35</v>
      </c>
      <c r="F242" s="111">
        <v>6.78</v>
      </c>
      <c r="G242" s="111">
        <v>2.5099999999999998</v>
      </c>
      <c r="H242" s="60" t="s">
        <v>1452</v>
      </c>
      <c r="I242" s="13" t="s">
        <v>1457</v>
      </c>
      <c r="J242" s="111">
        <f t="shared" si="116"/>
        <v>-2.5099999999999998</v>
      </c>
      <c r="K242" s="111">
        <f t="shared" si="117"/>
        <v>2.7595049999999985</v>
      </c>
      <c r="L242" s="111">
        <f t="shared" si="118"/>
        <v>-7.7266139999999955E-2</v>
      </c>
      <c r="M242" s="111">
        <f t="shared" si="119"/>
        <v>2.6822388599999987</v>
      </c>
      <c r="N242" s="111">
        <f t="shared" si="120"/>
        <v>0.1722388599999988</v>
      </c>
      <c r="O242" s="112">
        <f t="shared" si="121"/>
        <v>1.0215827995254971E-2</v>
      </c>
      <c r="P242" s="112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0.17491289198606272</v>
      </c>
    </row>
    <row r="243" spans="2:16" ht="19.95" customHeight="1">
      <c r="B243" s="108">
        <v>46217</v>
      </c>
      <c r="C243" s="109" t="s">
        <v>3209</v>
      </c>
      <c r="D243" s="110">
        <v>1.4444399999999999</v>
      </c>
      <c r="E243" s="111">
        <v>14.13</v>
      </c>
      <c r="F243" s="111">
        <v>3.43</v>
      </c>
      <c r="G243" s="111">
        <v>5.9</v>
      </c>
      <c r="H243" s="60" t="s">
        <v>1452</v>
      </c>
      <c r="I243" s="13" t="s">
        <v>1457</v>
      </c>
      <c r="J243" s="111">
        <f t="shared" si="116"/>
        <v>-5.9</v>
      </c>
      <c r="K243" s="111">
        <f t="shared" si="117"/>
        <v>6.2799372</v>
      </c>
      <c r="L243" s="111">
        <f t="shared" si="118"/>
        <v>-0.1758382416</v>
      </c>
      <c r="M243" s="111">
        <f t="shared" si="119"/>
        <v>6.1040989583999998</v>
      </c>
      <c r="N243" s="111">
        <f t="shared" si="120"/>
        <v>0.20409895839999964</v>
      </c>
      <c r="O243" s="112">
        <f t="shared" si="121"/>
        <v>1.0189663424862688E-2</v>
      </c>
      <c r="P243" s="112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0.41755130927105449</v>
      </c>
    </row>
    <row r="244" spans="2:16" ht="19.95" customHeight="1">
      <c r="B244" s="108">
        <v>46217</v>
      </c>
      <c r="C244" s="109" t="s">
        <v>3206</v>
      </c>
      <c r="D244" s="110">
        <v>1.4347799999999999</v>
      </c>
      <c r="E244" s="111">
        <v>13.92</v>
      </c>
      <c r="F244" s="111">
        <v>3.48</v>
      </c>
      <c r="G244" s="111">
        <v>5.69</v>
      </c>
      <c r="H244" s="60" t="s">
        <v>1452</v>
      </c>
      <c r="I244" s="13" t="s">
        <v>1457</v>
      </c>
      <c r="J244" s="111">
        <f t="shared" si="116"/>
        <v>-5.69</v>
      </c>
      <c r="K244" s="111">
        <f t="shared" si="117"/>
        <v>6.0521375999999991</v>
      </c>
      <c r="L244" s="111">
        <f t="shared" si="118"/>
        <v>-0.16945985279999998</v>
      </c>
      <c r="M244" s="111">
        <f t="shared" si="119"/>
        <v>5.8826777471999989</v>
      </c>
      <c r="N244" s="111">
        <f t="shared" si="120"/>
        <v>0.19267774719999875</v>
      </c>
      <c r="O244" s="112">
        <f t="shared" si="121"/>
        <v>9.8254843039265044E-3</v>
      </c>
      <c r="P244" s="112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0.40876436781609199</v>
      </c>
    </row>
    <row r="245" spans="2:16" ht="19.95" customHeight="1">
      <c r="B245" s="108">
        <v>46217</v>
      </c>
      <c r="C245" s="109" t="s">
        <v>3205</v>
      </c>
      <c r="D245" s="110">
        <v>1.46</v>
      </c>
      <c r="E245" s="111">
        <v>13.71</v>
      </c>
      <c r="F245" s="111">
        <v>3.34</v>
      </c>
      <c r="G245" s="111">
        <v>5.93</v>
      </c>
      <c r="H245" s="104" t="s">
        <v>1450</v>
      </c>
      <c r="I245" s="13" t="s">
        <v>1457</v>
      </c>
      <c r="J245" s="111">
        <f t="shared" si="116"/>
        <v>13.876199999999999</v>
      </c>
      <c r="K245" s="111">
        <f t="shared" si="117"/>
        <v>-13.71</v>
      </c>
      <c r="L245" s="111">
        <f t="shared" si="118"/>
        <v>0</v>
      </c>
      <c r="M245" s="111">
        <f t="shared" si="119"/>
        <v>-13.71</v>
      </c>
      <c r="N245" s="111">
        <f t="shared" si="120"/>
        <v>0.16619999999999813</v>
      </c>
      <c r="O245" s="112">
        <f t="shared" si="121"/>
        <v>8.4623217922605975E-3</v>
      </c>
      <c r="P245" s="112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0.43253099927060534</v>
      </c>
    </row>
    <row r="246" spans="2:16" ht="19.95" customHeight="1">
      <c r="B246" s="113">
        <v>46218</v>
      </c>
      <c r="C246" s="117" t="s">
        <v>3218</v>
      </c>
      <c r="D246" s="114">
        <v>1.22</v>
      </c>
      <c r="E246" s="115">
        <v>18.760000000000002</v>
      </c>
      <c r="F246" s="115">
        <v>6.01</v>
      </c>
      <c r="G246" s="115">
        <v>3.79</v>
      </c>
      <c r="H246" s="60" t="s">
        <v>1452</v>
      </c>
      <c r="I246" s="13" t="s">
        <v>1457</v>
      </c>
      <c r="J246" s="115">
        <f>IF(H246="Ganhou",(F246-1)*G246,-G246)</f>
        <v>-3.79</v>
      </c>
      <c r="K246" s="115">
        <f>IF(H246="Perdeu",(D246-1)*E246,-E246)</f>
        <v>4.1272000000000002</v>
      </c>
      <c r="L246" s="115">
        <f>IF(H246="Perdeu",-K246*0.028,0)</f>
        <v>-0.11556160000000001</v>
      </c>
      <c r="M246" s="115">
        <f>SUM(K246:L246)</f>
        <v>4.0116383999999998</v>
      </c>
      <c r="N246" s="115">
        <f>SUM(J246:L246)</f>
        <v>0.22163840000000015</v>
      </c>
      <c r="O246" s="116">
        <f>IFERROR(N246/SUM(G246,E246),"")</f>
        <v>9.8287538802660813E-3</v>
      </c>
      <c r="P246" s="116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0.20202558635394455</v>
      </c>
    </row>
    <row r="247" spans="2:16" ht="19.95" customHeight="1">
      <c r="B247" s="113">
        <v>46218</v>
      </c>
      <c r="C247" s="117" t="s">
        <v>3217</v>
      </c>
      <c r="D247" s="114">
        <v>1.24</v>
      </c>
      <c r="E247" s="115">
        <v>18.82</v>
      </c>
      <c r="F247" s="115">
        <v>5.58</v>
      </c>
      <c r="G247" s="115">
        <v>4.16</v>
      </c>
      <c r="H247" s="60" t="s">
        <v>1452</v>
      </c>
      <c r="I247" s="13" t="s">
        <v>1457</v>
      </c>
      <c r="J247" s="115">
        <f>IF(H247="Ganhou",(F247-1)*G247,-G247)</f>
        <v>-4.16</v>
      </c>
      <c r="K247" s="115">
        <f>IF(H247="Perdeu",(D247-1)*E247,-E247)</f>
        <v>4.5167999999999999</v>
      </c>
      <c r="L247" s="115">
        <f>IF(H247="Perdeu",-K247*0.028,0)</f>
        <v>-0.12647040000000001</v>
      </c>
      <c r="M247" s="115">
        <f>SUM(K247:L247)</f>
        <v>4.3903296000000003</v>
      </c>
      <c r="N247" s="115">
        <f>SUM(J247:L247)</f>
        <v>0.23032959999999977</v>
      </c>
      <c r="O247" s="116">
        <f>IFERROR(N247/SUM(G247,E247),"")</f>
        <v>1.0023046127067005E-2</v>
      </c>
      <c r="P247" s="116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0.22104144527098832</v>
      </c>
    </row>
    <row r="248" spans="2:16" ht="19.95" customHeight="1">
      <c r="B248" s="113">
        <v>46218</v>
      </c>
      <c r="C248" s="117" t="s">
        <v>3216</v>
      </c>
      <c r="D248" s="114">
        <v>1.6024</v>
      </c>
      <c r="E248" s="115">
        <v>18.54</v>
      </c>
      <c r="F248" s="115">
        <v>2.78</v>
      </c>
      <c r="G248" s="115">
        <v>10.56</v>
      </c>
      <c r="H248" s="60" t="s">
        <v>1452</v>
      </c>
      <c r="I248" s="13" t="s">
        <v>1457</v>
      </c>
      <c r="J248" s="115">
        <f>IF(H248="Ganhou",(F248-1)*G248,-G248)</f>
        <v>-10.56</v>
      </c>
      <c r="K248" s="115">
        <f>IF(H248="Perdeu",(D248-1)*E248,-E248)</f>
        <v>11.168496000000001</v>
      </c>
      <c r="L248" s="115">
        <f>IF(H248="Perdeu",-K248*0.028,0)</f>
        <v>-0.31271788800000005</v>
      </c>
      <c r="M248" s="115">
        <f>SUM(K248:L248)</f>
        <v>10.855778112000001</v>
      </c>
      <c r="N248" s="115">
        <f>SUM(J248:L248)</f>
        <v>0.29577811200000054</v>
      </c>
      <c r="O248" s="116">
        <f>IFERROR(N248/SUM(G248,E248),"")</f>
        <v>1.0164196288659812E-2</v>
      </c>
      <c r="P248" s="116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0.56957928802588997</v>
      </c>
    </row>
  </sheetData>
  <sortState ref="B234:F236">
    <sortCondition ref="E234:E236"/>
  </sortState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B958FF7-32B5-452C-8F11-8544CBB63F8F}">
  <ds:schemaRefs/>
</ds:datastoreItem>
</file>

<file path=customXml/itemProps2.xml><?xml version="1.0" encoding="utf-8"?>
<ds:datastoreItem xmlns:ds="http://schemas.openxmlformats.org/officeDocument/2006/customXml" ds:itemID="{5350A302-B8D9-4873-99B4-4DE3B5EAB877}">
  <ds:schemaRefs/>
</ds:datastoreItem>
</file>

<file path=customXml/itemProps3.xml><?xml version="1.0" encoding="utf-8"?>
<ds:datastoreItem xmlns:ds="http://schemas.openxmlformats.org/officeDocument/2006/customXml" ds:itemID="{5C390BFF-7F94-40C9-8244-56E47562B85E}">
  <ds:schemaRefs/>
</ds:datastoreItem>
</file>

<file path=customXml/itemProps4.xml><?xml version="1.0" encoding="utf-8"?>
<ds:datastoreItem xmlns:ds="http://schemas.openxmlformats.org/officeDocument/2006/customXml" ds:itemID="{01053647-D1C0-408E-BDFF-47027BB864E6}">
  <ds:schemaRefs/>
</ds:datastoreItem>
</file>

<file path=customXml/itemProps5.xml><?xml version="1.0" encoding="utf-8"?>
<ds:datastoreItem xmlns:ds="http://schemas.openxmlformats.org/officeDocument/2006/customXml" ds:itemID="{1A9B4873-AFAD-44CE-B89A-8396ED0DDD47}">
  <ds:schemaRefs/>
</ds:datastoreItem>
</file>

<file path=customXml/itemProps6.xml><?xml version="1.0" encoding="utf-8"?>
<ds:datastoreItem xmlns:ds="http://schemas.openxmlformats.org/officeDocument/2006/customXml" ds:itemID="{3C2DB1DD-3D0B-439B-8CFE-28E9416D116E}">
  <ds:schemaRefs/>
</ds:datastoreItem>
</file>

<file path=customXml/itemProps7.xml><?xml version="1.0" encoding="utf-8"?>
<ds:datastoreItem xmlns:ds="http://schemas.openxmlformats.org/officeDocument/2006/customXml" ds:itemID="{3E2E56A8-1290-4D72-872F-7ED42363545B}">
  <ds:schemaRefs/>
</ds:datastoreItem>
</file>

<file path=customXml/itemProps8.xml><?xml version="1.0" encoding="utf-8"?>
<ds:datastoreItem xmlns:ds="http://schemas.openxmlformats.org/officeDocument/2006/customXml" ds:itemID="{C726001D-7FEF-4D60-904E-C515F2AE18B8}">
  <ds:schemaRefs/>
</ds:datastoreItem>
</file>

<file path=customXml/itemProps9.xml><?xml version="1.0" encoding="utf-8"?>
<ds:datastoreItem xmlns:ds="http://schemas.openxmlformats.org/officeDocument/2006/customXml" ds:itemID="{531B5D8A-9D0A-4E72-80E1-F14498B85837}">
  <ds:schemaRefs/>
</ds:datastoreItem>
</file>

<file path=customXml/itemProps10.xml><?xml version="1.0" encoding="utf-8"?>
<ds:datastoreItem xmlns:ds="http://schemas.openxmlformats.org/officeDocument/2006/customXml" ds:itemID="{E0AD9576-36B5-4C38-BEA5-F64E16FBD31D}">
  <ds:schemaRefs/>
</ds:datastoreItem>
</file>

<file path=customXml/itemProps11.xml><?xml version="1.0" encoding="utf-8"?>
<ds:datastoreItem xmlns:ds="http://schemas.openxmlformats.org/officeDocument/2006/customXml" ds:itemID="{F743BC9B-F626-443C-8944-CCA557256B30}">
  <ds:schemaRefs/>
</ds:datastoreItem>
</file>

<file path=customXml/itemProps12.xml><?xml version="1.0" encoding="utf-8"?>
<ds:datastoreItem xmlns:ds="http://schemas.openxmlformats.org/officeDocument/2006/customXml" ds:itemID="{A0934C01-3E48-41D6-9342-1AD591BDF257}">
  <ds:schemaRefs/>
</ds:datastoreItem>
</file>

<file path=customXml/itemProps13.xml><?xml version="1.0" encoding="utf-8"?>
<ds:datastoreItem xmlns:ds="http://schemas.openxmlformats.org/officeDocument/2006/customXml" ds:itemID="{1418D668-1050-4A24-AA46-1670C0328D19}">
  <ds:schemaRefs/>
</ds:datastoreItem>
</file>

<file path=customXml/itemProps14.xml><?xml version="1.0" encoding="utf-8"?>
<ds:datastoreItem xmlns:ds="http://schemas.openxmlformats.org/officeDocument/2006/customXml" ds:itemID="{D28EB955-CC23-4425-9787-EEC98CAF383E}">
  <ds:schemaRefs/>
</ds:datastoreItem>
</file>

<file path=customXml/itemProps15.xml><?xml version="1.0" encoding="utf-8"?>
<ds:datastoreItem xmlns:ds="http://schemas.openxmlformats.org/officeDocument/2006/customXml" ds:itemID="{ABEAD05A-C539-4D33-95F2-6638E494C203}">
  <ds:schemaRefs/>
</ds:datastoreItem>
</file>

<file path=customXml/itemProps16.xml><?xml version="1.0" encoding="utf-8"?>
<ds:datastoreItem xmlns:ds="http://schemas.openxmlformats.org/officeDocument/2006/customXml" ds:itemID="{F0FF6FAD-D028-4BB2-9872-29442C59B600}">
  <ds:schemaRefs/>
</ds:datastoreItem>
</file>

<file path=customXml/itemProps17.xml><?xml version="1.0" encoding="utf-8"?>
<ds:datastoreItem xmlns:ds="http://schemas.openxmlformats.org/officeDocument/2006/customXml" ds:itemID="{11FE2C8F-83A6-408B-A98A-41B704B98454}">
  <ds:schemaRefs/>
</ds:datastoreItem>
</file>

<file path=customXml/itemProps18.xml><?xml version="1.0" encoding="utf-8"?>
<ds:datastoreItem xmlns:ds="http://schemas.openxmlformats.org/officeDocument/2006/customXml" ds:itemID="{FEF94E45-EB58-4B60-A8DA-12401E2B8391}">
  <ds:schemaRefs/>
</ds:datastoreItem>
</file>

<file path=customXml/itemProps19.xml><?xml version="1.0" encoding="utf-8"?>
<ds:datastoreItem xmlns:ds="http://schemas.openxmlformats.org/officeDocument/2006/customXml" ds:itemID="{903EB21E-C250-4F6A-B91B-A1775839E03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Extrato</vt:lpstr>
      <vt:lpstr>Base</vt:lpstr>
      <vt:lpstr>Copia Site</vt:lpstr>
      <vt:lpstr>BetFlow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Alonso</dc:creator>
  <cp:lastModifiedBy>Daniel Alonso</cp:lastModifiedBy>
  <dcterms:created xsi:type="dcterms:W3CDTF">2025-10-22T14:55:47Z</dcterms:created>
  <dcterms:modified xsi:type="dcterms:W3CDTF">2026-07-30T10:46:21Z</dcterms:modified>
</cp:coreProperties>
</file>